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2"/>
  <workbookPr hidePivotFieldList="1"/>
  <mc:AlternateContent xmlns:mc="http://schemas.openxmlformats.org/markup-compatibility/2006">
    <mc:Choice Requires="x15">
      <x15ac:absPath xmlns:x15ac="http://schemas.microsoft.com/office/spreadsheetml/2010/11/ac" url="https://sicallc-my.sharepoint.com/personal/sainbayar_sica_mn/Documents/1.Project_2024/1. Olborloh/23 onii tailangiin materials/18-р тайлан/Data/"/>
    </mc:Choice>
  </mc:AlternateContent>
  <xr:revisionPtr revIDLastSave="0" documentId="8_{A3004075-6866-4E74-B0C6-4DA190C61A61}" xr6:coauthVersionLast="47" xr6:coauthVersionMax="47" xr10:uidLastSave="{00000000-0000-0000-0000-000000000000}"/>
  <bookViews>
    <workbookView xWindow="-120" yWindow="-120" windowWidth="29040" windowHeight="15840" firstSheet="1" activeTab="1" xr2:uid="{6B9640F2-D52B-4028-A1DA-4E3A26987D16}"/>
  </bookViews>
  <sheets>
    <sheet name="Хавсралтын жагсаалт" sheetId="15" r:id="rId1"/>
    <sheet name="1" sheetId="8" r:id="rId2"/>
    <sheet name="2" sheetId="9" r:id="rId3"/>
    <sheet name="3" sheetId="10" r:id="rId4"/>
    <sheet name="4" sheetId="11" r:id="rId5"/>
    <sheet name="5" sheetId="12" r:id="rId6"/>
    <sheet name="6" sheetId="13" r:id="rId7"/>
    <sheet name="7" sheetId="14" r:id="rId8"/>
    <sheet name="8-А" sheetId="16" r:id="rId9"/>
    <sheet name="9-А" sheetId="17" r:id="rId10"/>
    <sheet name="10-А" sheetId="18" r:id="rId11"/>
    <sheet name="11-А" sheetId="19" r:id="rId12"/>
    <sheet name="12-А" sheetId="20" r:id="rId13"/>
    <sheet name="13-А" sheetId="21" r:id="rId14"/>
    <sheet name="14-5" sheetId="22" r:id="rId15"/>
    <sheet name="15А" sheetId="23" r:id="rId16"/>
    <sheet name="15Б" sheetId="79" r:id="rId17"/>
    <sheet name="15В" sheetId="80" r:id="rId18"/>
    <sheet name="15Г" sheetId="25" r:id="rId19"/>
    <sheet name="15Д" sheetId="26" r:id="rId20"/>
    <sheet name="15Е" sheetId="27" r:id="rId21"/>
    <sheet name="15Ё" sheetId="28" r:id="rId22"/>
    <sheet name="15Ж" sheetId="29" r:id="rId23"/>
    <sheet name="16А" sheetId="30" r:id="rId24"/>
    <sheet name="16Б" sheetId="31" r:id="rId25"/>
    <sheet name="17" sheetId="32" r:id="rId26"/>
    <sheet name="18" sheetId="71" r:id="rId27"/>
    <sheet name="19А" sheetId="4" r:id="rId28"/>
    <sheet name="19Б" sheetId="5" r:id="rId29"/>
    <sheet name="19В" sheetId="6" r:id="rId30"/>
    <sheet name="19Г" sheetId="7" r:id="rId31"/>
    <sheet name="20" sheetId="35" r:id="rId32"/>
    <sheet name="21" sheetId="36" r:id="rId33"/>
    <sheet name="22" sheetId="37" r:id="rId34"/>
    <sheet name="23A" sheetId="38" r:id="rId35"/>
    <sheet name="23Б" sheetId="39" r:id="rId36"/>
    <sheet name="24А" sheetId="40" r:id="rId37"/>
    <sheet name="24Б" sheetId="41" r:id="rId38"/>
    <sheet name="25" sheetId="42" r:id="rId39"/>
    <sheet name="26А" sheetId="43" r:id="rId40"/>
    <sheet name="26Б" sheetId="64" r:id="rId41"/>
    <sheet name="26В" sheetId="65" r:id="rId42"/>
    <sheet name="26Г" sheetId="66" r:id="rId43"/>
    <sheet name="26Д" sheetId="67" r:id="rId44"/>
    <sheet name="27" sheetId="44" r:id="rId45"/>
    <sheet name="28" sheetId="45" r:id="rId46"/>
    <sheet name="29" sheetId="46" r:id="rId47"/>
    <sheet name="30" sheetId="47" r:id="rId48"/>
    <sheet name="31" sheetId="48" r:id="rId49"/>
    <sheet name="32" sheetId="49" r:id="rId50"/>
    <sheet name="33" sheetId="50" r:id="rId51"/>
    <sheet name="34" sheetId="63" r:id="rId52"/>
    <sheet name="35" sheetId="54" r:id="rId53"/>
    <sheet name="36" sheetId="55" r:id="rId54"/>
    <sheet name="37" sheetId="61" r:id="rId55"/>
    <sheet name="38" sheetId="57" r:id="rId56"/>
  </sheets>
  <externalReferences>
    <externalReference r:id="rId57"/>
  </externalReferences>
  <definedNames>
    <definedName name="_xlnm._FilterDatabase" localSheetId="14" hidden="1">'14-5'!$A$1:$L$128</definedName>
    <definedName name="_xlnm._FilterDatabase" localSheetId="15" hidden="1">'15А'!$A$3:$M$1724</definedName>
    <definedName name="_xlnm._FilterDatabase" localSheetId="16" hidden="1">'15Б'!$A$2:$M$1007</definedName>
    <definedName name="_xlnm._FilterDatabase" localSheetId="24" hidden="1">'16Б'!$A$3:$F$97</definedName>
    <definedName name="_xlnm._FilterDatabase" localSheetId="25" hidden="1">'17'!$A$3:$F$128</definedName>
    <definedName name="_xlnm._FilterDatabase" localSheetId="26" hidden="1">'18'!$A$2:$O$189</definedName>
    <definedName name="_xlnm._FilterDatabase" localSheetId="27" hidden="1">'19А'!$A$3:$G$148</definedName>
    <definedName name="_xlnm._FilterDatabase" localSheetId="28" hidden="1">'19Б'!$A$3:$I$141</definedName>
    <definedName name="_xlnm._FilterDatabase" localSheetId="29" hidden="1">'19В'!$A$3:$G$136</definedName>
    <definedName name="_xlnm._FilterDatabase" localSheetId="30" hidden="1">'19Г'!$A$3:$H$9</definedName>
    <definedName name="_xlnm._FilterDatabase" localSheetId="32" hidden="1">'21'!$A$3:$P$114</definedName>
    <definedName name="_xlnm._FilterDatabase" localSheetId="33" hidden="1">'22'!$AF$5:$AI$131</definedName>
    <definedName name="_xlnm._FilterDatabase" localSheetId="36" hidden="1">'24А'!$A$3:$O$132</definedName>
    <definedName name="_xlnm._FilterDatabase" localSheetId="38" hidden="1">'25'!$A$3:$Q$137</definedName>
    <definedName name="_xlnm._FilterDatabase" localSheetId="39" hidden="1">'26А'!$A$1:$N$158</definedName>
    <definedName name="_xlnm._FilterDatabase" localSheetId="40" hidden="1">'26Б'!$A$1:$Q$204</definedName>
    <definedName name="_xlnm._FilterDatabase" localSheetId="41" hidden="1">'26В'!$A$1:$P$152</definedName>
    <definedName name="_xlnm._FilterDatabase" localSheetId="42" hidden="1">'26Г'!$A$1:$R$160</definedName>
    <definedName name="_xlnm._FilterDatabase" localSheetId="43" hidden="1">'26Д'!$A$1:$O$111</definedName>
    <definedName name="_xlnm._FilterDatabase" localSheetId="50" hidden="1">'33'!$A$2:$O$156</definedName>
    <definedName name="_xlnm._FilterDatabase" localSheetId="51" hidden="1">'34'!$A$2:$M$138</definedName>
    <definedName name="_xlnm._FilterDatabase" localSheetId="52" hidden="1">'35'!$A$2:$J$302</definedName>
    <definedName name="_xlnm._FilterDatabase" localSheetId="5" hidden="1">'5'!$A$3:$B$136</definedName>
    <definedName name="_xlnm._FilterDatabase" localSheetId="6" hidden="1">'6'!$A$2:$G$127</definedName>
    <definedName name="_xlnm._FilterDatabase" localSheetId="0" hidden="1">'Хавсралтын жагсаалт'!$A$3:$B$58</definedName>
    <definedName name="_Toc156486538" localSheetId="7">'7'!#REF!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0" l="1"/>
  <c r="A8" i="80"/>
  <c r="A9" i="80" s="1"/>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A157" i="80" s="1"/>
  <c r="A158" i="80" s="1"/>
  <c r="A159" i="80" s="1"/>
  <c r="A160" i="80" s="1"/>
  <c r="A161" i="80" s="1"/>
  <c r="A162" i="80" s="1"/>
  <c r="A163" i="80" s="1"/>
  <c r="A164" i="80" s="1"/>
  <c r="A165" i="80" s="1"/>
  <c r="A166" i="80" s="1"/>
  <c r="A167" i="80" s="1"/>
  <c r="A168" i="80" s="1"/>
  <c r="A169" i="80" s="1"/>
  <c r="A170" i="80" s="1"/>
  <c r="A171" i="80" s="1"/>
  <c r="A172" i="80" s="1"/>
  <c r="A173" i="80" s="1"/>
  <c r="A174" i="80" s="1"/>
  <c r="A175" i="80" s="1"/>
  <c r="A176" i="80" s="1"/>
  <c r="A177" i="80" s="1"/>
  <c r="A178" i="80" s="1"/>
  <c r="A179" i="80" s="1"/>
  <c r="A180" i="80" s="1"/>
  <c r="A181" i="80" s="1"/>
  <c r="A182" i="80" s="1"/>
  <c r="A183" i="80" s="1"/>
  <c r="A184" i="80" s="1"/>
  <c r="A185" i="80" s="1"/>
  <c r="A186" i="80" s="1"/>
  <c r="A187" i="80" s="1"/>
  <c r="A188" i="80" s="1"/>
  <c r="A189" i="80" s="1"/>
  <c r="A190" i="80" s="1"/>
  <c r="A191" i="80" s="1"/>
  <c r="A192" i="80" s="1"/>
  <c r="A193" i="80" s="1"/>
  <c r="A194" i="80" s="1"/>
  <c r="A195" i="80" s="1"/>
  <c r="A196" i="80" s="1"/>
  <c r="A197" i="80" s="1"/>
  <c r="A198" i="80" s="1"/>
  <c r="A199" i="80" s="1"/>
  <c r="A200" i="80" s="1"/>
  <c r="A201" i="80" s="1"/>
  <c r="A202" i="80" s="1"/>
  <c r="A203" i="80" s="1"/>
  <c r="A204" i="80" s="1"/>
  <c r="A205" i="80" s="1"/>
  <c r="A206" i="80" s="1"/>
  <c r="A207" i="80" s="1"/>
  <c r="A208" i="80" s="1"/>
  <c r="A209" i="80" s="1"/>
  <c r="A210" i="80" s="1"/>
  <c r="A211" i="80" s="1"/>
  <c r="A212" i="80" s="1"/>
  <c r="A213" i="80" s="1"/>
  <c r="A214" i="80" s="1"/>
  <c r="A215" i="80" s="1"/>
  <c r="A216" i="80" s="1"/>
  <c r="A217" i="80" s="1"/>
  <c r="A218" i="80" s="1"/>
  <c r="A219" i="80" s="1"/>
  <c r="A220" i="80" s="1"/>
  <c r="A221" i="80" s="1"/>
  <c r="A222" i="80" s="1"/>
  <c r="A223" i="80" s="1"/>
  <c r="A224" i="80" s="1"/>
  <c r="A225" i="80" s="1"/>
  <c r="A226" i="80" s="1"/>
  <c r="A227" i="80" s="1"/>
  <c r="A228" i="80" s="1"/>
  <c r="A229" i="80" s="1"/>
  <c r="A230" i="80" s="1"/>
  <c r="A231" i="80" s="1"/>
  <c r="A232" i="80" s="1"/>
  <c r="A233" i="80" s="1"/>
  <c r="A234" i="80" s="1"/>
  <c r="A235" i="80" s="1"/>
  <c r="A236" i="80" s="1"/>
  <c r="A237" i="80" s="1"/>
  <c r="A238" i="80" s="1"/>
  <c r="A239" i="80" s="1"/>
  <c r="A240" i="80" s="1"/>
  <c r="A241" i="80" s="1"/>
  <c r="A242" i="80" s="1"/>
  <c r="A243" i="80" s="1"/>
  <c r="A244" i="80" s="1"/>
  <c r="A245" i="80" s="1"/>
  <c r="A6" i="80"/>
  <c r="A4" i="79"/>
  <c r="A5" i="79" s="1"/>
  <c r="A6" i="79" s="1"/>
  <c r="A7" i="79" s="1"/>
  <c r="A8" i="79" s="1"/>
  <c r="A9" i="79" s="1"/>
  <c r="A10" i="79" s="1"/>
  <c r="A11" i="79" s="1"/>
  <c r="A12" i="79" s="1"/>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s="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A511" i="79" s="1"/>
  <c r="A512" i="79" s="1"/>
  <c r="A513" i="79" s="1"/>
  <c r="A514" i="79" s="1"/>
  <c r="A515" i="79" s="1"/>
  <c r="A516" i="79" s="1"/>
  <c r="A517" i="79" s="1"/>
  <c r="A518" i="79" s="1"/>
  <c r="A519" i="79" s="1"/>
  <c r="A520" i="79" s="1"/>
  <c r="A521" i="79" s="1"/>
  <c r="A522" i="79" s="1"/>
  <c r="A523" i="79" s="1"/>
  <c r="A524" i="79" s="1"/>
  <c r="A525" i="79" s="1"/>
  <c r="A526" i="79" s="1"/>
  <c r="A527" i="79" s="1"/>
  <c r="A528" i="79" s="1"/>
  <c r="A529" i="79" s="1"/>
  <c r="A530" i="79" s="1"/>
  <c r="A531" i="79" s="1"/>
  <c r="A532" i="79" s="1"/>
  <c r="A533" i="79" s="1"/>
  <c r="A534" i="79" s="1"/>
  <c r="A535" i="79" s="1"/>
  <c r="A536" i="79" s="1"/>
  <c r="A537" i="79" s="1"/>
  <c r="A538" i="79" s="1"/>
  <c r="A539" i="79" s="1"/>
  <c r="A540" i="79" s="1"/>
  <c r="A541" i="79" s="1"/>
  <c r="A542" i="79" s="1"/>
  <c r="A543" i="79" s="1"/>
  <c r="A544" i="79" s="1"/>
  <c r="A545" i="79" s="1"/>
  <c r="A546" i="79" s="1"/>
  <c r="A547" i="79" s="1"/>
  <c r="A548" i="79" s="1"/>
  <c r="A549" i="79" s="1"/>
  <c r="A550" i="79" s="1"/>
  <c r="A551" i="79" s="1"/>
  <c r="A552" i="79" s="1"/>
  <c r="A553" i="79" s="1"/>
  <c r="A554" i="79" s="1"/>
  <c r="A555" i="79" s="1"/>
  <c r="A556" i="79" s="1"/>
  <c r="A557" i="79" s="1"/>
  <c r="A558" i="79" s="1"/>
  <c r="A559" i="79" s="1"/>
  <c r="A560" i="79" s="1"/>
  <c r="A561" i="79" s="1"/>
  <c r="A562" i="79" s="1"/>
  <c r="A563" i="79" s="1"/>
  <c r="A564" i="79" s="1"/>
  <c r="A565" i="79" s="1"/>
  <c r="A566" i="79" s="1"/>
  <c r="A567" i="79" s="1"/>
  <c r="A568" i="79" s="1"/>
  <c r="A569" i="79" s="1"/>
  <c r="A570" i="79" s="1"/>
  <c r="A571" i="79" s="1"/>
  <c r="A572" i="79" s="1"/>
  <c r="A573" i="79" s="1"/>
  <c r="A574" i="79" s="1"/>
  <c r="A575" i="79" s="1"/>
  <c r="A576" i="79" s="1"/>
  <c r="A577" i="79" s="1"/>
  <c r="A578" i="79" s="1"/>
  <c r="A579" i="79" s="1"/>
  <c r="A580" i="79" s="1"/>
  <c r="A581" i="79" s="1"/>
  <c r="A582" i="79" s="1"/>
  <c r="A583" i="79" s="1"/>
  <c r="A584" i="79" s="1"/>
  <c r="A585" i="79" s="1"/>
  <c r="A586" i="79" s="1"/>
  <c r="A587" i="79" s="1"/>
  <c r="A588" i="79" s="1"/>
  <c r="A589" i="79" s="1"/>
  <c r="A590" i="79" s="1"/>
  <c r="A591" i="79" s="1"/>
  <c r="A592" i="79" s="1"/>
  <c r="A593" i="79" s="1"/>
  <c r="A594" i="79" s="1"/>
  <c r="A595" i="79" s="1"/>
  <c r="A596" i="79" s="1"/>
  <c r="A597" i="79" s="1"/>
  <c r="A598" i="79" s="1"/>
  <c r="A599" i="79" s="1"/>
  <c r="A600" i="79" s="1"/>
  <c r="A601" i="79" s="1"/>
  <c r="A602" i="79" s="1"/>
  <c r="A603" i="79" s="1"/>
  <c r="A604" i="79" s="1"/>
  <c r="A605" i="79" s="1"/>
  <c r="A606" i="79" s="1"/>
  <c r="A607" i="79" s="1"/>
  <c r="A608" i="79" s="1"/>
  <c r="A609" i="79" s="1"/>
  <c r="A610" i="79" s="1"/>
  <c r="A611" i="79" s="1"/>
  <c r="A612" i="79" s="1"/>
  <c r="A613" i="79" s="1"/>
  <c r="A614" i="79" s="1"/>
  <c r="A615" i="79" s="1"/>
  <c r="A616" i="79" s="1"/>
  <c r="A617" i="79" s="1"/>
  <c r="A618" i="79" s="1"/>
  <c r="A619" i="79" s="1"/>
  <c r="A620" i="79" s="1"/>
  <c r="A621" i="79" s="1"/>
  <c r="A622" i="79" s="1"/>
  <c r="A623" i="79" s="1"/>
  <c r="A624" i="79" s="1"/>
  <c r="A625" i="79" s="1"/>
  <c r="A626" i="79" s="1"/>
  <c r="A627" i="79" s="1"/>
  <c r="A628" i="79" s="1"/>
  <c r="A629" i="79" s="1"/>
  <c r="A630" i="79" s="1"/>
  <c r="A631" i="79" s="1"/>
  <c r="A632" i="79" s="1"/>
  <c r="A633" i="79" s="1"/>
  <c r="A634" i="79" s="1"/>
  <c r="A635" i="79" s="1"/>
  <c r="A636" i="79" s="1"/>
  <c r="A637" i="79" s="1"/>
  <c r="A638" i="79" s="1"/>
  <c r="A639" i="79" s="1"/>
  <c r="A640" i="79" s="1"/>
  <c r="A641" i="79" s="1"/>
  <c r="A642" i="79" s="1"/>
  <c r="A643" i="79" s="1"/>
  <c r="A644" i="79" s="1"/>
  <c r="A645" i="79" s="1"/>
  <c r="A646" i="79" s="1"/>
  <c r="A647" i="79" s="1"/>
  <c r="A648" i="79" s="1"/>
  <c r="A649" i="79" s="1"/>
  <c r="A650" i="79" s="1"/>
  <c r="A651" i="79" s="1"/>
  <c r="A652" i="79" s="1"/>
  <c r="A653" i="79" s="1"/>
  <c r="A654" i="79" s="1"/>
  <c r="A655" i="79" s="1"/>
  <c r="A656" i="79" s="1"/>
  <c r="A657" i="79" s="1"/>
  <c r="A658" i="79" s="1"/>
  <c r="A659" i="79" s="1"/>
  <c r="A660" i="79" s="1"/>
  <c r="A661" i="79" s="1"/>
  <c r="A662" i="79" s="1"/>
  <c r="A663" i="79" s="1"/>
  <c r="A664" i="79" s="1"/>
  <c r="A665" i="79" s="1"/>
  <c r="A666" i="79" s="1"/>
  <c r="A667" i="79" s="1"/>
  <c r="A668" i="79" s="1"/>
  <c r="A669" i="79" s="1"/>
  <c r="A670" i="79" s="1"/>
  <c r="A671" i="79" s="1"/>
  <c r="A672" i="79" s="1"/>
  <c r="A673" i="79" s="1"/>
  <c r="A674" i="79" s="1"/>
  <c r="A675" i="79" s="1"/>
  <c r="A676" i="79" s="1"/>
  <c r="A677" i="79" s="1"/>
  <c r="A678" i="79" s="1"/>
  <c r="A679" i="79" s="1"/>
  <c r="A680" i="79" s="1"/>
  <c r="A681" i="79" s="1"/>
  <c r="A682" i="79" s="1"/>
  <c r="A683" i="79" s="1"/>
  <c r="A684" i="79" s="1"/>
  <c r="A685" i="79" s="1"/>
  <c r="A686" i="79" s="1"/>
  <c r="A687" i="79" s="1"/>
  <c r="A688" i="79" s="1"/>
  <c r="A689" i="79" s="1"/>
  <c r="A690" i="79" s="1"/>
  <c r="A691" i="79" s="1"/>
  <c r="A692" i="79" s="1"/>
  <c r="A693" i="79" s="1"/>
  <c r="A694" i="79" s="1"/>
  <c r="A695" i="79" s="1"/>
  <c r="A696" i="79" s="1"/>
  <c r="A697" i="79" s="1"/>
  <c r="A698" i="79" s="1"/>
  <c r="A699" i="79" s="1"/>
  <c r="A700" i="79" s="1"/>
  <c r="A701" i="79" s="1"/>
  <c r="A702" i="79" s="1"/>
  <c r="A703" i="79" s="1"/>
  <c r="A704" i="79" s="1"/>
  <c r="A705" i="79" s="1"/>
  <c r="A706" i="79" s="1"/>
  <c r="A707" i="79" s="1"/>
  <c r="A708" i="79" s="1"/>
  <c r="A709" i="79" s="1"/>
  <c r="A710" i="79" s="1"/>
  <c r="A711" i="79" s="1"/>
  <c r="A712" i="79" s="1"/>
  <c r="A713" i="79" s="1"/>
  <c r="A714" i="79" s="1"/>
  <c r="A715" i="79" s="1"/>
  <c r="A716" i="79" s="1"/>
  <c r="A717" i="79" s="1"/>
  <c r="A718" i="79" s="1"/>
  <c r="A719" i="79" s="1"/>
  <c r="A720" i="79" s="1"/>
  <c r="A721" i="79" s="1"/>
  <c r="A722" i="79" s="1"/>
  <c r="A723" i="79" s="1"/>
  <c r="A724" i="79" s="1"/>
  <c r="A725" i="79" s="1"/>
  <c r="A726" i="79" s="1"/>
  <c r="A727" i="79" s="1"/>
  <c r="A728" i="79" s="1"/>
  <c r="A729" i="79" s="1"/>
  <c r="A730" i="79" s="1"/>
  <c r="A731" i="79" s="1"/>
  <c r="A732" i="79" s="1"/>
  <c r="A733" i="79" s="1"/>
  <c r="A734" i="79" s="1"/>
  <c r="A735" i="79" s="1"/>
  <c r="A736" i="79" s="1"/>
  <c r="A737" i="79" s="1"/>
  <c r="A738" i="79" s="1"/>
  <c r="A739" i="79" s="1"/>
  <c r="A740" i="79" s="1"/>
  <c r="A741" i="79" s="1"/>
  <c r="A742" i="79" s="1"/>
  <c r="A743" i="79" s="1"/>
  <c r="A744" i="79" s="1"/>
  <c r="A745" i="79" s="1"/>
  <c r="A746" i="79" s="1"/>
  <c r="A747" i="79" s="1"/>
  <c r="A748" i="79" s="1"/>
  <c r="A749" i="79" s="1"/>
  <c r="A750" i="79" s="1"/>
  <c r="A751" i="79" s="1"/>
  <c r="A752" i="79" s="1"/>
  <c r="A753" i="79" s="1"/>
  <c r="A754" i="79" s="1"/>
  <c r="A755" i="79" s="1"/>
  <c r="A756" i="79" s="1"/>
  <c r="A757" i="79" s="1"/>
  <c r="A758" i="79" s="1"/>
  <c r="A759" i="79" s="1"/>
  <c r="A760" i="79" s="1"/>
  <c r="A761" i="79" s="1"/>
  <c r="A762" i="79" s="1"/>
  <c r="A763" i="79" s="1"/>
  <c r="A764" i="79" s="1"/>
  <c r="A765" i="79" s="1"/>
  <c r="A766" i="79" s="1"/>
  <c r="A767" i="79" s="1"/>
  <c r="A768" i="79" s="1"/>
  <c r="A769" i="79" s="1"/>
  <c r="A770" i="79" s="1"/>
  <c r="A771" i="79" s="1"/>
  <c r="A772" i="79" s="1"/>
  <c r="A773" i="79" s="1"/>
  <c r="A774" i="79" s="1"/>
  <c r="A775" i="79" s="1"/>
  <c r="A776" i="79" s="1"/>
  <c r="A777" i="79" s="1"/>
  <c r="A778" i="79" s="1"/>
  <c r="A779" i="79" s="1"/>
  <c r="A780" i="79" s="1"/>
  <c r="A781" i="79" s="1"/>
  <c r="A782" i="79" s="1"/>
  <c r="A783" i="79" s="1"/>
  <c r="A784" i="79" s="1"/>
  <c r="A785" i="79" s="1"/>
  <c r="A786" i="79" s="1"/>
  <c r="A787" i="79" s="1"/>
  <c r="A788" i="79" s="1"/>
  <c r="A789" i="79" s="1"/>
  <c r="A790" i="79" s="1"/>
  <c r="A791" i="79" s="1"/>
  <c r="A792" i="79" s="1"/>
  <c r="A793" i="79" s="1"/>
  <c r="A794" i="79" s="1"/>
  <c r="A795" i="79" s="1"/>
  <c r="A796" i="79" s="1"/>
  <c r="A797" i="79" s="1"/>
  <c r="A798" i="79" s="1"/>
  <c r="A799" i="79" s="1"/>
  <c r="A800" i="79" s="1"/>
  <c r="A801" i="79" s="1"/>
  <c r="A802" i="79" s="1"/>
  <c r="A803" i="79" s="1"/>
  <c r="A804" i="79" s="1"/>
  <c r="A805" i="79" s="1"/>
  <c r="A806" i="79" s="1"/>
  <c r="A807" i="79" s="1"/>
  <c r="A808" i="79" s="1"/>
  <c r="A809" i="79" s="1"/>
  <c r="A810" i="79" s="1"/>
  <c r="A811" i="79" s="1"/>
  <c r="A812" i="79" s="1"/>
  <c r="A813" i="79" s="1"/>
  <c r="A814" i="79" s="1"/>
  <c r="A815" i="79" s="1"/>
  <c r="A816" i="79" s="1"/>
  <c r="A817" i="79" s="1"/>
  <c r="A818" i="79" s="1"/>
  <c r="A819" i="79" s="1"/>
  <c r="A820" i="79" s="1"/>
  <c r="A821" i="79" s="1"/>
  <c r="A822" i="79" s="1"/>
  <c r="A823" i="79" s="1"/>
  <c r="A824" i="79" s="1"/>
  <c r="A825" i="79" s="1"/>
  <c r="A826" i="79" s="1"/>
  <c r="A827" i="79" s="1"/>
  <c r="A828" i="79" s="1"/>
  <c r="A829" i="79" s="1"/>
  <c r="A830" i="79" s="1"/>
  <c r="A831" i="79" s="1"/>
  <c r="A832" i="79" s="1"/>
  <c r="A833" i="79" s="1"/>
  <c r="A834" i="79" s="1"/>
  <c r="A835" i="79" s="1"/>
  <c r="A836" i="79" s="1"/>
  <c r="A837" i="79" s="1"/>
  <c r="A838" i="79" s="1"/>
  <c r="A839" i="79" s="1"/>
  <c r="A840" i="79" s="1"/>
  <c r="A841" i="79" s="1"/>
  <c r="A842" i="79" s="1"/>
  <c r="A843" i="79" s="1"/>
  <c r="A844" i="79" s="1"/>
  <c r="A845" i="79" s="1"/>
  <c r="A846" i="79" s="1"/>
  <c r="A847" i="79" s="1"/>
  <c r="A848" i="79" s="1"/>
  <c r="A849" i="79" s="1"/>
  <c r="A850" i="79" s="1"/>
  <c r="A851" i="79" s="1"/>
  <c r="A852" i="79" s="1"/>
  <c r="A853" i="79" s="1"/>
  <c r="A854" i="79" s="1"/>
  <c r="A855" i="79" s="1"/>
  <c r="A856" i="79" s="1"/>
  <c r="A857" i="79" s="1"/>
  <c r="A858" i="79" s="1"/>
  <c r="A859" i="79" s="1"/>
  <c r="A860" i="79" s="1"/>
  <c r="A861" i="79" s="1"/>
  <c r="A862" i="79" s="1"/>
  <c r="A863" i="79" s="1"/>
  <c r="A864" i="79" s="1"/>
  <c r="A865" i="79" s="1"/>
  <c r="A866" i="79" s="1"/>
  <c r="A867" i="79" s="1"/>
  <c r="A868" i="79" s="1"/>
  <c r="A869" i="79" s="1"/>
  <c r="A870" i="79" s="1"/>
  <c r="A871" i="79" s="1"/>
  <c r="A872" i="79" s="1"/>
  <c r="A873" i="79" s="1"/>
  <c r="A874" i="79" s="1"/>
  <c r="A875" i="79" s="1"/>
  <c r="A876" i="79" s="1"/>
  <c r="A877" i="79" s="1"/>
  <c r="A878" i="79" s="1"/>
  <c r="A879" i="79" s="1"/>
  <c r="A880" i="79" s="1"/>
  <c r="A881" i="79" s="1"/>
  <c r="A882" i="79" s="1"/>
  <c r="A883" i="79" s="1"/>
  <c r="A884" i="79" s="1"/>
  <c r="A885" i="79" s="1"/>
  <c r="A886" i="79" s="1"/>
  <c r="A887" i="79" s="1"/>
  <c r="A888" i="79" s="1"/>
  <c r="A889" i="79" s="1"/>
  <c r="A890" i="79" s="1"/>
  <c r="A891" i="79" s="1"/>
  <c r="A892" i="79" s="1"/>
  <c r="A893" i="79" s="1"/>
  <c r="A894" i="79" s="1"/>
  <c r="A895" i="79" s="1"/>
  <c r="A896" i="79" s="1"/>
  <c r="A897" i="79" s="1"/>
  <c r="A898" i="79" s="1"/>
  <c r="A899" i="79" s="1"/>
  <c r="A900" i="79" s="1"/>
  <c r="A901" i="79" s="1"/>
  <c r="A902" i="79" s="1"/>
  <c r="A903" i="79" s="1"/>
  <c r="A904" i="79" s="1"/>
  <c r="A905" i="79" s="1"/>
  <c r="A906" i="79" s="1"/>
  <c r="A907" i="79" s="1"/>
  <c r="A908" i="79" s="1"/>
  <c r="A909" i="79" s="1"/>
  <c r="A910" i="79" s="1"/>
  <c r="A911" i="79" s="1"/>
  <c r="A912" i="79" s="1"/>
  <c r="A913" i="79" s="1"/>
  <c r="A914" i="79" s="1"/>
  <c r="A915" i="79" s="1"/>
  <c r="A916" i="79" s="1"/>
  <c r="A917" i="79" s="1"/>
  <c r="A918" i="79" s="1"/>
  <c r="A919" i="79" s="1"/>
  <c r="A920" i="79" s="1"/>
  <c r="A921" i="79" s="1"/>
  <c r="A922" i="79" s="1"/>
  <c r="A923" i="79" s="1"/>
  <c r="A924" i="79" s="1"/>
  <c r="A925" i="79" s="1"/>
  <c r="A926" i="79" s="1"/>
  <c r="A927" i="79" s="1"/>
  <c r="A928" i="79" s="1"/>
  <c r="A929" i="79" s="1"/>
  <c r="A930" i="79" s="1"/>
  <c r="A931" i="79" s="1"/>
  <c r="A932" i="79" s="1"/>
  <c r="A933" i="79" s="1"/>
  <c r="A934" i="79" s="1"/>
  <c r="A935" i="79" s="1"/>
  <c r="A936" i="79" s="1"/>
  <c r="A937" i="79" s="1"/>
  <c r="A938" i="79" s="1"/>
  <c r="A939" i="79" s="1"/>
  <c r="A940" i="79" s="1"/>
  <c r="A941" i="79" s="1"/>
  <c r="A942" i="79" s="1"/>
  <c r="A943" i="79" s="1"/>
  <c r="A944" i="79" s="1"/>
  <c r="A945" i="79" s="1"/>
  <c r="A946" i="79" s="1"/>
  <c r="A947" i="79" s="1"/>
  <c r="A948" i="79" s="1"/>
  <c r="A949" i="79" s="1"/>
  <c r="A950" i="79" s="1"/>
  <c r="A951" i="79" s="1"/>
  <c r="A952" i="79" s="1"/>
  <c r="A953" i="79" s="1"/>
  <c r="A954" i="79" s="1"/>
  <c r="A955" i="79" s="1"/>
  <c r="A956" i="79" s="1"/>
  <c r="A957" i="79" s="1"/>
  <c r="A958" i="79" s="1"/>
  <c r="A959" i="79" s="1"/>
  <c r="A960" i="79" s="1"/>
  <c r="A961" i="79" s="1"/>
  <c r="A962" i="79" s="1"/>
  <c r="A963" i="79" s="1"/>
  <c r="A964" i="79" s="1"/>
  <c r="A965" i="79" s="1"/>
  <c r="A966" i="79" s="1"/>
  <c r="A967" i="79" s="1"/>
  <c r="A968" i="79" s="1"/>
  <c r="A969" i="79" s="1"/>
  <c r="A970" i="79" s="1"/>
  <c r="A971" i="79" s="1"/>
  <c r="A972" i="79" s="1"/>
  <c r="A973" i="79" s="1"/>
  <c r="A974" i="79" s="1"/>
  <c r="A975" i="79" s="1"/>
  <c r="A976" i="79" s="1"/>
  <c r="A977" i="79" s="1"/>
  <c r="A978" i="79" s="1"/>
  <c r="A979" i="79" s="1"/>
  <c r="A980" i="79" s="1"/>
  <c r="A981" i="79" s="1"/>
  <c r="A982" i="79" s="1"/>
  <c r="A983" i="79" s="1"/>
  <c r="A984" i="79" s="1"/>
  <c r="A985" i="79" s="1"/>
  <c r="A986" i="79" s="1"/>
  <c r="A987" i="79" s="1"/>
  <c r="A988" i="79" s="1"/>
  <c r="A989" i="79" s="1"/>
  <c r="A990" i="79" s="1"/>
  <c r="A991" i="79" s="1"/>
  <c r="A992" i="79" s="1"/>
  <c r="A993" i="79" s="1"/>
  <c r="A994" i="79" s="1"/>
  <c r="A995" i="79" s="1"/>
  <c r="A996" i="79" s="1"/>
  <c r="A997" i="79" s="1"/>
  <c r="A998" i="79" s="1"/>
  <c r="A999" i="79" s="1"/>
  <c r="A1000" i="79" s="1"/>
  <c r="A1001" i="79" s="1"/>
  <c r="A1002" i="79" s="1"/>
  <c r="A1003" i="79" s="1"/>
  <c r="A1004" i="79" s="1"/>
  <c r="A1005" i="79" s="1"/>
  <c r="A1006" i="79" s="1"/>
  <c r="A1007" i="79" s="1"/>
  <c r="A6" i="41"/>
  <c r="A7" i="4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5" i="41"/>
  <c r="A5" i="2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4" i="21"/>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4" i="20"/>
  <c r="A6" i="17"/>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5" i="17"/>
  <c r="A26" i="16"/>
  <c r="A27" i="16" s="1"/>
  <c r="A28" i="16" s="1"/>
  <c r="A29" i="16" s="1"/>
  <c r="A30" i="16" s="1"/>
  <c r="A31" i="16" s="1"/>
  <c r="A32" i="16" s="1"/>
  <c r="A33" i="16" s="1"/>
  <c r="A34" i="16" s="1"/>
  <c r="A35" i="16" s="1"/>
  <c r="A36" i="16" s="1"/>
  <c r="A25" i="16"/>
  <c r="A7" i="16"/>
  <c r="A8" i="16"/>
  <c r="A9" i="16" s="1"/>
  <c r="A10" i="16" s="1"/>
  <c r="A11" i="16" s="1"/>
  <c r="A12" i="16" s="1"/>
  <c r="A13" i="16" s="1"/>
  <c r="A14" i="16" s="1"/>
  <c r="A15" i="16" s="1"/>
  <c r="A16" i="16" s="1"/>
  <c r="A17" i="16" s="1"/>
  <c r="A18" i="16" s="1"/>
  <c r="A19" i="16" s="1"/>
  <c r="A20" i="16" s="1"/>
  <c r="A21" i="16" s="1"/>
  <c r="A22" i="16" s="1"/>
  <c r="A6" i="16"/>
  <c r="D128" i="41"/>
  <c r="D127" i="41"/>
  <c r="D126" i="41"/>
  <c r="D125" i="41"/>
  <c r="D124" i="41"/>
  <c r="D123" i="41"/>
  <c r="D122" i="41"/>
  <c r="D121" i="41"/>
  <c r="D120" i="41"/>
  <c r="D119" i="41"/>
  <c r="D118" i="41"/>
  <c r="D117" i="41"/>
  <c r="D116" i="41"/>
  <c r="D115" i="41"/>
  <c r="D114" i="41"/>
  <c r="D113" i="41"/>
  <c r="D112" i="41"/>
  <c r="D111" i="41"/>
  <c r="D110" i="41"/>
  <c r="D109" i="41"/>
  <c r="D108" i="41"/>
  <c r="D107" i="41"/>
  <c r="D106" i="41"/>
  <c r="D105" i="41"/>
  <c r="D104" i="41"/>
  <c r="D103" i="41"/>
  <c r="D102" i="41"/>
  <c r="D101" i="41"/>
  <c r="D100" i="41"/>
  <c r="D99" i="41"/>
  <c r="D98" i="41"/>
  <c r="D97" i="41"/>
  <c r="D96" i="41"/>
  <c r="D95" i="41"/>
  <c r="D94" i="41"/>
  <c r="D93" i="41"/>
  <c r="D92" i="41"/>
  <c r="D91" i="41"/>
  <c r="D90" i="41"/>
  <c r="D89" i="41"/>
  <c r="D88" i="41"/>
  <c r="D87" i="41"/>
  <c r="D86" i="41"/>
  <c r="D85" i="41"/>
  <c r="D84" i="41"/>
  <c r="D83" i="41"/>
  <c r="D82" i="41"/>
  <c r="D81" i="41"/>
  <c r="D80" i="41"/>
  <c r="D79" i="41"/>
  <c r="D78" i="41"/>
  <c r="D77" i="41"/>
  <c r="D76" i="41"/>
  <c r="D75" i="41"/>
  <c r="D74" i="41"/>
  <c r="D73" i="41"/>
  <c r="D72" i="41"/>
  <c r="D71" i="41"/>
  <c r="D70" i="41"/>
  <c r="D69" i="41"/>
  <c r="D68" i="41"/>
  <c r="D67" i="41"/>
  <c r="D66" i="41"/>
  <c r="D65" i="41"/>
  <c r="D64" i="41"/>
  <c r="D63" i="41"/>
  <c r="D62" i="41"/>
  <c r="D61" i="41"/>
  <c r="D60" i="41"/>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D18" i="41"/>
  <c r="D17" i="41"/>
  <c r="D16" i="41"/>
  <c r="D15" i="41"/>
  <c r="D14" i="41"/>
  <c r="D13" i="41"/>
  <c r="D12" i="41"/>
  <c r="D11" i="41"/>
  <c r="D10" i="41"/>
  <c r="D9" i="41"/>
  <c r="D8" i="41"/>
  <c r="D7" i="41"/>
  <c r="D6" i="41"/>
  <c r="D5" i="41"/>
  <c r="D4" i="41"/>
  <c r="S127" i="21"/>
  <c r="R127" i="21"/>
  <c r="Q127" i="21"/>
  <c r="P127" i="21"/>
  <c r="O127" i="21"/>
  <c r="K127" i="21"/>
  <c r="J127" i="21"/>
  <c r="I127" i="21"/>
  <c r="H127" i="21"/>
  <c r="G127" i="21"/>
  <c r="F127" i="21"/>
  <c r="E127" i="21"/>
  <c r="D127" i="21"/>
  <c r="S126" i="21"/>
  <c r="R126" i="21"/>
  <c r="Q126" i="21"/>
  <c r="P126" i="21"/>
  <c r="O126" i="21"/>
  <c r="K126" i="21"/>
  <c r="J126" i="21"/>
  <c r="I126" i="21"/>
  <c r="H126" i="21"/>
  <c r="G126" i="21"/>
  <c r="F126" i="21"/>
  <c r="E126" i="21"/>
  <c r="D126" i="21"/>
  <c r="S125" i="21"/>
  <c r="R125" i="21"/>
  <c r="Q125" i="21"/>
  <c r="P125" i="21"/>
  <c r="O125" i="21"/>
  <c r="K125" i="21"/>
  <c r="J125" i="21"/>
  <c r="I125" i="21"/>
  <c r="H125" i="21"/>
  <c r="G125" i="21"/>
  <c r="F125" i="21"/>
  <c r="E125" i="21"/>
  <c r="D125" i="21"/>
  <c r="S124" i="21"/>
  <c r="R124" i="21"/>
  <c r="Q124" i="21"/>
  <c r="P124" i="21"/>
  <c r="O124" i="21"/>
  <c r="K124" i="21"/>
  <c r="J124" i="21"/>
  <c r="I124" i="21"/>
  <c r="H124" i="21"/>
  <c r="G124" i="21"/>
  <c r="F124" i="21"/>
  <c r="E124" i="21"/>
  <c r="D124" i="21"/>
  <c r="S123" i="21"/>
  <c r="R123" i="21"/>
  <c r="Q123" i="21"/>
  <c r="P123" i="21"/>
  <c r="O123" i="21"/>
  <c r="K123" i="21"/>
  <c r="J123" i="21"/>
  <c r="I123" i="21"/>
  <c r="H123" i="21"/>
  <c r="G123" i="21"/>
  <c r="F123" i="21"/>
  <c r="E123" i="21"/>
  <c r="D123" i="21"/>
  <c r="S122" i="21"/>
  <c r="R122" i="21"/>
  <c r="Q122" i="21"/>
  <c r="P122" i="21"/>
  <c r="O122" i="21"/>
  <c r="K122" i="21"/>
  <c r="J122" i="21"/>
  <c r="I122" i="21"/>
  <c r="H122" i="21"/>
  <c r="G122" i="21"/>
  <c r="F122" i="21"/>
  <c r="E122" i="21"/>
  <c r="D122" i="21"/>
  <c r="S121" i="21"/>
  <c r="R121" i="21"/>
  <c r="Q121" i="21"/>
  <c r="P121" i="21"/>
  <c r="O121" i="21"/>
  <c r="K121" i="21"/>
  <c r="J121" i="21"/>
  <c r="I121" i="21"/>
  <c r="H121" i="21"/>
  <c r="G121" i="21"/>
  <c r="F121" i="21"/>
  <c r="E121" i="21"/>
  <c r="D121" i="21"/>
  <c r="S120" i="21"/>
  <c r="R120" i="21"/>
  <c r="Q120" i="21"/>
  <c r="P120" i="21"/>
  <c r="O120" i="21"/>
  <c r="K120" i="21"/>
  <c r="J120" i="21"/>
  <c r="I120" i="21"/>
  <c r="H120" i="21"/>
  <c r="G120" i="21"/>
  <c r="F120" i="21"/>
  <c r="E120" i="21"/>
  <c r="D120" i="21"/>
  <c r="S119" i="21"/>
  <c r="R119" i="21"/>
  <c r="Q119" i="21"/>
  <c r="P119" i="21"/>
  <c r="O119" i="21"/>
  <c r="K119" i="21"/>
  <c r="J119" i="21"/>
  <c r="I119" i="21"/>
  <c r="H119" i="21"/>
  <c r="G119" i="21"/>
  <c r="F119" i="21"/>
  <c r="E119" i="21"/>
  <c r="D119" i="21"/>
  <c r="S118" i="21"/>
  <c r="R118" i="21"/>
  <c r="Q118" i="21"/>
  <c r="P118" i="21"/>
  <c r="O118" i="21"/>
  <c r="K118" i="21"/>
  <c r="J118" i="21"/>
  <c r="I118" i="21"/>
  <c r="H118" i="21"/>
  <c r="G118" i="21"/>
  <c r="F118" i="21"/>
  <c r="E118" i="21"/>
  <c r="D118" i="21"/>
  <c r="S117" i="21"/>
  <c r="R117" i="21"/>
  <c r="Q117" i="21"/>
  <c r="P117" i="21"/>
  <c r="O117" i="21"/>
  <c r="K117" i="21"/>
  <c r="J117" i="21"/>
  <c r="I117" i="21"/>
  <c r="H117" i="21"/>
  <c r="G117" i="21"/>
  <c r="F117" i="21"/>
  <c r="E117" i="21"/>
  <c r="D117" i="21"/>
  <c r="S116" i="21"/>
  <c r="R116" i="21"/>
  <c r="Q116" i="21"/>
  <c r="P116" i="21"/>
  <c r="O116" i="21"/>
  <c r="K116" i="21"/>
  <c r="J116" i="21"/>
  <c r="I116" i="21"/>
  <c r="H116" i="21"/>
  <c r="G116" i="21"/>
  <c r="F116" i="21"/>
  <c r="E116" i="21"/>
  <c r="D116" i="21"/>
  <c r="S115" i="21"/>
  <c r="R115" i="21"/>
  <c r="Q115" i="21"/>
  <c r="P115" i="21"/>
  <c r="O115" i="21"/>
  <c r="K115" i="21"/>
  <c r="J115" i="21"/>
  <c r="I115" i="21"/>
  <c r="H115" i="21"/>
  <c r="G115" i="21"/>
  <c r="F115" i="21"/>
  <c r="E115" i="21"/>
  <c r="D115" i="21"/>
  <c r="S114" i="21"/>
  <c r="R114" i="21"/>
  <c r="Q114" i="21"/>
  <c r="P114" i="21"/>
  <c r="O114" i="21"/>
  <c r="K114" i="21"/>
  <c r="J114" i="21"/>
  <c r="I114" i="21"/>
  <c r="H114" i="21"/>
  <c r="G114" i="21"/>
  <c r="F114" i="21"/>
  <c r="E114" i="21"/>
  <c r="D114" i="21"/>
  <c r="S113" i="21"/>
  <c r="R113" i="21"/>
  <c r="Q113" i="21"/>
  <c r="P113" i="21"/>
  <c r="O113" i="21"/>
  <c r="K113" i="21"/>
  <c r="J113" i="21"/>
  <c r="I113" i="21"/>
  <c r="H113" i="21"/>
  <c r="G113" i="21"/>
  <c r="F113" i="21"/>
  <c r="E113" i="21"/>
  <c r="D113" i="21"/>
  <c r="S112" i="21"/>
  <c r="R112" i="21"/>
  <c r="Q112" i="21"/>
  <c r="P112" i="21"/>
  <c r="O112" i="21"/>
  <c r="K112" i="21"/>
  <c r="J112" i="21"/>
  <c r="I112" i="21"/>
  <c r="H112" i="21"/>
  <c r="G112" i="21"/>
  <c r="F112" i="21"/>
  <c r="E112" i="21"/>
  <c r="D112" i="21"/>
  <c r="S111" i="21"/>
  <c r="R111" i="21"/>
  <c r="Q111" i="21"/>
  <c r="P111" i="21"/>
  <c r="O111" i="21"/>
  <c r="K111" i="21"/>
  <c r="J111" i="21"/>
  <c r="I111" i="21"/>
  <c r="H111" i="21"/>
  <c r="G111" i="21"/>
  <c r="F111" i="21"/>
  <c r="E111" i="21"/>
  <c r="D111" i="21"/>
  <c r="S110" i="21"/>
  <c r="R110" i="21"/>
  <c r="Q110" i="21"/>
  <c r="P110" i="21"/>
  <c r="O110" i="21"/>
  <c r="K110" i="21"/>
  <c r="J110" i="21"/>
  <c r="I110" i="21"/>
  <c r="H110" i="21"/>
  <c r="G110" i="21"/>
  <c r="F110" i="21"/>
  <c r="E110" i="21"/>
  <c r="D110" i="21"/>
  <c r="S109" i="21"/>
  <c r="R109" i="21"/>
  <c r="Q109" i="21"/>
  <c r="P109" i="21"/>
  <c r="O109" i="21"/>
  <c r="K109" i="21"/>
  <c r="J109" i="21"/>
  <c r="I109" i="21"/>
  <c r="H109" i="21"/>
  <c r="G109" i="21"/>
  <c r="F109" i="21"/>
  <c r="E109" i="21"/>
  <c r="D109" i="21"/>
  <c r="S108" i="21"/>
  <c r="R108" i="21"/>
  <c r="Q108" i="21"/>
  <c r="P108" i="21"/>
  <c r="O108" i="21"/>
  <c r="K108" i="21"/>
  <c r="J108" i="21"/>
  <c r="I108" i="21"/>
  <c r="H108" i="21"/>
  <c r="G108" i="21"/>
  <c r="F108" i="21"/>
  <c r="E108" i="21"/>
  <c r="D108" i="21"/>
  <c r="S107" i="21"/>
  <c r="R107" i="21"/>
  <c r="Q107" i="21"/>
  <c r="P107" i="21"/>
  <c r="O107" i="21"/>
  <c r="K107" i="21"/>
  <c r="J107" i="21"/>
  <c r="I107" i="21"/>
  <c r="H107" i="21"/>
  <c r="G107" i="21"/>
  <c r="F107" i="21"/>
  <c r="E107" i="21"/>
  <c r="D107" i="21"/>
  <c r="S106" i="21"/>
  <c r="R106" i="21"/>
  <c r="Q106" i="21"/>
  <c r="P106" i="21"/>
  <c r="O106" i="21"/>
  <c r="K106" i="21"/>
  <c r="J106" i="21"/>
  <c r="I106" i="21"/>
  <c r="H106" i="21"/>
  <c r="G106" i="21"/>
  <c r="F106" i="21"/>
  <c r="E106" i="21"/>
  <c r="D106" i="21"/>
  <c r="S105" i="21"/>
  <c r="R105" i="21"/>
  <c r="Q105" i="21"/>
  <c r="P105" i="21"/>
  <c r="O105" i="21"/>
  <c r="K105" i="21"/>
  <c r="J105" i="21"/>
  <c r="I105" i="21"/>
  <c r="H105" i="21"/>
  <c r="G105" i="21"/>
  <c r="F105" i="21"/>
  <c r="E105" i="21"/>
  <c r="D105" i="21"/>
  <c r="S104" i="21"/>
  <c r="R104" i="21"/>
  <c r="Q104" i="21"/>
  <c r="P104" i="21"/>
  <c r="O104" i="21"/>
  <c r="K104" i="21"/>
  <c r="J104" i="21"/>
  <c r="I104" i="21"/>
  <c r="H104" i="21"/>
  <c r="G104" i="21"/>
  <c r="F104" i="21"/>
  <c r="E104" i="21"/>
  <c r="D104" i="21"/>
  <c r="S103" i="21"/>
  <c r="R103" i="21"/>
  <c r="Q103" i="21"/>
  <c r="P103" i="21"/>
  <c r="O103" i="21"/>
  <c r="K103" i="21"/>
  <c r="J103" i="21"/>
  <c r="I103" i="21"/>
  <c r="H103" i="21"/>
  <c r="G103" i="21"/>
  <c r="F103" i="21"/>
  <c r="E103" i="21"/>
  <c r="D103" i="21"/>
  <c r="S102" i="21"/>
  <c r="R102" i="21"/>
  <c r="Q102" i="21"/>
  <c r="P102" i="21"/>
  <c r="O102" i="21"/>
  <c r="K102" i="21"/>
  <c r="J102" i="21"/>
  <c r="I102" i="21"/>
  <c r="H102" i="21"/>
  <c r="G102" i="21"/>
  <c r="F102" i="21"/>
  <c r="E102" i="21"/>
  <c r="D102" i="21"/>
  <c r="S101" i="21"/>
  <c r="R101" i="21"/>
  <c r="Q101" i="21"/>
  <c r="P101" i="21"/>
  <c r="O101" i="21"/>
  <c r="K101" i="21"/>
  <c r="J101" i="21"/>
  <c r="I101" i="21"/>
  <c r="H101" i="21"/>
  <c r="G101" i="21"/>
  <c r="F101" i="21"/>
  <c r="E101" i="21"/>
  <c r="D101" i="21"/>
  <c r="S100" i="21"/>
  <c r="R100" i="21"/>
  <c r="Q100" i="21"/>
  <c r="P100" i="21"/>
  <c r="O100" i="21"/>
  <c r="K100" i="21"/>
  <c r="J100" i="21"/>
  <c r="I100" i="21"/>
  <c r="H100" i="21"/>
  <c r="G100" i="21"/>
  <c r="F100" i="21"/>
  <c r="E100" i="21"/>
  <c r="D100" i="21"/>
  <c r="S99" i="21"/>
  <c r="R99" i="21"/>
  <c r="Q99" i="21"/>
  <c r="P99" i="21"/>
  <c r="O99" i="21"/>
  <c r="K99" i="21"/>
  <c r="J99" i="21"/>
  <c r="I99" i="21"/>
  <c r="H99" i="21"/>
  <c r="G99" i="21"/>
  <c r="F99" i="21"/>
  <c r="E99" i="21"/>
  <c r="D99" i="21"/>
  <c r="S98" i="21"/>
  <c r="R98" i="21"/>
  <c r="Q98" i="21"/>
  <c r="P98" i="21"/>
  <c r="O98" i="21"/>
  <c r="K98" i="21"/>
  <c r="J98" i="21"/>
  <c r="I98" i="21"/>
  <c r="H98" i="21"/>
  <c r="G98" i="21"/>
  <c r="F98" i="21"/>
  <c r="E98" i="21"/>
  <c r="D98" i="21"/>
  <c r="S97" i="21"/>
  <c r="R97" i="21"/>
  <c r="Q97" i="21"/>
  <c r="P97" i="21"/>
  <c r="O97" i="21"/>
  <c r="K97" i="21"/>
  <c r="J97" i="21"/>
  <c r="I97" i="21"/>
  <c r="H97" i="21"/>
  <c r="G97" i="21"/>
  <c r="F97" i="21"/>
  <c r="E97" i="21"/>
  <c r="D97" i="21"/>
  <c r="S96" i="21"/>
  <c r="R96" i="21"/>
  <c r="Q96" i="21"/>
  <c r="P96" i="21"/>
  <c r="O96" i="21"/>
  <c r="K96" i="21"/>
  <c r="J96" i="21"/>
  <c r="I96" i="21"/>
  <c r="H96" i="21"/>
  <c r="G96" i="21"/>
  <c r="F96" i="21"/>
  <c r="E96" i="21"/>
  <c r="D96" i="21"/>
  <c r="S95" i="21"/>
  <c r="R95" i="21"/>
  <c r="Q95" i="21"/>
  <c r="P95" i="21"/>
  <c r="O95" i="21"/>
  <c r="K95" i="21"/>
  <c r="J95" i="21"/>
  <c r="I95" i="21"/>
  <c r="H95" i="21"/>
  <c r="G95" i="21"/>
  <c r="F95" i="21"/>
  <c r="E95" i="21"/>
  <c r="D95" i="21"/>
  <c r="S94" i="21"/>
  <c r="R94" i="21"/>
  <c r="Q94" i="21"/>
  <c r="P94" i="21"/>
  <c r="O94" i="21"/>
  <c r="K94" i="21"/>
  <c r="J94" i="21"/>
  <c r="I94" i="21"/>
  <c r="H94" i="21"/>
  <c r="G94" i="21"/>
  <c r="F94" i="21"/>
  <c r="E94" i="21"/>
  <c r="D94" i="21"/>
  <c r="S93" i="21"/>
  <c r="R93" i="21"/>
  <c r="Q93" i="21"/>
  <c r="P93" i="21"/>
  <c r="O93" i="21"/>
  <c r="K93" i="21"/>
  <c r="J93" i="21"/>
  <c r="I93" i="21"/>
  <c r="H93" i="21"/>
  <c r="G93" i="21"/>
  <c r="F93" i="21"/>
  <c r="E93" i="21"/>
  <c r="D93" i="21"/>
  <c r="S92" i="21"/>
  <c r="R92" i="21"/>
  <c r="Q92" i="21"/>
  <c r="P92" i="21"/>
  <c r="O92" i="21"/>
  <c r="K92" i="21"/>
  <c r="J92" i="21"/>
  <c r="I92" i="21"/>
  <c r="H92" i="21"/>
  <c r="G92" i="21"/>
  <c r="F92" i="21"/>
  <c r="E92" i="21"/>
  <c r="D92" i="21"/>
  <c r="S91" i="21"/>
  <c r="R91" i="21"/>
  <c r="Q91" i="21"/>
  <c r="P91" i="21"/>
  <c r="O91" i="21"/>
  <c r="K91" i="21"/>
  <c r="J91" i="21"/>
  <c r="I91" i="21"/>
  <c r="H91" i="21"/>
  <c r="G91" i="21"/>
  <c r="F91" i="21"/>
  <c r="E91" i="21"/>
  <c r="D91" i="21"/>
  <c r="S90" i="21"/>
  <c r="R90" i="21"/>
  <c r="Q90" i="21"/>
  <c r="P90" i="21"/>
  <c r="O90" i="21"/>
  <c r="K90" i="21"/>
  <c r="J90" i="21"/>
  <c r="I90" i="21"/>
  <c r="H90" i="21"/>
  <c r="G90" i="21"/>
  <c r="F90" i="21"/>
  <c r="E90" i="21"/>
  <c r="D90" i="21"/>
  <c r="S89" i="21"/>
  <c r="R89" i="21"/>
  <c r="Q89" i="21"/>
  <c r="P89" i="21"/>
  <c r="O89" i="21"/>
  <c r="K89" i="21"/>
  <c r="J89" i="21"/>
  <c r="I89" i="21"/>
  <c r="H89" i="21"/>
  <c r="G89" i="21"/>
  <c r="F89" i="21"/>
  <c r="E89" i="21"/>
  <c r="D89" i="21"/>
  <c r="S88" i="21"/>
  <c r="R88" i="21"/>
  <c r="Q88" i="21"/>
  <c r="P88" i="21"/>
  <c r="O88" i="21"/>
  <c r="K88" i="21"/>
  <c r="J88" i="21"/>
  <c r="I88" i="21"/>
  <c r="H88" i="21"/>
  <c r="G88" i="21"/>
  <c r="F88" i="21"/>
  <c r="E88" i="21"/>
  <c r="D88" i="21"/>
  <c r="S87" i="21"/>
  <c r="R87" i="21"/>
  <c r="Q87" i="21"/>
  <c r="P87" i="21"/>
  <c r="O87" i="21"/>
  <c r="K87" i="21"/>
  <c r="J87" i="21"/>
  <c r="I87" i="21"/>
  <c r="H87" i="21"/>
  <c r="G87" i="21"/>
  <c r="F87" i="21"/>
  <c r="E87" i="21"/>
  <c r="D87" i="21"/>
  <c r="S86" i="21"/>
  <c r="R86" i="21"/>
  <c r="Q86" i="21"/>
  <c r="P86" i="21"/>
  <c r="O86" i="21"/>
  <c r="K86" i="21"/>
  <c r="J86" i="21"/>
  <c r="I86" i="21"/>
  <c r="H86" i="21"/>
  <c r="G86" i="21"/>
  <c r="F86" i="21"/>
  <c r="E86" i="21"/>
  <c r="D86" i="21"/>
  <c r="S85" i="21"/>
  <c r="R85" i="21"/>
  <c r="Q85" i="21"/>
  <c r="P85" i="21"/>
  <c r="O85" i="21"/>
  <c r="K85" i="21"/>
  <c r="J85" i="21"/>
  <c r="I85" i="21"/>
  <c r="H85" i="21"/>
  <c r="G85" i="21"/>
  <c r="F85" i="21"/>
  <c r="E85" i="21"/>
  <c r="D85" i="21"/>
  <c r="S84" i="21"/>
  <c r="R84" i="21"/>
  <c r="Q84" i="21"/>
  <c r="P84" i="21"/>
  <c r="O84" i="21"/>
  <c r="K84" i="21"/>
  <c r="J84" i="21"/>
  <c r="I84" i="21"/>
  <c r="H84" i="21"/>
  <c r="G84" i="21"/>
  <c r="F84" i="21"/>
  <c r="E84" i="21"/>
  <c r="D84" i="21"/>
  <c r="S83" i="21"/>
  <c r="R83" i="21"/>
  <c r="Q83" i="21"/>
  <c r="P83" i="21"/>
  <c r="O83" i="21"/>
  <c r="K83" i="21"/>
  <c r="J83" i="21"/>
  <c r="I83" i="21"/>
  <c r="H83" i="21"/>
  <c r="G83" i="21"/>
  <c r="F83" i="21"/>
  <c r="E83" i="21"/>
  <c r="D83" i="21"/>
  <c r="S82" i="21"/>
  <c r="R82" i="21"/>
  <c r="Q82" i="21"/>
  <c r="P82" i="21"/>
  <c r="O82" i="21"/>
  <c r="K82" i="21"/>
  <c r="J82" i="21"/>
  <c r="I82" i="21"/>
  <c r="H82" i="21"/>
  <c r="G82" i="21"/>
  <c r="F82" i="21"/>
  <c r="E82" i="21"/>
  <c r="D82" i="21"/>
  <c r="S81" i="21"/>
  <c r="R81" i="21"/>
  <c r="Q81" i="21"/>
  <c r="P81" i="21"/>
  <c r="O81" i="21"/>
  <c r="K81" i="21"/>
  <c r="J81" i="21"/>
  <c r="I81" i="21"/>
  <c r="H81" i="21"/>
  <c r="G81" i="21"/>
  <c r="F81" i="21"/>
  <c r="E81" i="21"/>
  <c r="D81" i="21"/>
  <c r="S80" i="21"/>
  <c r="R80" i="21"/>
  <c r="Q80" i="21"/>
  <c r="P80" i="21"/>
  <c r="O80" i="21"/>
  <c r="K80" i="21"/>
  <c r="J80" i="21"/>
  <c r="I80" i="21"/>
  <c r="H80" i="21"/>
  <c r="G80" i="21"/>
  <c r="F80" i="21"/>
  <c r="E80" i="21"/>
  <c r="D80" i="21"/>
  <c r="S79" i="21"/>
  <c r="R79" i="21"/>
  <c r="Q79" i="21"/>
  <c r="P79" i="21"/>
  <c r="O79" i="21"/>
  <c r="K79" i="21"/>
  <c r="J79" i="21"/>
  <c r="I79" i="21"/>
  <c r="H79" i="21"/>
  <c r="G79" i="21"/>
  <c r="F79" i="21"/>
  <c r="E79" i="21"/>
  <c r="D79" i="21"/>
  <c r="S78" i="21"/>
  <c r="R78" i="21"/>
  <c r="Q78" i="21"/>
  <c r="P78" i="21"/>
  <c r="O78" i="21"/>
  <c r="K78" i="21"/>
  <c r="J78" i="21"/>
  <c r="I78" i="21"/>
  <c r="H78" i="21"/>
  <c r="G78" i="21"/>
  <c r="F78" i="21"/>
  <c r="E78" i="21"/>
  <c r="D78" i="21"/>
  <c r="S77" i="21"/>
  <c r="R77" i="21"/>
  <c r="Q77" i="21"/>
  <c r="P77" i="21"/>
  <c r="O77" i="21"/>
  <c r="K77" i="21"/>
  <c r="J77" i="21"/>
  <c r="I77" i="21"/>
  <c r="H77" i="21"/>
  <c r="G77" i="21"/>
  <c r="F77" i="21"/>
  <c r="E77" i="21"/>
  <c r="D77" i="21"/>
  <c r="S76" i="21"/>
  <c r="R76" i="21"/>
  <c r="Q76" i="21"/>
  <c r="P76" i="21"/>
  <c r="O76" i="21"/>
  <c r="K76" i="21"/>
  <c r="J76" i="21"/>
  <c r="I76" i="21"/>
  <c r="H76" i="21"/>
  <c r="G76" i="21"/>
  <c r="F76" i="21"/>
  <c r="E76" i="21"/>
  <c r="D76" i="21"/>
  <c r="S75" i="21"/>
  <c r="R75" i="21"/>
  <c r="Q75" i="21"/>
  <c r="P75" i="21"/>
  <c r="O75" i="21"/>
  <c r="K75" i="21"/>
  <c r="J75" i="21"/>
  <c r="I75" i="21"/>
  <c r="H75" i="21"/>
  <c r="G75" i="21"/>
  <c r="F75" i="21"/>
  <c r="E75" i="21"/>
  <c r="D75" i="21"/>
  <c r="S74" i="21"/>
  <c r="R74" i="21"/>
  <c r="Q74" i="21"/>
  <c r="P74" i="21"/>
  <c r="O74" i="21"/>
  <c r="K74" i="21"/>
  <c r="J74" i="21"/>
  <c r="I74" i="21"/>
  <c r="H74" i="21"/>
  <c r="G74" i="21"/>
  <c r="F74" i="21"/>
  <c r="E74" i="21"/>
  <c r="D74" i="21"/>
  <c r="S73" i="21"/>
  <c r="R73" i="21"/>
  <c r="Q73" i="21"/>
  <c r="P73" i="21"/>
  <c r="O73" i="21"/>
  <c r="K73" i="21"/>
  <c r="J73" i="21"/>
  <c r="I73" i="21"/>
  <c r="H73" i="21"/>
  <c r="G73" i="21"/>
  <c r="F73" i="21"/>
  <c r="E73" i="21"/>
  <c r="D73" i="21"/>
  <c r="S72" i="21"/>
  <c r="R72" i="21"/>
  <c r="Q72" i="21"/>
  <c r="P72" i="21"/>
  <c r="O72" i="21"/>
  <c r="K72" i="21"/>
  <c r="J72" i="21"/>
  <c r="I72" i="21"/>
  <c r="H72" i="21"/>
  <c r="G72" i="21"/>
  <c r="F72" i="21"/>
  <c r="E72" i="21"/>
  <c r="D72" i="21"/>
  <c r="S71" i="21"/>
  <c r="R71" i="21"/>
  <c r="Q71" i="21"/>
  <c r="P71" i="21"/>
  <c r="O71" i="21"/>
  <c r="K71" i="21"/>
  <c r="J71" i="21"/>
  <c r="I71" i="21"/>
  <c r="H71" i="21"/>
  <c r="G71" i="21"/>
  <c r="F71" i="21"/>
  <c r="E71" i="21"/>
  <c r="D71" i="21"/>
  <c r="S70" i="21"/>
  <c r="R70" i="21"/>
  <c r="Q70" i="21"/>
  <c r="P70" i="21"/>
  <c r="O70" i="21"/>
  <c r="K70" i="21"/>
  <c r="J70" i="21"/>
  <c r="I70" i="21"/>
  <c r="H70" i="21"/>
  <c r="G70" i="21"/>
  <c r="F70" i="21"/>
  <c r="E70" i="21"/>
  <c r="D70" i="21"/>
  <c r="S69" i="21"/>
  <c r="R69" i="21"/>
  <c r="Q69" i="21"/>
  <c r="P69" i="21"/>
  <c r="O69" i="21"/>
  <c r="K69" i="21"/>
  <c r="J69" i="21"/>
  <c r="I69" i="21"/>
  <c r="H69" i="21"/>
  <c r="G69" i="21"/>
  <c r="F69" i="21"/>
  <c r="E69" i="21"/>
  <c r="D69" i="21"/>
  <c r="S68" i="21"/>
  <c r="R68" i="21"/>
  <c r="Q68" i="21"/>
  <c r="P68" i="21"/>
  <c r="O68" i="21"/>
  <c r="K68" i="21"/>
  <c r="J68" i="21"/>
  <c r="I68" i="21"/>
  <c r="H68" i="21"/>
  <c r="G68" i="21"/>
  <c r="F68" i="21"/>
  <c r="E68" i="21"/>
  <c r="D68" i="21"/>
  <c r="S67" i="21"/>
  <c r="R67" i="21"/>
  <c r="Q67" i="21"/>
  <c r="P67" i="21"/>
  <c r="O67" i="21"/>
  <c r="K67" i="21"/>
  <c r="J67" i="21"/>
  <c r="I67" i="21"/>
  <c r="H67" i="21"/>
  <c r="G67" i="21"/>
  <c r="F67" i="21"/>
  <c r="E67" i="21"/>
  <c r="D67" i="21"/>
  <c r="S66" i="21"/>
  <c r="R66" i="21"/>
  <c r="Q66" i="21"/>
  <c r="P66" i="21"/>
  <c r="O66" i="21"/>
  <c r="K66" i="21"/>
  <c r="J66" i="21"/>
  <c r="I66" i="21"/>
  <c r="H66" i="21"/>
  <c r="G66" i="21"/>
  <c r="F66" i="21"/>
  <c r="E66" i="21"/>
  <c r="D66" i="21"/>
  <c r="S65" i="21"/>
  <c r="R65" i="21"/>
  <c r="Q65" i="21"/>
  <c r="P65" i="21"/>
  <c r="O65" i="21"/>
  <c r="K65" i="21"/>
  <c r="J65" i="21"/>
  <c r="I65" i="21"/>
  <c r="H65" i="21"/>
  <c r="G65" i="21"/>
  <c r="F65" i="21"/>
  <c r="E65" i="21"/>
  <c r="D65" i="21"/>
  <c r="S64" i="21"/>
  <c r="R64" i="21"/>
  <c r="Q64" i="21"/>
  <c r="P64" i="21"/>
  <c r="O64" i="21"/>
  <c r="K64" i="21"/>
  <c r="J64" i="21"/>
  <c r="I64" i="21"/>
  <c r="H64" i="21"/>
  <c r="G64" i="21"/>
  <c r="F64" i="21"/>
  <c r="E64" i="21"/>
  <c r="D64" i="21"/>
  <c r="S63" i="21"/>
  <c r="R63" i="21"/>
  <c r="Q63" i="21"/>
  <c r="P63" i="21"/>
  <c r="O63" i="21"/>
  <c r="K63" i="21"/>
  <c r="J63" i="21"/>
  <c r="I63" i="21"/>
  <c r="H63" i="21"/>
  <c r="G63" i="21"/>
  <c r="F63" i="21"/>
  <c r="E63" i="21"/>
  <c r="D63" i="21"/>
  <c r="S62" i="21"/>
  <c r="R62" i="21"/>
  <c r="Q62" i="21"/>
  <c r="P62" i="21"/>
  <c r="O62" i="21"/>
  <c r="K62" i="21"/>
  <c r="J62" i="21"/>
  <c r="I62" i="21"/>
  <c r="H62" i="21"/>
  <c r="G62" i="21"/>
  <c r="F62" i="21"/>
  <c r="E62" i="21"/>
  <c r="D62" i="21"/>
  <c r="S61" i="21"/>
  <c r="R61" i="21"/>
  <c r="Q61" i="21"/>
  <c r="P61" i="21"/>
  <c r="O61" i="21"/>
  <c r="K61" i="21"/>
  <c r="J61" i="21"/>
  <c r="I61" i="21"/>
  <c r="H61" i="21"/>
  <c r="G61" i="21"/>
  <c r="F61" i="21"/>
  <c r="E61" i="21"/>
  <c r="D61" i="21"/>
  <c r="S60" i="21"/>
  <c r="R60" i="21"/>
  <c r="Q60" i="21"/>
  <c r="P60" i="21"/>
  <c r="O60" i="21"/>
  <c r="K60" i="21"/>
  <c r="J60" i="21"/>
  <c r="I60" i="21"/>
  <c r="H60" i="21"/>
  <c r="G60" i="21"/>
  <c r="F60" i="21"/>
  <c r="E60" i="21"/>
  <c r="D60" i="21"/>
  <c r="S59" i="21"/>
  <c r="R59" i="21"/>
  <c r="Q59" i="21"/>
  <c r="P59" i="21"/>
  <c r="O59" i="21"/>
  <c r="K59" i="21"/>
  <c r="J59" i="21"/>
  <c r="I59" i="21"/>
  <c r="H59" i="21"/>
  <c r="G59" i="21"/>
  <c r="F59" i="21"/>
  <c r="E59" i="21"/>
  <c r="D59" i="21"/>
  <c r="S58" i="21"/>
  <c r="R58" i="21"/>
  <c r="Q58" i="21"/>
  <c r="P58" i="21"/>
  <c r="O58" i="21"/>
  <c r="K58" i="21"/>
  <c r="J58" i="21"/>
  <c r="I58" i="21"/>
  <c r="H58" i="21"/>
  <c r="G58" i="21"/>
  <c r="F58" i="21"/>
  <c r="E58" i="21"/>
  <c r="D58" i="21"/>
  <c r="S57" i="21"/>
  <c r="R57" i="21"/>
  <c r="Q57" i="21"/>
  <c r="P57" i="21"/>
  <c r="O57" i="21"/>
  <c r="K57" i="21"/>
  <c r="J57" i="21"/>
  <c r="I57" i="21"/>
  <c r="H57" i="21"/>
  <c r="G57" i="21"/>
  <c r="F57" i="21"/>
  <c r="E57" i="21"/>
  <c r="D57" i="21"/>
  <c r="S56" i="21"/>
  <c r="R56" i="21"/>
  <c r="Q56" i="21"/>
  <c r="P56" i="21"/>
  <c r="O56" i="21"/>
  <c r="K56" i="21"/>
  <c r="J56" i="21"/>
  <c r="I56" i="21"/>
  <c r="H56" i="21"/>
  <c r="G56" i="21"/>
  <c r="F56" i="21"/>
  <c r="E56" i="21"/>
  <c r="D56" i="21"/>
  <c r="S55" i="21"/>
  <c r="R55" i="21"/>
  <c r="Q55" i="21"/>
  <c r="P55" i="21"/>
  <c r="O55" i="21"/>
  <c r="K55" i="21"/>
  <c r="J55" i="21"/>
  <c r="I55" i="21"/>
  <c r="H55" i="21"/>
  <c r="G55" i="21"/>
  <c r="F55" i="21"/>
  <c r="E55" i="21"/>
  <c r="D55" i="21"/>
  <c r="S54" i="21"/>
  <c r="R54" i="21"/>
  <c r="Q54" i="21"/>
  <c r="P54" i="21"/>
  <c r="O54" i="21"/>
  <c r="K54" i="21"/>
  <c r="J54" i="21"/>
  <c r="I54" i="21"/>
  <c r="H54" i="21"/>
  <c r="G54" i="21"/>
  <c r="F54" i="21"/>
  <c r="E54" i="21"/>
  <c r="D54" i="21"/>
  <c r="S53" i="21"/>
  <c r="R53" i="21"/>
  <c r="Q53" i="21"/>
  <c r="P53" i="21"/>
  <c r="O53" i="21"/>
  <c r="K53" i="21"/>
  <c r="J53" i="21"/>
  <c r="I53" i="21"/>
  <c r="H53" i="21"/>
  <c r="G53" i="21"/>
  <c r="F53" i="21"/>
  <c r="E53" i="21"/>
  <c r="D53" i="21"/>
  <c r="S52" i="21"/>
  <c r="R52" i="21"/>
  <c r="Q52" i="21"/>
  <c r="P52" i="21"/>
  <c r="O52" i="21"/>
  <c r="K52" i="21"/>
  <c r="J52" i="21"/>
  <c r="I52" i="21"/>
  <c r="H52" i="21"/>
  <c r="G52" i="21"/>
  <c r="F52" i="21"/>
  <c r="E52" i="21"/>
  <c r="D52" i="21"/>
  <c r="S51" i="21"/>
  <c r="R51" i="21"/>
  <c r="Q51" i="21"/>
  <c r="P51" i="21"/>
  <c r="O51" i="21"/>
  <c r="K51" i="21"/>
  <c r="J51" i="21"/>
  <c r="I51" i="21"/>
  <c r="H51" i="21"/>
  <c r="G51" i="21"/>
  <c r="F51" i="21"/>
  <c r="E51" i="21"/>
  <c r="D51" i="21"/>
  <c r="S50" i="21"/>
  <c r="R50" i="21"/>
  <c r="Q50" i="21"/>
  <c r="P50" i="21"/>
  <c r="O50" i="21"/>
  <c r="K50" i="21"/>
  <c r="J50" i="21"/>
  <c r="I50" i="21"/>
  <c r="H50" i="21"/>
  <c r="G50" i="21"/>
  <c r="F50" i="21"/>
  <c r="E50" i="21"/>
  <c r="D50" i="21"/>
  <c r="S49" i="21"/>
  <c r="R49" i="21"/>
  <c r="Q49" i="21"/>
  <c r="P49" i="21"/>
  <c r="O49" i="21"/>
  <c r="K49" i="21"/>
  <c r="J49" i="21"/>
  <c r="I49" i="21"/>
  <c r="H49" i="21"/>
  <c r="G49" i="21"/>
  <c r="F49" i="21"/>
  <c r="E49" i="21"/>
  <c r="D49" i="21"/>
  <c r="S48" i="21"/>
  <c r="R48" i="21"/>
  <c r="Q48" i="21"/>
  <c r="P48" i="21"/>
  <c r="O48" i="21"/>
  <c r="K48" i="21"/>
  <c r="J48" i="21"/>
  <c r="I48" i="21"/>
  <c r="H48" i="21"/>
  <c r="G48" i="21"/>
  <c r="F48" i="21"/>
  <c r="E48" i="21"/>
  <c r="D48" i="21"/>
  <c r="S47" i="21"/>
  <c r="R47" i="21"/>
  <c r="Q47" i="21"/>
  <c r="P47" i="21"/>
  <c r="O47" i="21"/>
  <c r="K47" i="21"/>
  <c r="J47" i="21"/>
  <c r="I47" i="21"/>
  <c r="H47" i="21"/>
  <c r="G47" i="21"/>
  <c r="F47" i="21"/>
  <c r="E47" i="21"/>
  <c r="D47" i="21"/>
  <c r="S46" i="21"/>
  <c r="R46" i="21"/>
  <c r="Q46" i="21"/>
  <c r="P46" i="21"/>
  <c r="O46" i="21"/>
  <c r="K46" i="21"/>
  <c r="J46" i="21"/>
  <c r="I46" i="21"/>
  <c r="H46" i="21"/>
  <c r="G46" i="21"/>
  <c r="F46" i="21"/>
  <c r="E46" i="21"/>
  <c r="D46" i="21"/>
  <c r="S45" i="21"/>
  <c r="R45" i="21"/>
  <c r="Q45" i="21"/>
  <c r="P45" i="21"/>
  <c r="O45" i="21"/>
  <c r="K45" i="21"/>
  <c r="J45" i="21"/>
  <c r="I45" i="21"/>
  <c r="H45" i="21"/>
  <c r="G45" i="21"/>
  <c r="F45" i="21"/>
  <c r="E45" i="21"/>
  <c r="D45" i="21"/>
  <c r="S44" i="21"/>
  <c r="R44" i="21"/>
  <c r="Q44" i="21"/>
  <c r="P44" i="21"/>
  <c r="O44" i="21"/>
  <c r="K44" i="21"/>
  <c r="J44" i="21"/>
  <c r="I44" i="21"/>
  <c r="H44" i="21"/>
  <c r="G44" i="21"/>
  <c r="F44" i="21"/>
  <c r="E44" i="21"/>
  <c r="D44" i="21"/>
  <c r="S43" i="21"/>
  <c r="R43" i="21"/>
  <c r="Q43" i="21"/>
  <c r="P43" i="21"/>
  <c r="O43" i="21"/>
  <c r="K43" i="21"/>
  <c r="J43" i="21"/>
  <c r="I43" i="21"/>
  <c r="H43" i="21"/>
  <c r="G43" i="21"/>
  <c r="F43" i="21"/>
  <c r="E43" i="21"/>
  <c r="D43" i="21"/>
  <c r="S42" i="21"/>
  <c r="R42" i="21"/>
  <c r="Q42" i="21"/>
  <c r="P42" i="21"/>
  <c r="O42" i="21"/>
  <c r="K42" i="21"/>
  <c r="J42" i="21"/>
  <c r="I42" i="21"/>
  <c r="H42" i="21"/>
  <c r="G42" i="21"/>
  <c r="F42" i="21"/>
  <c r="E42" i="21"/>
  <c r="D42" i="21"/>
  <c r="S41" i="21"/>
  <c r="R41" i="21"/>
  <c r="Q41" i="21"/>
  <c r="P41" i="21"/>
  <c r="O41" i="21"/>
  <c r="K41" i="21"/>
  <c r="J41" i="21"/>
  <c r="I41" i="21"/>
  <c r="H41" i="21"/>
  <c r="G41" i="21"/>
  <c r="F41" i="21"/>
  <c r="E41" i="21"/>
  <c r="D41" i="21"/>
  <c r="S40" i="21"/>
  <c r="R40" i="21"/>
  <c r="Q40" i="21"/>
  <c r="P40" i="21"/>
  <c r="O40" i="21"/>
  <c r="K40" i="21"/>
  <c r="J40" i="21"/>
  <c r="I40" i="21"/>
  <c r="H40" i="21"/>
  <c r="G40" i="21"/>
  <c r="F40" i="21"/>
  <c r="E40" i="21"/>
  <c r="D40" i="21"/>
  <c r="S39" i="21"/>
  <c r="R39" i="21"/>
  <c r="Q39" i="21"/>
  <c r="P39" i="21"/>
  <c r="O39" i="21"/>
  <c r="K39" i="21"/>
  <c r="J39" i="21"/>
  <c r="I39" i="21"/>
  <c r="H39" i="21"/>
  <c r="G39" i="21"/>
  <c r="F39" i="21"/>
  <c r="E39" i="21"/>
  <c r="D39" i="21"/>
  <c r="S38" i="21"/>
  <c r="R38" i="21"/>
  <c r="Q38" i="21"/>
  <c r="P38" i="21"/>
  <c r="O38" i="21"/>
  <c r="K38" i="21"/>
  <c r="J38" i="21"/>
  <c r="I38" i="21"/>
  <c r="H38" i="21"/>
  <c r="G38" i="21"/>
  <c r="F38" i="21"/>
  <c r="E38" i="21"/>
  <c r="D38" i="21"/>
  <c r="S37" i="21"/>
  <c r="R37" i="21"/>
  <c r="Q37" i="21"/>
  <c r="P37" i="21"/>
  <c r="O37" i="21"/>
  <c r="K37" i="21"/>
  <c r="J37" i="21"/>
  <c r="I37" i="21"/>
  <c r="H37" i="21"/>
  <c r="G37" i="21"/>
  <c r="F37" i="21"/>
  <c r="E37" i="21"/>
  <c r="D37" i="21"/>
  <c r="S36" i="21"/>
  <c r="R36" i="21"/>
  <c r="Q36" i="21"/>
  <c r="P36" i="21"/>
  <c r="O36" i="21"/>
  <c r="K36" i="21"/>
  <c r="J36" i="21"/>
  <c r="I36" i="21"/>
  <c r="H36" i="21"/>
  <c r="G36" i="21"/>
  <c r="F36" i="21"/>
  <c r="E36" i="21"/>
  <c r="D36" i="21"/>
  <c r="S35" i="21"/>
  <c r="R35" i="21"/>
  <c r="Q35" i="21"/>
  <c r="P35" i="21"/>
  <c r="O35" i="21"/>
  <c r="K35" i="21"/>
  <c r="J35" i="21"/>
  <c r="I35" i="21"/>
  <c r="H35" i="21"/>
  <c r="G35" i="21"/>
  <c r="F35" i="21"/>
  <c r="E35" i="21"/>
  <c r="D35" i="21"/>
  <c r="S34" i="21"/>
  <c r="R34" i="21"/>
  <c r="Q34" i="21"/>
  <c r="P34" i="21"/>
  <c r="O34" i="21"/>
  <c r="K34" i="21"/>
  <c r="J34" i="21"/>
  <c r="I34" i="21"/>
  <c r="H34" i="21"/>
  <c r="G34" i="21"/>
  <c r="F34" i="21"/>
  <c r="E34" i="21"/>
  <c r="D34" i="21"/>
  <c r="S33" i="21"/>
  <c r="R33" i="21"/>
  <c r="Q33" i="21"/>
  <c r="P33" i="21"/>
  <c r="O33" i="21"/>
  <c r="K33" i="21"/>
  <c r="J33" i="21"/>
  <c r="I33" i="21"/>
  <c r="H33" i="21"/>
  <c r="G33" i="21"/>
  <c r="F33" i="21"/>
  <c r="E33" i="21"/>
  <c r="D33" i="21"/>
  <c r="S32" i="21"/>
  <c r="R32" i="21"/>
  <c r="Q32" i="21"/>
  <c r="P32" i="21"/>
  <c r="O32" i="21"/>
  <c r="K32" i="21"/>
  <c r="J32" i="21"/>
  <c r="I32" i="21"/>
  <c r="H32" i="21"/>
  <c r="G32" i="21"/>
  <c r="F32" i="21"/>
  <c r="E32" i="21"/>
  <c r="D32" i="21"/>
  <c r="S31" i="21"/>
  <c r="R31" i="21"/>
  <c r="Q31" i="21"/>
  <c r="P31" i="21"/>
  <c r="O31" i="21"/>
  <c r="K31" i="21"/>
  <c r="J31" i="21"/>
  <c r="I31" i="21"/>
  <c r="H31" i="21"/>
  <c r="G31" i="21"/>
  <c r="F31" i="21"/>
  <c r="E31" i="21"/>
  <c r="D31" i="21"/>
  <c r="S30" i="21"/>
  <c r="R30" i="21"/>
  <c r="Q30" i="21"/>
  <c r="P30" i="21"/>
  <c r="O30" i="21"/>
  <c r="K30" i="21"/>
  <c r="J30" i="21"/>
  <c r="I30" i="21"/>
  <c r="H30" i="21"/>
  <c r="G30" i="21"/>
  <c r="F30" i="21"/>
  <c r="E30" i="21"/>
  <c r="D30" i="21"/>
  <c r="S29" i="21"/>
  <c r="R29" i="21"/>
  <c r="Q29" i="21"/>
  <c r="P29" i="21"/>
  <c r="O29" i="21"/>
  <c r="K29" i="21"/>
  <c r="J29" i="21"/>
  <c r="I29" i="21"/>
  <c r="H29" i="21"/>
  <c r="G29" i="21"/>
  <c r="F29" i="21"/>
  <c r="E29" i="21"/>
  <c r="D29" i="21"/>
  <c r="S28" i="21"/>
  <c r="R28" i="21"/>
  <c r="Q28" i="21"/>
  <c r="P28" i="21"/>
  <c r="O28" i="21"/>
  <c r="K28" i="21"/>
  <c r="J28" i="21"/>
  <c r="I28" i="21"/>
  <c r="H28" i="21"/>
  <c r="G28" i="21"/>
  <c r="F28" i="21"/>
  <c r="E28" i="21"/>
  <c r="D28" i="21"/>
  <c r="S27" i="21"/>
  <c r="R27" i="21"/>
  <c r="Q27" i="21"/>
  <c r="P27" i="21"/>
  <c r="O27" i="21"/>
  <c r="K27" i="21"/>
  <c r="J27" i="21"/>
  <c r="I27" i="21"/>
  <c r="H27" i="21"/>
  <c r="G27" i="21"/>
  <c r="F27" i="21"/>
  <c r="E27" i="21"/>
  <c r="D27" i="21"/>
  <c r="S26" i="21"/>
  <c r="R26" i="21"/>
  <c r="Q26" i="21"/>
  <c r="P26" i="21"/>
  <c r="O26" i="21"/>
  <c r="K26" i="21"/>
  <c r="J26" i="21"/>
  <c r="I26" i="21"/>
  <c r="H26" i="21"/>
  <c r="G26" i="21"/>
  <c r="F26" i="21"/>
  <c r="E26" i="21"/>
  <c r="D26" i="21"/>
  <c r="S25" i="21"/>
  <c r="R25" i="21"/>
  <c r="Q25" i="21"/>
  <c r="P25" i="21"/>
  <c r="O25" i="21"/>
  <c r="K25" i="21"/>
  <c r="J25" i="21"/>
  <c r="I25" i="21"/>
  <c r="H25" i="21"/>
  <c r="G25" i="21"/>
  <c r="F25" i="21"/>
  <c r="E25" i="21"/>
  <c r="D25" i="21"/>
  <c r="S24" i="21"/>
  <c r="R24" i="21"/>
  <c r="Q24" i="21"/>
  <c r="P24" i="21"/>
  <c r="O24" i="21"/>
  <c r="K24" i="21"/>
  <c r="J24" i="21"/>
  <c r="I24" i="21"/>
  <c r="H24" i="21"/>
  <c r="G24" i="21"/>
  <c r="F24" i="21"/>
  <c r="E24" i="21"/>
  <c r="D24" i="21"/>
  <c r="S23" i="21"/>
  <c r="R23" i="21"/>
  <c r="Q23" i="21"/>
  <c r="P23" i="21"/>
  <c r="O23" i="21"/>
  <c r="K23" i="21"/>
  <c r="J23" i="21"/>
  <c r="I23" i="21"/>
  <c r="H23" i="21"/>
  <c r="G23" i="21"/>
  <c r="F23" i="21"/>
  <c r="E23" i="21"/>
  <c r="D23" i="21"/>
  <c r="S22" i="21"/>
  <c r="R22" i="21"/>
  <c r="Q22" i="21"/>
  <c r="P22" i="21"/>
  <c r="O22" i="21"/>
  <c r="K22" i="21"/>
  <c r="J22" i="21"/>
  <c r="I22" i="21"/>
  <c r="H22" i="21"/>
  <c r="G22" i="21"/>
  <c r="F22" i="21"/>
  <c r="E22" i="21"/>
  <c r="D22" i="21"/>
  <c r="S21" i="21"/>
  <c r="R21" i="21"/>
  <c r="Q21" i="21"/>
  <c r="P21" i="21"/>
  <c r="O21" i="21"/>
  <c r="K21" i="21"/>
  <c r="J21" i="21"/>
  <c r="I21" i="21"/>
  <c r="H21" i="21"/>
  <c r="G21" i="21"/>
  <c r="F21" i="21"/>
  <c r="E21" i="21"/>
  <c r="D21" i="21"/>
  <c r="S20" i="21"/>
  <c r="R20" i="21"/>
  <c r="Q20" i="21"/>
  <c r="P20" i="21"/>
  <c r="O20" i="21"/>
  <c r="K20" i="21"/>
  <c r="J20" i="21"/>
  <c r="I20" i="21"/>
  <c r="H20" i="21"/>
  <c r="G20" i="21"/>
  <c r="F20" i="21"/>
  <c r="E20" i="21"/>
  <c r="D20" i="21"/>
  <c r="S19" i="21"/>
  <c r="R19" i="21"/>
  <c r="Q19" i="21"/>
  <c r="P19" i="21"/>
  <c r="O19" i="21"/>
  <c r="K19" i="21"/>
  <c r="J19" i="21"/>
  <c r="I19" i="21"/>
  <c r="H19" i="21"/>
  <c r="G19" i="21"/>
  <c r="F19" i="21"/>
  <c r="E19" i="21"/>
  <c r="D19" i="21"/>
  <c r="S18" i="21"/>
  <c r="R18" i="21"/>
  <c r="Q18" i="21"/>
  <c r="P18" i="21"/>
  <c r="O18" i="21"/>
  <c r="K18" i="21"/>
  <c r="J18" i="21"/>
  <c r="I18" i="21"/>
  <c r="H18" i="21"/>
  <c r="G18" i="21"/>
  <c r="F18" i="21"/>
  <c r="E18" i="21"/>
  <c r="D18" i="21"/>
  <c r="S17" i="21"/>
  <c r="R17" i="21"/>
  <c r="Q17" i="21"/>
  <c r="P17" i="21"/>
  <c r="O17" i="21"/>
  <c r="K17" i="21"/>
  <c r="J17" i="21"/>
  <c r="I17" i="21"/>
  <c r="H17" i="21"/>
  <c r="G17" i="21"/>
  <c r="F17" i="21"/>
  <c r="E17" i="21"/>
  <c r="D17" i="21"/>
  <c r="S16" i="21"/>
  <c r="R16" i="21"/>
  <c r="Q16" i="21"/>
  <c r="P16" i="21"/>
  <c r="O16" i="21"/>
  <c r="K16" i="21"/>
  <c r="J16" i="21"/>
  <c r="I16" i="21"/>
  <c r="H16" i="21"/>
  <c r="G16" i="21"/>
  <c r="F16" i="21"/>
  <c r="E16" i="21"/>
  <c r="D16" i="21"/>
  <c r="S15" i="21"/>
  <c r="R15" i="21"/>
  <c r="Q15" i="21"/>
  <c r="P15" i="21"/>
  <c r="O15" i="21"/>
  <c r="K15" i="21"/>
  <c r="J15" i="21"/>
  <c r="I15" i="21"/>
  <c r="H15" i="21"/>
  <c r="G15" i="21"/>
  <c r="F15" i="21"/>
  <c r="E15" i="21"/>
  <c r="D15" i="21"/>
  <c r="S14" i="21"/>
  <c r="R14" i="21"/>
  <c r="Q14" i="21"/>
  <c r="P14" i="21"/>
  <c r="O14" i="21"/>
  <c r="K14" i="21"/>
  <c r="J14" i="21"/>
  <c r="I14" i="21"/>
  <c r="H14" i="21"/>
  <c r="G14" i="21"/>
  <c r="F14" i="21"/>
  <c r="E14" i="21"/>
  <c r="D14" i="21"/>
  <c r="S13" i="21"/>
  <c r="R13" i="21"/>
  <c r="Q13" i="21"/>
  <c r="P13" i="21"/>
  <c r="O13" i="21"/>
  <c r="K13" i="21"/>
  <c r="J13" i="21"/>
  <c r="I13" i="21"/>
  <c r="H13" i="21"/>
  <c r="G13" i="21"/>
  <c r="F13" i="21"/>
  <c r="E13" i="21"/>
  <c r="D13" i="21"/>
  <c r="S12" i="21"/>
  <c r="R12" i="21"/>
  <c r="Q12" i="21"/>
  <c r="P12" i="21"/>
  <c r="O12" i="21"/>
  <c r="K12" i="21"/>
  <c r="J12" i="21"/>
  <c r="I12" i="21"/>
  <c r="H12" i="21"/>
  <c r="G12" i="21"/>
  <c r="F12" i="21"/>
  <c r="E12" i="21"/>
  <c r="D12" i="21"/>
  <c r="S11" i="21"/>
  <c r="R11" i="21"/>
  <c r="Q11" i="21"/>
  <c r="P11" i="21"/>
  <c r="O11" i="21"/>
  <c r="K11" i="21"/>
  <c r="J11" i="21"/>
  <c r="I11" i="21"/>
  <c r="H11" i="21"/>
  <c r="G11" i="21"/>
  <c r="F11" i="21"/>
  <c r="E11" i="21"/>
  <c r="D11" i="21"/>
  <c r="S10" i="21"/>
  <c r="R10" i="21"/>
  <c r="Q10" i="21"/>
  <c r="P10" i="21"/>
  <c r="O10" i="21"/>
  <c r="K10" i="21"/>
  <c r="J10" i="21"/>
  <c r="I10" i="21"/>
  <c r="H10" i="21"/>
  <c r="G10" i="21"/>
  <c r="F10" i="21"/>
  <c r="E10" i="21"/>
  <c r="D10" i="21"/>
  <c r="S9" i="21"/>
  <c r="R9" i="21"/>
  <c r="Q9" i="21"/>
  <c r="P9" i="21"/>
  <c r="O9" i="21"/>
  <c r="K9" i="21"/>
  <c r="J9" i="21"/>
  <c r="I9" i="21"/>
  <c r="H9" i="21"/>
  <c r="G9" i="21"/>
  <c r="F9" i="21"/>
  <c r="E9" i="21"/>
  <c r="D9" i="21"/>
  <c r="S8" i="21"/>
  <c r="R8" i="21"/>
  <c r="Q8" i="21"/>
  <c r="P8" i="21"/>
  <c r="O8" i="21"/>
  <c r="K8" i="21"/>
  <c r="J8" i="21"/>
  <c r="I8" i="21"/>
  <c r="H8" i="21"/>
  <c r="G8" i="21"/>
  <c r="F8" i="21"/>
  <c r="E8" i="21"/>
  <c r="D8" i="21"/>
  <c r="S7" i="21"/>
  <c r="R7" i="21"/>
  <c r="Q7" i="21"/>
  <c r="P7" i="21"/>
  <c r="O7" i="21"/>
  <c r="K7" i="21"/>
  <c r="J7" i="21"/>
  <c r="I7" i="21"/>
  <c r="H7" i="21"/>
  <c r="G7" i="21"/>
  <c r="F7" i="21"/>
  <c r="E7" i="21"/>
  <c r="D7" i="21"/>
  <c r="S6" i="21"/>
  <c r="R6" i="21"/>
  <c r="Q6" i="21"/>
  <c r="P6" i="21"/>
  <c r="O6" i="21"/>
  <c r="K6" i="21"/>
  <c r="J6" i="21"/>
  <c r="I6" i="21"/>
  <c r="H6" i="21"/>
  <c r="G6" i="21"/>
  <c r="F6" i="21"/>
  <c r="E6" i="21"/>
  <c r="D6" i="21"/>
  <c r="S5" i="21"/>
  <c r="R5" i="21"/>
  <c r="Q5" i="21"/>
  <c r="P5" i="21"/>
  <c r="O5" i="21"/>
  <c r="K5" i="21"/>
  <c r="J5" i="21"/>
  <c r="I5" i="21"/>
  <c r="H5" i="21"/>
  <c r="G5" i="21"/>
  <c r="F5" i="21"/>
  <c r="E5" i="21"/>
  <c r="D5" i="21"/>
  <c r="S4" i="21"/>
  <c r="R4" i="21"/>
  <c r="Q4" i="21"/>
  <c r="P4" i="21"/>
  <c r="O4" i="21"/>
  <c r="K4" i="21"/>
  <c r="J4" i="21"/>
  <c r="I4" i="21"/>
  <c r="H4" i="21"/>
  <c r="G4" i="21"/>
  <c r="F4" i="21"/>
  <c r="E4" i="21"/>
  <c r="D4" i="21"/>
  <c r="S3" i="21"/>
  <c r="R3" i="21"/>
  <c r="Q3" i="21"/>
  <c r="P3" i="21"/>
  <c r="O3" i="21"/>
  <c r="K3" i="21"/>
  <c r="J3" i="21"/>
  <c r="I3" i="21"/>
  <c r="H3" i="21"/>
  <c r="G3" i="21"/>
  <c r="F3" i="21"/>
  <c r="E3" i="21"/>
  <c r="D3" i="21"/>
  <c r="W127" i="20"/>
  <c r="V127" i="20"/>
  <c r="U127" i="20"/>
  <c r="T127" i="20"/>
  <c r="S127" i="20"/>
  <c r="R127" i="20"/>
  <c r="Q127" i="20"/>
  <c r="P127" i="20"/>
  <c r="O127" i="20"/>
  <c r="N127" i="20"/>
  <c r="M127" i="20"/>
  <c r="L127" i="20"/>
  <c r="K127" i="20"/>
  <c r="J127" i="20"/>
  <c r="I127" i="20"/>
  <c r="H127" i="20"/>
  <c r="G127" i="20"/>
  <c r="F127" i="20"/>
  <c r="E127" i="20"/>
  <c r="D127" i="20"/>
  <c r="W126" i="20"/>
  <c r="V126" i="20"/>
  <c r="U126" i="20"/>
  <c r="T126" i="20"/>
  <c r="S126" i="20"/>
  <c r="R126" i="20"/>
  <c r="Q126" i="20"/>
  <c r="P126" i="20"/>
  <c r="O126" i="20"/>
  <c r="N126" i="20"/>
  <c r="M126" i="20"/>
  <c r="L126" i="20"/>
  <c r="K126" i="20"/>
  <c r="J126" i="20"/>
  <c r="I126" i="20"/>
  <c r="H126" i="20"/>
  <c r="G126" i="20"/>
  <c r="F126" i="20"/>
  <c r="E126" i="20"/>
  <c r="D126" i="20"/>
  <c r="W125" i="20"/>
  <c r="V125" i="20"/>
  <c r="U125" i="20"/>
  <c r="T125" i="20"/>
  <c r="S125" i="20"/>
  <c r="R125" i="20"/>
  <c r="Q125" i="20"/>
  <c r="P125" i="20"/>
  <c r="O125" i="20"/>
  <c r="N125" i="20"/>
  <c r="M125" i="20"/>
  <c r="L125" i="20"/>
  <c r="K125" i="20"/>
  <c r="J125" i="20"/>
  <c r="I125" i="20"/>
  <c r="H125" i="20"/>
  <c r="G125" i="20"/>
  <c r="F125" i="20"/>
  <c r="E125" i="20"/>
  <c r="D125" i="20"/>
  <c r="W124" i="20"/>
  <c r="V124" i="20"/>
  <c r="U124" i="20"/>
  <c r="T124" i="20"/>
  <c r="S124" i="20"/>
  <c r="R124" i="20"/>
  <c r="Q124" i="20"/>
  <c r="P124" i="20"/>
  <c r="O124" i="20"/>
  <c r="N124" i="20"/>
  <c r="M124" i="20"/>
  <c r="L124" i="20"/>
  <c r="K124" i="20"/>
  <c r="J124" i="20"/>
  <c r="I124" i="20"/>
  <c r="H124" i="20"/>
  <c r="G124" i="20"/>
  <c r="F124" i="20"/>
  <c r="E124" i="20"/>
  <c r="D124" i="20"/>
  <c r="W123" i="20"/>
  <c r="V123" i="20"/>
  <c r="U123" i="20"/>
  <c r="T123" i="20"/>
  <c r="S123" i="20"/>
  <c r="R123" i="20"/>
  <c r="Q123" i="20"/>
  <c r="P123" i="20"/>
  <c r="O123" i="20"/>
  <c r="N123" i="20"/>
  <c r="M123" i="20"/>
  <c r="L123" i="20"/>
  <c r="K123" i="20"/>
  <c r="J123" i="20"/>
  <c r="I123" i="20"/>
  <c r="H123" i="20"/>
  <c r="G123" i="20"/>
  <c r="F123" i="20"/>
  <c r="E123" i="20"/>
  <c r="D123" i="20"/>
  <c r="W122" i="20"/>
  <c r="V122" i="20"/>
  <c r="U122" i="20"/>
  <c r="T122" i="20"/>
  <c r="S122" i="20"/>
  <c r="R122" i="20"/>
  <c r="Q122" i="20"/>
  <c r="P122" i="20"/>
  <c r="O122" i="20"/>
  <c r="N122" i="20"/>
  <c r="M122" i="20"/>
  <c r="L122" i="20"/>
  <c r="K122" i="20"/>
  <c r="J122" i="20"/>
  <c r="I122" i="20"/>
  <c r="H122" i="20"/>
  <c r="G122" i="20"/>
  <c r="F122" i="20"/>
  <c r="E122" i="20"/>
  <c r="D122" i="20"/>
  <c r="W121" i="20"/>
  <c r="V121" i="20"/>
  <c r="U121" i="20"/>
  <c r="T121" i="20"/>
  <c r="S121" i="20"/>
  <c r="R121" i="20"/>
  <c r="Q121" i="20"/>
  <c r="P121" i="20"/>
  <c r="O121" i="20"/>
  <c r="N121" i="20"/>
  <c r="M121" i="20"/>
  <c r="L121" i="20"/>
  <c r="K121" i="20"/>
  <c r="J121" i="20"/>
  <c r="I121" i="20"/>
  <c r="H121" i="20"/>
  <c r="G121" i="20"/>
  <c r="F121" i="20"/>
  <c r="E121" i="20"/>
  <c r="D121" i="20"/>
  <c r="W120" i="20"/>
  <c r="V120" i="20"/>
  <c r="U120" i="20"/>
  <c r="T120" i="20"/>
  <c r="S120" i="20"/>
  <c r="R120" i="20"/>
  <c r="Q120" i="20"/>
  <c r="P120" i="20"/>
  <c r="O120" i="20"/>
  <c r="N120" i="20"/>
  <c r="M120" i="20"/>
  <c r="L120" i="20"/>
  <c r="K120" i="20"/>
  <c r="J120" i="20"/>
  <c r="I120" i="20"/>
  <c r="H120" i="20"/>
  <c r="G120" i="20"/>
  <c r="F120" i="20"/>
  <c r="E120" i="20"/>
  <c r="D120" i="20"/>
  <c r="W119" i="20"/>
  <c r="V119" i="20"/>
  <c r="U119" i="20"/>
  <c r="T119" i="20"/>
  <c r="S119" i="20"/>
  <c r="R119" i="20"/>
  <c r="Q119" i="20"/>
  <c r="P119" i="20"/>
  <c r="O119" i="20"/>
  <c r="N119" i="20"/>
  <c r="M119" i="20"/>
  <c r="L119" i="20"/>
  <c r="K119" i="20"/>
  <c r="J119" i="20"/>
  <c r="I119" i="20"/>
  <c r="H119" i="20"/>
  <c r="G119" i="20"/>
  <c r="F119" i="20"/>
  <c r="E119" i="20"/>
  <c r="D119" i="20"/>
  <c r="W118" i="20"/>
  <c r="V118" i="20"/>
  <c r="U118" i="20"/>
  <c r="T118" i="20"/>
  <c r="S118" i="20"/>
  <c r="R118" i="20"/>
  <c r="Q118" i="20"/>
  <c r="P118" i="20"/>
  <c r="O118" i="20"/>
  <c r="N118" i="20"/>
  <c r="M118" i="20"/>
  <c r="L118" i="20"/>
  <c r="K118" i="20"/>
  <c r="J118" i="20"/>
  <c r="I118" i="20"/>
  <c r="H118" i="20"/>
  <c r="G118" i="20"/>
  <c r="F118" i="20"/>
  <c r="E118" i="20"/>
  <c r="D118" i="20"/>
  <c r="W117" i="20"/>
  <c r="V117" i="20"/>
  <c r="U117" i="20"/>
  <c r="T117" i="20"/>
  <c r="S117" i="20"/>
  <c r="R117" i="20"/>
  <c r="Q117" i="20"/>
  <c r="P117" i="20"/>
  <c r="O117" i="20"/>
  <c r="N117" i="20"/>
  <c r="M117" i="20"/>
  <c r="L117" i="20"/>
  <c r="K117" i="20"/>
  <c r="J117" i="20"/>
  <c r="I117" i="20"/>
  <c r="H117" i="20"/>
  <c r="G117" i="20"/>
  <c r="F117" i="20"/>
  <c r="E117" i="20"/>
  <c r="D117" i="20"/>
  <c r="W116" i="20"/>
  <c r="V116" i="20"/>
  <c r="U116" i="20"/>
  <c r="T116" i="20"/>
  <c r="S116" i="20"/>
  <c r="R116" i="20"/>
  <c r="Q116" i="20"/>
  <c r="P116" i="20"/>
  <c r="O116" i="20"/>
  <c r="N116" i="20"/>
  <c r="M116" i="20"/>
  <c r="L116" i="20"/>
  <c r="K116" i="20"/>
  <c r="J116" i="20"/>
  <c r="I116" i="20"/>
  <c r="H116" i="20"/>
  <c r="G116" i="20"/>
  <c r="F116" i="20"/>
  <c r="E116" i="20"/>
  <c r="D116" i="20"/>
  <c r="W115" i="20"/>
  <c r="V115" i="20"/>
  <c r="U115" i="20"/>
  <c r="T115" i="20"/>
  <c r="S115" i="20"/>
  <c r="R115" i="20"/>
  <c r="Q115" i="20"/>
  <c r="P115" i="20"/>
  <c r="O115" i="20"/>
  <c r="N115" i="20"/>
  <c r="M115" i="20"/>
  <c r="L115" i="20"/>
  <c r="K115" i="20"/>
  <c r="J115" i="20"/>
  <c r="I115" i="20"/>
  <c r="H115" i="20"/>
  <c r="G115" i="20"/>
  <c r="F115" i="20"/>
  <c r="E115" i="20"/>
  <c r="D115" i="20"/>
  <c r="W114" i="20"/>
  <c r="V114" i="20"/>
  <c r="U114" i="20"/>
  <c r="T114" i="20"/>
  <c r="S114" i="20"/>
  <c r="R114" i="20"/>
  <c r="Q114" i="20"/>
  <c r="P114" i="20"/>
  <c r="O114" i="20"/>
  <c r="N114" i="20"/>
  <c r="M114" i="20"/>
  <c r="L114" i="20"/>
  <c r="K114" i="20"/>
  <c r="J114" i="20"/>
  <c r="I114" i="20"/>
  <c r="H114" i="20"/>
  <c r="G114" i="20"/>
  <c r="F114" i="20"/>
  <c r="E114" i="20"/>
  <c r="D114" i="20"/>
  <c r="W113" i="20"/>
  <c r="V113" i="20"/>
  <c r="U113" i="20"/>
  <c r="T113" i="20"/>
  <c r="S113" i="20"/>
  <c r="R113" i="20"/>
  <c r="Q113" i="20"/>
  <c r="P113" i="20"/>
  <c r="O113" i="20"/>
  <c r="N113" i="20"/>
  <c r="M113" i="20"/>
  <c r="L113" i="20"/>
  <c r="K113" i="20"/>
  <c r="J113" i="20"/>
  <c r="I113" i="20"/>
  <c r="H113" i="20"/>
  <c r="G113" i="20"/>
  <c r="F113" i="20"/>
  <c r="E113" i="20"/>
  <c r="D113" i="20"/>
  <c r="W112" i="20"/>
  <c r="V112" i="20"/>
  <c r="U112" i="20"/>
  <c r="T112" i="20"/>
  <c r="S112" i="20"/>
  <c r="R112" i="20"/>
  <c r="Q112" i="20"/>
  <c r="P112" i="20"/>
  <c r="O112" i="20"/>
  <c r="N112" i="20"/>
  <c r="M112" i="20"/>
  <c r="L112" i="20"/>
  <c r="K112" i="20"/>
  <c r="J112" i="20"/>
  <c r="I112" i="20"/>
  <c r="H112" i="20"/>
  <c r="G112" i="20"/>
  <c r="F112" i="20"/>
  <c r="E112" i="20"/>
  <c r="D112" i="20"/>
  <c r="W111" i="20"/>
  <c r="V111" i="20"/>
  <c r="U111" i="20"/>
  <c r="T111" i="20"/>
  <c r="S111" i="20"/>
  <c r="R111" i="20"/>
  <c r="Q111" i="20"/>
  <c r="P111" i="20"/>
  <c r="O111" i="20"/>
  <c r="N111" i="20"/>
  <c r="M111" i="20"/>
  <c r="L111" i="20"/>
  <c r="K111" i="20"/>
  <c r="J111" i="20"/>
  <c r="I111" i="20"/>
  <c r="H111" i="20"/>
  <c r="G111" i="20"/>
  <c r="F111" i="20"/>
  <c r="E111" i="20"/>
  <c r="D111" i="20"/>
  <c r="W110" i="20"/>
  <c r="V110" i="20"/>
  <c r="U110" i="20"/>
  <c r="T110" i="20"/>
  <c r="S110" i="20"/>
  <c r="R110" i="20"/>
  <c r="Q110" i="20"/>
  <c r="P110" i="20"/>
  <c r="O110" i="20"/>
  <c r="N110" i="20"/>
  <c r="M110" i="20"/>
  <c r="L110" i="20"/>
  <c r="K110" i="20"/>
  <c r="J110" i="20"/>
  <c r="I110" i="20"/>
  <c r="H110" i="20"/>
  <c r="G110" i="20"/>
  <c r="F110" i="20"/>
  <c r="E110" i="20"/>
  <c r="D110" i="20"/>
  <c r="W109" i="20"/>
  <c r="V109" i="20"/>
  <c r="U109" i="20"/>
  <c r="T109" i="20"/>
  <c r="S109" i="20"/>
  <c r="R109" i="20"/>
  <c r="Q109" i="20"/>
  <c r="P109" i="20"/>
  <c r="O109" i="20"/>
  <c r="N109" i="20"/>
  <c r="M109" i="20"/>
  <c r="L109" i="20"/>
  <c r="K109" i="20"/>
  <c r="J109" i="20"/>
  <c r="I109" i="20"/>
  <c r="H109" i="20"/>
  <c r="G109" i="20"/>
  <c r="F109" i="20"/>
  <c r="E109" i="20"/>
  <c r="D109" i="20"/>
  <c r="W108" i="20"/>
  <c r="V108" i="20"/>
  <c r="U108" i="20"/>
  <c r="T108" i="20"/>
  <c r="S108" i="20"/>
  <c r="R108" i="20"/>
  <c r="Q108" i="20"/>
  <c r="P108" i="20"/>
  <c r="O108" i="20"/>
  <c r="N108" i="20"/>
  <c r="M108" i="20"/>
  <c r="L108" i="20"/>
  <c r="K108" i="20"/>
  <c r="J108" i="20"/>
  <c r="I108" i="20"/>
  <c r="H108" i="20"/>
  <c r="G108" i="20"/>
  <c r="F108" i="20"/>
  <c r="E108" i="20"/>
  <c r="D108" i="20"/>
  <c r="W107" i="20"/>
  <c r="V107" i="20"/>
  <c r="U107" i="20"/>
  <c r="T107" i="20"/>
  <c r="S107" i="20"/>
  <c r="R107" i="20"/>
  <c r="Q107" i="20"/>
  <c r="P107" i="20"/>
  <c r="O107" i="20"/>
  <c r="N107" i="20"/>
  <c r="M107" i="20"/>
  <c r="L107" i="20"/>
  <c r="K107" i="20"/>
  <c r="J107" i="20"/>
  <c r="I107" i="20"/>
  <c r="H107" i="20"/>
  <c r="G107" i="20"/>
  <c r="F107" i="20"/>
  <c r="E107" i="20"/>
  <c r="D107" i="20"/>
  <c r="W106" i="20"/>
  <c r="V106" i="20"/>
  <c r="U106" i="20"/>
  <c r="T106" i="20"/>
  <c r="S106" i="20"/>
  <c r="R106" i="20"/>
  <c r="Q106" i="20"/>
  <c r="P106" i="20"/>
  <c r="O106" i="20"/>
  <c r="N106" i="20"/>
  <c r="M106" i="20"/>
  <c r="L106" i="20"/>
  <c r="K106" i="20"/>
  <c r="J106" i="20"/>
  <c r="I106" i="20"/>
  <c r="H106" i="20"/>
  <c r="G106" i="20"/>
  <c r="F106" i="20"/>
  <c r="E106" i="20"/>
  <c r="D106" i="20"/>
  <c r="W105" i="20"/>
  <c r="V105" i="20"/>
  <c r="U105" i="20"/>
  <c r="T105" i="20"/>
  <c r="S105" i="20"/>
  <c r="R105" i="20"/>
  <c r="Q105" i="20"/>
  <c r="P105" i="20"/>
  <c r="O105" i="20"/>
  <c r="N105" i="20"/>
  <c r="M105" i="20"/>
  <c r="L105" i="20"/>
  <c r="K105" i="20"/>
  <c r="J105" i="20"/>
  <c r="I105" i="20"/>
  <c r="H105" i="20"/>
  <c r="G105" i="20"/>
  <c r="F105" i="20"/>
  <c r="E105" i="20"/>
  <c r="D105" i="20"/>
  <c r="W104" i="20"/>
  <c r="V104" i="20"/>
  <c r="U104" i="20"/>
  <c r="T104" i="20"/>
  <c r="S104" i="20"/>
  <c r="R104" i="20"/>
  <c r="Q104" i="20"/>
  <c r="P104" i="20"/>
  <c r="O104" i="20"/>
  <c r="N104" i="20"/>
  <c r="M104" i="20"/>
  <c r="L104" i="20"/>
  <c r="K104" i="20"/>
  <c r="J104" i="20"/>
  <c r="I104" i="20"/>
  <c r="H104" i="20"/>
  <c r="G104" i="20"/>
  <c r="F104" i="20"/>
  <c r="E104" i="20"/>
  <c r="D104" i="20"/>
  <c r="W103" i="20"/>
  <c r="V103" i="20"/>
  <c r="U103" i="20"/>
  <c r="T103" i="20"/>
  <c r="S103" i="20"/>
  <c r="R103" i="20"/>
  <c r="Q103" i="20"/>
  <c r="P103" i="20"/>
  <c r="O103" i="20"/>
  <c r="N103" i="20"/>
  <c r="M103" i="20"/>
  <c r="L103" i="20"/>
  <c r="K103" i="20"/>
  <c r="J103" i="20"/>
  <c r="I103" i="20"/>
  <c r="H103" i="20"/>
  <c r="G103" i="20"/>
  <c r="F103" i="20"/>
  <c r="E103" i="20"/>
  <c r="D103" i="20"/>
  <c r="W102" i="20"/>
  <c r="V102" i="20"/>
  <c r="U102" i="20"/>
  <c r="T102" i="20"/>
  <c r="S102" i="20"/>
  <c r="R102" i="20"/>
  <c r="Q102" i="20"/>
  <c r="P102" i="20"/>
  <c r="O102" i="20"/>
  <c r="N102" i="20"/>
  <c r="M102" i="20"/>
  <c r="L102" i="20"/>
  <c r="K102" i="20"/>
  <c r="J102" i="20"/>
  <c r="I102" i="20"/>
  <c r="H102" i="20"/>
  <c r="G102" i="20"/>
  <c r="F102" i="20"/>
  <c r="E102" i="20"/>
  <c r="D102" i="20"/>
  <c r="W101" i="20"/>
  <c r="V101" i="20"/>
  <c r="U101" i="20"/>
  <c r="T101" i="20"/>
  <c r="S101" i="20"/>
  <c r="R101" i="20"/>
  <c r="Q101" i="20"/>
  <c r="P101" i="20"/>
  <c r="O101" i="20"/>
  <c r="N101" i="20"/>
  <c r="M101" i="20"/>
  <c r="L101" i="20"/>
  <c r="K101" i="20"/>
  <c r="J101" i="20"/>
  <c r="I101" i="20"/>
  <c r="H101" i="20"/>
  <c r="G101" i="20"/>
  <c r="F101" i="20"/>
  <c r="E101" i="20"/>
  <c r="D101" i="20"/>
  <c r="W100" i="20"/>
  <c r="V100" i="20"/>
  <c r="U100" i="20"/>
  <c r="T100" i="20"/>
  <c r="S100" i="20"/>
  <c r="R100" i="20"/>
  <c r="Q100" i="20"/>
  <c r="P100" i="20"/>
  <c r="O100" i="20"/>
  <c r="N100" i="20"/>
  <c r="M100" i="20"/>
  <c r="L100" i="20"/>
  <c r="K100" i="20"/>
  <c r="J100" i="20"/>
  <c r="I100" i="20"/>
  <c r="H100" i="20"/>
  <c r="G100" i="20"/>
  <c r="F100" i="20"/>
  <c r="E100" i="20"/>
  <c r="D100" i="20"/>
  <c r="W99" i="20"/>
  <c r="V99" i="20"/>
  <c r="U99" i="20"/>
  <c r="T99" i="20"/>
  <c r="S99" i="20"/>
  <c r="R99" i="20"/>
  <c r="Q99" i="20"/>
  <c r="P99" i="20"/>
  <c r="O99" i="20"/>
  <c r="N99" i="20"/>
  <c r="M99" i="20"/>
  <c r="L99" i="20"/>
  <c r="K99" i="20"/>
  <c r="J99" i="20"/>
  <c r="I99" i="20"/>
  <c r="H99" i="20"/>
  <c r="G99" i="20"/>
  <c r="F99" i="20"/>
  <c r="E99" i="20"/>
  <c r="D99" i="20"/>
  <c r="W98" i="20"/>
  <c r="V98" i="20"/>
  <c r="U98" i="20"/>
  <c r="T98" i="20"/>
  <c r="S98" i="20"/>
  <c r="R98" i="20"/>
  <c r="Q98" i="20"/>
  <c r="P98" i="20"/>
  <c r="O98" i="20"/>
  <c r="N98" i="20"/>
  <c r="M98" i="20"/>
  <c r="L98" i="20"/>
  <c r="K98" i="20"/>
  <c r="J98" i="20"/>
  <c r="I98" i="20"/>
  <c r="H98" i="20"/>
  <c r="G98" i="20"/>
  <c r="F98" i="20"/>
  <c r="E98" i="20"/>
  <c r="D98" i="20"/>
  <c r="W97" i="20"/>
  <c r="V97" i="20"/>
  <c r="U97" i="20"/>
  <c r="T97" i="20"/>
  <c r="S97" i="20"/>
  <c r="R97" i="20"/>
  <c r="Q97" i="20"/>
  <c r="P97" i="20"/>
  <c r="O97" i="20"/>
  <c r="N97" i="20"/>
  <c r="M97" i="20"/>
  <c r="L97" i="20"/>
  <c r="K97" i="20"/>
  <c r="J97" i="20"/>
  <c r="I97" i="20"/>
  <c r="H97" i="20"/>
  <c r="G97" i="20"/>
  <c r="F97" i="20"/>
  <c r="E97" i="20"/>
  <c r="D97" i="20"/>
  <c r="W96" i="20"/>
  <c r="V96" i="20"/>
  <c r="U96" i="20"/>
  <c r="T96" i="20"/>
  <c r="S96" i="20"/>
  <c r="R96" i="20"/>
  <c r="Q96" i="20"/>
  <c r="P96" i="20"/>
  <c r="O96" i="20"/>
  <c r="N96" i="20"/>
  <c r="M96" i="20"/>
  <c r="L96" i="20"/>
  <c r="K96" i="20"/>
  <c r="J96" i="20"/>
  <c r="I96" i="20"/>
  <c r="H96" i="20"/>
  <c r="G96" i="20"/>
  <c r="F96" i="20"/>
  <c r="E96" i="20"/>
  <c r="D96" i="20"/>
  <c r="W95" i="20"/>
  <c r="V95" i="20"/>
  <c r="U95" i="20"/>
  <c r="T95" i="20"/>
  <c r="S95" i="20"/>
  <c r="R95" i="20"/>
  <c r="Q95" i="20"/>
  <c r="P95" i="20"/>
  <c r="O95" i="20"/>
  <c r="N95" i="20"/>
  <c r="M95" i="20"/>
  <c r="L95" i="20"/>
  <c r="K95" i="20"/>
  <c r="J95" i="20"/>
  <c r="I95" i="20"/>
  <c r="H95" i="20"/>
  <c r="G95" i="20"/>
  <c r="F95" i="20"/>
  <c r="E95" i="20"/>
  <c r="D95" i="20"/>
  <c r="W94" i="20"/>
  <c r="V94" i="20"/>
  <c r="U94" i="20"/>
  <c r="T94" i="20"/>
  <c r="S94" i="20"/>
  <c r="R94" i="20"/>
  <c r="Q94" i="20"/>
  <c r="P94" i="20"/>
  <c r="O94" i="20"/>
  <c r="N94" i="20"/>
  <c r="M94" i="20"/>
  <c r="L94" i="20"/>
  <c r="K94" i="20"/>
  <c r="J94" i="20"/>
  <c r="I94" i="20"/>
  <c r="H94" i="20"/>
  <c r="G94" i="20"/>
  <c r="F94" i="20"/>
  <c r="E94" i="20"/>
  <c r="D94" i="20"/>
  <c r="W93" i="20"/>
  <c r="V93" i="20"/>
  <c r="U93" i="20"/>
  <c r="T93" i="20"/>
  <c r="S93" i="20"/>
  <c r="R93" i="20"/>
  <c r="Q93" i="20"/>
  <c r="P93" i="20"/>
  <c r="O93" i="20"/>
  <c r="N93" i="20"/>
  <c r="M93" i="20"/>
  <c r="L93" i="20"/>
  <c r="K93" i="20"/>
  <c r="J93" i="20"/>
  <c r="I93" i="20"/>
  <c r="H93" i="20"/>
  <c r="G93" i="20"/>
  <c r="F93" i="20"/>
  <c r="E93" i="20"/>
  <c r="D93" i="20"/>
  <c r="W92" i="20"/>
  <c r="V92" i="20"/>
  <c r="U92" i="20"/>
  <c r="T92" i="20"/>
  <c r="S92" i="20"/>
  <c r="R92" i="20"/>
  <c r="Q92" i="20"/>
  <c r="P92" i="20"/>
  <c r="O92" i="20"/>
  <c r="N92" i="20"/>
  <c r="M92" i="20"/>
  <c r="L92" i="20"/>
  <c r="K92" i="20"/>
  <c r="J92" i="20"/>
  <c r="I92" i="20"/>
  <c r="H92" i="20"/>
  <c r="G92" i="20"/>
  <c r="F92" i="20"/>
  <c r="E92" i="20"/>
  <c r="D92" i="20"/>
  <c r="W91" i="20"/>
  <c r="V91" i="20"/>
  <c r="U91" i="20"/>
  <c r="T91" i="20"/>
  <c r="S91" i="20"/>
  <c r="R91" i="20"/>
  <c r="Q91" i="20"/>
  <c r="P91" i="20"/>
  <c r="O91" i="20"/>
  <c r="N91" i="20"/>
  <c r="M91" i="20"/>
  <c r="L91" i="20"/>
  <c r="K91" i="20"/>
  <c r="J91" i="20"/>
  <c r="I91" i="20"/>
  <c r="H91" i="20"/>
  <c r="G91" i="20"/>
  <c r="F91" i="20"/>
  <c r="E91" i="20"/>
  <c r="D91" i="20"/>
  <c r="W90" i="20"/>
  <c r="V90" i="20"/>
  <c r="U90" i="20"/>
  <c r="T90" i="20"/>
  <c r="S90" i="20"/>
  <c r="R90" i="20"/>
  <c r="Q90" i="20"/>
  <c r="P90" i="20"/>
  <c r="O90" i="20"/>
  <c r="N90" i="20"/>
  <c r="M90" i="20"/>
  <c r="L90" i="20"/>
  <c r="K90" i="20"/>
  <c r="J90" i="20"/>
  <c r="I90" i="20"/>
  <c r="H90" i="20"/>
  <c r="G90" i="20"/>
  <c r="F90" i="20"/>
  <c r="E90" i="20"/>
  <c r="D90" i="20"/>
  <c r="W89" i="20"/>
  <c r="V89" i="20"/>
  <c r="U89" i="20"/>
  <c r="T89" i="20"/>
  <c r="S89" i="20"/>
  <c r="R89" i="20"/>
  <c r="Q89" i="20"/>
  <c r="P89" i="20"/>
  <c r="O89" i="20"/>
  <c r="N89" i="20"/>
  <c r="M89" i="20"/>
  <c r="L89" i="20"/>
  <c r="K89" i="20"/>
  <c r="J89" i="20"/>
  <c r="I89" i="20"/>
  <c r="H89" i="20"/>
  <c r="G89" i="20"/>
  <c r="F89" i="20"/>
  <c r="E89" i="20"/>
  <c r="D89" i="20"/>
  <c r="W88" i="20"/>
  <c r="V88" i="20"/>
  <c r="U88" i="20"/>
  <c r="T88" i="20"/>
  <c r="S88" i="20"/>
  <c r="R88" i="20"/>
  <c r="Q88" i="20"/>
  <c r="P88" i="20"/>
  <c r="O88" i="20"/>
  <c r="N88" i="20"/>
  <c r="M88" i="20"/>
  <c r="L88" i="20"/>
  <c r="K88" i="20"/>
  <c r="J88" i="20"/>
  <c r="I88" i="20"/>
  <c r="H88" i="20"/>
  <c r="G88" i="20"/>
  <c r="F88" i="20"/>
  <c r="E88" i="20"/>
  <c r="D88" i="20"/>
  <c r="W87" i="20"/>
  <c r="V87" i="20"/>
  <c r="U87" i="20"/>
  <c r="T87" i="20"/>
  <c r="S87" i="20"/>
  <c r="R87" i="20"/>
  <c r="Q87" i="20"/>
  <c r="P87" i="20"/>
  <c r="O87" i="20"/>
  <c r="N87" i="20"/>
  <c r="M87" i="20"/>
  <c r="L87" i="20"/>
  <c r="K87" i="20"/>
  <c r="J87" i="20"/>
  <c r="I87" i="20"/>
  <c r="H87" i="20"/>
  <c r="G87" i="20"/>
  <c r="F87" i="20"/>
  <c r="E87" i="20"/>
  <c r="D87" i="20"/>
  <c r="W86" i="20"/>
  <c r="V86" i="20"/>
  <c r="U86" i="20"/>
  <c r="T86" i="20"/>
  <c r="S86" i="20"/>
  <c r="R86" i="20"/>
  <c r="Q86" i="20"/>
  <c r="P86" i="20"/>
  <c r="O86" i="20"/>
  <c r="N86" i="20"/>
  <c r="M86" i="20"/>
  <c r="L86" i="20"/>
  <c r="K86" i="20"/>
  <c r="J86" i="20"/>
  <c r="I86" i="20"/>
  <c r="H86" i="20"/>
  <c r="G86" i="20"/>
  <c r="F86" i="20"/>
  <c r="E86" i="20"/>
  <c r="D86" i="20"/>
  <c r="W85" i="20"/>
  <c r="V85" i="20"/>
  <c r="U85" i="20"/>
  <c r="T85" i="20"/>
  <c r="S85" i="20"/>
  <c r="R85" i="20"/>
  <c r="Q85" i="20"/>
  <c r="P85" i="20"/>
  <c r="O85" i="20"/>
  <c r="N85" i="20"/>
  <c r="M85" i="20"/>
  <c r="L85" i="20"/>
  <c r="K85" i="20"/>
  <c r="J85" i="20"/>
  <c r="I85" i="20"/>
  <c r="H85" i="20"/>
  <c r="G85" i="20"/>
  <c r="F85" i="20"/>
  <c r="E85" i="20"/>
  <c r="D85" i="20"/>
  <c r="W84" i="20"/>
  <c r="V84" i="20"/>
  <c r="U84" i="20"/>
  <c r="T84" i="20"/>
  <c r="S84" i="20"/>
  <c r="R84" i="20"/>
  <c r="Q84" i="20"/>
  <c r="P84" i="20"/>
  <c r="O84" i="20"/>
  <c r="N84" i="20"/>
  <c r="M84" i="20"/>
  <c r="L84" i="20"/>
  <c r="K84" i="20"/>
  <c r="J84" i="20"/>
  <c r="I84" i="20"/>
  <c r="H84" i="20"/>
  <c r="G84" i="20"/>
  <c r="F84" i="20"/>
  <c r="E84" i="20"/>
  <c r="D84" i="20"/>
  <c r="W83" i="20"/>
  <c r="V83" i="20"/>
  <c r="U83" i="20"/>
  <c r="T83" i="20"/>
  <c r="S83" i="20"/>
  <c r="R83" i="20"/>
  <c r="Q83" i="20"/>
  <c r="P83" i="20"/>
  <c r="O83" i="20"/>
  <c r="N83" i="20"/>
  <c r="M83" i="20"/>
  <c r="L83" i="20"/>
  <c r="K83" i="20"/>
  <c r="J83" i="20"/>
  <c r="I83" i="20"/>
  <c r="H83" i="20"/>
  <c r="G83" i="20"/>
  <c r="F83" i="20"/>
  <c r="E83" i="20"/>
  <c r="D83" i="20"/>
  <c r="W82" i="20"/>
  <c r="V82" i="20"/>
  <c r="U82" i="20"/>
  <c r="T82" i="20"/>
  <c r="S82" i="20"/>
  <c r="R82" i="20"/>
  <c r="Q82" i="20"/>
  <c r="P82" i="20"/>
  <c r="O82" i="20"/>
  <c r="N82" i="20"/>
  <c r="M82" i="20"/>
  <c r="L82" i="20"/>
  <c r="K82" i="20"/>
  <c r="J82" i="20"/>
  <c r="I82" i="20"/>
  <c r="H82" i="20"/>
  <c r="G82" i="20"/>
  <c r="F82" i="20"/>
  <c r="E82" i="20"/>
  <c r="D82" i="20"/>
  <c r="W81" i="20"/>
  <c r="V81" i="20"/>
  <c r="U81" i="20"/>
  <c r="T81" i="20"/>
  <c r="S81" i="20"/>
  <c r="R81" i="20"/>
  <c r="Q81" i="20"/>
  <c r="P81" i="20"/>
  <c r="O81" i="20"/>
  <c r="N81" i="20"/>
  <c r="M81" i="20"/>
  <c r="L81" i="20"/>
  <c r="K81" i="20"/>
  <c r="J81" i="20"/>
  <c r="I81" i="20"/>
  <c r="H81" i="20"/>
  <c r="G81" i="20"/>
  <c r="F81" i="20"/>
  <c r="E81" i="20"/>
  <c r="D81" i="20"/>
  <c r="W80" i="20"/>
  <c r="V80" i="20"/>
  <c r="U80" i="20"/>
  <c r="T80" i="20"/>
  <c r="S80" i="20"/>
  <c r="R80" i="20"/>
  <c r="Q80" i="20"/>
  <c r="P80" i="20"/>
  <c r="O80" i="20"/>
  <c r="N80" i="20"/>
  <c r="M80" i="20"/>
  <c r="L80" i="20"/>
  <c r="K80" i="20"/>
  <c r="J80" i="20"/>
  <c r="I80" i="20"/>
  <c r="H80" i="20"/>
  <c r="G80" i="20"/>
  <c r="F80" i="20"/>
  <c r="E80" i="20"/>
  <c r="D80" i="20"/>
  <c r="W79" i="20"/>
  <c r="V79" i="20"/>
  <c r="U79" i="20"/>
  <c r="T79" i="20"/>
  <c r="S79" i="20"/>
  <c r="R79" i="20"/>
  <c r="Q79" i="20"/>
  <c r="P79" i="20"/>
  <c r="O79" i="20"/>
  <c r="N79" i="20"/>
  <c r="M79" i="20"/>
  <c r="L79" i="20"/>
  <c r="K79" i="20"/>
  <c r="J79" i="20"/>
  <c r="I79" i="20"/>
  <c r="H79" i="20"/>
  <c r="G79" i="20"/>
  <c r="F79" i="20"/>
  <c r="E79" i="20"/>
  <c r="D79" i="20"/>
  <c r="W78" i="20"/>
  <c r="V78" i="20"/>
  <c r="U78" i="20"/>
  <c r="T78" i="20"/>
  <c r="S78" i="20"/>
  <c r="R78" i="20"/>
  <c r="Q78" i="20"/>
  <c r="P78" i="20"/>
  <c r="O78" i="20"/>
  <c r="N78" i="20"/>
  <c r="M78" i="20"/>
  <c r="L78" i="20"/>
  <c r="K78" i="20"/>
  <c r="J78" i="20"/>
  <c r="I78" i="20"/>
  <c r="H78" i="20"/>
  <c r="G78" i="20"/>
  <c r="F78" i="20"/>
  <c r="E78" i="20"/>
  <c r="D78" i="20"/>
  <c r="W77" i="20"/>
  <c r="V77" i="20"/>
  <c r="U77" i="20"/>
  <c r="T77" i="20"/>
  <c r="S77" i="20"/>
  <c r="R77" i="20"/>
  <c r="Q77" i="20"/>
  <c r="P77" i="20"/>
  <c r="O77" i="20"/>
  <c r="N77" i="20"/>
  <c r="M77" i="20"/>
  <c r="L77" i="20"/>
  <c r="K77" i="20"/>
  <c r="J77" i="20"/>
  <c r="I77" i="20"/>
  <c r="H77" i="20"/>
  <c r="G77" i="20"/>
  <c r="F77" i="20"/>
  <c r="E77" i="20"/>
  <c r="D77" i="20"/>
  <c r="W76" i="20"/>
  <c r="V76" i="20"/>
  <c r="U76" i="20"/>
  <c r="T76" i="20"/>
  <c r="S76" i="20"/>
  <c r="R76" i="20"/>
  <c r="Q76" i="20"/>
  <c r="P76" i="20"/>
  <c r="O76" i="20"/>
  <c r="N76" i="20"/>
  <c r="M76" i="20"/>
  <c r="L76" i="20"/>
  <c r="K76" i="20"/>
  <c r="J76" i="20"/>
  <c r="I76" i="20"/>
  <c r="H76" i="20"/>
  <c r="G76" i="20"/>
  <c r="F76" i="20"/>
  <c r="E76" i="20"/>
  <c r="D76" i="20"/>
  <c r="W75" i="20"/>
  <c r="V75" i="20"/>
  <c r="U75" i="20"/>
  <c r="T75" i="20"/>
  <c r="S75" i="20"/>
  <c r="R75" i="20"/>
  <c r="Q75" i="20"/>
  <c r="P75" i="20"/>
  <c r="O75" i="20"/>
  <c r="N75" i="20"/>
  <c r="M75" i="20"/>
  <c r="L75" i="20"/>
  <c r="K75" i="20"/>
  <c r="J75" i="20"/>
  <c r="I75" i="20"/>
  <c r="H75" i="20"/>
  <c r="G75" i="20"/>
  <c r="F75" i="20"/>
  <c r="E75" i="20"/>
  <c r="D75" i="20"/>
  <c r="W74" i="20"/>
  <c r="V74" i="20"/>
  <c r="U74" i="20"/>
  <c r="T74" i="20"/>
  <c r="S74" i="20"/>
  <c r="R74" i="20"/>
  <c r="Q74" i="20"/>
  <c r="P74" i="20"/>
  <c r="O74" i="20"/>
  <c r="N74" i="20"/>
  <c r="M74" i="20"/>
  <c r="L74" i="20"/>
  <c r="K74" i="20"/>
  <c r="J74" i="20"/>
  <c r="I74" i="20"/>
  <c r="H74" i="20"/>
  <c r="G74" i="20"/>
  <c r="F74" i="20"/>
  <c r="E74" i="20"/>
  <c r="D74" i="20"/>
  <c r="W73" i="20"/>
  <c r="V73" i="20"/>
  <c r="U73" i="20"/>
  <c r="T73" i="20"/>
  <c r="S73" i="20"/>
  <c r="R73" i="20"/>
  <c r="Q73" i="20"/>
  <c r="P73" i="20"/>
  <c r="O73" i="20"/>
  <c r="N73" i="20"/>
  <c r="M73" i="20"/>
  <c r="L73" i="20"/>
  <c r="K73" i="20"/>
  <c r="J73" i="20"/>
  <c r="I73" i="20"/>
  <c r="H73" i="20"/>
  <c r="G73" i="20"/>
  <c r="F73" i="20"/>
  <c r="E73" i="20"/>
  <c r="D73" i="20"/>
  <c r="W72" i="20"/>
  <c r="V72" i="20"/>
  <c r="U72" i="20"/>
  <c r="T72" i="20"/>
  <c r="S72" i="20"/>
  <c r="R72" i="20"/>
  <c r="Q72" i="20"/>
  <c r="P72" i="20"/>
  <c r="O72" i="20"/>
  <c r="N72" i="20"/>
  <c r="M72" i="20"/>
  <c r="L72" i="20"/>
  <c r="K72" i="20"/>
  <c r="J72" i="20"/>
  <c r="I72" i="20"/>
  <c r="H72" i="20"/>
  <c r="G72" i="20"/>
  <c r="F72" i="20"/>
  <c r="E72" i="20"/>
  <c r="D72" i="20"/>
  <c r="W71" i="20"/>
  <c r="V71" i="20"/>
  <c r="U71" i="20"/>
  <c r="T71" i="20"/>
  <c r="S71" i="20"/>
  <c r="R71" i="20"/>
  <c r="Q71" i="20"/>
  <c r="P71" i="20"/>
  <c r="O71" i="20"/>
  <c r="N71" i="20"/>
  <c r="M71" i="20"/>
  <c r="L71" i="20"/>
  <c r="K71" i="20"/>
  <c r="J71" i="20"/>
  <c r="I71" i="20"/>
  <c r="H71" i="20"/>
  <c r="G71" i="20"/>
  <c r="F71" i="20"/>
  <c r="E71" i="20"/>
  <c r="D71" i="20"/>
  <c r="W70" i="20"/>
  <c r="V70" i="20"/>
  <c r="U70" i="20"/>
  <c r="T70" i="20"/>
  <c r="S70" i="20"/>
  <c r="R70" i="20"/>
  <c r="Q70" i="20"/>
  <c r="P70" i="20"/>
  <c r="O70" i="20"/>
  <c r="N70" i="20"/>
  <c r="M70" i="20"/>
  <c r="L70" i="20"/>
  <c r="K70" i="20"/>
  <c r="J70" i="20"/>
  <c r="I70" i="20"/>
  <c r="H70" i="20"/>
  <c r="G70" i="20"/>
  <c r="F70" i="20"/>
  <c r="E70" i="20"/>
  <c r="D70" i="20"/>
  <c r="W69" i="20"/>
  <c r="V69" i="20"/>
  <c r="U69" i="20"/>
  <c r="T69" i="20"/>
  <c r="S69" i="20"/>
  <c r="R69" i="20"/>
  <c r="Q69" i="20"/>
  <c r="P69" i="20"/>
  <c r="O69" i="20"/>
  <c r="N69" i="20"/>
  <c r="M69" i="20"/>
  <c r="L69" i="20"/>
  <c r="K69" i="20"/>
  <c r="J69" i="20"/>
  <c r="I69" i="20"/>
  <c r="H69" i="20"/>
  <c r="G69" i="20"/>
  <c r="F69" i="20"/>
  <c r="E69" i="20"/>
  <c r="D69" i="20"/>
  <c r="W68" i="20"/>
  <c r="V68" i="20"/>
  <c r="U68" i="20"/>
  <c r="T68" i="20"/>
  <c r="S68" i="20"/>
  <c r="R68" i="20"/>
  <c r="Q68" i="20"/>
  <c r="P68" i="20"/>
  <c r="O68" i="20"/>
  <c r="N68" i="20"/>
  <c r="M68" i="20"/>
  <c r="L68" i="20"/>
  <c r="K68" i="20"/>
  <c r="J68" i="20"/>
  <c r="I68" i="20"/>
  <c r="H68" i="20"/>
  <c r="G68" i="20"/>
  <c r="F68" i="20"/>
  <c r="E68" i="20"/>
  <c r="D68" i="20"/>
  <c r="W67" i="20"/>
  <c r="V67" i="20"/>
  <c r="U67" i="20"/>
  <c r="T67" i="20"/>
  <c r="S67" i="20"/>
  <c r="R67" i="20"/>
  <c r="Q67" i="20"/>
  <c r="P67" i="20"/>
  <c r="O67" i="20"/>
  <c r="N67" i="20"/>
  <c r="M67" i="20"/>
  <c r="L67" i="20"/>
  <c r="K67" i="20"/>
  <c r="J67" i="20"/>
  <c r="I67" i="20"/>
  <c r="H67" i="20"/>
  <c r="G67" i="20"/>
  <c r="F67" i="20"/>
  <c r="E67" i="20"/>
  <c r="D67" i="20"/>
  <c r="W66" i="20"/>
  <c r="V66" i="20"/>
  <c r="U66" i="20"/>
  <c r="T66" i="20"/>
  <c r="S66" i="20"/>
  <c r="R66" i="20"/>
  <c r="Q66" i="20"/>
  <c r="P66" i="20"/>
  <c r="O66" i="20"/>
  <c r="N66" i="20"/>
  <c r="M66" i="20"/>
  <c r="L66" i="20"/>
  <c r="K66" i="20"/>
  <c r="J66" i="20"/>
  <c r="I66" i="20"/>
  <c r="H66" i="20"/>
  <c r="G66" i="20"/>
  <c r="F66" i="20"/>
  <c r="E66" i="20"/>
  <c r="D66" i="20"/>
  <c r="W65" i="20"/>
  <c r="V65" i="20"/>
  <c r="U65" i="20"/>
  <c r="T65" i="20"/>
  <c r="S65" i="20"/>
  <c r="R65" i="20"/>
  <c r="Q65" i="20"/>
  <c r="P65" i="20"/>
  <c r="O65" i="20"/>
  <c r="N65" i="20"/>
  <c r="M65" i="20"/>
  <c r="L65" i="20"/>
  <c r="K65" i="20"/>
  <c r="J65" i="20"/>
  <c r="I65" i="20"/>
  <c r="H65" i="20"/>
  <c r="G65" i="20"/>
  <c r="F65" i="20"/>
  <c r="E65" i="20"/>
  <c r="D65" i="20"/>
  <c r="W64" i="20"/>
  <c r="V64" i="20"/>
  <c r="U64" i="20"/>
  <c r="T64" i="20"/>
  <c r="S64" i="20"/>
  <c r="R64" i="20"/>
  <c r="Q64" i="20"/>
  <c r="P64" i="20"/>
  <c r="O64" i="20"/>
  <c r="N64" i="20"/>
  <c r="M64" i="20"/>
  <c r="L64" i="20"/>
  <c r="K64" i="20"/>
  <c r="J64" i="20"/>
  <c r="I64" i="20"/>
  <c r="H64" i="20"/>
  <c r="G64" i="20"/>
  <c r="F64" i="20"/>
  <c r="E64" i="20"/>
  <c r="D64" i="20"/>
  <c r="W63" i="20"/>
  <c r="V63" i="20"/>
  <c r="U63" i="20"/>
  <c r="T63" i="20"/>
  <c r="S63" i="20"/>
  <c r="R63" i="20"/>
  <c r="Q63" i="20"/>
  <c r="P63" i="20"/>
  <c r="O63" i="20"/>
  <c r="N63" i="20"/>
  <c r="M63" i="20"/>
  <c r="L63" i="20"/>
  <c r="K63" i="20"/>
  <c r="J63" i="20"/>
  <c r="I63" i="20"/>
  <c r="H63" i="20"/>
  <c r="G63" i="20"/>
  <c r="F63" i="20"/>
  <c r="E63" i="20"/>
  <c r="D63" i="20"/>
  <c r="W62" i="20"/>
  <c r="V62" i="20"/>
  <c r="U62" i="20"/>
  <c r="T62" i="20"/>
  <c r="S62" i="20"/>
  <c r="R62" i="20"/>
  <c r="Q62" i="20"/>
  <c r="P62" i="20"/>
  <c r="O62" i="20"/>
  <c r="N62" i="20"/>
  <c r="M62" i="20"/>
  <c r="L62" i="20"/>
  <c r="K62" i="20"/>
  <c r="J62" i="20"/>
  <c r="I62" i="20"/>
  <c r="H62" i="20"/>
  <c r="G62" i="20"/>
  <c r="F62" i="20"/>
  <c r="E62" i="20"/>
  <c r="D62" i="20"/>
  <c r="W61" i="20"/>
  <c r="V61" i="20"/>
  <c r="U61" i="20"/>
  <c r="T61" i="20"/>
  <c r="S61" i="20"/>
  <c r="R61" i="20"/>
  <c r="Q61" i="20"/>
  <c r="P61" i="20"/>
  <c r="O61" i="20"/>
  <c r="N61" i="20"/>
  <c r="M61" i="20"/>
  <c r="L61" i="20"/>
  <c r="K61" i="20"/>
  <c r="J61" i="20"/>
  <c r="I61" i="20"/>
  <c r="H61" i="20"/>
  <c r="G61" i="20"/>
  <c r="F61" i="20"/>
  <c r="E61" i="20"/>
  <c r="D61" i="20"/>
  <c r="W60" i="20"/>
  <c r="V60" i="20"/>
  <c r="U60" i="20"/>
  <c r="T60" i="20"/>
  <c r="S60" i="20"/>
  <c r="R60" i="20"/>
  <c r="Q60" i="20"/>
  <c r="P60" i="20"/>
  <c r="O60" i="20"/>
  <c r="N60" i="20"/>
  <c r="M60" i="20"/>
  <c r="L60" i="20"/>
  <c r="K60" i="20"/>
  <c r="J60" i="20"/>
  <c r="I60" i="20"/>
  <c r="H60" i="20"/>
  <c r="G60" i="20"/>
  <c r="F60" i="20"/>
  <c r="E60" i="20"/>
  <c r="D60" i="20"/>
  <c r="W59" i="20"/>
  <c r="V59" i="20"/>
  <c r="U59" i="20"/>
  <c r="T59" i="20"/>
  <c r="S59" i="20"/>
  <c r="R59" i="20"/>
  <c r="Q59" i="20"/>
  <c r="P59" i="20"/>
  <c r="O59" i="20"/>
  <c r="N59" i="20"/>
  <c r="M59" i="20"/>
  <c r="L59" i="20"/>
  <c r="K59" i="20"/>
  <c r="J59" i="20"/>
  <c r="I59" i="20"/>
  <c r="H59" i="20"/>
  <c r="G59" i="20"/>
  <c r="F59" i="20"/>
  <c r="E59" i="20"/>
  <c r="D59" i="20"/>
  <c r="W58" i="20"/>
  <c r="V58" i="20"/>
  <c r="U58" i="20"/>
  <c r="T58" i="20"/>
  <c r="S58" i="20"/>
  <c r="R58" i="20"/>
  <c r="Q58" i="20"/>
  <c r="P58" i="20"/>
  <c r="O58" i="20"/>
  <c r="N58" i="20"/>
  <c r="M58" i="20"/>
  <c r="L58" i="20"/>
  <c r="K58" i="20"/>
  <c r="J58" i="20"/>
  <c r="I58" i="20"/>
  <c r="H58" i="20"/>
  <c r="G58" i="20"/>
  <c r="F58" i="20"/>
  <c r="E58" i="20"/>
  <c r="D58" i="20"/>
  <c r="W57" i="20"/>
  <c r="V57" i="20"/>
  <c r="U57" i="20"/>
  <c r="T57" i="20"/>
  <c r="S57" i="20"/>
  <c r="R57" i="20"/>
  <c r="Q57" i="20"/>
  <c r="P57" i="20"/>
  <c r="O57" i="20"/>
  <c r="N57" i="20"/>
  <c r="M57" i="20"/>
  <c r="L57" i="20"/>
  <c r="K57" i="20"/>
  <c r="J57" i="20"/>
  <c r="I57" i="20"/>
  <c r="H57" i="20"/>
  <c r="G57" i="20"/>
  <c r="F57" i="20"/>
  <c r="E57" i="20"/>
  <c r="D57" i="20"/>
  <c r="W56" i="20"/>
  <c r="V56" i="20"/>
  <c r="U56" i="20"/>
  <c r="T56" i="20"/>
  <c r="S56" i="20"/>
  <c r="R56" i="20"/>
  <c r="Q56" i="20"/>
  <c r="P56" i="20"/>
  <c r="O56" i="20"/>
  <c r="N56" i="20"/>
  <c r="M56" i="20"/>
  <c r="L56" i="20"/>
  <c r="K56" i="20"/>
  <c r="J56" i="20"/>
  <c r="I56" i="20"/>
  <c r="H56" i="20"/>
  <c r="G56" i="20"/>
  <c r="F56" i="20"/>
  <c r="E56" i="20"/>
  <c r="D56" i="20"/>
  <c r="W55" i="20"/>
  <c r="V55" i="20"/>
  <c r="U55" i="20"/>
  <c r="T55" i="20"/>
  <c r="S55" i="20"/>
  <c r="R55" i="20"/>
  <c r="Q55" i="20"/>
  <c r="P55" i="20"/>
  <c r="O55" i="20"/>
  <c r="N55" i="20"/>
  <c r="M55" i="20"/>
  <c r="L55" i="20"/>
  <c r="K55" i="20"/>
  <c r="J55" i="20"/>
  <c r="I55" i="20"/>
  <c r="H55" i="20"/>
  <c r="G55" i="20"/>
  <c r="F55" i="20"/>
  <c r="E55" i="20"/>
  <c r="D55" i="20"/>
  <c r="W54" i="20"/>
  <c r="V54" i="20"/>
  <c r="U54" i="20"/>
  <c r="T54" i="20"/>
  <c r="S54" i="20"/>
  <c r="R54" i="20"/>
  <c r="Q54" i="20"/>
  <c r="P54" i="20"/>
  <c r="O54" i="20"/>
  <c r="N54" i="20"/>
  <c r="M54" i="20"/>
  <c r="L54" i="20"/>
  <c r="K54" i="20"/>
  <c r="J54" i="20"/>
  <c r="I54" i="20"/>
  <c r="H54" i="20"/>
  <c r="G54" i="20"/>
  <c r="F54" i="20"/>
  <c r="E54" i="20"/>
  <c r="D54" i="20"/>
  <c r="W53" i="20"/>
  <c r="V53" i="20"/>
  <c r="U53" i="20"/>
  <c r="T53" i="20"/>
  <c r="S53" i="20"/>
  <c r="R53" i="20"/>
  <c r="Q53" i="20"/>
  <c r="P53" i="20"/>
  <c r="O53" i="20"/>
  <c r="N53" i="20"/>
  <c r="M53" i="20"/>
  <c r="L53" i="20"/>
  <c r="K53" i="20"/>
  <c r="J53" i="20"/>
  <c r="I53" i="20"/>
  <c r="H53" i="20"/>
  <c r="G53" i="20"/>
  <c r="F53" i="20"/>
  <c r="E53" i="20"/>
  <c r="D53" i="20"/>
  <c r="W52" i="20"/>
  <c r="V52" i="20"/>
  <c r="U52" i="20"/>
  <c r="T52" i="20"/>
  <c r="S52" i="20"/>
  <c r="R52" i="20"/>
  <c r="Q52" i="20"/>
  <c r="P52" i="20"/>
  <c r="O52" i="20"/>
  <c r="N52" i="20"/>
  <c r="M52" i="20"/>
  <c r="L52" i="20"/>
  <c r="K52" i="20"/>
  <c r="J52" i="20"/>
  <c r="I52" i="20"/>
  <c r="H52" i="20"/>
  <c r="G52" i="20"/>
  <c r="F52" i="20"/>
  <c r="E52" i="20"/>
  <c r="D52" i="20"/>
  <c r="W51" i="20"/>
  <c r="V51" i="20"/>
  <c r="U51" i="20"/>
  <c r="T51" i="20"/>
  <c r="S51" i="20"/>
  <c r="R51" i="20"/>
  <c r="Q51" i="20"/>
  <c r="P51" i="20"/>
  <c r="O51" i="20"/>
  <c r="N51" i="20"/>
  <c r="M51" i="20"/>
  <c r="L51" i="20"/>
  <c r="K51" i="20"/>
  <c r="J51" i="20"/>
  <c r="I51" i="20"/>
  <c r="H51" i="20"/>
  <c r="G51" i="20"/>
  <c r="F51" i="20"/>
  <c r="E51" i="20"/>
  <c r="D51" i="20"/>
  <c r="W50" i="20"/>
  <c r="V50" i="20"/>
  <c r="U50" i="20"/>
  <c r="T50" i="20"/>
  <c r="S50" i="20"/>
  <c r="R50" i="20"/>
  <c r="Q50" i="20"/>
  <c r="P50" i="20"/>
  <c r="O50" i="20"/>
  <c r="N50" i="20"/>
  <c r="M50" i="20"/>
  <c r="L50" i="20"/>
  <c r="K50" i="20"/>
  <c r="J50" i="20"/>
  <c r="I50" i="20"/>
  <c r="H50" i="20"/>
  <c r="G50" i="20"/>
  <c r="F50" i="20"/>
  <c r="E50" i="20"/>
  <c r="D50" i="20"/>
  <c r="W49" i="20"/>
  <c r="V49" i="20"/>
  <c r="U49" i="20"/>
  <c r="T49" i="20"/>
  <c r="S49" i="20"/>
  <c r="R49" i="20"/>
  <c r="Q49" i="20"/>
  <c r="P49" i="20"/>
  <c r="O49" i="20"/>
  <c r="N49" i="20"/>
  <c r="M49" i="20"/>
  <c r="L49" i="20"/>
  <c r="K49" i="20"/>
  <c r="J49" i="20"/>
  <c r="I49" i="20"/>
  <c r="H49" i="20"/>
  <c r="G49" i="20"/>
  <c r="F49" i="20"/>
  <c r="E49" i="20"/>
  <c r="D49" i="20"/>
  <c r="W48" i="20"/>
  <c r="V48" i="20"/>
  <c r="U48" i="20"/>
  <c r="T48" i="20"/>
  <c r="S48" i="20"/>
  <c r="R48" i="20"/>
  <c r="Q48" i="20"/>
  <c r="P48" i="20"/>
  <c r="O48" i="20"/>
  <c r="N48" i="20"/>
  <c r="M48" i="20"/>
  <c r="L48" i="20"/>
  <c r="K48" i="20"/>
  <c r="J48" i="20"/>
  <c r="I48" i="20"/>
  <c r="H48" i="20"/>
  <c r="G48" i="20"/>
  <c r="F48" i="20"/>
  <c r="E48" i="20"/>
  <c r="D48" i="20"/>
  <c r="W47" i="20"/>
  <c r="V47" i="20"/>
  <c r="U47" i="20"/>
  <c r="T47" i="20"/>
  <c r="S47" i="20"/>
  <c r="R47" i="20"/>
  <c r="Q47" i="20"/>
  <c r="P47" i="20"/>
  <c r="O47" i="20"/>
  <c r="N47" i="20"/>
  <c r="M47" i="20"/>
  <c r="L47" i="20"/>
  <c r="K47" i="20"/>
  <c r="J47" i="20"/>
  <c r="I47" i="20"/>
  <c r="H47" i="20"/>
  <c r="G47" i="20"/>
  <c r="F47" i="20"/>
  <c r="E47" i="20"/>
  <c r="D47" i="20"/>
  <c r="W46" i="20"/>
  <c r="V46" i="20"/>
  <c r="U46" i="20"/>
  <c r="T46" i="20"/>
  <c r="S46" i="20"/>
  <c r="R46" i="20"/>
  <c r="Q46" i="20"/>
  <c r="P46" i="20"/>
  <c r="O46" i="20"/>
  <c r="N46" i="20"/>
  <c r="M46" i="20"/>
  <c r="L46" i="20"/>
  <c r="K46" i="20"/>
  <c r="J46" i="20"/>
  <c r="I46" i="20"/>
  <c r="H46" i="20"/>
  <c r="G46" i="20"/>
  <c r="F46" i="20"/>
  <c r="E46" i="20"/>
  <c r="D46" i="20"/>
  <c r="W45" i="20"/>
  <c r="V45" i="20"/>
  <c r="U45" i="20"/>
  <c r="T45" i="20"/>
  <c r="S45" i="20"/>
  <c r="R45" i="20"/>
  <c r="Q45" i="20"/>
  <c r="P45" i="20"/>
  <c r="O45" i="20"/>
  <c r="N45" i="20"/>
  <c r="M45" i="20"/>
  <c r="L45" i="20"/>
  <c r="K45" i="20"/>
  <c r="J45" i="20"/>
  <c r="I45" i="20"/>
  <c r="H45" i="20"/>
  <c r="G45" i="20"/>
  <c r="F45" i="20"/>
  <c r="E45" i="20"/>
  <c r="D45" i="20"/>
  <c r="W44" i="20"/>
  <c r="V44" i="20"/>
  <c r="U44" i="20"/>
  <c r="T44" i="20"/>
  <c r="S44" i="20"/>
  <c r="R44" i="20"/>
  <c r="Q44" i="20"/>
  <c r="P44" i="20"/>
  <c r="O44" i="20"/>
  <c r="N44" i="20"/>
  <c r="M44" i="20"/>
  <c r="L44" i="20"/>
  <c r="K44" i="20"/>
  <c r="J44" i="20"/>
  <c r="I44" i="20"/>
  <c r="H44" i="20"/>
  <c r="G44" i="20"/>
  <c r="F44" i="20"/>
  <c r="E44" i="20"/>
  <c r="D44" i="20"/>
  <c r="W43" i="20"/>
  <c r="V43" i="20"/>
  <c r="U43" i="20"/>
  <c r="T43" i="20"/>
  <c r="S43" i="20"/>
  <c r="R43" i="20"/>
  <c r="Q43" i="20"/>
  <c r="P43" i="20"/>
  <c r="O43" i="20"/>
  <c r="N43" i="20"/>
  <c r="M43" i="20"/>
  <c r="L43" i="20"/>
  <c r="K43" i="20"/>
  <c r="J43" i="20"/>
  <c r="I43" i="20"/>
  <c r="H43" i="20"/>
  <c r="G43" i="20"/>
  <c r="F43" i="20"/>
  <c r="E43" i="20"/>
  <c r="D43" i="20"/>
  <c r="W42" i="20"/>
  <c r="V42" i="20"/>
  <c r="U42" i="20"/>
  <c r="T42" i="20"/>
  <c r="S42" i="20"/>
  <c r="R42" i="20"/>
  <c r="Q42" i="20"/>
  <c r="P42" i="20"/>
  <c r="O42" i="20"/>
  <c r="N42" i="20"/>
  <c r="M42" i="20"/>
  <c r="L42" i="20"/>
  <c r="K42" i="20"/>
  <c r="J42" i="20"/>
  <c r="I42" i="20"/>
  <c r="H42" i="20"/>
  <c r="G42" i="20"/>
  <c r="F42" i="20"/>
  <c r="E42" i="20"/>
  <c r="D42" i="20"/>
  <c r="W41" i="20"/>
  <c r="V41" i="20"/>
  <c r="U41" i="20"/>
  <c r="T41" i="20"/>
  <c r="S41" i="20"/>
  <c r="R41" i="20"/>
  <c r="Q41" i="20"/>
  <c r="P41" i="20"/>
  <c r="O41" i="20"/>
  <c r="N41" i="20"/>
  <c r="M41" i="20"/>
  <c r="L41" i="20"/>
  <c r="K41" i="20"/>
  <c r="J41" i="20"/>
  <c r="I41" i="20"/>
  <c r="H41" i="20"/>
  <c r="G41" i="20"/>
  <c r="F41" i="20"/>
  <c r="E41" i="20"/>
  <c r="D41" i="20"/>
  <c r="W40" i="20"/>
  <c r="V40" i="20"/>
  <c r="U40" i="20"/>
  <c r="T40" i="20"/>
  <c r="S40" i="20"/>
  <c r="R40" i="20"/>
  <c r="Q40" i="20"/>
  <c r="P40" i="20"/>
  <c r="O40" i="20"/>
  <c r="N40" i="20"/>
  <c r="M40" i="20"/>
  <c r="L40" i="20"/>
  <c r="K40" i="20"/>
  <c r="J40" i="20"/>
  <c r="I40" i="20"/>
  <c r="H40" i="20"/>
  <c r="G40" i="20"/>
  <c r="F40" i="20"/>
  <c r="E40" i="20"/>
  <c r="D40" i="20"/>
  <c r="W39" i="20"/>
  <c r="V39" i="20"/>
  <c r="U39" i="20"/>
  <c r="T39" i="20"/>
  <c r="S39" i="20"/>
  <c r="R39" i="20"/>
  <c r="Q39" i="20"/>
  <c r="P39" i="20"/>
  <c r="O39" i="20"/>
  <c r="N39" i="20"/>
  <c r="M39" i="20"/>
  <c r="L39" i="20"/>
  <c r="K39" i="20"/>
  <c r="J39" i="20"/>
  <c r="I39" i="20"/>
  <c r="H39" i="20"/>
  <c r="G39" i="20"/>
  <c r="F39" i="20"/>
  <c r="E39" i="20"/>
  <c r="D39" i="20"/>
  <c r="W38" i="20"/>
  <c r="V38" i="20"/>
  <c r="U38" i="20"/>
  <c r="T38" i="20"/>
  <c r="S38" i="20"/>
  <c r="R38" i="20"/>
  <c r="Q38" i="20"/>
  <c r="P38" i="20"/>
  <c r="O38" i="20"/>
  <c r="N38" i="20"/>
  <c r="M38" i="20"/>
  <c r="L38" i="20"/>
  <c r="K38" i="20"/>
  <c r="J38" i="20"/>
  <c r="I38" i="20"/>
  <c r="H38" i="20"/>
  <c r="G38" i="20"/>
  <c r="F38" i="20"/>
  <c r="E38" i="20"/>
  <c r="D38" i="20"/>
  <c r="W37" i="20"/>
  <c r="V37" i="20"/>
  <c r="U37" i="20"/>
  <c r="T37" i="20"/>
  <c r="S37" i="20"/>
  <c r="R37" i="20"/>
  <c r="Q37" i="20"/>
  <c r="P37" i="20"/>
  <c r="O37" i="20"/>
  <c r="N37" i="20"/>
  <c r="M37" i="20"/>
  <c r="L37" i="20"/>
  <c r="K37" i="20"/>
  <c r="J37" i="20"/>
  <c r="I37" i="20"/>
  <c r="H37" i="20"/>
  <c r="G37" i="20"/>
  <c r="F37" i="20"/>
  <c r="E37" i="20"/>
  <c r="D37" i="20"/>
  <c r="W36" i="20"/>
  <c r="V36" i="20"/>
  <c r="U36" i="20"/>
  <c r="T36" i="20"/>
  <c r="S36" i="20"/>
  <c r="R36" i="20"/>
  <c r="Q36" i="20"/>
  <c r="P36" i="20"/>
  <c r="O36" i="20"/>
  <c r="N36" i="20"/>
  <c r="M36" i="20"/>
  <c r="L36" i="20"/>
  <c r="K36" i="20"/>
  <c r="J36" i="20"/>
  <c r="I36" i="20"/>
  <c r="H36" i="20"/>
  <c r="G36" i="20"/>
  <c r="F36" i="20"/>
  <c r="E36" i="20"/>
  <c r="D36" i="20"/>
  <c r="W35" i="20"/>
  <c r="V35" i="20"/>
  <c r="U35" i="20"/>
  <c r="T35" i="20"/>
  <c r="S35" i="20"/>
  <c r="R35" i="20"/>
  <c r="Q35" i="20"/>
  <c r="P35" i="20"/>
  <c r="O35" i="20"/>
  <c r="N35" i="20"/>
  <c r="M35" i="20"/>
  <c r="L35" i="20"/>
  <c r="K35" i="20"/>
  <c r="J35" i="20"/>
  <c r="I35" i="20"/>
  <c r="H35" i="20"/>
  <c r="G35" i="20"/>
  <c r="F35" i="20"/>
  <c r="E35" i="20"/>
  <c r="D35" i="20"/>
  <c r="W34" i="20"/>
  <c r="V34" i="20"/>
  <c r="U34" i="20"/>
  <c r="T34" i="20"/>
  <c r="S34" i="20"/>
  <c r="R34" i="20"/>
  <c r="Q34" i="20"/>
  <c r="P34" i="20"/>
  <c r="O34" i="20"/>
  <c r="N34" i="20"/>
  <c r="M34" i="20"/>
  <c r="L34" i="20"/>
  <c r="K34" i="20"/>
  <c r="J34" i="20"/>
  <c r="I34" i="20"/>
  <c r="H34" i="20"/>
  <c r="G34" i="20"/>
  <c r="F34" i="20"/>
  <c r="E34" i="20"/>
  <c r="D34" i="20"/>
  <c r="W33" i="20"/>
  <c r="V33" i="20"/>
  <c r="U33" i="20"/>
  <c r="T33" i="20"/>
  <c r="S33" i="20"/>
  <c r="R33" i="20"/>
  <c r="Q33" i="20"/>
  <c r="P33" i="20"/>
  <c r="O33" i="20"/>
  <c r="N33" i="20"/>
  <c r="M33" i="20"/>
  <c r="L33" i="20"/>
  <c r="K33" i="20"/>
  <c r="J33" i="20"/>
  <c r="I33" i="20"/>
  <c r="H33" i="20"/>
  <c r="G33" i="20"/>
  <c r="F33" i="20"/>
  <c r="E33" i="20"/>
  <c r="D33" i="20"/>
  <c r="W32" i="20"/>
  <c r="V32" i="20"/>
  <c r="U32" i="20"/>
  <c r="T32" i="20"/>
  <c r="S32" i="20"/>
  <c r="R32" i="20"/>
  <c r="Q32" i="20"/>
  <c r="P32" i="20"/>
  <c r="O32" i="20"/>
  <c r="N32" i="20"/>
  <c r="M32" i="20"/>
  <c r="L32" i="20"/>
  <c r="K32" i="20"/>
  <c r="J32" i="20"/>
  <c r="I32" i="20"/>
  <c r="H32" i="20"/>
  <c r="G32" i="20"/>
  <c r="F32" i="20"/>
  <c r="E32" i="20"/>
  <c r="D32" i="20"/>
  <c r="W31" i="20"/>
  <c r="V31" i="20"/>
  <c r="U31" i="20"/>
  <c r="T31" i="20"/>
  <c r="S31" i="20"/>
  <c r="R31" i="20"/>
  <c r="Q31" i="20"/>
  <c r="P31" i="20"/>
  <c r="O31" i="20"/>
  <c r="N31" i="20"/>
  <c r="M31" i="20"/>
  <c r="L31" i="20"/>
  <c r="K31" i="20"/>
  <c r="J31" i="20"/>
  <c r="I31" i="20"/>
  <c r="H31" i="20"/>
  <c r="G31" i="20"/>
  <c r="F31" i="20"/>
  <c r="E31" i="20"/>
  <c r="D31" i="20"/>
  <c r="W30" i="20"/>
  <c r="V30" i="20"/>
  <c r="U30" i="20"/>
  <c r="T30" i="20"/>
  <c r="S30" i="20"/>
  <c r="R30" i="20"/>
  <c r="Q30" i="20"/>
  <c r="P30" i="20"/>
  <c r="O30" i="20"/>
  <c r="N30" i="20"/>
  <c r="M30" i="20"/>
  <c r="L30" i="20"/>
  <c r="K30" i="20"/>
  <c r="J30" i="20"/>
  <c r="I30" i="20"/>
  <c r="H30" i="20"/>
  <c r="G30" i="20"/>
  <c r="F30" i="20"/>
  <c r="E30" i="20"/>
  <c r="D30" i="20"/>
  <c r="W29" i="20"/>
  <c r="V29" i="20"/>
  <c r="U29" i="20"/>
  <c r="T29" i="20"/>
  <c r="S29" i="20"/>
  <c r="R29" i="20"/>
  <c r="Q29" i="20"/>
  <c r="P29" i="20"/>
  <c r="O29" i="20"/>
  <c r="N29" i="20"/>
  <c r="M29" i="20"/>
  <c r="L29" i="20"/>
  <c r="K29" i="20"/>
  <c r="J29" i="20"/>
  <c r="I29" i="20"/>
  <c r="H29" i="20"/>
  <c r="G29" i="20"/>
  <c r="F29" i="20"/>
  <c r="E29" i="20"/>
  <c r="D29" i="20"/>
  <c r="W28" i="20"/>
  <c r="V28" i="20"/>
  <c r="U28" i="20"/>
  <c r="T28" i="20"/>
  <c r="S28" i="20"/>
  <c r="R28" i="20"/>
  <c r="Q28" i="20"/>
  <c r="P28" i="20"/>
  <c r="O28" i="20"/>
  <c r="N28" i="20"/>
  <c r="M28" i="20"/>
  <c r="L28" i="20"/>
  <c r="K28" i="20"/>
  <c r="J28" i="20"/>
  <c r="I28" i="20"/>
  <c r="H28" i="20"/>
  <c r="G28" i="20"/>
  <c r="F28" i="20"/>
  <c r="E28" i="20"/>
  <c r="D28" i="20"/>
  <c r="W27" i="20"/>
  <c r="V27" i="20"/>
  <c r="U27" i="20"/>
  <c r="T27" i="20"/>
  <c r="S27" i="20"/>
  <c r="R27" i="20"/>
  <c r="Q27" i="20"/>
  <c r="P27" i="20"/>
  <c r="O27" i="20"/>
  <c r="N27" i="20"/>
  <c r="M27" i="20"/>
  <c r="L27" i="20"/>
  <c r="K27" i="20"/>
  <c r="J27" i="20"/>
  <c r="I27" i="20"/>
  <c r="H27" i="20"/>
  <c r="G27" i="20"/>
  <c r="F27" i="20"/>
  <c r="E27" i="20"/>
  <c r="D27" i="20"/>
  <c r="W26" i="20"/>
  <c r="V26" i="20"/>
  <c r="U26" i="20"/>
  <c r="T26" i="20"/>
  <c r="S26" i="20"/>
  <c r="R26" i="20"/>
  <c r="Q26" i="20"/>
  <c r="P26" i="20"/>
  <c r="O26" i="20"/>
  <c r="N26" i="20"/>
  <c r="M26" i="20"/>
  <c r="L26" i="20"/>
  <c r="K26" i="20"/>
  <c r="J26" i="20"/>
  <c r="I26" i="20"/>
  <c r="H26" i="20"/>
  <c r="G26" i="20"/>
  <c r="F26" i="20"/>
  <c r="E26" i="20"/>
  <c r="D26" i="20"/>
  <c r="W25" i="20"/>
  <c r="V25" i="20"/>
  <c r="U25" i="20"/>
  <c r="T25" i="20"/>
  <c r="S25" i="20"/>
  <c r="R25" i="20"/>
  <c r="Q25" i="20"/>
  <c r="P25" i="20"/>
  <c r="O25" i="20"/>
  <c r="N25" i="20"/>
  <c r="M25" i="20"/>
  <c r="L25" i="20"/>
  <c r="K25" i="20"/>
  <c r="J25" i="20"/>
  <c r="I25" i="20"/>
  <c r="H25" i="20"/>
  <c r="G25" i="20"/>
  <c r="F25" i="20"/>
  <c r="E25" i="20"/>
  <c r="D25" i="20"/>
  <c r="W24" i="20"/>
  <c r="V24" i="20"/>
  <c r="U24" i="20"/>
  <c r="T24" i="20"/>
  <c r="S24" i="20"/>
  <c r="R24" i="20"/>
  <c r="Q24" i="20"/>
  <c r="P24" i="20"/>
  <c r="O24" i="20"/>
  <c r="N24" i="20"/>
  <c r="M24" i="20"/>
  <c r="L24" i="20"/>
  <c r="K24" i="20"/>
  <c r="J24" i="20"/>
  <c r="I24" i="20"/>
  <c r="H24" i="20"/>
  <c r="G24" i="20"/>
  <c r="F24" i="20"/>
  <c r="E24" i="20"/>
  <c r="D24" i="20"/>
  <c r="W23" i="20"/>
  <c r="V23" i="20"/>
  <c r="U23" i="20"/>
  <c r="T23" i="20"/>
  <c r="S23" i="20"/>
  <c r="R23" i="20"/>
  <c r="Q23" i="20"/>
  <c r="P23" i="20"/>
  <c r="O23" i="20"/>
  <c r="N23" i="20"/>
  <c r="M23" i="20"/>
  <c r="L23" i="20"/>
  <c r="K23" i="20"/>
  <c r="J23" i="20"/>
  <c r="I23" i="20"/>
  <c r="H23" i="20"/>
  <c r="G23" i="20"/>
  <c r="F23" i="20"/>
  <c r="E23" i="20"/>
  <c r="D23" i="20"/>
  <c r="W22" i="20"/>
  <c r="V22" i="20"/>
  <c r="U22" i="20"/>
  <c r="T22" i="20"/>
  <c r="S22" i="20"/>
  <c r="R22" i="20"/>
  <c r="Q22" i="20"/>
  <c r="P22" i="20"/>
  <c r="O22" i="20"/>
  <c r="N22" i="20"/>
  <c r="M22" i="20"/>
  <c r="L22" i="20"/>
  <c r="K22" i="20"/>
  <c r="J22" i="20"/>
  <c r="I22" i="20"/>
  <c r="H22" i="20"/>
  <c r="G22" i="20"/>
  <c r="F22" i="20"/>
  <c r="E22" i="20"/>
  <c r="D22" i="20"/>
  <c r="W21" i="20"/>
  <c r="V21" i="20"/>
  <c r="U21" i="20"/>
  <c r="T21" i="20"/>
  <c r="S21" i="20"/>
  <c r="R21" i="20"/>
  <c r="Q21" i="20"/>
  <c r="P21" i="20"/>
  <c r="O21" i="20"/>
  <c r="N21" i="20"/>
  <c r="M21" i="20"/>
  <c r="L21" i="20"/>
  <c r="K21" i="20"/>
  <c r="J21" i="20"/>
  <c r="I21" i="20"/>
  <c r="H21" i="20"/>
  <c r="G21" i="20"/>
  <c r="F21" i="20"/>
  <c r="E21" i="20"/>
  <c r="D21" i="20"/>
  <c r="W20" i="20"/>
  <c r="V20" i="20"/>
  <c r="U20" i="20"/>
  <c r="T20" i="20"/>
  <c r="S20" i="20"/>
  <c r="R20" i="20"/>
  <c r="Q20" i="20"/>
  <c r="P20" i="20"/>
  <c r="O20" i="20"/>
  <c r="N20" i="20"/>
  <c r="M20" i="20"/>
  <c r="L20" i="20"/>
  <c r="K20" i="20"/>
  <c r="J20" i="20"/>
  <c r="I20" i="20"/>
  <c r="H20" i="20"/>
  <c r="G20" i="20"/>
  <c r="F20" i="20"/>
  <c r="E20" i="20"/>
  <c r="D20" i="20"/>
  <c r="W19" i="20"/>
  <c r="V19" i="20"/>
  <c r="U19" i="20"/>
  <c r="T19" i="20"/>
  <c r="S19" i="20"/>
  <c r="R19" i="20"/>
  <c r="Q19" i="20"/>
  <c r="P19" i="20"/>
  <c r="O19" i="20"/>
  <c r="N19" i="20"/>
  <c r="M19" i="20"/>
  <c r="L19" i="20"/>
  <c r="K19" i="20"/>
  <c r="J19" i="20"/>
  <c r="I19" i="20"/>
  <c r="H19" i="20"/>
  <c r="G19" i="20"/>
  <c r="F19" i="20"/>
  <c r="E19" i="20"/>
  <c r="D19" i="20"/>
  <c r="W18" i="20"/>
  <c r="V18" i="20"/>
  <c r="U18" i="20"/>
  <c r="T18" i="20"/>
  <c r="S18" i="20"/>
  <c r="R18" i="20"/>
  <c r="Q18" i="20"/>
  <c r="P18" i="20"/>
  <c r="O18" i="20"/>
  <c r="N18" i="20"/>
  <c r="M18" i="20"/>
  <c r="L18" i="20"/>
  <c r="K18" i="20"/>
  <c r="J18" i="20"/>
  <c r="I18" i="20"/>
  <c r="H18" i="20"/>
  <c r="G18" i="20"/>
  <c r="F18" i="20"/>
  <c r="E18" i="20"/>
  <c r="D18" i="20"/>
  <c r="W17" i="20"/>
  <c r="V17" i="20"/>
  <c r="U17" i="20"/>
  <c r="T17" i="20"/>
  <c r="S17" i="20"/>
  <c r="R17" i="20"/>
  <c r="Q17" i="20"/>
  <c r="P17" i="20"/>
  <c r="O17" i="20"/>
  <c r="N17" i="20"/>
  <c r="M17" i="20"/>
  <c r="L17" i="20"/>
  <c r="K17" i="20"/>
  <c r="J17" i="20"/>
  <c r="I17" i="20"/>
  <c r="H17" i="20"/>
  <c r="G17" i="20"/>
  <c r="F17" i="20"/>
  <c r="E17" i="20"/>
  <c r="D17" i="20"/>
  <c r="W16" i="20"/>
  <c r="V16" i="20"/>
  <c r="U16" i="20"/>
  <c r="T16" i="20"/>
  <c r="S16" i="20"/>
  <c r="R16" i="20"/>
  <c r="Q16" i="20"/>
  <c r="P16" i="20"/>
  <c r="O16" i="20"/>
  <c r="N16" i="20"/>
  <c r="M16" i="20"/>
  <c r="L16" i="20"/>
  <c r="K16" i="20"/>
  <c r="J16" i="20"/>
  <c r="I16" i="20"/>
  <c r="H16" i="20"/>
  <c r="G16" i="20"/>
  <c r="F16" i="20"/>
  <c r="E16" i="20"/>
  <c r="D16" i="20"/>
  <c r="W15" i="20"/>
  <c r="V15" i="20"/>
  <c r="U15" i="20"/>
  <c r="T15" i="20"/>
  <c r="S15" i="20"/>
  <c r="R15" i="20"/>
  <c r="Q15" i="20"/>
  <c r="P15" i="20"/>
  <c r="O15" i="20"/>
  <c r="N15" i="20"/>
  <c r="M15" i="20"/>
  <c r="L15" i="20"/>
  <c r="K15" i="20"/>
  <c r="J15" i="20"/>
  <c r="I15" i="20"/>
  <c r="H15" i="20"/>
  <c r="G15" i="20"/>
  <c r="F15" i="20"/>
  <c r="E15" i="20"/>
  <c r="D15" i="20"/>
  <c r="W14" i="20"/>
  <c r="V14" i="20"/>
  <c r="U14" i="20"/>
  <c r="T14" i="20"/>
  <c r="S14" i="20"/>
  <c r="R14" i="20"/>
  <c r="Q14" i="20"/>
  <c r="P14" i="20"/>
  <c r="O14" i="20"/>
  <c r="N14" i="20"/>
  <c r="M14" i="20"/>
  <c r="L14" i="20"/>
  <c r="K14" i="20"/>
  <c r="J14" i="20"/>
  <c r="I14" i="20"/>
  <c r="H14" i="20"/>
  <c r="G14" i="20"/>
  <c r="F14" i="20"/>
  <c r="E14" i="20"/>
  <c r="D14" i="20"/>
  <c r="W13" i="20"/>
  <c r="V13" i="20"/>
  <c r="U13" i="20"/>
  <c r="T13" i="20"/>
  <c r="S13" i="20"/>
  <c r="R13" i="20"/>
  <c r="Q13" i="20"/>
  <c r="P13" i="20"/>
  <c r="O13" i="20"/>
  <c r="N13" i="20"/>
  <c r="M13" i="20"/>
  <c r="L13" i="20"/>
  <c r="K13" i="20"/>
  <c r="J13" i="20"/>
  <c r="I13" i="20"/>
  <c r="H13" i="20"/>
  <c r="G13" i="20"/>
  <c r="F13" i="20"/>
  <c r="E13" i="20"/>
  <c r="D13" i="20"/>
  <c r="W12" i="20"/>
  <c r="V12" i="20"/>
  <c r="U12" i="20"/>
  <c r="T12" i="20"/>
  <c r="S12" i="20"/>
  <c r="R12" i="20"/>
  <c r="Q12" i="20"/>
  <c r="P12" i="20"/>
  <c r="O12" i="20"/>
  <c r="N12" i="20"/>
  <c r="M12" i="20"/>
  <c r="L12" i="20"/>
  <c r="K12" i="20"/>
  <c r="J12" i="20"/>
  <c r="I12" i="20"/>
  <c r="H12" i="20"/>
  <c r="G12" i="20"/>
  <c r="F12" i="20"/>
  <c r="E12" i="20"/>
  <c r="D12" i="20"/>
  <c r="W11" i="20"/>
  <c r="V11" i="20"/>
  <c r="U11" i="20"/>
  <c r="T11" i="20"/>
  <c r="S11" i="20"/>
  <c r="R11" i="20"/>
  <c r="Q11" i="20"/>
  <c r="P11" i="20"/>
  <c r="O11" i="20"/>
  <c r="N11" i="20"/>
  <c r="M11" i="20"/>
  <c r="L11" i="20"/>
  <c r="K11" i="20"/>
  <c r="J11" i="20"/>
  <c r="I11" i="20"/>
  <c r="H11" i="20"/>
  <c r="G11" i="20"/>
  <c r="F11" i="20"/>
  <c r="E11" i="20"/>
  <c r="D11" i="20"/>
  <c r="W10" i="20"/>
  <c r="V10" i="20"/>
  <c r="U10" i="20"/>
  <c r="T10" i="20"/>
  <c r="S10" i="20"/>
  <c r="R10" i="20"/>
  <c r="Q10" i="20"/>
  <c r="P10" i="20"/>
  <c r="O10" i="20"/>
  <c r="N10" i="20"/>
  <c r="M10" i="20"/>
  <c r="L10" i="20"/>
  <c r="K10" i="20"/>
  <c r="J10" i="20"/>
  <c r="I10" i="20"/>
  <c r="H10" i="20"/>
  <c r="G10" i="20"/>
  <c r="F10" i="20"/>
  <c r="E10" i="20"/>
  <c r="D10" i="20"/>
  <c r="W9" i="20"/>
  <c r="V9" i="20"/>
  <c r="U9" i="20"/>
  <c r="T9" i="20"/>
  <c r="S9" i="20"/>
  <c r="R9" i="20"/>
  <c r="Q9" i="20"/>
  <c r="P9" i="20"/>
  <c r="O9" i="20"/>
  <c r="N9" i="20"/>
  <c r="M9" i="20"/>
  <c r="L9" i="20"/>
  <c r="K9" i="20"/>
  <c r="J9" i="20"/>
  <c r="I9" i="20"/>
  <c r="H9" i="20"/>
  <c r="G9" i="20"/>
  <c r="F9" i="20"/>
  <c r="E9" i="20"/>
  <c r="D9" i="20"/>
  <c r="W8" i="20"/>
  <c r="V8" i="20"/>
  <c r="U8" i="20"/>
  <c r="T8" i="20"/>
  <c r="S8" i="20"/>
  <c r="R8" i="20"/>
  <c r="Q8" i="20"/>
  <c r="P8" i="20"/>
  <c r="O8" i="20"/>
  <c r="N8" i="20"/>
  <c r="M8" i="20"/>
  <c r="L8" i="20"/>
  <c r="K8" i="20"/>
  <c r="J8" i="20"/>
  <c r="I8" i="20"/>
  <c r="H8" i="20"/>
  <c r="G8" i="20"/>
  <c r="F8" i="20"/>
  <c r="E8" i="20"/>
  <c r="D8" i="20"/>
  <c r="W7" i="20"/>
  <c r="V7" i="20"/>
  <c r="U7" i="20"/>
  <c r="T7" i="20"/>
  <c r="S7" i="20"/>
  <c r="R7" i="20"/>
  <c r="Q7" i="20"/>
  <c r="P7" i="20"/>
  <c r="O7" i="20"/>
  <c r="N7" i="20"/>
  <c r="M7" i="20"/>
  <c r="L7" i="20"/>
  <c r="K7" i="20"/>
  <c r="J7" i="20"/>
  <c r="I7" i="20"/>
  <c r="H7" i="20"/>
  <c r="G7" i="20"/>
  <c r="F7" i="20"/>
  <c r="E7" i="20"/>
  <c r="D7" i="20"/>
  <c r="W6" i="20"/>
  <c r="V6" i="20"/>
  <c r="U6" i="20"/>
  <c r="T6" i="20"/>
  <c r="S6" i="20"/>
  <c r="R6" i="20"/>
  <c r="Q6" i="20"/>
  <c r="P6" i="20"/>
  <c r="O6" i="20"/>
  <c r="N6" i="20"/>
  <c r="M6" i="20"/>
  <c r="L6" i="20"/>
  <c r="K6" i="20"/>
  <c r="J6" i="20"/>
  <c r="I6" i="20"/>
  <c r="H6" i="20"/>
  <c r="G6" i="20"/>
  <c r="F6" i="20"/>
  <c r="E6" i="20"/>
  <c r="D6" i="20"/>
  <c r="W5" i="20"/>
  <c r="V5" i="20"/>
  <c r="U5" i="20"/>
  <c r="T5" i="20"/>
  <c r="S5" i="20"/>
  <c r="R5" i="20"/>
  <c r="Q5" i="20"/>
  <c r="P5" i="20"/>
  <c r="O5" i="20"/>
  <c r="N5" i="20"/>
  <c r="M5" i="20"/>
  <c r="L5" i="20"/>
  <c r="K5" i="20"/>
  <c r="J5" i="20"/>
  <c r="I5" i="20"/>
  <c r="H5" i="20"/>
  <c r="G5" i="20"/>
  <c r="F5" i="20"/>
  <c r="E5" i="20"/>
  <c r="D5" i="20"/>
  <c r="W4" i="20"/>
  <c r="V4" i="20"/>
  <c r="U4" i="20"/>
  <c r="T4" i="20"/>
  <c r="S4" i="20"/>
  <c r="R4" i="20"/>
  <c r="Q4" i="20"/>
  <c r="P4" i="20"/>
  <c r="O4" i="20"/>
  <c r="N4" i="20"/>
  <c r="M4" i="20"/>
  <c r="L4" i="20"/>
  <c r="K4" i="20"/>
  <c r="J4" i="20"/>
  <c r="I4" i="20"/>
  <c r="H4" i="20"/>
  <c r="G4" i="20"/>
  <c r="F4" i="20"/>
  <c r="E4" i="20"/>
  <c r="D4" i="20"/>
  <c r="W3" i="20"/>
  <c r="V3" i="20"/>
  <c r="U3" i="20"/>
  <c r="T3" i="20"/>
  <c r="S3" i="20"/>
  <c r="R3" i="20"/>
  <c r="Q3" i="20"/>
  <c r="P3" i="20"/>
  <c r="O3" i="20"/>
  <c r="N3" i="20"/>
  <c r="M3" i="20"/>
  <c r="L3" i="20"/>
  <c r="K3" i="20"/>
  <c r="J3" i="20"/>
  <c r="I3" i="20"/>
  <c r="H3" i="20"/>
  <c r="G3" i="20"/>
  <c r="F3" i="20"/>
  <c r="E3" i="20"/>
  <c r="D3" i="20"/>
  <c r="D127" i="19"/>
  <c r="D126" i="19"/>
  <c r="D125" i="19"/>
  <c r="D124" i="19"/>
  <c r="D123" i="19"/>
  <c r="D122" i="19"/>
  <c r="D121" i="19"/>
  <c r="D120" i="19"/>
  <c r="D119" i="19"/>
  <c r="D118" i="19"/>
  <c r="D117" i="19"/>
  <c r="D116" i="19"/>
  <c r="D115" i="19"/>
  <c r="D114" i="19"/>
  <c r="D113" i="19"/>
  <c r="D112" i="19"/>
  <c r="D111" i="19"/>
  <c r="D110" i="19"/>
  <c r="D109" i="19"/>
  <c r="D108" i="19"/>
  <c r="D107" i="19"/>
  <c r="D106" i="19"/>
  <c r="D105" i="19"/>
  <c r="D104" i="19"/>
  <c r="D103" i="19"/>
  <c r="D102" i="19"/>
  <c r="D101" i="19"/>
  <c r="D100" i="19"/>
  <c r="D99" i="19"/>
  <c r="D98" i="19"/>
  <c r="D97" i="19"/>
  <c r="D96" i="19"/>
  <c r="D95" i="19"/>
  <c r="D94" i="19"/>
  <c r="D93" i="19"/>
  <c r="D92" i="19"/>
  <c r="D91" i="19"/>
  <c r="D90" i="19"/>
  <c r="D89" i="19"/>
  <c r="D88" i="19"/>
  <c r="D87" i="19"/>
  <c r="D86" i="19"/>
  <c r="D85" i="19"/>
  <c r="D84" i="19"/>
  <c r="D83" i="19"/>
  <c r="D82" i="19"/>
  <c r="D81" i="19"/>
  <c r="D80" i="19"/>
  <c r="D79" i="19"/>
  <c r="D78" i="19"/>
  <c r="D77" i="19"/>
  <c r="D76" i="19"/>
  <c r="D75" i="19"/>
  <c r="D74" i="19"/>
  <c r="D73" i="19"/>
  <c r="D72" i="19"/>
  <c r="D71" i="19"/>
  <c r="D70" i="19"/>
  <c r="D69" i="19"/>
  <c r="D68" i="19"/>
  <c r="D67" i="19"/>
  <c r="D66" i="19"/>
  <c r="D65" i="19"/>
  <c r="D64" i="19"/>
  <c r="D63" i="19"/>
  <c r="D62" i="19"/>
  <c r="D61" i="19"/>
  <c r="D60" i="19"/>
  <c r="D59" i="19"/>
  <c r="D58" i="19"/>
  <c r="D57" i="19"/>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13" i="19"/>
  <c r="D12" i="19"/>
  <c r="D11" i="19"/>
  <c r="D10" i="19"/>
  <c r="D9" i="19"/>
  <c r="D8" i="19"/>
  <c r="D7" i="19"/>
  <c r="D6" i="19"/>
  <c r="D5" i="19"/>
  <c r="D4" i="19"/>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D3" i="19"/>
  <c r="K128" i="18"/>
  <c r="J128" i="18"/>
  <c r="E128" i="18"/>
  <c r="D128" i="18"/>
  <c r="K127" i="18"/>
  <c r="J127" i="18"/>
  <c r="E127" i="18"/>
  <c r="D127" i="18"/>
  <c r="K126" i="18"/>
  <c r="J126" i="18"/>
  <c r="E126" i="18"/>
  <c r="D126" i="18"/>
  <c r="K125" i="18"/>
  <c r="J125" i="18"/>
  <c r="E125" i="18"/>
  <c r="D125" i="18"/>
  <c r="K124" i="18"/>
  <c r="J124" i="18"/>
  <c r="E124" i="18"/>
  <c r="D124" i="18"/>
  <c r="K123" i="18"/>
  <c r="J123" i="18"/>
  <c r="E123" i="18"/>
  <c r="D123" i="18"/>
  <c r="K122" i="18"/>
  <c r="J122" i="18"/>
  <c r="E122" i="18"/>
  <c r="D122" i="18"/>
  <c r="K121" i="18"/>
  <c r="J121" i="18"/>
  <c r="E121" i="18"/>
  <c r="D121" i="18"/>
  <c r="K120" i="18"/>
  <c r="J120" i="18"/>
  <c r="E120" i="18"/>
  <c r="D120" i="18"/>
  <c r="K119" i="18"/>
  <c r="J119" i="18"/>
  <c r="E119" i="18"/>
  <c r="D119" i="18"/>
  <c r="K118" i="18"/>
  <c r="J118" i="18"/>
  <c r="E118" i="18"/>
  <c r="D118" i="18"/>
  <c r="K117" i="18"/>
  <c r="J117" i="18"/>
  <c r="E117" i="18"/>
  <c r="D117" i="18"/>
  <c r="K116" i="18"/>
  <c r="J116" i="18"/>
  <c r="E116" i="18"/>
  <c r="D116" i="18"/>
  <c r="K115" i="18"/>
  <c r="J115" i="18"/>
  <c r="E115" i="18"/>
  <c r="D115" i="18"/>
  <c r="K114" i="18"/>
  <c r="J114" i="18"/>
  <c r="E114" i="18"/>
  <c r="D114" i="18"/>
  <c r="K113" i="18"/>
  <c r="J113" i="18"/>
  <c r="E113" i="18"/>
  <c r="D113" i="18"/>
  <c r="K112" i="18"/>
  <c r="J112" i="18"/>
  <c r="E112" i="18"/>
  <c r="D112" i="18"/>
  <c r="K111" i="18"/>
  <c r="J111" i="18"/>
  <c r="E111" i="18"/>
  <c r="D111" i="18"/>
  <c r="K110" i="18"/>
  <c r="J110" i="18"/>
  <c r="E110" i="18"/>
  <c r="D110" i="18"/>
  <c r="K109" i="18"/>
  <c r="J109" i="18"/>
  <c r="E109" i="18"/>
  <c r="D109" i="18"/>
  <c r="K108" i="18"/>
  <c r="J108" i="18"/>
  <c r="G108" i="18" s="1"/>
  <c r="E108" i="18"/>
  <c r="F108" i="18" s="1"/>
  <c r="D108" i="18"/>
  <c r="K107" i="18"/>
  <c r="J107" i="18"/>
  <c r="E107" i="18"/>
  <c r="D107" i="18"/>
  <c r="K106" i="18"/>
  <c r="J106" i="18"/>
  <c r="E106" i="18"/>
  <c r="D106" i="18"/>
  <c r="K105" i="18"/>
  <c r="J105" i="18"/>
  <c r="E105" i="18"/>
  <c r="D105" i="18"/>
  <c r="K104" i="18"/>
  <c r="J104" i="18"/>
  <c r="E104" i="18"/>
  <c r="D104" i="18"/>
  <c r="K103" i="18"/>
  <c r="J103" i="18"/>
  <c r="E103" i="18"/>
  <c r="D103" i="18"/>
  <c r="K102" i="18"/>
  <c r="J102" i="18"/>
  <c r="E102" i="18"/>
  <c r="D102" i="18"/>
  <c r="K101" i="18"/>
  <c r="J101" i="18"/>
  <c r="E101" i="18"/>
  <c r="D101" i="18"/>
  <c r="K100" i="18"/>
  <c r="J100" i="18"/>
  <c r="G100" i="18" s="1"/>
  <c r="E100" i="18"/>
  <c r="D100" i="18"/>
  <c r="K99" i="18"/>
  <c r="J99" i="18"/>
  <c r="E99" i="18"/>
  <c r="D99" i="18"/>
  <c r="K98" i="18"/>
  <c r="J98" i="18"/>
  <c r="E98" i="18"/>
  <c r="D98" i="18"/>
  <c r="K97" i="18"/>
  <c r="J97" i="18"/>
  <c r="E97" i="18"/>
  <c r="D97" i="18"/>
  <c r="K96" i="18"/>
  <c r="J96" i="18"/>
  <c r="E96" i="18"/>
  <c r="D96" i="18"/>
  <c r="K95" i="18"/>
  <c r="J95" i="18"/>
  <c r="E95" i="18"/>
  <c r="D95" i="18"/>
  <c r="K94" i="18"/>
  <c r="J94" i="18"/>
  <c r="E94" i="18"/>
  <c r="D94" i="18"/>
  <c r="K93" i="18"/>
  <c r="J93" i="18"/>
  <c r="E93" i="18"/>
  <c r="D93" i="18"/>
  <c r="K92" i="18"/>
  <c r="J92" i="18"/>
  <c r="E92" i="18"/>
  <c r="D92" i="18"/>
  <c r="K91" i="18"/>
  <c r="J91" i="18"/>
  <c r="E91" i="18"/>
  <c r="D91" i="18"/>
  <c r="K90" i="18"/>
  <c r="J90" i="18"/>
  <c r="E90" i="18"/>
  <c r="D90" i="18"/>
  <c r="K89" i="18"/>
  <c r="J89" i="18"/>
  <c r="E89" i="18"/>
  <c r="D89" i="18"/>
  <c r="K88" i="18"/>
  <c r="J88" i="18"/>
  <c r="E88" i="18"/>
  <c r="D88" i="18"/>
  <c r="K87" i="18"/>
  <c r="H87" i="18" s="1"/>
  <c r="J87" i="18"/>
  <c r="E87" i="18"/>
  <c r="D87" i="18"/>
  <c r="K86" i="18"/>
  <c r="J86" i="18"/>
  <c r="E86" i="18"/>
  <c r="D86" i="18"/>
  <c r="K85" i="18"/>
  <c r="L85" i="18" s="1"/>
  <c r="J85" i="18"/>
  <c r="E85" i="18"/>
  <c r="D85" i="18"/>
  <c r="K84" i="18"/>
  <c r="J84" i="18"/>
  <c r="E84" i="18"/>
  <c r="D84" i="18"/>
  <c r="K83" i="18"/>
  <c r="J83" i="18"/>
  <c r="E83" i="18"/>
  <c r="D83" i="18"/>
  <c r="K82" i="18"/>
  <c r="J82" i="18"/>
  <c r="E82" i="18"/>
  <c r="D82" i="18"/>
  <c r="K81" i="18"/>
  <c r="J81" i="18"/>
  <c r="E81" i="18"/>
  <c r="D81" i="18"/>
  <c r="K80" i="18"/>
  <c r="J80" i="18"/>
  <c r="E80" i="18"/>
  <c r="D80" i="18"/>
  <c r="K79" i="18"/>
  <c r="J79" i="18"/>
  <c r="E79" i="18"/>
  <c r="D79" i="18"/>
  <c r="K78" i="18"/>
  <c r="J78" i="18"/>
  <c r="E78" i="18"/>
  <c r="D78" i="18"/>
  <c r="K77" i="18"/>
  <c r="J77" i="18"/>
  <c r="E77" i="18"/>
  <c r="D77" i="18"/>
  <c r="K76" i="18"/>
  <c r="J76" i="18"/>
  <c r="E76" i="18"/>
  <c r="D76" i="18"/>
  <c r="K75" i="18"/>
  <c r="J75" i="18"/>
  <c r="E75" i="18"/>
  <c r="D75" i="18"/>
  <c r="K74" i="18"/>
  <c r="J74" i="18"/>
  <c r="E74" i="18"/>
  <c r="D74" i="18"/>
  <c r="K73" i="18"/>
  <c r="J73" i="18"/>
  <c r="E73" i="18"/>
  <c r="D73" i="18"/>
  <c r="K72" i="18"/>
  <c r="J72" i="18"/>
  <c r="E72" i="18"/>
  <c r="D72" i="18"/>
  <c r="K71" i="18"/>
  <c r="J71" i="18"/>
  <c r="E71" i="18"/>
  <c r="D71" i="18"/>
  <c r="K70" i="18"/>
  <c r="J70" i="18"/>
  <c r="E70" i="18"/>
  <c r="D70" i="18"/>
  <c r="K69" i="18"/>
  <c r="J69" i="18"/>
  <c r="E69" i="18"/>
  <c r="D69" i="18"/>
  <c r="K68" i="18"/>
  <c r="J68" i="18"/>
  <c r="E68" i="18"/>
  <c r="D68" i="18"/>
  <c r="K67" i="18"/>
  <c r="J67" i="18"/>
  <c r="E67" i="18"/>
  <c r="D67" i="18"/>
  <c r="K66" i="18"/>
  <c r="J66" i="18"/>
  <c r="E66" i="18"/>
  <c r="D66" i="18"/>
  <c r="K65" i="18"/>
  <c r="J65" i="18"/>
  <c r="E65" i="18"/>
  <c r="D65" i="18"/>
  <c r="K64" i="18"/>
  <c r="J64" i="18"/>
  <c r="E64" i="18"/>
  <c r="D64" i="18"/>
  <c r="K63" i="18"/>
  <c r="J63" i="18"/>
  <c r="E63" i="18"/>
  <c r="D63" i="18"/>
  <c r="K62" i="18"/>
  <c r="J62" i="18"/>
  <c r="E62" i="18"/>
  <c r="D62" i="18"/>
  <c r="K61" i="18"/>
  <c r="J61" i="18"/>
  <c r="E61" i="18"/>
  <c r="D61" i="18"/>
  <c r="K60" i="18"/>
  <c r="J60" i="18"/>
  <c r="E60" i="18"/>
  <c r="D60" i="18"/>
  <c r="K59" i="18"/>
  <c r="J59" i="18"/>
  <c r="E59" i="18"/>
  <c r="D59" i="18"/>
  <c r="K58" i="18"/>
  <c r="J58" i="18"/>
  <c r="E58" i="18"/>
  <c r="D58" i="18"/>
  <c r="K57" i="18"/>
  <c r="J57" i="18"/>
  <c r="E57" i="18"/>
  <c r="D57" i="18"/>
  <c r="K56" i="18"/>
  <c r="J56" i="18"/>
  <c r="E56" i="18"/>
  <c r="D56" i="18"/>
  <c r="K55" i="18"/>
  <c r="J55" i="18"/>
  <c r="E55" i="18"/>
  <c r="D55" i="18"/>
  <c r="K54" i="18"/>
  <c r="J54" i="18"/>
  <c r="E54" i="18"/>
  <c r="D54" i="18"/>
  <c r="K53" i="18"/>
  <c r="J53" i="18"/>
  <c r="E53" i="18"/>
  <c r="D53" i="18"/>
  <c r="K52" i="18"/>
  <c r="J52" i="18"/>
  <c r="E52" i="18"/>
  <c r="D52" i="18"/>
  <c r="K51" i="18"/>
  <c r="J51" i="18"/>
  <c r="E51" i="18"/>
  <c r="D51" i="18"/>
  <c r="K50" i="18"/>
  <c r="J50" i="18"/>
  <c r="E50" i="18"/>
  <c r="D50" i="18"/>
  <c r="K49" i="18"/>
  <c r="J49" i="18"/>
  <c r="E49" i="18"/>
  <c r="D49" i="18"/>
  <c r="K48" i="18"/>
  <c r="J48" i="18"/>
  <c r="E48" i="18"/>
  <c r="D48" i="18"/>
  <c r="K47" i="18"/>
  <c r="J47" i="18"/>
  <c r="E47" i="18"/>
  <c r="D47" i="18"/>
  <c r="K46" i="18"/>
  <c r="J46" i="18"/>
  <c r="E46" i="18"/>
  <c r="D46" i="18"/>
  <c r="K45" i="18"/>
  <c r="J45" i="18"/>
  <c r="E45" i="18"/>
  <c r="D45" i="18"/>
  <c r="K44" i="18"/>
  <c r="J44" i="18"/>
  <c r="E44" i="18"/>
  <c r="D44" i="18"/>
  <c r="K43" i="18"/>
  <c r="J43" i="18"/>
  <c r="E43" i="18"/>
  <c r="D43" i="18"/>
  <c r="K42" i="18"/>
  <c r="J42" i="18"/>
  <c r="E42" i="18"/>
  <c r="D42" i="18"/>
  <c r="K41" i="18"/>
  <c r="J41" i="18"/>
  <c r="E41" i="18"/>
  <c r="D41" i="18"/>
  <c r="K40" i="18"/>
  <c r="J40" i="18"/>
  <c r="E40" i="18"/>
  <c r="D40" i="18"/>
  <c r="K39" i="18"/>
  <c r="J39" i="18"/>
  <c r="E39" i="18"/>
  <c r="D39" i="18"/>
  <c r="K38" i="18"/>
  <c r="J38" i="18"/>
  <c r="E38" i="18"/>
  <c r="D38" i="18"/>
  <c r="K37" i="18"/>
  <c r="J37" i="18"/>
  <c r="E37" i="18"/>
  <c r="D37" i="18"/>
  <c r="K36" i="18"/>
  <c r="J36" i="18"/>
  <c r="E36" i="18"/>
  <c r="D36" i="18"/>
  <c r="K35" i="18"/>
  <c r="J35" i="18"/>
  <c r="E35" i="18"/>
  <c r="D35" i="18"/>
  <c r="K34" i="18"/>
  <c r="J34" i="18"/>
  <c r="E34" i="18"/>
  <c r="D34" i="18"/>
  <c r="K33" i="18"/>
  <c r="J33" i="18"/>
  <c r="E33" i="18"/>
  <c r="D33" i="18"/>
  <c r="K32" i="18"/>
  <c r="J32" i="18"/>
  <c r="E32" i="18"/>
  <c r="D32" i="18"/>
  <c r="K31" i="18"/>
  <c r="J31" i="18"/>
  <c r="E31" i="18"/>
  <c r="D31" i="18"/>
  <c r="K30" i="18"/>
  <c r="J30" i="18"/>
  <c r="E30" i="18"/>
  <c r="D30" i="18"/>
  <c r="K29" i="18"/>
  <c r="J29" i="18"/>
  <c r="E29" i="18"/>
  <c r="D29" i="18"/>
  <c r="K28" i="18"/>
  <c r="J28" i="18"/>
  <c r="E28" i="18"/>
  <c r="D28" i="18"/>
  <c r="K27" i="18"/>
  <c r="J27" i="18"/>
  <c r="E27" i="18"/>
  <c r="D27" i="18"/>
  <c r="K26" i="18"/>
  <c r="J26" i="18"/>
  <c r="E26" i="18"/>
  <c r="D26" i="18"/>
  <c r="K25" i="18"/>
  <c r="J25" i="18"/>
  <c r="E25" i="18"/>
  <c r="D25" i="18"/>
  <c r="K24" i="18"/>
  <c r="J24" i="18"/>
  <c r="E24" i="18"/>
  <c r="D24" i="18"/>
  <c r="K23" i="18"/>
  <c r="J23" i="18"/>
  <c r="E23" i="18"/>
  <c r="D23" i="18"/>
  <c r="K22" i="18"/>
  <c r="J22" i="18"/>
  <c r="E22" i="18"/>
  <c r="D22" i="18"/>
  <c r="K21" i="18"/>
  <c r="J21" i="18"/>
  <c r="E21" i="18"/>
  <c r="D21" i="18"/>
  <c r="K20" i="18"/>
  <c r="J20" i="18"/>
  <c r="E20" i="18"/>
  <c r="D20" i="18"/>
  <c r="K19" i="18"/>
  <c r="J19" i="18"/>
  <c r="E19" i="18"/>
  <c r="D19" i="18"/>
  <c r="K18" i="18"/>
  <c r="J18" i="18"/>
  <c r="E18" i="18"/>
  <c r="D18" i="18"/>
  <c r="K17" i="18"/>
  <c r="J17" i="18"/>
  <c r="E17" i="18"/>
  <c r="D17" i="18"/>
  <c r="K16" i="18"/>
  <c r="J16" i="18"/>
  <c r="E16" i="18"/>
  <c r="D16" i="18"/>
  <c r="K15" i="18"/>
  <c r="J15" i="18"/>
  <c r="E15" i="18"/>
  <c r="D15" i="18"/>
  <c r="K14" i="18"/>
  <c r="J14" i="18"/>
  <c r="E14" i="18"/>
  <c r="D14" i="18"/>
  <c r="K13" i="18"/>
  <c r="J13" i="18"/>
  <c r="E13" i="18"/>
  <c r="D13" i="18"/>
  <c r="K12" i="18"/>
  <c r="J12" i="18"/>
  <c r="E12" i="18"/>
  <c r="D12" i="18"/>
  <c r="K11" i="18"/>
  <c r="J11" i="18"/>
  <c r="E11" i="18"/>
  <c r="D11" i="18"/>
  <c r="K10" i="18"/>
  <c r="J10" i="18"/>
  <c r="E10" i="18"/>
  <c r="D10" i="18"/>
  <c r="K9" i="18"/>
  <c r="J9" i="18"/>
  <c r="E9" i="18"/>
  <c r="D9" i="18"/>
  <c r="K8" i="18"/>
  <c r="J8" i="18"/>
  <c r="E8" i="18"/>
  <c r="D8" i="18"/>
  <c r="K7" i="18"/>
  <c r="J7" i="18"/>
  <c r="E7" i="18"/>
  <c r="D7" i="18"/>
  <c r="A7" i="18"/>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K6" i="18"/>
  <c r="J6" i="18"/>
  <c r="E6" i="18"/>
  <c r="D6" i="18"/>
  <c r="K5" i="18"/>
  <c r="J5" i="18"/>
  <c r="E5" i="18"/>
  <c r="D5" i="18"/>
  <c r="A5" i="18"/>
  <c r="A6" i="18" s="1"/>
  <c r="K4" i="18"/>
  <c r="J4" i="18"/>
  <c r="E4" i="18"/>
  <c r="D4" i="18"/>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J115" i="36"/>
  <c r="A12" i="37"/>
  <c r="A13" i="37" s="1"/>
  <c r="A16" i="37"/>
  <c r="A18" i="37"/>
  <c r="A19" i="37" s="1"/>
  <c r="A22" i="37"/>
  <c r="A23" i="37" s="1"/>
  <c r="A24" i="37" s="1"/>
  <c r="A25" i="37" s="1"/>
  <c r="A31" i="37"/>
  <c r="A34" i="37"/>
  <c r="A37" i="37"/>
  <c r="A40" i="37"/>
  <c r="A43" i="37"/>
  <c r="A47" i="37"/>
  <c r="A48" i="37" s="1"/>
  <c r="A51" i="37"/>
  <c r="A54" i="37"/>
  <c r="A55" i="37" s="1"/>
  <c r="A56" i="37" s="1"/>
  <c r="A58" i="37"/>
  <c r="A59" i="37" s="1"/>
  <c r="A60" i="37" s="1"/>
  <c r="A64" i="37"/>
  <c r="A69" i="37"/>
  <c r="A71" i="37"/>
  <c r="A77" i="37"/>
  <c r="A83" i="37"/>
  <c r="A84" i="37" s="1"/>
  <c r="A85" i="37" s="1"/>
  <c r="A86" i="37" s="1"/>
  <c r="A89" i="37"/>
  <c r="A90" i="37" s="1"/>
  <c r="A93" i="37"/>
  <c r="A94" i="37" s="1"/>
  <c r="A96" i="37"/>
  <c r="A99" i="37"/>
  <c r="A100" i="37" s="1"/>
  <c r="A102" i="37"/>
  <c r="A103" i="37" s="1"/>
  <c r="A108" i="37"/>
  <c r="A109" i="37" s="1"/>
  <c r="A112" i="37"/>
  <c r="A113" i="37" s="1"/>
  <c r="A115" i="37"/>
  <c r="A116" i="37" s="1"/>
  <c r="A120" i="37"/>
  <c r="A122" i="37"/>
  <c r="A123" i="37" s="1"/>
  <c r="A127" i="37"/>
  <c r="A128" i="37" s="1"/>
  <c r="A130" i="37"/>
  <c r="A7" i="37"/>
  <c r="A8" i="37" s="1"/>
  <c r="A9" i="37" s="1"/>
  <c r="A10" i="37" s="1"/>
  <c r="G19" i="18" l="1"/>
  <c r="G56" i="18"/>
  <c r="G62" i="18"/>
  <c r="L7" i="18"/>
  <c r="L11" i="18"/>
  <c r="L18" i="18"/>
  <c r="L111" i="18"/>
  <c r="F67" i="18"/>
  <c r="F69" i="18"/>
  <c r="F76" i="18"/>
  <c r="F92" i="18"/>
  <c r="G17" i="18"/>
  <c r="G128" i="18"/>
  <c r="L49" i="18"/>
  <c r="L50" i="18"/>
  <c r="L52" i="18"/>
  <c r="F110" i="18"/>
  <c r="F118" i="18"/>
  <c r="F51" i="18"/>
  <c r="F53" i="18"/>
  <c r="F124" i="18"/>
  <c r="G25" i="18"/>
  <c r="G27" i="18"/>
  <c r="G33" i="18"/>
  <c r="G35" i="18"/>
  <c r="G37" i="18"/>
  <c r="G41" i="18"/>
  <c r="G43" i="18"/>
  <c r="G45" i="18"/>
  <c r="F78" i="18"/>
  <c r="F7" i="18"/>
  <c r="F9" i="18"/>
  <c r="F11" i="18"/>
  <c r="F13" i="18"/>
  <c r="F15" i="18"/>
  <c r="F17" i="18"/>
  <c r="L60" i="18"/>
  <c r="G92" i="18"/>
  <c r="H95" i="18"/>
  <c r="G67" i="18"/>
  <c r="G69" i="18"/>
  <c r="H102" i="18"/>
  <c r="H103" i="18"/>
  <c r="L66" i="18"/>
  <c r="G76" i="18"/>
  <c r="L77" i="18"/>
  <c r="L80" i="18"/>
  <c r="L81" i="18"/>
  <c r="L83" i="18"/>
  <c r="F94" i="18"/>
  <c r="G96" i="18"/>
  <c r="F98" i="18"/>
  <c r="F100" i="18"/>
  <c r="F102" i="18"/>
  <c r="F106" i="18"/>
  <c r="L119" i="18"/>
  <c r="G124" i="18"/>
  <c r="F114" i="18"/>
  <c r="G116" i="18"/>
  <c r="F82" i="18"/>
  <c r="F84" i="18"/>
  <c r="F86" i="18"/>
  <c r="F90" i="18"/>
  <c r="L103" i="18"/>
  <c r="F126" i="18"/>
  <c r="H84" i="18"/>
  <c r="L117" i="18"/>
  <c r="H52" i="18"/>
  <c r="H64" i="18"/>
  <c r="H65" i="18"/>
  <c r="H66" i="18"/>
  <c r="G70" i="18"/>
  <c r="G72" i="18"/>
  <c r="H85" i="18"/>
  <c r="H96" i="18"/>
  <c r="I96" i="18" s="1"/>
  <c r="H97" i="18"/>
  <c r="H99" i="18"/>
  <c r="F116" i="18"/>
  <c r="H119" i="18"/>
  <c r="F23" i="18"/>
  <c r="F25" i="18"/>
  <c r="G28" i="18"/>
  <c r="G29" i="18"/>
  <c r="G30" i="18"/>
  <c r="F31" i="18"/>
  <c r="G32" i="18"/>
  <c r="F33" i="18"/>
  <c r="G36" i="18"/>
  <c r="F39" i="18"/>
  <c r="F41" i="18"/>
  <c r="F52" i="18"/>
  <c r="H60" i="18"/>
  <c r="G64" i="18"/>
  <c r="I64" i="18" s="1"/>
  <c r="H79" i="18"/>
  <c r="G84" i="18"/>
  <c r="H110" i="18"/>
  <c r="H111" i="18"/>
  <c r="H127" i="18"/>
  <c r="L28" i="18"/>
  <c r="L34" i="18"/>
  <c r="G46" i="18"/>
  <c r="G48" i="18"/>
  <c r="G51" i="18"/>
  <c r="G53" i="18"/>
  <c r="G54" i="18"/>
  <c r="H76" i="18"/>
  <c r="I76" i="18" s="1"/>
  <c r="H88" i="18"/>
  <c r="H89" i="18"/>
  <c r="H90" i="18"/>
  <c r="H91" i="18"/>
  <c r="L93" i="18"/>
  <c r="L95" i="18"/>
  <c r="L96" i="18"/>
  <c r="L97" i="18"/>
  <c r="L99" i="18"/>
  <c r="L123" i="18"/>
  <c r="H125" i="18"/>
  <c r="L42" i="18"/>
  <c r="H49" i="18"/>
  <c r="H50" i="18"/>
  <c r="G59" i="18"/>
  <c r="L68" i="18"/>
  <c r="L75" i="18"/>
  <c r="L87" i="18"/>
  <c r="L101" i="18"/>
  <c r="G104" i="18"/>
  <c r="L109" i="18"/>
  <c r="H113" i="18"/>
  <c r="H115" i="18"/>
  <c r="G120" i="18"/>
  <c r="L125" i="18"/>
  <c r="H92" i="18"/>
  <c r="L20" i="18"/>
  <c r="L26" i="18"/>
  <c r="L44" i="18"/>
  <c r="H56" i="18"/>
  <c r="I56" i="18" s="1"/>
  <c r="L79" i="18"/>
  <c r="L88" i="18"/>
  <c r="L89" i="18"/>
  <c r="L91" i="18"/>
  <c r="L112" i="18"/>
  <c r="L113" i="18"/>
  <c r="L115" i="18"/>
  <c r="H116" i="18"/>
  <c r="G8" i="18"/>
  <c r="G80" i="18"/>
  <c r="H107" i="18"/>
  <c r="H128" i="18"/>
  <c r="H6" i="18"/>
  <c r="G10" i="18"/>
  <c r="G12" i="18"/>
  <c r="G14" i="18"/>
  <c r="G16" i="18"/>
  <c r="G38" i="18"/>
  <c r="G40" i="18"/>
  <c r="H57" i="18"/>
  <c r="H58" i="18"/>
  <c r="G61" i="18"/>
  <c r="H93" i="18"/>
  <c r="H105" i="18"/>
  <c r="H120" i="18"/>
  <c r="H121" i="18"/>
  <c r="H122" i="18"/>
  <c r="H123" i="18"/>
  <c r="H124" i="18"/>
  <c r="I124" i="18" s="1"/>
  <c r="L6" i="18"/>
  <c r="H7" i="18"/>
  <c r="H8" i="18"/>
  <c r="H10" i="18"/>
  <c r="H11" i="18"/>
  <c r="H12" i="18"/>
  <c r="I12" i="18" s="1"/>
  <c r="G20" i="18"/>
  <c r="G21" i="18"/>
  <c r="G22" i="18"/>
  <c r="G24" i="18"/>
  <c r="L36" i="18"/>
  <c r="G44" i="18"/>
  <c r="L57" i="18"/>
  <c r="L58" i="18"/>
  <c r="L64" i="18"/>
  <c r="H68" i="18"/>
  <c r="L72" i="18"/>
  <c r="H77" i="18"/>
  <c r="H80" i="18"/>
  <c r="H81" i="18"/>
  <c r="H82" i="18"/>
  <c r="H83" i="18"/>
  <c r="G88" i="18"/>
  <c r="H101" i="18"/>
  <c r="L104" i="18"/>
  <c r="L105" i="18"/>
  <c r="L107" i="18"/>
  <c r="G112" i="18"/>
  <c r="L120" i="18"/>
  <c r="L121" i="18"/>
  <c r="L127" i="18"/>
  <c r="L128" i="18"/>
  <c r="L48" i="18"/>
  <c r="H72" i="18"/>
  <c r="H104" i="18"/>
  <c r="H109" i="18"/>
  <c r="H112" i="18"/>
  <c r="H117" i="18"/>
  <c r="F122" i="18"/>
  <c r="G4" i="18"/>
  <c r="H5" i="18"/>
  <c r="G7" i="18"/>
  <c r="L8" i="18"/>
  <c r="L10" i="18"/>
  <c r="G11" i="18"/>
  <c r="L12" i="18"/>
  <c r="L14" i="18"/>
  <c r="G15" i="18"/>
  <c r="G18" i="18"/>
  <c r="F19" i="18"/>
  <c r="L22" i="18"/>
  <c r="G23" i="18"/>
  <c r="G26" i="18"/>
  <c r="F27" i="18"/>
  <c r="L30" i="18"/>
  <c r="G31" i="18"/>
  <c r="G34" i="18"/>
  <c r="F35" i="18"/>
  <c r="L38" i="18"/>
  <c r="G39" i="18"/>
  <c r="G42" i="18"/>
  <c r="F43" i="18"/>
  <c r="H48" i="18"/>
  <c r="L56" i="18"/>
  <c r="F59" i="18"/>
  <c r="F60" i="18"/>
  <c r="F61" i="18"/>
  <c r="L65" i="18"/>
  <c r="H73" i="18"/>
  <c r="H74" i="18"/>
  <c r="H75" i="18"/>
  <c r="L76" i="18"/>
  <c r="H78" i="18"/>
  <c r="F80" i="18"/>
  <c r="L84" i="18"/>
  <c r="H86" i="18"/>
  <c r="F88" i="18"/>
  <c r="L92" i="18"/>
  <c r="H94" i="18"/>
  <c r="F96" i="18"/>
  <c r="L100" i="18"/>
  <c r="F104" i="18"/>
  <c r="L108" i="18"/>
  <c r="F112" i="18"/>
  <c r="L116" i="18"/>
  <c r="H118" i="18"/>
  <c r="F120" i="18"/>
  <c r="L124" i="18"/>
  <c r="H126" i="18"/>
  <c r="F128" i="18"/>
  <c r="F5" i="18"/>
  <c r="G6" i="18"/>
  <c r="I6" i="18" s="1"/>
  <c r="H9" i="18"/>
  <c r="L16" i="18"/>
  <c r="F21" i="18"/>
  <c r="L24" i="18"/>
  <c r="F29" i="18"/>
  <c r="L32" i="18"/>
  <c r="F37" i="18"/>
  <c r="L40" i="18"/>
  <c r="F45" i="18"/>
  <c r="H45" i="18"/>
  <c r="F68" i="18"/>
  <c r="L73" i="18"/>
  <c r="L74" i="18"/>
  <c r="H98" i="18"/>
  <c r="H100" i="18"/>
  <c r="I100" i="18" s="1"/>
  <c r="H106" i="18"/>
  <c r="H108" i="18"/>
  <c r="I108" i="18" s="1"/>
  <c r="H114" i="18"/>
  <c r="D128" i="19"/>
  <c r="H18" i="18"/>
  <c r="F18" i="18"/>
  <c r="H26" i="18"/>
  <c r="F26" i="18"/>
  <c r="L29" i="18"/>
  <c r="H29" i="18"/>
  <c r="H42" i="18"/>
  <c r="F42" i="18"/>
  <c r="F50" i="18"/>
  <c r="G50" i="18"/>
  <c r="F10" i="18"/>
  <c r="H24" i="18"/>
  <c r="F24" i="18"/>
  <c r="L27" i="18"/>
  <c r="H27" i="18"/>
  <c r="H40" i="18"/>
  <c r="F40" i="18"/>
  <c r="L43" i="18"/>
  <c r="H43" i="18"/>
  <c r="L55" i="18"/>
  <c r="G55" i="18"/>
  <c r="H63" i="18"/>
  <c r="F63" i="18"/>
  <c r="H4" i="18"/>
  <c r="E129" i="18"/>
  <c r="G5" i="18"/>
  <c r="I5" i="18" s="1"/>
  <c r="L5" i="18"/>
  <c r="L9" i="18"/>
  <c r="G13" i="18"/>
  <c r="H14" i="18"/>
  <c r="F14" i="18"/>
  <c r="L17" i="18"/>
  <c r="H17" i="18"/>
  <c r="H22" i="18"/>
  <c r="F22" i="18"/>
  <c r="L25" i="18"/>
  <c r="H25" i="18"/>
  <c r="I25" i="18" s="1"/>
  <c r="H30" i="18"/>
  <c r="F30" i="18"/>
  <c r="L33" i="18"/>
  <c r="H33" i="18"/>
  <c r="H38" i="18"/>
  <c r="F38" i="18"/>
  <c r="L41" i="18"/>
  <c r="H41" i="18"/>
  <c r="L54" i="18"/>
  <c r="H54" i="18"/>
  <c r="L63" i="18"/>
  <c r="G63" i="18"/>
  <c r="F66" i="18"/>
  <c r="G66" i="18"/>
  <c r="H71" i="18"/>
  <c r="F71" i="18"/>
  <c r="L13" i="18"/>
  <c r="H13" i="18"/>
  <c r="L21" i="18"/>
  <c r="H21" i="18"/>
  <c r="H34" i="18"/>
  <c r="I34" i="18" s="1"/>
  <c r="F34" i="18"/>
  <c r="L37" i="18"/>
  <c r="H37" i="18"/>
  <c r="L47" i="18"/>
  <c r="G47" i="18"/>
  <c r="H55" i="18"/>
  <c r="F55" i="18"/>
  <c r="L70" i="18"/>
  <c r="H70" i="18"/>
  <c r="G79" i="18"/>
  <c r="F79" i="18"/>
  <c r="J129" i="18"/>
  <c r="L4" i="18"/>
  <c r="F6" i="18"/>
  <c r="H16" i="18"/>
  <c r="F16" i="18"/>
  <c r="L19" i="18"/>
  <c r="H19" i="18"/>
  <c r="I19" i="18" s="1"/>
  <c r="H32" i="18"/>
  <c r="F32" i="18"/>
  <c r="L35" i="18"/>
  <c r="H35" i="18"/>
  <c r="L46" i="18"/>
  <c r="H46" i="18"/>
  <c r="I46" i="18" s="1"/>
  <c r="F58" i="18"/>
  <c r="G58" i="18"/>
  <c r="G9" i="18"/>
  <c r="F4" i="18"/>
  <c r="F8" i="18"/>
  <c r="F12" i="18"/>
  <c r="L15" i="18"/>
  <c r="H15" i="18"/>
  <c r="H20" i="18"/>
  <c r="F20" i="18"/>
  <c r="L23" i="18"/>
  <c r="H23" i="18"/>
  <c r="H28" i="18"/>
  <c r="F28" i="18"/>
  <c r="L31" i="18"/>
  <c r="H31" i="18"/>
  <c r="H36" i="18"/>
  <c r="F36" i="18"/>
  <c r="L39" i="18"/>
  <c r="H39" i="18"/>
  <c r="I43" i="18"/>
  <c r="H44" i="18"/>
  <c r="F44" i="18"/>
  <c r="H47" i="18"/>
  <c r="F47" i="18"/>
  <c r="L62" i="18"/>
  <c r="H62" i="18"/>
  <c r="I62" i="18" s="1"/>
  <c r="L71" i="18"/>
  <c r="G71" i="18"/>
  <c r="F74" i="18"/>
  <c r="G74" i="18"/>
  <c r="G77" i="18"/>
  <c r="F77" i="18"/>
  <c r="K129" i="18"/>
  <c r="F46" i="18"/>
  <c r="F49" i="18"/>
  <c r="H51" i="18"/>
  <c r="L51" i="18"/>
  <c r="F54" i="18"/>
  <c r="F57" i="18"/>
  <c r="H59" i="18"/>
  <c r="L59" i="18"/>
  <c r="F62" i="18"/>
  <c r="F65" i="18"/>
  <c r="H67" i="18"/>
  <c r="I67" i="18" s="1"/>
  <c r="L67" i="18"/>
  <c r="F70" i="18"/>
  <c r="F73" i="18"/>
  <c r="L78" i="18"/>
  <c r="G78" i="18"/>
  <c r="G81" i="18"/>
  <c r="F81" i="18"/>
  <c r="L82" i="18"/>
  <c r="G82" i="18"/>
  <c r="G85" i="18"/>
  <c r="F85" i="18"/>
  <c r="L86" i="18"/>
  <c r="G86" i="18"/>
  <c r="G89" i="18"/>
  <c r="F89" i="18"/>
  <c r="L90" i="18"/>
  <c r="G90" i="18"/>
  <c r="G93" i="18"/>
  <c r="F93" i="18"/>
  <c r="L94" i="18"/>
  <c r="G94" i="18"/>
  <c r="G97" i="18"/>
  <c r="F97" i="18"/>
  <c r="L98" i="18"/>
  <c r="G98" i="18"/>
  <c r="G101" i="18"/>
  <c r="F101" i="18"/>
  <c r="L102" i="18"/>
  <c r="G102" i="18"/>
  <c r="G105" i="18"/>
  <c r="F105" i="18"/>
  <c r="L106" i="18"/>
  <c r="G106" i="18"/>
  <c r="G109" i="18"/>
  <c r="F109" i="18"/>
  <c r="L110" i="18"/>
  <c r="G110" i="18"/>
  <c r="G113" i="18"/>
  <c r="F113" i="18"/>
  <c r="L114" i="18"/>
  <c r="G114" i="18"/>
  <c r="G117" i="18"/>
  <c r="F117" i="18"/>
  <c r="L118" i="18"/>
  <c r="G118" i="18"/>
  <c r="G121" i="18"/>
  <c r="F121" i="18"/>
  <c r="L122" i="18"/>
  <c r="G122" i="18"/>
  <c r="G125" i="18"/>
  <c r="F125" i="18"/>
  <c r="L126" i="18"/>
  <c r="G126" i="18"/>
  <c r="D129" i="18"/>
  <c r="L45" i="18"/>
  <c r="F48" i="18"/>
  <c r="G49" i="18"/>
  <c r="G52" i="18"/>
  <c r="H53" i="18"/>
  <c r="L53" i="18"/>
  <c r="F56" i="18"/>
  <c r="G57" i="18"/>
  <c r="G60" i="18"/>
  <c r="H61" i="18"/>
  <c r="L61" i="18"/>
  <c r="F64" i="18"/>
  <c r="G65" i="18"/>
  <c r="G68" i="18"/>
  <c r="H69" i="18"/>
  <c r="L69" i="18"/>
  <c r="F72" i="18"/>
  <c r="G73" i="18"/>
  <c r="F75" i="18"/>
  <c r="G75" i="18"/>
  <c r="G83" i="18"/>
  <c r="F83" i="18"/>
  <c r="G87" i="18"/>
  <c r="I87" i="18" s="1"/>
  <c r="F87" i="18"/>
  <c r="G91" i="18"/>
  <c r="F91" i="18"/>
  <c r="G95" i="18"/>
  <c r="F95" i="18"/>
  <c r="G99" i="18"/>
  <c r="I99" i="18" s="1"/>
  <c r="F99" i="18"/>
  <c r="G103" i="18"/>
  <c r="F103" i="18"/>
  <c r="G107" i="18"/>
  <c r="F107" i="18"/>
  <c r="G111" i="18"/>
  <c r="F111" i="18"/>
  <c r="G115" i="18"/>
  <c r="I115" i="18" s="1"/>
  <c r="F115" i="18"/>
  <c r="G119" i="18"/>
  <c r="F119" i="18"/>
  <c r="G123" i="18"/>
  <c r="F123" i="18"/>
  <c r="G127" i="18"/>
  <c r="F127" i="18"/>
  <c r="AI131" i="37"/>
  <c r="I57" i="18" l="1"/>
  <c r="I52" i="18"/>
  <c r="I113" i="18"/>
  <c r="I105" i="18"/>
  <c r="I97" i="18"/>
  <c r="I89" i="18"/>
  <c r="I74" i="18"/>
  <c r="I33" i="18"/>
  <c r="I17" i="18"/>
  <c r="I45" i="18"/>
  <c r="I95" i="18"/>
  <c r="I126" i="18"/>
  <c r="I9" i="18"/>
  <c r="I63" i="18"/>
  <c r="I41" i="18"/>
  <c r="I18" i="18"/>
  <c r="I78" i="18"/>
  <c r="I73" i="18"/>
  <c r="I68" i="18"/>
  <c r="I59" i="18"/>
  <c r="I51" i="18"/>
  <c r="I71" i="18"/>
  <c r="I28" i="18"/>
  <c r="I66" i="18"/>
  <c r="I54" i="18"/>
  <c r="I27" i="18"/>
  <c r="I42" i="18"/>
  <c r="I26" i="18"/>
  <c r="I128" i="18"/>
  <c r="I65" i="18"/>
  <c r="I125" i="18"/>
  <c r="I101" i="18"/>
  <c r="I81" i="18"/>
  <c r="I16" i="18"/>
  <c r="I37" i="18"/>
  <c r="I21" i="18"/>
  <c r="I92" i="18"/>
  <c r="I111" i="18"/>
  <c r="I69" i="18"/>
  <c r="I118" i="18"/>
  <c r="I114" i="18"/>
  <c r="I98" i="18"/>
  <c r="I90" i="18"/>
  <c r="I44" i="18"/>
  <c r="I58" i="18"/>
  <c r="I35" i="18"/>
  <c r="I72" i="18"/>
  <c r="I84" i="18"/>
  <c r="I107" i="18"/>
  <c r="I83" i="18"/>
  <c r="I40" i="18"/>
  <c r="I24" i="18"/>
  <c r="I75" i="18"/>
  <c r="I109" i="18"/>
  <c r="I93" i="18"/>
  <c r="I85" i="18"/>
  <c r="I32" i="18"/>
  <c r="I7" i="18"/>
  <c r="I77" i="18"/>
  <c r="I127" i="18"/>
  <c r="I119" i="18"/>
  <c r="I103" i="18"/>
  <c r="I49" i="18"/>
  <c r="I122" i="18"/>
  <c r="I102" i="18"/>
  <c r="I82" i="18"/>
  <c r="I79" i="18"/>
  <c r="I29" i="18"/>
  <c r="I88" i="18"/>
  <c r="I116" i="18"/>
  <c r="I110" i="18"/>
  <c r="I30" i="18"/>
  <c r="I14" i="18"/>
  <c r="I36" i="18"/>
  <c r="I20" i="18"/>
  <c r="I70" i="18"/>
  <c r="I50" i="18"/>
  <c r="I123" i="18"/>
  <c r="I60" i="18"/>
  <c r="I53" i="18"/>
  <c r="I38" i="18"/>
  <c r="I22" i="18"/>
  <c r="I48" i="18"/>
  <c r="I112" i="18"/>
  <c r="I10" i="18"/>
  <c r="I120" i="18"/>
  <c r="I91" i="18"/>
  <c r="I13" i="18"/>
  <c r="I61" i="18"/>
  <c r="I121" i="18"/>
  <c r="I15" i="18"/>
  <c r="I11" i="18"/>
  <c r="I104" i="18"/>
  <c r="I8" i="18"/>
  <c r="I80" i="18"/>
  <c r="I39" i="18"/>
  <c r="I23" i="18"/>
  <c r="I55" i="18"/>
  <c r="I86" i="18"/>
  <c r="I117" i="18"/>
  <c r="I106" i="18"/>
  <c r="I94" i="18"/>
  <c r="I31" i="18"/>
  <c r="F129" i="18"/>
  <c r="I47" i="18"/>
  <c r="G129" i="18"/>
  <c r="H129" i="18"/>
  <c r="I4" i="18"/>
  <c r="L129" i="18"/>
  <c r="A5" i="6"/>
  <c r="A6" i="6" s="1"/>
  <c r="A7" i="6" s="1"/>
  <c r="A8" i="6" s="1"/>
  <c r="A9" i="6" s="1"/>
  <c r="A10" i="6" s="1"/>
  <c r="A11" i="6" s="1"/>
  <c r="A12" i="6" s="1"/>
  <c r="A13" i="6" s="1"/>
  <c r="A14" i="6" s="1"/>
  <c r="A15" i="6" s="1"/>
  <c r="A16" i="6" s="1"/>
  <c r="A17" i="6" s="1"/>
  <c r="A18" i="6" s="1"/>
  <c r="A19" i="6" s="1"/>
  <c r="A20" i="6" s="1"/>
  <c r="A21" i="6" s="1"/>
  <c r="A22" i="6" s="1"/>
  <c r="A6" i="65"/>
  <c r="A7" i="65" s="1"/>
  <c r="A8" i="65" s="1"/>
  <c r="A9" i="65" s="1"/>
  <c r="A10" i="65" s="1"/>
  <c r="A11" i="65" s="1"/>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A123" i="65" s="1"/>
  <c r="A124" i="65" s="1"/>
  <c r="A125" i="65" s="1"/>
  <c r="A126" i="65" s="1"/>
  <c r="A127" i="65" s="1"/>
  <c r="A128" i="65" s="1"/>
  <c r="A129" i="65" s="1"/>
  <c r="A130" i="65" s="1"/>
  <c r="A131" i="65" s="1"/>
  <c r="A132" i="65" s="1"/>
  <c r="A133" i="65" s="1"/>
  <c r="A134" i="65" s="1"/>
  <c r="A135" i="65" s="1"/>
  <c r="A136" i="65" s="1"/>
  <c r="A137" i="65" s="1"/>
  <c r="A138" i="65" s="1"/>
  <c r="A139" i="65" s="1"/>
  <c r="A140" i="65" s="1"/>
  <c r="A141" i="65" s="1"/>
  <c r="A142" i="65" s="1"/>
  <c r="A143" i="65" s="1"/>
  <c r="A144" i="65" s="1"/>
  <c r="A145" i="65" s="1"/>
  <c r="A146" i="65" s="1"/>
  <c r="A147" i="65" s="1"/>
  <c r="A148" i="65" s="1"/>
  <c r="A149" i="65" s="1"/>
  <c r="A150" i="65" s="1"/>
  <c r="A151" i="65" s="1"/>
  <c r="A152" i="65" s="1"/>
  <c r="A6" i="64"/>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5" i="43"/>
  <c r="A6" i="43" s="1"/>
  <c r="A7" i="43" s="1"/>
  <c r="A8" i="43" s="1"/>
  <c r="A9" i="43" s="1"/>
  <c r="A10" i="43" s="1"/>
  <c r="A11" i="43" s="1"/>
  <c r="A12" i="43" s="1"/>
  <c r="A13" i="43" s="1"/>
  <c r="A14" i="43" s="1"/>
  <c r="A15" i="43" s="1"/>
  <c r="A16" i="43" s="1"/>
  <c r="A17" i="43" s="1"/>
  <c r="A18" i="43" s="1"/>
  <c r="A19" i="43" s="1"/>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I129" i="18" l="1"/>
  <c r="G137" i="42"/>
  <c r="H137" i="42"/>
  <c r="I137" i="42"/>
  <c r="J137" i="42"/>
  <c r="K137" i="42"/>
  <c r="L137" i="42"/>
  <c r="M137" i="42"/>
  <c r="N137" i="42"/>
  <c r="O137" i="42"/>
  <c r="P137" i="42"/>
  <c r="Q137" i="42"/>
  <c r="F137" i="42"/>
  <c r="N132" i="40"/>
  <c r="G132" i="40"/>
  <c r="H132" i="40"/>
  <c r="I132" i="40"/>
  <c r="J132" i="40"/>
  <c r="K132" i="40"/>
  <c r="L132" i="40"/>
  <c r="F132" i="40"/>
  <c r="F302" i="54" l="1"/>
  <c r="G302" i="54"/>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5" i="5"/>
  <c r="A6" i="5" s="1"/>
  <c r="A7" i="5" s="1"/>
  <c r="A8" i="5" s="1"/>
  <c r="A9" i="5" s="1"/>
  <c r="A11" i="5" s="1"/>
  <c r="A23" i="6"/>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5" i="7"/>
  <c r="A6" i="7" s="1"/>
  <c r="A7" i="7" s="1"/>
  <c r="A8" i="7" s="1"/>
  <c r="A9" i="7" s="1"/>
  <c r="A5" i="36" l="1"/>
  <c r="A6" i="36" s="1"/>
  <c r="A7" i="36" s="1"/>
  <c r="A8" i="36" s="1"/>
  <c r="A9" i="36" s="1"/>
  <c r="A10" i="36" s="1"/>
  <c r="A11" i="36" s="1"/>
  <c r="A12" i="36" s="1"/>
  <c r="A13" i="36" s="1"/>
  <c r="A14" i="36" s="1"/>
  <c r="A15" i="36" s="1"/>
  <c r="A16" i="36" s="1"/>
  <c r="A17"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l="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92" i="36" s="1"/>
  <c r="A93" i="36" s="1"/>
  <c r="A94" i="36" s="1"/>
  <c r="A95" i="36" s="1"/>
  <c r="A96" i="36" s="1"/>
  <c r="A97" i="36" s="1"/>
  <c r="A98" i="36" s="1"/>
  <c r="A99" i="36" s="1"/>
  <c r="A100" i="36" s="1"/>
  <c r="A101" i="36" s="1"/>
  <c r="A102" i="36" s="1"/>
  <c r="A103" i="36" s="1"/>
  <c r="A105" i="36" s="1"/>
  <c r="A106" i="36" s="1"/>
  <c r="A111" i="36" s="1"/>
  <c r="A112" i="36" s="1"/>
  <c r="A113" i="36" s="1"/>
  <c r="A114" i="36" s="1"/>
  <c r="J5" i="13"/>
  <c r="A4" i="63" l="1"/>
  <c r="A4" i="54"/>
  <c r="A5" i="54" l="1"/>
  <c r="A7" i="54" s="1"/>
  <c r="A9" i="54" s="1"/>
  <c r="A10" i="54" s="1"/>
  <c r="A11" i="54" s="1"/>
  <c r="A12" i="54" s="1"/>
  <c r="A13" i="54" s="1"/>
  <c r="A89" i="54" s="1"/>
  <c r="A90" i="54" s="1"/>
  <c r="A91" i="54" s="1"/>
  <c r="A92" i="54" s="1"/>
  <c r="A93" i="54" s="1"/>
  <c r="A94" i="54" s="1"/>
  <c r="A95" i="54" s="1"/>
  <c r="A96" i="54" s="1"/>
  <c r="A97" i="54" s="1"/>
  <c r="A98" i="54" s="1"/>
  <c r="A5" i="38"/>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6" i="63"/>
  <c r="A7" i="63" s="1"/>
  <c r="A8" i="63" s="1"/>
  <c r="A9" i="63" s="1"/>
  <c r="A10" i="63" s="1"/>
  <c r="A4" i="55"/>
  <c r="A5" i="55" s="1"/>
  <c r="A6" i="55" s="1"/>
  <c r="A7" i="55" s="1"/>
  <c r="A8" i="55" s="1"/>
  <c r="A9" i="55" s="1"/>
  <c r="A10" i="55" s="1"/>
  <c r="A11" i="55" s="1"/>
  <c r="A12" i="55" s="1"/>
  <c r="A13" i="55" s="1"/>
  <c r="A14" i="55" s="1"/>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A124" i="55" s="1"/>
  <c r="A125" i="55" s="1"/>
  <c r="A126" i="55" s="1"/>
  <c r="A127" i="55" s="1"/>
  <c r="A128" i="55" s="1"/>
  <c r="A129" i="55" s="1"/>
  <c r="A130" i="55" s="1"/>
  <c r="A131" i="55" s="1"/>
  <c r="A132" i="55" s="1"/>
  <c r="A133" i="55" s="1"/>
  <c r="A134" i="55" s="1"/>
  <c r="A135" i="55" s="1"/>
  <c r="A136" i="55" s="1"/>
  <c r="A137" i="55" s="1"/>
  <c r="A138" i="55" s="1"/>
  <c r="A139" i="55" s="1"/>
  <c r="A140" i="55" s="1"/>
  <c r="A141" i="55" s="1"/>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A171" i="55" s="1"/>
  <c r="A172" i="55" s="1"/>
  <c r="A173" i="55" s="1"/>
  <c r="A174" i="55" s="1"/>
  <c r="A175" i="55" s="1"/>
  <c r="A176" i="55" s="1"/>
  <c r="A177" i="55" s="1"/>
  <c r="A178" i="55" s="1"/>
  <c r="A179" i="55" s="1"/>
  <c r="A180" i="55" s="1"/>
  <c r="A181" i="55" s="1"/>
  <c r="A182" i="55" s="1"/>
  <c r="A183" i="55" s="1"/>
  <c r="A184" i="55" s="1"/>
  <c r="A185" i="55" s="1"/>
  <c r="A186" i="55" s="1"/>
  <c r="A187" i="55" s="1"/>
  <c r="A188" i="55" s="1"/>
  <c r="A189" i="55" s="1"/>
  <c r="A190" i="55" s="1"/>
  <c r="A191" i="55" s="1"/>
  <c r="A192" i="55" s="1"/>
  <c r="A193" i="55" s="1"/>
  <c r="A194" i="55" s="1"/>
  <c r="A195" i="55" s="1"/>
  <c r="A196" i="55" s="1"/>
  <c r="A197" i="55" s="1"/>
  <c r="A198" i="55" s="1"/>
  <c r="A199" i="55" s="1"/>
  <c r="A200" i="55" s="1"/>
  <c r="A201" i="55" s="1"/>
  <c r="A202" i="55" s="1"/>
  <c r="A203" i="55" s="1"/>
  <c r="A204" i="55" s="1"/>
  <c r="A205" i="55" s="1"/>
  <c r="A206" i="55" s="1"/>
  <c r="A207" i="55" s="1"/>
  <c r="A208" i="55" s="1"/>
  <c r="A209" i="55" s="1"/>
  <c r="A210" i="55" s="1"/>
  <c r="A211" i="55" s="1"/>
  <c r="A212" i="55" s="1"/>
  <c r="A213" i="55" s="1"/>
  <c r="A214" i="55" s="1"/>
  <c r="A215" i="55" s="1"/>
  <c r="A216" i="55" s="1"/>
  <c r="A217" i="55" s="1"/>
  <c r="A218" i="55" s="1"/>
  <c r="A219" i="55" s="1"/>
  <c r="A220" i="55" s="1"/>
  <c r="A221" i="55" s="1"/>
  <c r="A222" i="55" s="1"/>
  <c r="A223" i="55" s="1"/>
  <c r="A224" i="55" s="1"/>
  <c r="A225" i="55" s="1"/>
  <c r="A226" i="55" s="1"/>
  <c r="A227" i="55" s="1"/>
  <c r="A228" i="55" s="1"/>
  <c r="A229" i="55" s="1"/>
  <c r="A230" i="55" s="1"/>
  <c r="A231" i="55" s="1"/>
  <c r="A232" i="55" s="1"/>
  <c r="A233" i="55" s="1"/>
  <c r="A234" i="55" s="1"/>
  <c r="A235" i="55" s="1"/>
  <c r="A236" i="55" s="1"/>
  <c r="A237" i="55" s="1"/>
  <c r="A238" i="55" s="1"/>
  <c r="A239" i="55" s="1"/>
  <c r="A240" i="55" s="1"/>
  <c r="A241" i="55" s="1"/>
  <c r="A242" i="55" s="1"/>
  <c r="A243" i="55" s="1"/>
  <c r="A244" i="55" s="1"/>
  <c r="A245" i="55" s="1"/>
  <c r="A246" i="55" s="1"/>
  <c r="A247" i="55" s="1"/>
  <c r="A248" i="55" s="1"/>
  <c r="A249" i="55" s="1"/>
  <c r="A250" i="55" s="1"/>
  <c r="A251" i="55" s="1"/>
  <c r="A252" i="55" s="1"/>
  <c r="A253" i="55" s="1"/>
  <c r="A254" i="55" s="1"/>
  <c r="A255" i="55" s="1"/>
  <c r="A256" i="55" s="1"/>
  <c r="A257" i="55" s="1"/>
  <c r="A258" i="55" s="1"/>
  <c r="A259" i="55" s="1"/>
  <c r="A260" i="55" s="1"/>
  <c r="A261" i="55" s="1"/>
  <c r="A262" i="55" s="1"/>
  <c r="A263" i="55" s="1"/>
  <c r="A264" i="55" s="1"/>
  <c r="A265" i="55" s="1"/>
  <c r="A266" i="55" s="1"/>
  <c r="A267" i="55" s="1"/>
  <c r="A268" i="55" s="1"/>
  <c r="A269" i="55" s="1"/>
  <c r="A270" i="55" s="1"/>
  <c r="A271" i="55" s="1"/>
  <c r="A272" i="55" s="1"/>
  <c r="A273" i="55" s="1"/>
  <c r="A274" i="55" s="1"/>
  <c r="A275" i="55" s="1"/>
  <c r="A276" i="55" s="1"/>
  <c r="A277" i="55" s="1"/>
  <c r="A278" i="55" s="1"/>
  <c r="A279" i="55" s="1"/>
  <c r="A280" i="55" s="1"/>
  <c r="A281" i="55" s="1"/>
  <c r="A282" i="55" s="1"/>
  <c r="A283" i="55" s="1"/>
  <c r="A284" i="55" s="1"/>
  <c r="A285" i="55" s="1"/>
  <c r="A286" i="55" s="1"/>
  <c r="A287" i="55" s="1"/>
  <c r="A288" i="55" s="1"/>
  <c r="A289" i="55" s="1"/>
  <c r="A290" i="55" s="1"/>
  <c r="A291" i="55" s="1"/>
  <c r="A292" i="55" s="1"/>
  <c r="A293" i="55" s="1"/>
  <c r="A294" i="55" s="1"/>
  <c r="A295" i="55" s="1"/>
  <c r="A296" i="55" s="1"/>
  <c r="A297" i="55" s="1"/>
  <c r="A298" i="55" s="1"/>
  <c r="A299" i="55" s="1"/>
  <c r="A300" i="55" s="1"/>
  <c r="A301" i="55" s="1"/>
  <c r="A302" i="55" s="1"/>
  <c r="A303" i="55" s="1"/>
  <c r="A304" i="55" s="1"/>
  <c r="A305" i="55" s="1"/>
  <c r="A306" i="55" s="1"/>
  <c r="A307" i="55" s="1"/>
  <c r="A308" i="55" s="1"/>
  <c r="A309" i="55" s="1"/>
  <c r="A310" i="55" s="1"/>
  <c r="A311" i="55" s="1"/>
  <c r="A312" i="55" s="1"/>
  <c r="A313" i="55" s="1"/>
  <c r="A314" i="55" s="1"/>
  <c r="A315" i="55" s="1"/>
  <c r="A316" i="55" s="1"/>
  <c r="A317" i="55" s="1"/>
  <c r="A318" i="55" s="1"/>
  <c r="A319" i="55" s="1"/>
  <c r="A320" i="55" s="1"/>
  <c r="A321" i="55" s="1"/>
  <c r="A322" i="55" s="1"/>
  <c r="A323" i="55" s="1"/>
  <c r="A324" i="55" s="1"/>
  <c r="A325" i="55" s="1"/>
  <c r="A326" i="55" s="1"/>
  <c r="A327" i="55" s="1"/>
  <c r="A328" i="55" s="1"/>
  <c r="A329" i="55" s="1"/>
  <c r="A330" i="55" s="1"/>
  <c r="A331" i="55" s="1"/>
  <c r="A332" i="55" s="1"/>
  <c r="A333" i="55" s="1"/>
  <c r="A334" i="55" s="1"/>
  <c r="A335" i="55" s="1"/>
  <c r="A336" i="55" s="1"/>
  <c r="A337" i="55" s="1"/>
  <c r="A338" i="55" s="1"/>
  <c r="A339" i="55" s="1"/>
  <c r="A340" i="55" s="1"/>
  <c r="A341" i="55" s="1"/>
  <c r="A342" i="55" s="1"/>
  <c r="A343" i="55" s="1"/>
  <c r="A344" i="55" s="1"/>
  <c r="A345" i="55" s="1"/>
  <c r="A346" i="55" s="1"/>
  <c r="A347" i="55" s="1"/>
  <c r="A348" i="55" s="1"/>
  <c r="A349" i="55" s="1"/>
  <c r="A350" i="55" s="1"/>
  <c r="A351" i="55" s="1"/>
  <c r="A352" i="55" s="1"/>
  <c r="A353" i="55" s="1"/>
  <c r="A354" i="55" s="1"/>
  <c r="A355" i="55" s="1"/>
  <c r="A356" i="55" s="1"/>
  <c r="A357" i="55" s="1"/>
  <c r="A358" i="55" s="1"/>
  <c r="A359" i="55" s="1"/>
  <c r="A360" i="55" s="1"/>
  <c r="A361" i="55" s="1"/>
  <c r="A362" i="55" s="1"/>
  <c r="A363" i="55" s="1"/>
  <c r="A364" i="55" s="1"/>
  <c r="A365" i="55" s="1"/>
  <c r="A366" i="55" s="1"/>
  <c r="A367" i="55" s="1"/>
  <c r="A368" i="55" s="1"/>
  <c r="A369" i="55" s="1"/>
  <c r="A370" i="55" s="1"/>
  <c r="A371" i="55" s="1"/>
  <c r="A372" i="55" s="1"/>
  <c r="A373" i="55" s="1"/>
  <c r="A374" i="55" s="1"/>
  <c r="A375" i="55" s="1"/>
  <c r="A376" i="55" s="1"/>
  <c r="A377" i="55" s="1"/>
  <c r="A378" i="55" s="1"/>
  <c r="A379" i="55" s="1"/>
  <c r="A380" i="55" s="1"/>
  <c r="A381" i="55" s="1"/>
  <c r="A382" i="55" s="1"/>
  <c r="A383" i="55" s="1"/>
  <c r="A384" i="55" s="1"/>
  <c r="A385" i="55" s="1"/>
  <c r="A386" i="55" s="1"/>
  <c r="A387" i="55" s="1"/>
  <c r="A388" i="55" s="1"/>
  <c r="A389" i="55" s="1"/>
  <c r="A390" i="55" s="1"/>
  <c r="A391" i="55" s="1"/>
  <c r="A392" i="55" s="1"/>
  <c r="A393" i="55" s="1"/>
  <c r="A394" i="55" s="1"/>
  <c r="A395" i="55" s="1"/>
  <c r="A396" i="55" s="1"/>
  <c r="A397" i="55" s="1"/>
  <c r="A398" i="55" s="1"/>
  <c r="A399" i="55" s="1"/>
  <c r="A400" i="55" s="1"/>
  <c r="A401" i="55" s="1"/>
  <c r="A402" i="55" s="1"/>
  <c r="A403" i="55" s="1"/>
  <c r="A404" i="55" s="1"/>
  <c r="A405" i="55" s="1"/>
  <c r="A406" i="55" s="1"/>
  <c r="A407" i="55" s="1"/>
  <c r="A408" i="55" s="1"/>
  <c r="A409" i="55" s="1"/>
  <c r="A410" i="55" s="1"/>
  <c r="A411" i="55" s="1"/>
  <c r="A412" i="55" s="1"/>
  <c r="A413" i="55" s="1"/>
  <c r="A414" i="55" s="1"/>
  <c r="A415" i="55" s="1"/>
  <c r="A416" i="55" s="1"/>
  <c r="A417" i="55" s="1"/>
  <c r="A418" i="55" s="1"/>
  <c r="A419" i="55" s="1"/>
  <c r="A420" i="55" s="1"/>
  <c r="A421" i="55" s="1"/>
  <c r="A422" i="55" s="1"/>
  <c r="A423" i="55" s="1"/>
  <c r="A424" i="55" s="1"/>
  <c r="A425" i="55" s="1"/>
  <c r="A426" i="55" s="1"/>
  <c r="A427" i="55" s="1"/>
  <c r="A428" i="55" s="1"/>
  <c r="A429" i="55" s="1"/>
  <c r="A430" i="55" s="1"/>
  <c r="A431" i="55" s="1"/>
  <c r="A432" i="55" s="1"/>
  <c r="A433" i="55" s="1"/>
  <c r="A434" i="55" s="1"/>
  <c r="A435" i="55" s="1"/>
  <c r="A436" i="55" s="1"/>
  <c r="A437" i="55" s="1"/>
  <c r="A438" i="55" s="1"/>
  <c r="A439" i="55" s="1"/>
  <c r="A440" i="55" s="1"/>
  <c r="A441" i="55" s="1"/>
  <c r="A442" i="55" s="1"/>
  <c r="A443" i="55" s="1"/>
  <c r="A444" i="55" s="1"/>
  <c r="A445" i="55" s="1"/>
  <c r="A446" i="55" s="1"/>
  <c r="A447" i="55" s="1"/>
  <c r="A448" i="55" s="1"/>
  <c r="A449" i="55" s="1"/>
  <c r="A450" i="55" s="1"/>
  <c r="A451" i="55" s="1"/>
  <c r="A452" i="55" s="1"/>
  <c r="A453" i="55" s="1"/>
  <c r="A454" i="55" s="1"/>
  <c r="A455" i="55" s="1"/>
  <c r="A456" i="55" s="1"/>
  <c r="A457" i="55" s="1"/>
  <c r="A458" i="55" s="1"/>
  <c r="A459" i="55" s="1"/>
  <c r="A460" i="55" s="1"/>
  <c r="A461" i="55" s="1"/>
  <c r="A462" i="55" s="1"/>
  <c r="A463" i="55" s="1"/>
  <c r="A464" i="55" s="1"/>
  <c r="A465" i="55" s="1"/>
  <c r="A466" i="55" s="1"/>
  <c r="A467" i="55" s="1"/>
  <c r="A468" i="55" s="1"/>
  <c r="A469" i="55" s="1"/>
  <c r="A470" i="55" s="1"/>
  <c r="A471" i="55" s="1"/>
  <c r="A472" i="55" s="1"/>
  <c r="A473" i="55" s="1"/>
  <c r="A474" i="55" s="1"/>
  <c r="A475" i="55" s="1"/>
  <c r="A476" i="55" s="1"/>
  <c r="A477" i="55" s="1"/>
  <c r="A478" i="55" s="1"/>
  <c r="A479" i="55" s="1"/>
  <c r="A480" i="55" s="1"/>
  <c r="A481" i="55" s="1"/>
  <c r="A482" i="55" s="1"/>
  <c r="A483" i="55" s="1"/>
  <c r="A484" i="55" s="1"/>
  <c r="A485" i="55" s="1"/>
  <c r="A486" i="55" s="1"/>
  <c r="A487" i="55" s="1"/>
  <c r="A488" i="55" s="1"/>
  <c r="A489" i="55" s="1"/>
  <c r="A490" i="55" s="1"/>
  <c r="A491" i="55" s="1"/>
  <c r="A492" i="55" s="1"/>
  <c r="A493" i="55" s="1"/>
  <c r="A494" i="55" s="1"/>
  <c r="A495" i="55" s="1"/>
  <c r="A496" i="55" s="1"/>
  <c r="A497" i="55" s="1"/>
  <c r="A498" i="55" s="1"/>
  <c r="A499" i="55" s="1"/>
  <c r="A500" i="55" s="1"/>
  <c r="A501" i="55" s="1"/>
  <c r="A502" i="55" s="1"/>
  <c r="A503" i="55" s="1"/>
  <c r="A504" i="55" s="1"/>
  <c r="A505" i="55" s="1"/>
  <c r="A506" i="55" s="1"/>
  <c r="A507" i="55" s="1"/>
  <c r="A508" i="55" s="1"/>
  <c r="A509" i="55" s="1"/>
  <c r="A510" i="55" s="1"/>
  <c r="A511" i="55" s="1"/>
  <c r="A512" i="55" s="1"/>
  <c r="A513" i="55" s="1"/>
  <c r="A514" i="55" s="1"/>
  <c r="A515" i="55" s="1"/>
  <c r="A516" i="55" s="1"/>
  <c r="A517" i="55" s="1"/>
  <c r="A518" i="55" s="1"/>
  <c r="A519" i="55" s="1"/>
  <c r="A520" i="55" s="1"/>
  <c r="A521" i="55" s="1"/>
  <c r="A522" i="55" s="1"/>
  <c r="A523" i="55" s="1"/>
  <c r="A524" i="55" s="1"/>
  <c r="A525" i="55" s="1"/>
  <c r="A526" i="55" s="1"/>
  <c r="A527" i="55" s="1"/>
  <c r="A528" i="55" s="1"/>
  <c r="A529" i="55" s="1"/>
  <c r="A530" i="55" s="1"/>
  <c r="A531" i="55" s="1"/>
  <c r="A532" i="55" s="1"/>
  <c r="A533" i="55" s="1"/>
  <c r="A534" i="55" s="1"/>
  <c r="A535" i="55" s="1"/>
  <c r="A536" i="55" s="1"/>
  <c r="A537" i="55" s="1"/>
  <c r="A538" i="55" s="1"/>
  <c r="A539" i="55" s="1"/>
  <c r="A540" i="55" s="1"/>
  <c r="A541" i="55" s="1"/>
  <c r="A542" i="55" s="1"/>
  <c r="A543" i="55" s="1"/>
  <c r="A544" i="55" s="1"/>
  <c r="A545" i="55" s="1"/>
  <c r="A546" i="55" s="1"/>
  <c r="A547" i="55" s="1"/>
  <c r="A548" i="55" s="1"/>
  <c r="A549" i="55" s="1"/>
  <c r="A550" i="55" s="1"/>
  <c r="A551" i="55" s="1"/>
  <c r="A552" i="55" s="1"/>
  <c r="A553" i="55" s="1"/>
  <c r="A554" i="55" s="1"/>
  <c r="A555" i="55" s="1"/>
  <c r="A556" i="55" s="1"/>
  <c r="A557" i="55" s="1"/>
  <c r="A558" i="55" s="1"/>
  <c r="A559" i="55" s="1"/>
  <c r="A560" i="55" s="1"/>
  <c r="A561" i="55" s="1"/>
  <c r="A562" i="55" s="1"/>
  <c r="A563" i="55" s="1"/>
  <c r="A564" i="55" s="1"/>
  <c r="A565" i="55" s="1"/>
  <c r="A566" i="55" s="1"/>
  <c r="A567" i="55" s="1"/>
  <c r="A568" i="55" s="1"/>
  <c r="A569" i="55" s="1"/>
  <c r="A570" i="55" s="1"/>
  <c r="A571" i="55" s="1"/>
  <c r="A572" i="55" s="1"/>
  <c r="A573" i="55" s="1"/>
  <c r="A574" i="55" s="1"/>
  <c r="A575" i="55" s="1"/>
  <c r="A576" i="55" s="1"/>
  <c r="A577" i="55" s="1"/>
  <c r="A578" i="55" s="1"/>
  <c r="A579" i="55" s="1"/>
  <c r="A580" i="55" s="1"/>
  <c r="A581" i="55" s="1"/>
  <c r="A582" i="55" s="1"/>
  <c r="A583" i="55" s="1"/>
  <c r="A584" i="55" s="1"/>
  <c r="A585" i="55" s="1"/>
  <c r="A586" i="55" s="1"/>
  <c r="A587" i="55" s="1"/>
  <c r="A588" i="55" s="1"/>
  <c r="A589" i="55" s="1"/>
  <c r="A590" i="55" s="1"/>
  <c r="A591" i="55" s="1"/>
  <c r="A592" i="55" s="1"/>
  <c r="A593" i="55" s="1"/>
  <c r="A594" i="55" s="1"/>
  <c r="A595" i="55" s="1"/>
  <c r="A596" i="55" s="1"/>
  <c r="A597" i="55" s="1"/>
  <c r="A598" i="55" s="1"/>
  <c r="A599" i="55" s="1"/>
  <c r="A600" i="55" s="1"/>
  <c r="A601" i="55" s="1"/>
  <c r="A602" i="55" s="1"/>
  <c r="A603" i="55" s="1"/>
  <c r="A604" i="55" s="1"/>
  <c r="A605" i="55" s="1"/>
  <c r="A606" i="55" s="1"/>
  <c r="A607" i="55" s="1"/>
  <c r="A608" i="55" s="1"/>
  <c r="A609" i="55" s="1"/>
  <c r="A610" i="55" s="1"/>
  <c r="A611" i="55" s="1"/>
  <c r="A612" i="55" s="1"/>
  <c r="A613" i="55" s="1"/>
  <c r="A614" i="55" s="1"/>
  <c r="A615" i="55" s="1"/>
  <c r="A616" i="55" s="1"/>
  <c r="A617" i="55" s="1"/>
  <c r="A618" i="55" s="1"/>
  <c r="A619" i="55" s="1"/>
  <c r="A620" i="55" s="1"/>
  <c r="A621" i="55" s="1"/>
  <c r="A622" i="55" s="1"/>
  <c r="A623" i="55" s="1"/>
  <c r="A624" i="55" s="1"/>
  <c r="A625" i="55" s="1"/>
  <c r="A626" i="55" s="1"/>
  <c r="A627" i="55" s="1"/>
  <c r="A628" i="55" s="1"/>
  <c r="A629" i="55" s="1"/>
  <c r="A630" i="55" s="1"/>
  <c r="A631" i="55" s="1"/>
  <c r="A632" i="55" s="1"/>
  <c r="A633" i="55" s="1"/>
  <c r="A634" i="55" s="1"/>
  <c r="A635" i="55" s="1"/>
  <c r="A636" i="55" s="1"/>
  <c r="A637" i="55" s="1"/>
  <c r="A638" i="55" s="1"/>
  <c r="A639" i="55" s="1"/>
  <c r="A640" i="55" s="1"/>
  <c r="A641" i="55" s="1"/>
  <c r="A642" i="55" s="1"/>
  <c r="A643" i="55" s="1"/>
  <c r="A644" i="55" s="1"/>
  <c r="A645" i="55" s="1"/>
  <c r="A646" i="55" s="1"/>
  <c r="A647" i="55" s="1"/>
  <c r="A648" i="55" s="1"/>
  <c r="A649" i="55" s="1"/>
  <c r="A650" i="55" s="1"/>
  <c r="A651" i="55" s="1"/>
  <c r="A652" i="55" s="1"/>
  <c r="A653" i="55" s="1"/>
  <c r="A654" i="55" s="1"/>
  <c r="A655" i="55" s="1"/>
  <c r="A656" i="55" s="1"/>
  <c r="A657" i="55" s="1"/>
  <c r="A658" i="55" s="1"/>
  <c r="A659" i="55" s="1"/>
  <c r="A660" i="55" s="1"/>
  <c r="A661" i="55" s="1"/>
  <c r="A662" i="55" s="1"/>
  <c r="A663" i="55" s="1"/>
  <c r="A664" i="55" s="1"/>
  <c r="A665" i="55" s="1"/>
  <c r="A666" i="55" s="1"/>
  <c r="A667" i="55" s="1"/>
  <c r="A668" i="55" s="1"/>
  <c r="A669" i="55" s="1"/>
  <c r="A670" i="55" s="1"/>
  <c r="A671" i="55" s="1"/>
  <c r="A672" i="55" s="1"/>
  <c r="A673" i="55" s="1"/>
  <c r="A674" i="55" s="1"/>
  <c r="A675" i="55" s="1"/>
  <c r="A676" i="55" s="1"/>
  <c r="A677" i="55" s="1"/>
  <c r="A678" i="55" s="1"/>
  <c r="A679" i="55" s="1"/>
  <c r="A680" i="55" s="1"/>
  <c r="A681" i="55" s="1"/>
  <c r="A682" i="55" s="1"/>
  <c r="A683" i="55" s="1"/>
  <c r="A684" i="55" s="1"/>
  <c r="A685" i="55" s="1"/>
  <c r="A686" i="55" s="1"/>
  <c r="A687" i="55" s="1"/>
  <c r="A688" i="55" s="1"/>
  <c r="A689" i="55" s="1"/>
  <c r="A690" i="55" s="1"/>
  <c r="A691" i="55" s="1"/>
  <c r="A692" i="55" s="1"/>
  <c r="A693" i="55" s="1"/>
  <c r="A694" i="55" s="1"/>
  <c r="A695" i="55" s="1"/>
  <c r="A696" i="55" s="1"/>
  <c r="A697" i="55" s="1"/>
  <c r="A698" i="55" s="1"/>
  <c r="A699" i="55" s="1"/>
  <c r="A700" i="55" s="1"/>
  <c r="A701" i="55" s="1"/>
  <c r="A702" i="55" s="1"/>
  <c r="A703" i="55" s="1"/>
  <c r="A704" i="55" s="1"/>
  <c r="A705" i="55" s="1"/>
  <c r="A706" i="55" s="1"/>
  <c r="A707" i="55" s="1"/>
  <c r="A708" i="55" s="1"/>
  <c r="A709" i="55" s="1"/>
  <c r="A710" i="55" s="1"/>
  <c r="A711" i="55" s="1"/>
  <c r="A712" i="55" s="1"/>
  <c r="A713" i="55" s="1"/>
  <c r="A714" i="55" s="1"/>
  <c r="A715" i="55" s="1"/>
  <c r="A716" i="55" s="1"/>
  <c r="A717" i="55" s="1"/>
  <c r="A718" i="55" s="1"/>
  <c r="A719" i="55" s="1"/>
  <c r="A720" i="55" s="1"/>
  <c r="A721" i="55" s="1"/>
  <c r="A722" i="55" s="1"/>
  <c r="A723" i="55" s="1"/>
  <c r="A724" i="55" s="1"/>
  <c r="A725" i="55" s="1"/>
  <c r="A726" i="55" s="1"/>
  <c r="A727" i="55" s="1"/>
  <c r="A728" i="55" s="1"/>
  <c r="A729" i="55" s="1"/>
  <c r="A730" i="55" s="1"/>
  <c r="A731" i="55" s="1"/>
  <c r="A732" i="55" s="1"/>
  <c r="A733" i="55" s="1"/>
  <c r="A734" i="55" s="1"/>
  <c r="A735" i="55" s="1"/>
  <c r="A736" i="55" s="1"/>
  <c r="A737" i="55" s="1"/>
  <c r="A738" i="55" s="1"/>
  <c r="A739" i="55" s="1"/>
  <c r="A740" i="55" s="1"/>
  <c r="A741" i="55" s="1"/>
  <c r="A742" i="55" s="1"/>
  <c r="A743" i="55" s="1"/>
  <c r="A744" i="55" s="1"/>
  <c r="A745" i="55" s="1"/>
  <c r="A746" i="55" s="1"/>
  <c r="A747" i="55" s="1"/>
  <c r="A748" i="55" s="1"/>
  <c r="A749" i="55" s="1"/>
  <c r="A750" i="55" s="1"/>
  <c r="A751" i="55" s="1"/>
  <c r="A752" i="55" s="1"/>
  <c r="A753" i="55" s="1"/>
  <c r="A754" i="55" s="1"/>
  <c r="A755" i="55" s="1"/>
  <c r="A756" i="55" s="1"/>
  <c r="A757" i="55" s="1"/>
  <c r="A758" i="55" s="1"/>
  <c r="A759" i="55" s="1"/>
  <c r="A760" i="55" s="1"/>
  <c r="A761" i="55" s="1"/>
  <c r="A762" i="55" s="1"/>
  <c r="A763" i="55" s="1"/>
  <c r="A764" i="55" s="1"/>
  <c r="A765" i="55" s="1"/>
  <c r="A766" i="55" s="1"/>
  <c r="A767" i="55" s="1"/>
  <c r="A768" i="55" s="1"/>
  <c r="A769" i="55" s="1"/>
  <c r="A770" i="55" s="1"/>
  <c r="A771" i="55" s="1"/>
  <c r="A772" i="55" s="1"/>
  <c r="A773" i="55" s="1"/>
  <c r="A774" i="55" s="1"/>
  <c r="A775" i="55" s="1"/>
  <c r="A776" i="55" s="1"/>
  <c r="A777" i="55" s="1"/>
  <c r="A778" i="55" s="1"/>
  <c r="A779" i="55" s="1"/>
  <c r="A780" i="55" s="1"/>
  <c r="A781" i="55" s="1"/>
  <c r="A782" i="55" s="1"/>
  <c r="A783" i="55" s="1"/>
  <c r="A784" i="55" s="1"/>
  <c r="A785" i="55" s="1"/>
  <c r="A786" i="55" s="1"/>
  <c r="A787" i="55" s="1"/>
  <c r="A788" i="55" s="1"/>
  <c r="A789" i="55" s="1"/>
  <c r="A790" i="55" s="1"/>
  <c r="A791" i="55" s="1"/>
  <c r="A792" i="55" s="1"/>
  <c r="A793" i="55" s="1"/>
  <c r="A794" i="55" s="1"/>
  <c r="A795" i="55" s="1"/>
  <c r="A796" i="55" s="1"/>
  <c r="A797" i="55" s="1"/>
  <c r="A798" i="55" s="1"/>
  <c r="A799" i="55" s="1"/>
  <c r="A800" i="55" s="1"/>
  <c r="A801" i="55" s="1"/>
  <c r="A802" i="55" s="1"/>
  <c r="A803" i="55" s="1"/>
  <c r="A804" i="55" s="1"/>
  <c r="A805" i="55" s="1"/>
  <c r="A806" i="55" s="1"/>
  <c r="A807" i="55" s="1"/>
  <c r="A808" i="55" s="1"/>
  <c r="A809" i="55" s="1"/>
  <c r="A810" i="55" s="1"/>
  <c r="A811" i="55" s="1"/>
  <c r="A812" i="55" s="1"/>
  <c r="A813" i="55" s="1"/>
  <c r="A814" i="55" s="1"/>
  <c r="A815" i="55" s="1"/>
  <c r="A816" i="55" s="1"/>
  <c r="A817" i="55" s="1"/>
  <c r="A818" i="55" s="1"/>
  <c r="A819" i="55" s="1"/>
  <c r="A820" i="55" s="1"/>
  <c r="A821" i="55" s="1"/>
  <c r="A822" i="55" s="1"/>
  <c r="A823" i="55" s="1"/>
  <c r="A824" i="55" s="1"/>
  <c r="A825" i="55" s="1"/>
  <c r="A826" i="55" s="1"/>
  <c r="A827" i="55" s="1"/>
  <c r="A828" i="55" s="1"/>
  <c r="A829" i="55" s="1"/>
  <c r="A830" i="55" s="1"/>
  <c r="A831" i="55" s="1"/>
  <c r="A832" i="55" s="1"/>
  <c r="A833" i="55" s="1"/>
  <c r="A834" i="55" s="1"/>
  <c r="A835" i="55" s="1"/>
  <c r="A836" i="55" s="1"/>
  <c r="A837" i="55" s="1"/>
  <c r="A838" i="55" s="1"/>
  <c r="A839" i="55" s="1"/>
  <c r="A840" i="55" s="1"/>
  <c r="A841" i="55" s="1"/>
  <c r="A842" i="55" s="1"/>
  <c r="A843" i="55" s="1"/>
  <c r="A844" i="55" s="1"/>
  <c r="A845" i="55" s="1"/>
  <c r="A846" i="55" s="1"/>
  <c r="A847" i="55" s="1"/>
  <c r="A848" i="55" s="1"/>
  <c r="A849" i="55" s="1"/>
  <c r="A850" i="55" s="1"/>
  <c r="A851" i="55" s="1"/>
  <c r="A852" i="55" s="1"/>
  <c r="A853" i="55" s="1"/>
  <c r="A854" i="55" s="1"/>
  <c r="A855" i="55" s="1"/>
  <c r="A856" i="55" s="1"/>
  <c r="A857" i="55" s="1"/>
  <c r="A858" i="55" s="1"/>
  <c r="A859" i="55" s="1"/>
  <c r="A860" i="55" s="1"/>
  <c r="A861" i="55" s="1"/>
  <c r="A862" i="55" s="1"/>
  <c r="A863" i="55" s="1"/>
  <c r="A864" i="55" s="1"/>
  <c r="A865" i="55" s="1"/>
  <c r="A866" i="55" s="1"/>
  <c r="A867" i="55" s="1"/>
  <c r="A868" i="55" s="1"/>
  <c r="A869" i="55" s="1"/>
  <c r="A870" i="55" s="1"/>
  <c r="A871" i="55" s="1"/>
  <c r="A872" i="55" s="1"/>
  <c r="A873" i="55" s="1"/>
  <c r="A874" i="55" s="1"/>
  <c r="A875" i="55" s="1"/>
  <c r="A876" i="55" s="1"/>
  <c r="A877" i="55" s="1"/>
  <c r="A878" i="55" s="1"/>
  <c r="A879" i="55" s="1"/>
  <c r="A880" i="55" s="1"/>
  <c r="A881" i="55" s="1"/>
  <c r="A882" i="55" s="1"/>
  <c r="A883" i="55" s="1"/>
  <c r="A884" i="55" s="1"/>
  <c r="A885" i="55" s="1"/>
  <c r="A886" i="55" s="1"/>
  <c r="A887" i="55" s="1"/>
  <c r="A888" i="55" s="1"/>
  <c r="A889" i="55" s="1"/>
  <c r="A890" i="55" s="1"/>
  <c r="A891" i="55" s="1"/>
  <c r="A892" i="55" s="1"/>
  <c r="A893" i="55" s="1"/>
  <c r="A894" i="55" s="1"/>
  <c r="A895" i="55" s="1"/>
  <c r="A896" i="55" s="1"/>
  <c r="A897" i="55" s="1"/>
  <c r="A898" i="55" s="1"/>
  <c r="A899" i="55" s="1"/>
  <c r="A900" i="55" s="1"/>
  <c r="A901" i="55" s="1"/>
  <c r="A902" i="55" s="1"/>
  <c r="A903" i="55" s="1"/>
  <c r="A904" i="55" s="1"/>
  <c r="A905" i="55" s="1"/>
  <c r="A906" i="55" s="1"/>
  <c r="A907" i="55" s="1"/>
  <c r="A908" i="55" s="1"/>
  <c r="A909" i="55" s="1"/>
  <c r="A910" i="55" s="1"/>
  <c r="A911" i="55" s="1"/>
  <c r="A912" i="55" s="1"/>
  <c r="A913" i="55" s="1"/>
  <c r="A914" i="55" s="1"/>
  <c r="A915" i="55" s="1"/>
  <c r="A916" i="55" s="1"/>
  <c r="A917" i="55" s="1"/>
  <c r="A918" i="55" s="1"/>
  <c r="A919" i="55" s="1"/>
  <c r="A920" i="55" s="1"/>
  <c r="A921" i="55" s="1"/>
  <c r="A922" i="55" s="1"/>
  <c r="A923" i="55" s="1"/>
  <c r="A924" i="55" s="1"/>
  <c r="A925" i="55" s="1"/>
  <c r="A926" i="55" s="1"/>
  <c r="A927" i="55" s="1"/>
  <c r="A928" i="55" s="1"/>
  <c r="A929" i="55" s="1"/>
  <c r="A930" i="55" s="1"/>
  <c r="A931" i="55" s="1"/>
  <c r="A932" i="55" s="1"/>
  <c r="A933" i="55" s="1"/>
  <c r="A934" i="55" s="1"/>
  <c r="A935" i="55" s="1"/>
  <c r="A936" i="55" s="1"/>
  <c r="A937" i="55" s="1"/>
  <c r="A938" i="55" s="1"/>
  <c r="A939" i="55" s="1"/>
  <c r="A940" i="55" s="1"/>
  <c r="A941" i="55" s="1"/>
  <c r="A942" i="55" s="1"/>
  <c r="A943" i="55" s="1"/>
  <c r="A944" i="55" s="1"/>
  <c r="A945" i="55" s="1"/>
  <c r="A946" i="55" s="1"/>
  <c r="A947" i="55" s="1"/>
  <c r="A948" i="55" s="1"/>
  <c r="A949" i="55" s="1"/>
  <c r="A950" i="55" s="1"/>
  <c r="A951" i="55" s="1"/>
  <c r="A952" i="55" s="1"/>
  <c r="A953" i="55" s="1"/>
  <c r="A954" i="55" s="1"/>
  <c r="A955" i="55" s="1"/>
  <c r="A956" i="55" s="1"/>
  <c r="A957" i="55" s="1"/>
  <c r="A958" i="55" s="1"/>
  <c r="A959" i="55" s="1"/>
  <c r="A960" i="55" s="1"/>
  <c r="A961" i="55" s="1"/>
  <c r="A962" i="55" s="1"/>
  <c r="A963" i="55" s="1"/>
  <c r="A964" i="55" s="1"/>
  <c r="A965" i="55" s="1"/>
  <c r="A966" i="55" s="1"/>
  <c r="A967" i="55" s="1"/>
  <c r="A968" i="55" s="1"/>
  <c r="A969" i="55" s="1"/>
  <c r="A970" i="55" s="1"/>
  <c r="A971" i="55" s="1"/>
  <c r="A972" i="55" s="1"/>
  <c r="A973" i="55" s="1"/>
  <c r="A974" i="55" s="1"/>
  <c r="A975" i="55" s="1"/>
  <c r="A976" i="55" s="1"/>
  <c r="A977" i="55" s="1"/>
  <c r="A978" i="55" s="1"/>
  <c r="A979" i="55" s="1"/>
  <c r="A980" i="55" s="1"/>
  <c r="A981" i="55" s="1"/>
  <c r="A982" i="55" s="1"/>
  <c r="A983" i="55" s="1"/>
  <c r="A984" i="55" s="1"/>
  <c r="A985" i="55" s="1"/>
  <c r="A986" i="55" s="1"/>
  <c r="A987" i="55" s="1"/>
  <c r="A988" i="55" s="1"/>
  <c r="A989" i="55" s="1"/>
  <c r="A990" i="55" s="1"/>
  <c r="A991" i="55" s="1"/>
  <c r="A992" i="55" s="1"/>
  <c r="A993" i="55" s="1"/>
  <c r="A994" i="55" s="1"/>
  <c r="A995" i="55" s="1"/>
  <c r="A996" i="55" s="1"/>
  <c r="A997" i="55" s="1"/>
  <c r="A998" i="55" s="1"/>
  <c r="A999" i="55" s="1"/>
  <c r="A1000" i="55" s="1"/>
  <c r="A1001" i="55" s="1"/>
  <c r="A1002" i="55" s="1"/>
  <c r="A1003" i="55" s="1"/>
  <c r="A1004" i="55" s="1"/>
  <c r="A1005" i="55" s="1"/>
  <c r="A1006" i="55" s="1"/>
  <c r="A1007" i="55" s="1"/>
  <c r="A1008" i="55" s="1"/>
  <c r="A1009" i="55" s="1"/>
  <c r="A1010" i="55" s="1"/>
  <c r="A1011" i="55" s="1"/>
  <c r="A1012" i="55" s="1"/>
  <c r="A1013" i="55" s="1"/>
  <c r="A1014" i="55" s="1"/>
  <c r="A1015" i="55" s="1"/>
  <c r="A1016" i="55" s="1"/>
  <c r="A1017" i="55" s="1"/>
  <c r="A1018" i="55" s="1"/>
  <c r="A1019" i="55" s="1"/>
  <c r="A1020" i="55" s="1"/>
  <c r="A1021" i="55" s="1"/>
  <c r="A1022" i="55" s="1"/>
  <c r="A1023" i="55" s="1"/>
  <c r="A1024" i="55" s="1"/>
  <c r="A1025" i="55" s="1"/>
  <c r="A1026" i="55" s="1"/>
  <c r="A1027" i="55" s="1"/>
  <c r="A1028" i="55" s="1"/>
  <c r="A1029" i="55" s="1"/>
  <c r="A1030" i="55" s="1"/>
  <c r="A1031" i="55" s="1"/>
  <c r="A1032" i="55" s="1"/>
  <c r="A1033" i="55" s="1"/>
  <c r="A1034" i="55" s="1"/>
  <c r="A1035" i="55" s="1"/>
  <c r="A1036" i="55" s="1"/>
  <c r="A1037" i="55" s="1"/>
  <c r="A1038" i="55" s="1"/>
  <c r="A1039" i="55" s="1"/>
  <c r="A1040" i="55" s="1"/>
  <c r="A1041" i="55" s="1"/>
  <c r="A1042" i="55" s="1"/>
  <c r="A1043" i="55" s="1"/>
  <c r="A1044" i="55" s="1"/>
  <c r="A1045" i="55" s="1"/>
  <c r="A1046" i="55" s="1"/>
  <c r="A1047" i="55" s="1"/>
  <c r="A1048" i="55" s="1"/>
  <c r="A1049" i="55" s="1"/>
  <c r="A1050" i="55" s="1"/>
  <c r="A1051" i="55" s="1"/>
  <c r="A1052" i="55" s="1"/>
  <c r="A1053" i="55" s="1"/>
  <c r="A1054" i="55" s="1"/>
  <c r="A1055" i="55" s="1"/>
  <c r="A1056" i="55" s="1"/>
  <c r="A1057" i="55" s="1"/>
  <c r="A1058" i="55" s="1"/>
  <c r="A1059" i="55" s="1"/>
  <c r="A1060" i="55" s="1"/>
  <c r="A1061" i="55" s="1"/>
  <c r="A1062" i="55" s="1"/>
  <c r="A1063" i="55" s="1"/>
  <c r="A1064" i="55" s="1"/>
  <c r="A1065" i="55" s="1"/>
  <c r="A1066" i="55" s="1"/>
  <c r="A1067" i="55" s="1"/>
  <c r="A1068" i="55" s="1"/>
  <c r="A1069" i="55" s="1"/>
  <c r="A1070" i="55" s="1"/>
  <c r="A1071" i="55" s="1"/>
  <c r="A1072" i="55" s="1"/>
  <c r="A1073" i="55" s="1"/>
  <c r="A1074" i="55" s="1"/>
  <c r="A1075" i="55" s="1"/>
  <c r="A1076" i="55" s="1"/>
  <c r="A1077" i="55" s="1"/>
  <c r="A1078" i="55" s="1"/>
  <c r="A1079" i="55" s="1"/>
  <c r="A1080" i="55" s="1"/>
  <c r="A1081" i="55" s="1"/>
  <c r="A1082" i="55" s="1"/>
  <c r="A1083" i="55" s="1"/>
  <c r="A1084" i="55" s="1"/>
  <c r="A1085" i="55" s="1"/>
  <c r="A1086" i="55" s="1"/>
  <c r="A1087" i="55" s="1"/>
  <c r="A1088" i="55" s="1"/>
  <c r="A1089" i="55" s="1"/>
  <c r="A1090" i="55" s="1"/>
  <c r="A1091" i="55" s="1"/>
  <c r="A1092" i="55" s="1"/>
  <c r="A1093" i="55" s="1"/>
  <c r="A1094" i="55" s="1"/>
  <c r="A1095" i="55" s="1"/>
  <c r="A1096" i="55" s="1"/>
  <c r="A1097" i="55" s="1"/>
  <c r="A1098" i="55" s="1"/>
  <c r="A1099" i="55" s="1"/>
  <c r="A1100" i="55" s="1"/>
  <c r="A1101" i="55" s="1"/>
  <c r="A1102" i="55" s="1"/>
  <c r="A1103" i="55" s="1"/>
  <c r="A1104" i="55" s="1"/>
  <c r="A1105" i="55" s="1"/>
  <c r="A1106" i="55" s="1"/>
  <c r="A1107" i="55" s="1"/>
  <c r="A1108" i="55" s="1"/>
  <c r="A1109" i="55" s="1"/>
  <c r="A1110" i="55" s="1"/>
  <c r="A1111" i="55" s="1"/>
  <c r="A1112" i="55" s="1"/>
  <c r="A1113" i="55" s="1"/>
  <c r="A1114" i="55" s="1"/>
  <c r="A1115" i="55" s="1"/>
  <c r="A1116" i="55" s="1"/>
  <c r="A1117" i="55" s="1"/>
  <c r="A1118" i="55" s="1"/>
  <c r="A1119" i="55" s="1"/>
  <c r="A1120" i="55" s="1"/>
  <c r="A1121" i="55" s="1"/>
  <c r="A1122" i="55" s="1"/>
  <c r="A1123" i="55" s="1"/>
  <c r="A1124" i="55" s="1"/>
  <c r="A1125" i="55" s="1"/>
  <c r="A1126" i="55" s="1"/>
  <c r="A1127" i="55" s="1"/>
  <c r="A1128" i="55" s="1"/>
  <c r="A1129" i="55" s="1"/>
  <c r="A1130" i="55" s="1"/>
  <c r="A1131" i="55" s="1"/>
  <c r="A1132" i="55" s="1"/>
  <c r="A1133" i="55" s="1"/>
  <c r="A1134" i="55" s="1"/>
  <c r="A1135" i="55" s="1"/>
  <c r="A1136" i="55" s="1"/>
  <c r="A1137" i="55" s="1"/>
  <c r="A1138" i="55" s="1"/>
  <c r="A1139" i="55" s="1"/>
  <c r="A1140" i="55" s="1"/>
  <c r="A1141" i="55" s="1"/>
  <c r="A1142" i="55" s="1"/>
  <c r="A1143" i="55" s="1"/>
  <c r="A1144" i="55" s="1"/>
  <c r="A1145" i="55" s="1"/>
  <c r="A1146" i="55" s="1"/>
  <c r="A1147" i="55" s="1"/>
  <c r="A1148" i="55" s="1"/>
  <c r="A1149" i="55" s="1"/>
  <c r="A1150" i="55" s="1"/>
  <c r="A1151" i="55" s="1"/>
  <c r="A1152" i="55" s="1"/>
  <c r="A1153" i="55" s="1"/>
  <c r="A1154" i="55" s="1"/>
  <c r="A1155" i="55" s="1"/>
  <c r="A1156" i="55" s="1"/>
  <c r="A1157" i="55" s="1"/>
  <c r="A1158" i="55" s="1"/>
  <c r="A1159" i="55" s="1"/>
  <c r="A4" i="6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99" i="54" l="1"/>
  <c r="A100" i="54" s="1"/>
  <c r="A101" i="54" s="1"/>
  <c r="A102" i="54" s="1"/>
  <c r="A103" i="54" s="1"/>
  <c r="A104" i="54" s="1"/>
  <c r="A105" i="54" s="1"/>
  <c r="A106" i="54" s="1"/>
  <c r="A107" i="54" s="1"/>
  <c r="A108" i="54" s="1"/>
  <c r="A109" i="54" s="1"/>
  <c r="A110" i="54" s="1"/>
  <c r="A111" i="54" s="1"/>
  <c r="A112" i="54" s="1"/>
  <c r="A113" i="54" s="1"/>
  <c r="A114" i="54" s="1"/>
  <c r="A115" i="54" s="1"/>
  <c r="A116" i="54" s="1"/>
  <c r="A117" i="54" s="1"/>
  <c r="A118" i="54" s="1"/>
  <c r="A119" i="54" s="1"/>
  <c r="A120" i="54" s="1"/>
  <c r="A121" i="54" s="1"/>
  <c r="A122" i="54" s="1"/>
  <c r="A123" i="54" s="1"/>
  <c r="A124" i="54" s="1"/>
  <c r="A125" i="54" s="1"/>
  <c r="A11" i="63"/>
  <c r="A12" i="63" s="1"/>
  <c r="A13" i="63" s="1"/>
  <c r="A14" i="63" s="1"/>
  <c r="A15" i="63" s="1"/>
  <c r="A5" i="32"/>
  <c r="A6" i="32" s="1"/>
  <c r="A7" i="32" s="1"/>
  <c r="A8" i="32" s="1"/>
  <c r="A9" i="32" s="1"/>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92" i="32" s="1"/>
  <c r="A93" i="32" s="1"/>
  <c r="A94" i="32" s="1"/>
  <c r="A95" i="32" s="1"/>
  <c r="A96" i="32" s="1"/>
  <c r="A97" i="32" s="1"/>
  <c r="A98" i="32" s="1"/>
  <c r="A99" i="32" s="1"/>
  <c r="A100" i="32" s="1"/>
  <c r="A101" i="32" s="1"/>
  <c r="A102" i="32" s="1"/>
  <c r="A103" i="32" s="1"/>
  <c r="A104" i="32" s="1"/>
  <c r="A105" i="32" s="1"/>
  <c r="A106" i="32" s="1"/>
  <c r="A107" i="32" s="1"/>
  <c r="A108" i="32" s="1"/>
  <c r="A109" i="32" s="1"/>
  <c r="A110" i="32" s="1"/>
  <c r="A111" i="32" s="1"/>
  <c r="A112" i="32" s="1"/>
  <c r="A113" i="32" s="1"/>
  <c r="A114" i="32" s="1"/>
  <c r="A115" i="32" s="1"/>
  <c r="A116" i="32" s="1"/>
  <c r="A117" i="32" s="1"/>
  <c r="A118" i="32" s="1"/>
  <c r="A119" i="32" s="1"/>
  <c r="A120" i="32" s="1"/>
  <c r="A121" i="32" s="1"/>
  <c r="A122" i="32" s="1"/>
  <c r="A123" i="32" s="1"/>
  <c r="A124" i="32" s="1"/>
  <c r="A125" i="32" s="1"/>
  <c r="A126" i="32" s="1"/>
  <c r="A127" i="32" s="1"/>
  <c r="A128" i="32" s="1"/>
  <c r="A126" i="54" l="1"/>
  <c r="A127" i="54" s="1"/>
  <c r="A128" i="54" s="1"/>
  <c r="A129" i="54" s="1"/>
  <c r="A130" i="54" s="1"/>
  <c r="A131" i="54" s="1"/>
  <c r="A132" i="54" s="1"/>
  <c r="A133" i="54" s="1"/>
  <c r="A134" i="54" s="1"/>
  <c r="A136" i="54" s="1"/>
  <c r="A137" i="54" s="1"/>
  <c r="A138" i="54" s="1"/>
  <c r="A139" i="54" s="1"/>
  <c r="A140" i="54" s="1"/>
  <c r="A141" i="54" s="1"/>
  <c r="A142" i="54" s="1"/>
  <c r="A143" i="54" s="1"/>
  <c r="A144" i="54" s="1"/>
  <c r="A145" i="54" s="1"/>
  <c r="A146" i="54" s="1"/>
  <c r="A147" i="54" s="1"/>
  <c r="A148" i="54" s="1"/>
  <c r="A149" i="54" s="1"/>
  <c r="A150" i="54" s="1"/>
  <c r="A151" i="54" s="1"/>
  <c r="A152" i="54" s="1"/>
  <c r="A153" i="54" s="1"/>
  <c r="A154" i="54" s="1"/>
  <c r="A155" i="54" s="1"/>
  <c r="A16" i="63"/>
  <c r="A18" i="63" s="1"/>
  <c r="A19" i="63" s="1"/>
  <c r="A20" i="63" s="1"/>
  <c r="A21" i="63" s="1"/>
  <c r="A23" i="63" s="1"/>
  <c r="A24" i="63" s="1"/>
  <c r="A25" i="63" s="1"/>
  <c r="E159" i="30"/>
  <c r="E157" i="30"/>
  <c r="E156" i="30"/>
  <c r="E155" i="30"/>
  <c r="E154" i="30"/>
  <c r="E153" i="30"/>
  <c r="E152" i="30"/>
  <c r="E151" i="30"/>
  <c r="E150" i="30"/>
  <c r="E149" i="30"/>
  <c r="E148" i="30"/>
  <c r="E147" i="30"/>
  <c r="E146" i="30"/>
  <c r="E145" i="30"/>
  <c r="E144" i="30"/>
  <c r="E143" i="30"/>
  <c r="E142" i="30"/>
  <c r="E141" i="30"/>
  <c r="E140" i="30"/>
  <c r="E139" i="30"/>
  <c r="E138" i="30"/>
  <c r="E137" i="30"/>
  <c r="E136" i="30"/>
  <c r="E135" i="30"/>
  <c r="E133" i="30"/>
  <c r="E132" i="30"/>
  <c r="E131" i="30"/>
  <c r="E130" i="30"/>
  <c r="E129" i="30"/>
  <c r="E128" i="30"/>
  <c r="E127" i="30"/>
  <c r="E126" i="30"/>
  <c r="E125" i="30"/>
  <c r="E124" i="30"/>
  <c r="E123" i="30"/>
  <c r="E122" i="30"/>
  <c r="E121" i="30"/>
  <c r="E120" i="30"/>
  <c r="E119" i="30"/>
  <c r="E118" i="30"/>
  <c r="E117" i="30"/>
  <c r="E116" i="30"/>
  <c r="E115" i="30"/>
  <c r="E114" i="30"/>
  <c r="E113" i="30"/>
  <c r="E112" i="30"/>
  <c r="E111" i="30"/>
  <c r="E110" i="30"/>
  <c r="E109" i="30"/>
  <c r="E108" i="30"/>
  <c r="E107" i="30"/>
  <c r="E105" i="30"/>
  <c r="E104" i="30"/>
  <c r="E103" i="30"/>
  <c r="E102" i="30"/>
  <c r="E101" i="30"/>
  <c r="E100" i="30"/>
  <c r="E99" i="30"/>
  <c r="E98" i="30"/>
  <c r="E97" i="30"/>
  <c r="E96" i="30"/>
  <c r="E95" i="30"/>
  <c r="E94" i="30"/>
  <c r="E93" i="30"/>
  <c r="E92" i="30"/>
  <c r="E91" i="30"/>
  <c r="E90" i="30"/>
  <c r="E89" i="30"/>
  <c r="E88" i="30"/>
  <c r="E87" i="30"/>
  <c r="E86" i="30"/>
  <c r="E85" i="30"/>
  <c r="E84" i="30"/>
  <c r="E83" i="30"/>
  <c r="E82" i="30"/>
  <c r="E81" i="30"/>
  <c r="E79" i="30"/>
  <c r="E78" i="30"/>
  <c r="E77" i="30"/>
  <c r="E76" i="30"/>
  <c r="E75" i="30"/>
  <c r="E74" i="30"/>
  <c r="E73" i="30"/>
  <c r="E72" i="30"/>
  <c r="E71" i="30"/>
  <c r="E70" i="30"/>
  <c r="E69" i="30"/>
  <c r="E68" i="30"/>
  <c r="E67" i="30"/>
  <c r="E66" i="30"/>
  <c r="E65" i="30"/>
  <c r="E64" i="30"/>
  <c r="E63" i="30"/>
  <c r="E62" i="30"/>
  <c r="E61" i="30"/>
  <c r="E60" i="30"/>
  <c r="E59" i="30"/>
  <c r="E58" i="30"/>
  <c r="E57" i="30"/>
  <c r="E56" i="30"/>
  <c r="E55" i="30"/>
  <c r="E54" i="30"/>
  <c r="E53" i="30"/>
  <c r="E52" i="30"/>
  <c r="E51" i="30"/>
  <c r="E50" i="30"/>
  <c r="E49" i="30"/>
  <c r="E48" i="30"/>
  <c r="E47" i="30"/>
  <c r="E46" i="30"/>
  <c r="E45" i="30"/>
  <c r="E44" i="30"/>
  <c r="E43" i="30"/>
  <c r="E42" i="30"/>
  <c r="E41" i="30"/>
  <c r="E40" i="30"/>
  <c r="E38" i="30"/>
  <c r="E37" i="30"/>
  <c r="E36" i="30"/>
  <c r="E35" i="30"/>
  <c r="E34" i="30"/>
  <c r="E33" i="30"/>
  <c r="E32" i="30"/>
  <c r="E31" i="30"/>
  <c r="E30" i="30"/>
  <c r="E29" i="30"/>
  <c r="E28" i="30"/>
  <c r="E27" i="30"/>
  <c r="E26" i="30"/>
  <c r="E25" i="30"/>
  <c r="E24" i="30"/>
  <c r="E22" i="30"/>
  <c r="E20" i="30"/>
  <c r="E18" i="30"/>
  <c r="E17" i="30"/>
  <c r="E16" i="30"/>
  <c r="E15" i="30"/>
  <c r="E14" i="30"/>
  <c r="E13" i="30"/>
  <c r="E12" i="30"/>
  <c r="E11" i="30"/>
  <c r="E10" i="30"/>
  <c r="E9" i="30"/>
  <c r="E7" i="30"/>
  <c r="E6" i="30"/>
  <c r="E5"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E4" i="30"/>
  <c r="A156" i="54" l="1"/>
  <c r="A157" i="54" s="1"/>
  <c r="A158" i="54" s="1"/>
  <c r="A159" i="54" s="1"/>
  <c r="A160" i="54" s="1"/>
  <c r="A161" i="54" s="1"/>
  <c r="A162" i="54" s="1"/>
  <c r="A163" i="54" s="1"/>
  <c r="A173" i="54" s="1"/>
  <c r="A174" i="54" s="1"/>
  <c r="A175" i="54" s="1"/>
  <c r="A176" i="54" s="1"/>
  <c r="A177" i="54" s="1"/>
  <c r="A178" i="54" s="1"/>
  <c r="A179" i="54" s="1"/>
  <c r="A180" i="54" s="1"/>
  <c r="A181" i="54" s="1"/>
  <c r="A182" i="54" s="1"/>
  <c r="A183" i="54" s="1"/>
  <c r="A184" i="54" s="1"/>
  <c r="A185" i="54" s="1"/>
  <c r="A186" i="54" s="1"/>
  <c r="A187" i="54" s="1"/>
  <c r="A188" i="54" s="1"/>
  <c r="A189" i="54" s="1"/>
  <c r="A190" i="54" s="1"/>
  <c r="A191" i="54" s="1"/>
  <c r="A192" i="54" s="1"/>
  <c r="A193" i="54" s="1"/>
  <c r="A194" i="54" s="1"/>
  <c r="A195" i="54" s="1"/>
  <c r="A4" i="71"/>
  <c r="A5" i="71" s="1"/>
  <c r="A6" i="71" s="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26" i="63"/>
  <c r="A28" i="63" s="1"/>
  <c r="A29" i="63" s="1"/>
  <c r="E160" i="30"/>
  <c r="A5" i="28"/>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K5" i="13"/>
  <c r="L5" i="13"/>
  <c r="M5" i="13"/>
  <c r="A283" i="54" l="1"/>
  <c r="A284" i="54" s="1"/>
  <c r="A285" i="54" s="1"/>
  <c r="A286" i="54" s="1"/>
  <c r="A287" i="54" s="1"/>
  <c r="A288" i="54" s="1"/>
  <c r="A289" i="54" s="1"/>
  <c r="A290" i="54" s="1"/>
  <c r="A291" i="54" s="1"/>
  <c r="A292" i="54" s="1"/>
  <c r="A293" i="54" s="1"/>
  <c r="A294" i="54" s="1"/>
  <c r="A295" i="54" s="1"/>
  <c r="A296" i="54" s="1"/>
  <c r="A297" i="54" s="1"/>
  <c r="A298" i="54" s="1"/>
  <c r="A299" i="54" s="1"/>
  <c r="A300" i="54" s="1"/>
  <c r="A301" i="54" s="1"/>
  <c r="A30" i="63"/>
  <c r="A31" i="63" s="1"/>
  <c r="A32" i="63" s="1"/>
  <c r="A35" i="63" s="1"/>
  <c r="A36" i="63" s="1"/>
  <c r="A37" i="63" s="1"/>
  <c r="A38" i="63" s="1"/>
  <c r="A4" i="13"/>
  <c r="A5" i="13" s="1"/>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5" i="8"/>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38" i="71" l="1"/>
  <c r="A39" i="71" s="1"/>
  <c r="A40" i="71" s="1"/>
  <c r="A41" i="71" s="1"/>
  <c r="A42" i="71" s="1"/>
  <c r="A43" i="71" s="1"/>
  <c r="A44" i="71" s="1"/>
  <c r="A39" i="63"/>
  <c r="A40" i="63" s="1"/>
  <c r="A41" i="63" s="1"/>
  <c r="A48" i="63" s="1"/>
  <c r="A51" i="63" s="1"/>
  <c r="A52" i="63" s="1"/>
  <c r="A53" i="63" s="1"/>
  <c r="A54" i="63" s="1"/>
  <c r="A55" i="63" s="1"/>
  <c r="A58" i="63" s="1"/>
  <c r="A59" i="63" s="1"/>
  <c r="A60" i="63" s="1"/>
  <c r="A61" i="63" s="1"/>
  <c r="A63" i="63" s="1"/>
  <c r="A45" i="71" l="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A105" i="71" s="1"/>
  <c r="A106" i="71" s="1"/>
  <c r="A107" i="71" s="1"/>
  <c r="A108" i="71" s="1"/>
  <c r="A109" i="71" s="1"/>
  <c r="A110" i="71" s="1"/>
  <c r="A111" i="71" s="1"/>
  <c r="A112" i="71" s="1"/>
  <c r="A113" i="71" s="1"/>
  <c r="A114" i="71" s="1"/>
  <c r="A115" i="71" s="1"/>
  <c r="A116" i="71" s="1"/>
  <c r="A117" i="71" s="1"/>
  <c r="A118" i="71" s="1"/>
  <c r="A119" i="71" s="1"/>
  <c r="A120" i="71" s="1"/>
  <c r="A121" i="71" s="1"/>
  <c r="A122" i="71" s="1"/>
  <c r="A123" i="71" s="1"/>
  <c r="A124" i="71" s="1"/>
  <c r="A125" i="71" s="1"/>
  <c r="A126" i="71" s="1"/>
  <c r="A127" i="71" s="1"/>
  <c r="A128" i="71" s="1"/>
  <c r="A129" i="71" s="1"/>
  <c r="A130" i="71" s="1"/>
  <c r="A131" i="71" s="1"/>
  <c r="A132" i="71" s="1"/>
  <c r="A133" i="71" s="1"/>
  <c r="A134" i="71" s="1"/>
  <c r="A135" i="71" s="1"/>
  <c r="A136" i="71" s="1"/>
  <c r="A137" i="71" s="1"/>
  <c r="A138" i="71" s="1"/>
  <c r="A139" i="71" s="1"/>
  <c r="A140" i="71" s="1"/>
  <c r="A141" i="71" s="1"/>
  <c r="A142" i="71" s="1"/>
  <c r="A143" i="71" s="1"/>
  <c r="A144" i="71" s="1"/>
  <c r="A145" i="71" s="1"/>
  <c r="A146" i="71" s="1"/>
  <c r="A147" i="71" s="1"/>
  <c r="A148" i="71" s="1"/>
  <c r="A149" i="71" s="1"/>
  <c r="A150" i="71" s="1"/>
  <c r="A151" i="71" s="1"/>
  <c r="A152" i="71" s="1"/>
  <c r="A153" i="71" s="1"/>
  <c r="A154" i="71" s="1"/>
  <c r="A155" i="71" s="1"/>
  <c r="A156" i="71" s="1"/>
  <c r="A157" i="71" s="1"/>
  <c r="A158" i="71" s="1"/>
  <c r="A159" i="71" s="1"/>
  <c r="A160" i="71" s="1"/>
  <c r="A161" i="71" s="1"/>
  <c r="A162" i="71" s="1"/>
  <c r="A163" i="71" s="1"/>
  <c r="A164" i="71" s="1"/>
  <c r="A165" i="71" s="1"/>
  <c r="A166" i="71" s="1"/>
  <c r="A167" i="71" s="1"/>
  <c r="A168" i="71" s="1"/>
  <c r="A169" i="71" s="1"/>
  <c r="A170" i="71" s="1"/>
  <c r="A171" i="71" s="1"/>
  <c r="A172" i="71" s="1"/>
  <c r="A173" i="71" s="1"/>
  <c r="A174" i="71" s="1"/>
  <c r="A175" i="71" s="1"/>
  <c r="A176" i="71" s="1"/>
  <c r="A177" i="71" s="1"/>
  <c r="A178" i="71" s="1"/>
  <c r="A179" i="71" s="1"/>
  <c r="A180" i="71" s="1"/>
  <c r="A181" i="71" s="1"/>
  <c r="A182" i="71" s="1"/>
  <c r="A183" i="71" s="1"/>
  <c r="A184" i="71" s="1"/>
  <c r="A185" i="71" s="1"/>
  <c r="A186" i="71" s="1"/>
  <c r="A187" i="71" s="1"/>
  <c r="A188" i="71" s="1"/>
  <c r="A189" i="71" s="1"/>
  <c r="A64" i="63"/>
  <c r="A65" i="63" s="1"/>
  <c r="A66" i="63" s="1"/>
  <c r="A72" i="63" s="1"/>
  <c r="A73" i="63" s="1"/>
  <c r="A74" i="63" l="1"/>
  <c r="A75" i="63" s="1"/>
  <c r="A78" i="63" s="1"/>
  <c r="A79" i="63" s="1"/>
  <c r="A80" i="63" s="1"/>
  <c r="A81" i="63" s="1"/>
  <c r="A82" i="63" l="1"/>
  <c r="A83" i="63" s="1"/>
  <c r="A84" i="63" s="1"/>
  <c r="A85" i="63" s="1"/>
  <c r="A86" i="63" s="1"/>
  <c r="A87" i="63" s="1"/>
  <c r="A89" i="63" s="1"/>
  <c r="A90" i="63" s="1"/>
  <c r="A91" i="63" s="1"/>
  <c r="A92" i="63" s="1"/>
  <c r="A94" i="63" s="1"/>
  <c r="A95" i="63" s="1"/>
  <c r="A96" i="63" s="1"/>
  <c r="A97" i="63" s="1"/>
  <c r="A98" i="63" s="1"/>
  <c r="A99" i="63" s="1"/>
  <c r="A100" i="63" s="1"/>
  <c r="A104" i="63" s="1"/>
  <c r="A105" i="63" s="1"/>
  <c r="A106" i="63" s="1"/>
  <c r="A107" i="63" s="1"/>
  <c r="A108" i="63" s="1"/>
  <c r="A109" i="63" s="1"/>
  <c r="A110" i="63" s="1"/>
  <c r="A111" i="63" s="1"/>
  <c r="A112" i="63" s="1"/>
  <c r="A113" i="63" s="1"/>
  <c r="A116" i="63" s="1"/>
  <c r="A117" i="63" s="1"/>
  <c r="A118" i="63" s="1"/>
  <c r="A121" i="63" s="1"/>
  <c r="A122" i="63" l="1"/>
  <c r="A123" i="63" s="1"/>
  <c r="A124" i="63" s="1"/>
  <c r="A125" i="63" s="1"/>
  <c r="A129" i="63" s="1"/>
  <c r="A130" i="63" s="1"/>
  <c r="A131" i="63" s="1"/>
  <c r="A132" i="63" s="1"/>
  <c r="A134" i="63" l="1"/>
  <c r="A135" i="63" s="1"/>
  <c r="A136" i="63" s="1"/>
  <c r="A138" i="63" s="1"/>
  <c r="A75" i="19" l="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alcChain>
</file>

<file path=xl/sharedStrings.xml><?xml version="1.0" encoding="utf-8"?>
<sst xmlns="http://schemas.openxmlformats.org/spreadsheetml/2006/main" count="55503" uniqueCount="12836">
  <si>
    <t>МОҮИТБС-ын 18 дугаар нэгтгэл тайлангийн хавсралтын жагсаалт</t>
  </si>
  <si>
    <t>Хавсралт</t>
  </si>
  <si>
    <t>Мэдээлэл</t>
  </si>
  <si>
    <t>Хавсралт 1</t>
  </si>
  <si>
    <t>2023 оны МОҮИТБС-ын тайланд хамрагдсан компаниудын мэдээлэл</t>
  </si>
  <si>
    <t>Хавсралт 2</t>
  </si>
  <si>
    <t>Нэгтгэлийн ажилд мэдээлэл өгсөн ЗГ-ын байгууллагуудын албан тушаалтан</t>
  </si>
  <si>
    <t>Хавсралт 3</t>
  </si>
  <si>
    <t>Нэгтгэлийн ажилд мэдээлэл өгсөн орон нутгийн засаг захиргааны байгууллагын албан тушаалтан</t>
  </si>
  <si>
    <t>Хавсралт 4</t>
  </si>
  <si>
    <t>Компаниудад илгээсэн тайлангийн маягтуудын жагсаалт</t>
  </si>
  <si>
    <t>Хавсралт 5</t>
  </si>
  <si>
    <t>Төрийн байгууллагад илгээсэн тайлангийн маягтууд</t>
  </si>
  <si>
    <t>Хавсралт 6</t>
  </si>
  <si>
    <t>Компаниудын ирүүлсэн мэдээлэл</t>
  </si>
  <si>
    <t>Хавсралт 7</t>
  </si>
  <si>
    <t>Засгийн газрын байгууллагуудаас ирүүлсэн мэдээлэл</t>
  </si>
  <si>
    <t>Хавсралт 8</t>
  </si>
  <si>
    <t>Компанийн талд хийгдсэн тодруулга, төлбөрийн төрлөөр</t>
  </si>
  <si>
    <t>Хавсралт 9</t>
  </si>
  <si>
    <t>Анхны нэгтгэлээрх тайлбарлагдаагүй зөрүү (компаниудаар)</t>
  </si>
  <si>
    <t>Хавсралт 10</t>
  </si>
  <si>
    <t>Анхны нэгтгэл, залруулга болон залруулгын дараах нэгтгэл (компаниудаар)</t>
  </si>
  <si>
    <t>Хавсралт 11</t>
  </si>
  <si>
    <t>Тайлбарлаагүй зөрүү, компаниар</t>
  </si>
  <si>
    <t>Хавсралт 12</t>
  </si>
  <si>
    <t>Тохируулгын дараах улсын хэмжээний гол орлогын урсгалууд, ЗГ-ын дүнгээр</t>
  </si>
  <si>
    <t xml:space="preserve">Хавсралт 13 </t>
  </si>
  <si>
    <t>Тохируулгын дараах орон нутгийн хэмжээний гол урсгалууд, ЗГ-ын дүнгээр</t>
  </si>
  <si>
    <t>Хавсралт 14</t>
  </si>
  <si>
    <t>Ажилчдын мэдээлэл</t>
  </si>
  <si>
    <t>Хавсралт 15А</t>
  </si>
  <si>
    <t>Ашиглалтын тусгай зөвшөөрлүүдийн жагсаалт (2023 оны 12 сарын 31-ний байдлаар)</t>
  </si>
  <si>
    <t>Хавсралт 15Б</t>
  </si>
  <si>
    <t>Хайгуулын тусгай зөвшөөрлүүдийн жагсаалт (2023 оны 12 сарын 31-ний байдлаар)</t>
  </si>
  <si>
    <t>Хавсралт 15В</t>
  </si>
  <si>
    <t>2023 онд шинээр олгосон тусгай зөвшөөрлүүдийн жагсаалт</t>
  </si>
  <si>
    <t>Хавсралт 15Г</t>
  </si>
  <si>
    <t>2023 онд хүчингүй болгосон хайгуулын болон ашиглалтын тусгай зөвшөөрлүүдийн жагсаалт</t>
  </si>
  <si>
    <t>Хавсралт 15Д</t>
  </si>
  <si>
    <t>2023 онд шилжүүлсэн ашиглалтын тусгай зөвшөөрлүүдийн жагсаалт</t>
  </si>
  <si>
    <t>Хавсралт 15Е</t>
  </si>
  <si>
    <t>2023 онд шилжүүлсэн хайгуулын тусгай зөвшөөрлүүдийн жагсаалт</t>
  </si>
  <si>
    <t>Хавсралт 15Ё</t>
  </si>
  <si>
    <t>Түгээмэл тархацтай ашигт малтмалын тусгай зөвшөөрлийн 2023 оны мэдээлэл</t>
  </si>
  <si>
    <t>Хавсралт 15Ж</t>
  </si>
  <si>
    <t>Шалгараагүй аж ахуйн нэгжийн жагсаалт</t>
  </si>
  <si>
    <t>Хавсралт 16А</t>
  </si>
  <si>
    <t>2023 оны нүүрс олборлолтын хэмжээ</t>
  </si>
  <si>
    <t>Хавсралт 16Б</t>
  </si>
  <si>
    <t>2023 оны дотоод болон экспортын борлуулалтын хэмжээ, түүний дундаж /мян.тн/</t>
  </si>
  <si>
    <t>Хавсралт 17</t>
  </si>
  <si>
    <t>Санхүүгийн тайландаа аудит хийлгэсэн байдал</t>
  </si>
  <si>
    <t>Хавсралт 18</t>
  </si>
  <si>
    <t>Төлөөлөн удирдах зөвлөлийн бүрэлдэхүүн</t>
  </si>
  <si>
    <t>Хавсралт 19А</t>
  </si>
  <si>
    <t>Хувьцаа эзэмшигчдийн мэдээлэл</t>
  </si>
  <si>
    <t>Хавсралт 19Б</t>
  </si>
  <si>
    <t>Ашиг хүртэгч эзэд (хувь хүн)</t>
  </si>
  <si>
    <t>Хавсралт 19В</t>
  </si>
  <si>
    <t>Бенефициар өмчлөгчид (хуулийн этгээд)</t>
  </si>
  <si>
    <t>Хавсралт 19Г</t>
  </si>
  <si>
    <t>Ногдол ашиг</t>
  </si>
  <si>
    <t>Хавсралт 20</t>
  </si>
  <si>
    <t>Орон нутгийн засаг захиргааны байгууллагуудтай хийсэн гэрээний мэдээлэл</t>
  </si>
  <si>
    <t>Хавсралт 21</t>
  </si>
  <si>
    <t>Төслийн түвшний мэдээлэл</t>
  </si>
  <si>
    <t>Хавсралт 22</t>
  </si>
  <si>
    <t>Компаниудын ирүүлсэн нөхөн сэргээлтийн мэдээлэл</t>
  </si>
  <si>
    <t>Хавсралт 23А</t>
  </si>
  <si>
    <t>Нэгтгэлд хамрагдсан компаниудын ОҮИТБС-д оролцооны үнэлгээ</t>
  </si>
  <si>
    <t>Хавсралт 23Б</t>
  </si>
  <si>
    <t>ЗГ, Төрийн байгууллагуудын ОҮИТБС-д  оролцооны үнэлгээ</t>
  </si>
  <si>
    <t>Хавсралт 24А</t>
  </si>
  <si>
    <t>Ашигласан усны мэдээлэл</t>
  </si>
  <si>
    <t>Хавсралт 24Б</t>
  </si>
  <si>
    <t>ЗГ-т төлсөн ус ашигласны төлбөр (компаниудаар)</t>
  </si>
  <si>
    <t>Хавсралт 25</t>
  </si>
  <si>
    <t>Хог хаягдлын мэдээлэл</t>
  </si>
  <si>
    <t>Хавсралт 26А</t>
  </si>
  <si>
    <t>Ашигласан эрчим хүч, ган бөмбөлөг</t>
  </si>
  <si>
    <t>Хавсралт 26Б</t>
  </si>
  <si>
    <t>Ашигласан эрдэс түүхий эдийн худалдан авалт, түлш шатахууны хэмжээ</t>
  </si>
  <si>
    <t>Хавсралт 26В</t>
  </si>
  <si>
    <t>Ашигласан хүнсний бүтээгдэхүүний мэдээлэл (мах, сүү, сүүн бүтээгдэхүүн)</t>
  </si>
  <si>
    <t>Хавсралт 26Г</t>
  </si>
  <si>
    <t>Ашигласан хүнсний ногоо, жимс, бусад бүтээгдэхүүний мэдээлэл</t>
  </si>
  <si>
    <t>Хавсралт 26Д</t>
  </si>
  <si>
    <t>Ашигласан хөдөлмөрийн аюулгүй байдал, эрүүл ахуйн бүтээгдэхүүний мэдээлэл</t>
  </si>
  <si>
    <t>Хавсралт 27</t>
  </si>
  <si>
    <t>Туслан гүйцэтгэгчийн мэдээлэл</t>
  </si>
  <si>
    <t>Хавсралт 28</t>
  </si>
  <si>
    <t>ТӨААН-үүдийн шилэн дансны мэдээлэл</t>
  </si>
  <si>
    <t>Хавсралт 29</t>
  </si>
  <si>
    <t>Төрийн болон хувийн өмчит ААН-үүдийн зээлийн мэдээлэл</t>
  </si>
  <si>
    <t>Хавсралт 30</t>
  </si>
  <si>
    <t>Нөөцийн мэдээлэл</t>
  </si>
  <si>
    <t>Хавсралт 31</t>
  </si>
  <si>
    <t>Нөлөөллийн бүсийн мэдээлэл</t>
  </si>
  <si>
    <t>Хавсралт 32</t>
  </si>
  <si>
    <t>Баяжуулах үйлдвэр эрхлэгч ААН байгууллагуудын ашигласан химийн бодисын мэдээлэл</t>
  </si>
  <si>
    <t>Хавсралт 33</t>
  </si>
  <si>
    <t>Дэд бүтцэд оруулсан хөрөнгө оруулалт болон бартерын гэрээ</t>
  </si>
  <si>
    <t>Хавсралт 34</t>
  </si>
  <si>
    <t>Ашигт малтмалын олборлолт, үйлдвэрлэл, борлуулалтын мэдээлэл (Борлуулалтын мэдээлэл)</t>
  </si>
  <si>
    <t>Хавсралт 35</t>
  </si>
  <si>
    <t>Төрийн болон хувийн өмчийн ААН-үүдийн тээврийн төлбөр</t>
  </si>
  <si>
    <t>Хавсралт 36</t>
  </si>
  <si>
    <t>Иргэдэд ил тод болгосон гэрээний жагсаалт</t>
  </si>
  <si>
    <t>Хавсралт 37</t>
  </si>
  <si>
    <t>2023 оноос хойших ил тод болгосон гэрээний жагсаалт</t>
  </si>
  <si>
    <t>Хавсралт 38</t>
  </si>
  <si>
    <t>Орон нутгийн хөгжлийн нэгдсэн сангийн 2023 оны орлогын шилжүүлгийн мэдээлэл /мян.төг/</t>
  </si>
  <si>
    <t>Хавсралт 1 2023 оны МОҮИТБС-ын тайланд хамрагдсан компаниудын мэдээлэл</t>
  </si>
  <si>
    <t>№</t>
  </si>
  <si>
    <t>Компанийн нэр</t>
  </si>
  <si>
    <t>Регистр</t>
  </si>
  <si>
    <t>Ашигт малтмалын төрөл</t>
  </si>
  <si>
    <t xml:space="preserve">Аймаг/Нийслэл </t>
  </si>
  <si>
    <t>Сум/Дүүрэг</t>
  </si>
  <si>
    <t>Баг/Хороо</t>
  </si>
  <si>
    <t>Адуунчулуун ХХК</t>
  </si>
  <si>
    <t>Нүүрс</t>
  </si>
  <si>
    <t>Дорнод</t>
  </si>
  <si>
    <t>Хэрлэн</t>
  </si>
  <si>
    <t>8-р баг</t>
  </si>
  <si>
    <t>Азаргын гол чонот ХХК</t>
  </si>
  <si>
    <t>Бусад</t>
  </si>
  <si>
    <t>Улаанбаатар</t>
  </si>
  <si>
    <t>Хан-Уул</t>
  </si>
  <si>
    <t>11-р хороо</t>
  </si>
  <si>
    <t>Ай Би Би Ай ХХК</t>
  </si>
  <si>
    <t>Алт</t>
  </si>
  <si>
    <t>Алтайн хар азарга групп ХХК</t>
  </si>
  <si>
    <t>Чингэлтэй</t>
  </si>
  <si>
    <t>5-р хороо</t>
  </si>
  <si>
    <t>Алтайнхүдэр ХХК</t>
  </si>
  <si>
    <t>Төмөр</t>
  </si>
  <si>
    <t>Сүхбаатар</t>
  </si>
  <si>
    <t>1-р хороо</t>
  </si>
  <si>
    <t>Алтангол эксплорэйшн ХХК</t>
  </si>
  <si>
    <t>Баянгол</t>
  </si>
  <si>
    <t>20-р хороо</t>
  </si>
  <si>
    <t>Алтарганахайрхан ХХК</t>
  </si>
  <si>
    <t xml:space="preserve">Арвижих энерги ХХК </t>
  </si>
  <si>
    <t xml:space="preserve">Нүүрс </t>
  </si>
  <si>
    <t>Ачит-Ихт ХХК</t>
  </si>
  <si>
    <t>Зэс</t>
  </si>
  <si>
    <t>15-р хороо</t>
  </si>
  <si>
    <t>Баатарван транс ХХК</t>
  </si>
  <si>
    <t>Улаан хас /яшма/</t>
  </si>
  <si>
    <t>2-р хороо</t>
  </si>
  <si>
    <t>Багануур ХК</t>
  </si>
  <si>
    <t>Боловсруулаагүй нүүрс</t>
  </si>
  <si>
    <t xml:space="preserve">Багануур </t>
  </si>
  <si>
    <t>Бадмаарагхаш ХХК</t>
  </si>
  <si>
    <t>4-р хороо</t>
  </si>
  <si>
    <t>Бадрах энержи ХХК</t>
  </si>
  <si>
    <t>Уран</t>
  </si>
  <si>
    <t>Баян-Айраг эксплорэйшн ХХК</t>
  </si>
  <si>
    <t>8-р хороо</t>
  </si>
  <si>
    <t>Баянтээг ХК</t>
  </si>
  <si>
    <t xml:space="preserve"> Нүүрс</t>
  </si>
  <si>
    <t>Өвөрхангай</t>
  </si>
  <si>
    <t>Нарийнтээл</t>
  </si>
  <si>
    <t>Би Ти девлопмент ХХК</t>
  </si>
  <si>
    <t xml:space="preserve">Жонш </t>
  </si>
  <si>
    <t>3-р хороо</t>
  </si>
  <si>
    <t>Биг могул коул энд энержи ХХК</t>
  </si>
  <si>
    <t>Билэгтбаялаг ХХК</t>
  </si>
  <si>
    <t>Дорноговь</t>
  </si>
  <si>
    <t>Даланжаргалан</t>
  </si>
  <si>
    <t>5-р баг</t>
  </si>
  <si>
    <t>Болдтөмөр ерөө гол ХХК</t>
  </si>
  <si>
    <t>Бороогоулд ХХК</t>
  </si>
  <si>
    <t>Бүрдэл майнинг ХХК</t>
  </si>
  <si>
    <t>Генерго ХХК</t>
  </si>
  <si>
    <t>Говийн шандаст хүлэг ХХК</t>
  </si>
  <si>
    <t>Говь-Эрээн ХХК</t>
  </si>
  <si>
    <t>Дарханы төмөрлөгийн үйлдвэр ХХК</t>
  </si>
  <si>
    <t>Дархан-Уул</t>
  </si>
  <si>
    <t>Дархан</t>
  </si>
  <si>
    <t>16-р баг</t>
  </si>
  <si>
    <t>Дацантрейд ХХК</t>
  </si>
  <si>
    <t>Алт /шороо/</t>
  </si>
  <si>
    <t>Доншен газрын тос (Монгол) ХХК</t>
  </si>
  <si>
    <t>Газрын тос</t>
  </si>
  <si>
    <t>Евроашиан майнинг контрактор ХХК</t>
  </si>
  <si>
    <t>Жавхлант-Орд ХХК</t>
  </si>
  <si>
    <t>Жөн-Юан ХХК</t>
  </si>
  <si>
    <t xml:space="preserve"> Холимог металл</t>
  </si>
  <si>
    <t>Баянзүрх</t>
  </si>
  <si>
    <t>10-р хороо</t>
  </si>
  <si>
    <t>Зууннайман ойл ХХК</t>
  </si>
  <si>
    <t>Инфинитиспэйс</t>
  </si>
  <si>
    <t>6-р хороо</t>
  </si>
  <si>
    <t>Ихговь энержи ХХК</t>
  </si>
  <si>
    <t>Кингдаймонд ХХК</t>
  </si>
  <si>
    <t>Лутчулуу ХХК</t>
  </si>
  <si>
    <t>МАК Цемент ХХК</t>
  </si>
  <si>
    <t>Гөлтгөнө</t>
  </si>
  <si>
    <t>Макс-Импэкс ХХК</t>
  </si>
  <si>
    <t>Мандал ресурс ХХК</t>
  </si>
  <si>
    <t>Меланж ХХК</t>
  </si>
  <si>
    <t>Могойн гол ХК</t>
  </si>
  <si>
    <t>Хөвсгөл</t>
  </si>
  <si>
    <t>Цэцэрлэг</t>
  </si>
  <si>
    <t>7-р баг</t>
  </si>
  <si>
    <t>Монгол майнинг энд эксплорэйшн ХХК</t>
  </si>
  <si>
    <t>25-р хороо</t>
  </si>
  <si>
    <t>Монгол Уранимиум ресурс ХХК</t>
  </si>
  <si>
    <t>Монголжүюаньли ХХК</t>
  </si>
  <si>
    <t>Жонш</t>
  </si>
  <si>
    <t>Монголиан нэшнл рийр ийрт корп ХХК</t>
  </si>
  <si>
    <t>Монголросцветмет ТӨҮГ</t>
  </si>
  <si>
    <t>22-р хороо</t>
  </si>
  <si>
    <t>Монголчех металл ХХК</t>
  </si>
  <si>
    <t>Монголын алт ХХК</t>
  </si>
  <si>
    <t>Монлаа ХХК</t>
  </si>
  <si>
    <t>Монполимет ХХК</t>
  </si>
  <si>
    <t>Монцемент билдинг материалс ХХК</t>
  </si>
  <si>
    <t>Шохойн чулуу</t>
  </si>
  <si>
    <t>МОЭНКО ХХК</t>
  </si>
  <si>
    <t>Мөнхийн баян гал ХХК</t>
  </si>
  <si>
    <t>Нагааранз ХХК</t>
  </si>
  <si>
    <t>Найнги ХХК</t>
  </si>
  <si>
    <t>6-р баг</t>
  </si>
  <si>
    <t>Наран мандал энтерпрайзес ХХК</t>
  </si>
  <si>
    <t>Олон ихт баян ХХК</t>
  </si>
  <si>
    <t>Очир-Ундраа ХХК</t>
  </si>
  <si>
    <t>Оюут-Улаан ХХК</t>
  </si>
  <si>
    <t>Оюутолгой ХХК</t>
  </si>
  <si>
    <t>Өгөөмөргавилууд ХХК</t>
  </si>
  <si>
    <t>Өмнөговь</t>
  </si>
  <si>
    <t>Ханбогд</t>
  </si>
  <si>
    <t>2-р баг</t>
  </si>
  <si>
    <t>Өмнийн говийн баялаг ХХК</t>
  </si>
  <si>
    <t>Гурвантэс</t>
  </si>
  <si>
    <t>4-р баг</t>
  </si>
  <si>
    <t>Өсөхзоос ХХК</t>
  </si>
  <si>
    <t>Петро Чайна Дачин Тамсаг ХХК</t>
  </si>
  <si>
    <t>Петроматад ХХК</t>
  </si>
  <si>
    <t>Платинумланд ХХК</t>
  </si>
  <si>
    <t>Саусгоби сэндс ХХК</t>
  </si>
  <si>
    <t>Си Өү Эй Эл ХХК</t>
  </si>
  <si>
    <t>Баяжуулсан нүүрс</t>
  </si>
  <si>
    <t>Си Эм Кэй Ай ХХК</t>
  </si>
  <si>
    <t>7-р хороо</t>
  </si>
  <si>
    <t>Сора интернэшнл ХХК</t>
  </si>
  <si>
    <t>Степ голд ХХК</t>
  </si>
  <si>
    <t>Сумэру ХХК</t>
  </si>
  <si>
    <t>Тавантолгой ХК</t>
  </si>
  <si>
    <t>Цогтцэций</t>
  </si>
  <si>
    <t>Талст дисковери ХХК</t>
  </si>
  <si>
    <t>Талст молор ХХК</t>
  </si>
  <si>
    <t>вольфром/ гянтболд</t>
  </si>
  <si>
    <t>18-р хороо</t>
  </si>
  <si>
    <t>Талстдөл ХХК</t>
  </si>
  <si>
    <t>Талстмаргад ХХК</t>
  </si>
  <si>
    <t>Фосфорит</t>
  </si>
  <si>
    <t>Талын гал ХК</t>
  </si>
  <si>
    <t>Баруун-Урт</t>
  </si>
  <si>
    <t>9-р баг</t>
  </si>
  <si>
    <t>Тахь ресурс ХХК</t>
  </si>
  <si>
    <t>Тефисмайнинг ХХК</t>
  </si>
  <si>
    <t>Тод-Ундрага ХХК</t>
  </si>
  <si>
    <t>Топ ган дриллинг ХХК</t>
  </si>
  <si>
    <t>26-р хороо</t>
  </si>
  <si>
    <t>Түмэн айл инвест ХХК</t>
  </si>
  <si>
    <t>Түшээ гүний буян ХХК</t>
  </si>
  <si>
    <t>Тэн Хун ХХК</t>
  </si>
  <si>
    <t>Улзгол ХХК</t>
  </si>
  <si>
    <t>Баяндун</t>
  </si>
  <si>
    <t>Уулсзаамар ХХК</t>
  </si>
  <si>
    <t>Төв</t>
  </si>
  <si>
    <t>Заамар</t>
  </si>
  <si>
    <t>3-р баг</t>
  </si>
  <si>
    <t>Уулсноён ХХК</t>
  </si>
  <si>
    <t>17-р баг</t>
  </si>
  <si>
    <t>Фриендшип ресурсис ХХК</t>
  </si>
  <si>
    <t>Сайншанд</t>
  </si>
  <si>
    <t>Хаан булаг интернэйшнл ХХК</t>
  </si>
  <si>
    <t>Хан алтай ресурс ХХК</t>
  </si>
  <si>
    <t>Хангад-Эксплорэйшн ХХК</t>
  </si>
  <si>
    <t>Ханшашир ХХК</t>
  </si>
  <si>
    <t>Хорикаваметалл ХХК</t>
  </si>
  <si>
    <t>Хосхас ХХК</t>
  </si>
  <si>
    <t>Хотгор ХХК</t>
  </si>
  <si>
    <t>Баян-Өлгий</t>
  </si>
  <si>
    <t>Өлгий</t>
  </si>
  <si>
    <t>Хөхбишрэлт ХХК</t>
  </si>
  <si>
    <t>Сонгинохайрхан</t>
  </si>
  <si>
    <t>Хунт-Өгөөж ХХК</t>
  </si>
  <si>
    <t>Хэнтий</t>
  </si>
  <si>
    <t>Бор-Өндөр</t>
  </si>
  <si>
    <t>1-р баг</t>
  </si>
  <si>
    <t>Хур эрдэнэ баялаг ХХК</t>
  </si>
  <si>
    <t>Хургатайхайрхан ХХК</t>
  </si>
  <si>
    <t>Хуучин-Андууд ХХК</t>
  </si>
  <si>
    <t>Хүрэн толгой коал майнинг ХХК</t>
  </si>
  <si>
    <t>Цагаан-Өвөлжөө ХХК</t>
  </si>
  <si>
    <t>Цайртминерал ХХК</t>
  </si>
  <si>
    <t>Цайр</t>
  </si>
  <si>
    <t>Цементшохой ТӨХК</t>
  </si>
  <si>
    <t>Сэлэнгэ</t>
  </si>
  <si>
    <t>Сайхан</t>
  </si>
  <si>
    <t>Цүй ханг инвест ХХК</t>
  </si>
  <si>
    <t>Цэрэнбадам ХХК</t>
  </si>
  <si>
    <t>Цэцэнс майнинг энд энержи ХХК</t>
  </si>
  <si>
    <t>Шарын гол</t>
  </si>
  <si>
    <t>Барилгын материал</t>
  </si>
  <si>
    <t>Шивээ-Овоо ТӨХК</t>
  </si>
  <si>
    <t>Говьсүмбэр</t>
  </si>
  <si>
    <t>Шивээговь</t>
  </si>
  <si>
    <t xml:space="preserve">Шинь шинь ХХК </t>
  </si>
  <si>
    <t>Шувуун хар уул ХХК</t>
  </si>
  <si>
    <t>Эйкүсора ХХК</t>
  </si>
  <si>
    <t>Эм Си Ти Ти ХХК</t>
  </si>
  <si>
    <t>Эм Эл цахиурт овоо ХХК</t>
  </si>
  <si>
    <t>Энержиресурс ХХК</t>
  </si>
  <si>
    <t>Энхтунх орчлон ХХК</t>
  </si>
  <si>
    <t>Эрдэнэмонгол ХХК</t>
  </si>
  <si>
    <t>Эрдэнэс Баянбогд ХХК</t>
  </si>
  <si>
    <t>Эрдэнэс Таван толгой ХХК</t>
  </si>
  <si>
    <t>Эрдэнэс цагаан суварга ХХК</t>
  </si>
  <si>
    <t>Эрдэнэсийн эрэг ХХК</t>
  </si>
  <si>
    <t>Эрдэнэсмонгол ХХК</t>
  </si>
  <si>
    <t>Эрдэнэт үйлдвэр ТӨҮГ</t>
  </si>
  <si>
    <t>Галт уулын шаарга</t>
  </si>
  <si>
    <t>Орхон</t>
  </si>
  <si>
    <t>Баян- Өндөр</t>
  </si>
  <si>
    <t>ЭСТО ХХК</t>
  </si>
  <si>
    <t>Эф Ви Эс Пи ХХК</t>
  </si>
  <si>
    <t>Хавсралт 2 Нэгтгэлийн ажилд мэдээлэл өгсөн ЗГ-ын байгууллагуудын албан тушаалтан</t>
  </si>
  <si>
    <t>Засгийн газрын байгууллагын нэр</t>
  </si>
  <si>
    <t>Байршил</t>
  </si>
  <si>
    <t>Нэр</t>
  </si>
  <si>
    <t>Албан тушаал</t>
  </si>
  <si>
    <t>Утас</t>
  </si>
  <si>
    <t>Авто тээврийн үндэсний төв</t>
  </si>
  <si>
    <t>Чингисийн өргөн чөлөө -11, Автотээврийн Үндэсний Төв</t>
  </si>
  <si>
    <t>Судалгаа, хөгжил, чанарын удирдлагын төв, Бичиг хэргийн ажилтан</t>
  </si>
  <si>
    <t>9292-7878</t>
  </si>
  <si>
    <t xml:space="preserve">Ашигт малтмал газрын тосны газарт </t>
  </si>
  <si>
    <t>Ашигт малтмал, газрын тосны газар, Монгол Улс, Улаанбаатар хот 15170, Чингэлтэй дүүрэг, Барилгачдын талбай-3, Засгийн газрын XII байр, баруун жигүүр</t>
  </si>
  <si>
    <t>С.Баттулга</t>
  </si>
  <si>
    <t>Уул уурхай үйлдвэрлэл, технологийн хэлтэс</t>
  </si>
  <si>
    <t>9911-0933</t>
  </si>
  <si>
    <t xml:space="preserve">Зам, тээврийн яаманд </t>
  </si>
  <si>
    <t>Монгол Улс, Улаанбаатар хот, Сүхбаатар дүүрэг, 2-р хороо, Чингисийн өргөн чөлөө -11, Засгийн газрын 13 дугаар байр, зип:14251 </t>
  </si>
  <si>
    <t>Нэмэхжаргал</t>
  </si>
  <si>
    <t xml:space="preserve">Мэргэжилтэн </t>
  </si>
  <si>
    <t>976-(51)263179</t>
  </si>
  <si>
    <t>Аж үйлдвэр, эрдэс баялгийн яаманд-УУХҮЯ</t>
  </si>
  <si>
    <t>Монгол улс, Улаанбаатар, Нэгдсэн Үндэстний гудамж-5/2, Засгийн газрын II байр</t>
  </si>
  <si>
    <t>Туяацэцэг</t>
  </si>
  <si>
    <t>Геологи, уул уурхайн салбарын статистик тооцоо, судалгаа хариуцсан ахлах мэргэжилтэн</t>
  </si>
  <si>
    <t xml:space="preserve">Төрийн өмчийн бодлого, зохицуулалтын газарт </t>
  </si>
  <si>
    <t>Төрийн өмчийн бодлого зохицуулалтын газар, Засгийн газрын IX байр, Энхтайвны өргөн чөлөө-16, Баянзүрх дүүрэг, Улаанбаатар хот-13381</t>
  </si>
  <si>
    <t xml:space="preserve">Шинэхүү </t>
  </si>
  <si>
    <t>Төлөвлөлт, хөрөнгө оруулалтын албаны дарга</t>
  </si>
  <si>
    <t>9900-5655</t>
  </si>
  <si>
    <t xml:space="preserve">Сангийн яаманд </t>
  </si>
  <si>
    <t>Монгол Улсын Сангийн яам, С.Данзангийн гудамж, Засгийн газрын II байр Д корпус</t>
  </si>
  <si>
    <t>Б.Дашням</t>
  </si>
  <si>
    <t>Төсвийн бодлого, төлөвлөлтийн газар, Мэргэжилтэн</t>
  </si>
  <si>
    <t>9912-2676</t>
  </si>
  <si>
    <t xml:space="preserve">Байгаль орчин, уур амьсгалын өөрчлөлтийн яаманд </t>
  </si>
  <si>
    <t>Улаанбаатар хот, Хан-Уул дүүрэг, 23-р хороо, Арцатын 624, Байгаль орчны шинжилгээ, судалгааны төв УТҮГ-ын байр 15160</t>
  </si>
  <si>
    <t>Бичиг хэргийн ажилтан</t>
  </si>
  <si>
    <t xml:space="preserve">Хавсралт 3 Нэгтгэлийн ажилд мэдээлэл өгсөн орон нутгийн засаг захиргааны байгууллагын албан тушаалтан </t>
  </si>
  <si>
    <t>Аймаг</t>
  </si>
  <si>
    <t>Засаг дарга</t>
  </si>
  <si>
    <t>Ажилтан</t>
  </si>
  <si>
    <t>Мэйл хаяг</t>
  </si>
  <si>
    <t>Дундговь</t>
  </si>
  <si>
    <t>Ц. Мөнхбат</t>
  </si>
  <si>
    <t>Ж. Баярсайхан</t>
  </si>
  <si>
    <t>enkhtsetseg@dundgovi.gov.mn</t>
  </si>
  <si>
    <t>Н.Лхагвадорж</t>
  </si>
  <si>
    <t>Дэлгэрдалай</t>
  </si>
  <si>
    <t>delgerdalai@selenge.gov.mn</t>
  </si>
  <si>
    <t xml:space="preserve"> -</t>
  </si>
  <si>
    <t>Татварын хэлтэс</t>
  </si>
  <si>
    <t>dornod@mta.gov.mn</t>
  </si>
  <si>
    <t>Улсын бүртгэлийн хэлтэс</t>
  </si>
  <si>
    <t>sukhbaatar@burtgel.gov.mn</t>
  </si>
  <si>
    <t>Монголын байгал эхийн аврал сан ТББ</t>
  </si>
  <si>
    <t>Наранцэцэг</t>
  </si>
  <si>
    <t>Цахим хаяг</t>
  </si>
  <si>
    <t>Хил хязгааргүй алхам ТББ</t>
  </si>
  <si>
    <t>Н.Баярсайхан</t>
  </si>
  <si>
    <t>11 9972-4869</t>
  </si>
  <si>
    <t>swb_bayar@yahoo.com; Swb.ngo@gmail.com</t>
  </si>
  <si>
    <t>Ховдын толь ТББ</t>
  </si>
  <si>
    <t>"Ховдын толь" ТББ</t>
  </si>
  <si>
    <t>7043-2041, 8843-5611, 8807-0997</t>
  </si>
  <si>
    <t>khovdiintoli@gmail.com</t>
  </si>
  <si>
    <t>Нээлттэй нийгэм форум</t>
  </si>
  <si>
    <t>Д.Эрдэнэчимэг</t>
  </si>
  <si>
    <t>8807-7077</t>
  </si>
  <si>
    <t>chimgee@forum.mn</t>
  </si>
  <si>
    <t xml:space="preserve">Хавсралт 4 Компаниудад илгээсэн тайлангийн маягтуудын жагсаалт </t>
  </si>
  <si>
    <t>Компаниудаас албан бичгээр авсан мэдээлэл</t>
  </si>
  <si>
    <t>Маягт 1</t>
  </si>
  <si>
    <t>Анхны нэгтгэлээрх зөрүүний талаарх мэдээлэл</t>
  </si>
  <si>
    <t>Маягт 2</t>
  </si>
  <si>
    <t>Улсын төсөвт төлсөн албан татвар, тусгай зөвшөөрөл бүрээр</t>
  </si>
  <si>
    <t>Маягт 3</t>
  </si>
  <si>
    <t>Орон нутгийн төсөвт төлсөн албан татвар, тусгай зөвшөөрөл бүрээр</t>
  </si>
  <si>
    <t>Маягт 4</t>
  </si>
  <si>
    <t>Төрийн байгууллагад төвлөрүүлсэн хандив, дэмжлэг</t>
  </si>
  <si>
    <t>Маягт 5</t>
  </si>
  <si>
    <t>Хөндлөнгийн аудитын мэдээллийн баталгаа</t>
  </si>
  <si>
    <t>Маягт 6</t>
  </si>
  <si>
    <t>Нөхөн сэргээлтийн мэдээлэл</t>
  </si>
  <si>
    <t>Маягт 7</t>
  </si>
  <si>
    <t>Удирдлагын хариуцлагын захидал</t>
  </si>
  <si>
    <t>Цахим тайлагналын системээр компаниудаас хүлээн авсан нэмэлт мэдээлэл</t>
  </si>
  <si>
    <t>Нэмэлт 1</t>
  </si>
  <si>
    <t>Ашиглалт болон хайгуулын тусгай зөвшөөрлийн мэдээлэл</t>
  </si>
  <si>
    <t>Нэмэлт 2</t>
  </si>
  <si>
    <t>Нэмэлт 3</t>
  </si>
  <si>
    <t>Нэмэлт 4</t>
  </si>
  <si>
    <t>Санхүүгийн тайлангийн чанар</t>
  </si>
  <si>
    <t>Нэмэлт 5</t>
  </si>
  <si>
    <t>Ажиллагчдын мэдээлэл</t>
  </si>
  <si>
    <t>Нэмэлт 6</t>
  </si>
  <si>
    <t>Ашигт малтмалын бүтээгдэхүүний олборлолт, үйлдвэрлэл, борлуулалтын мэдээлэл</t>
  </si>
  <si>
    <t>Нэмэлт 7</t>
  </si>
  <si>
    <t>Нөхөн сэргээсэн талбайн мэдээлэл</t>
  </si>
  <si>
    <t>Нэмэлт 8</t>
  </si>
  <si>
    <t>Улсын төсөвт төлсөн албан татвар, төлбөр, хураамж, ногдол ашиг</t>
  </si>
  <si>
    <t>Нэмэлт 9</t>
  </si>
  <si>
    <t xml:space="preserve">Орон нутгийн төсөвт төлсөн албан татвар, төлбөр, хураамж, ногдол ашиг </t>
  </si>
  <si>
    <t>Нэмэлт 10</t>
  </si>
  <si>
    <t>Төрийн болон орон нутгийн өмчит ААНБ-ын тээврийн төлбөр</t>
  </si>
  <si>
    <t>Нэмэлт 11</t>
  </si>
  <si>
    <t>Нэмэлт 12</t>
  </si>
  <si>
    <t>Ашигласан эрчим хүч, түлш шатахуун, хүнсний бүтээгдэхүүн, хөдөлмөрийн аюулгүй байдал, эрүүл ахуйн бүтээгдэхүүний мэдээлэл</t>
  </si>
  <si>
    <t>Нэмэлт 13</t>
  </si>
  <si>
    <t>Нэмэлт 14</t>
  </si>
  <si>
    <t>Баяжуулах үйлдвэрлэл эрхлэгч ААНБ-уудын ашигласан химийн бодисын мэдээлэл, киллограммаар</t>
  </si>
  <si>
    <t>Нэмэлт 15</t>
  </si>
  <si>
    <t>Оператор, туслан гүйцэтгэгч ААНБ-ын мэдээлэл</t>
  </si>
  <si>
    <t>Нэмэлт 16</t>
  </si>
  <si>
    <t>Нэмэлт 17</t>
  </si>
  <si>
    <t>Эцсийн өмчлөгчийн мэдээлэл</t>
  </si>
  <si>
    <t>Нэмэлт 18</t>
  </si>
  <si>
    <t>Төрийн болон орон нутгийн өмчит ААНБ-уудын ногдол ашгийн мэдээлэл</t>
  </si>
  <si>
    <t>Нэмэлт 19</t>
  </si>
  <si>
    <t>Төрийн болон орон нутгийн өмчит ААНБ-уудын төлөөлөн удирдах зөвлөлийн гишүүдийн талаарх мэдээлэл</t>
  </si>
  <si>
    <t>Нэмэлт 20</t>
  </si>
  <si>
    <t>Орон нутгийн захиргааны байгууллагуудтай хийсэн гэрээний мэдээлэл</t>
  </si>
  <si>
    <t>Нэмэлт 21</t>
  </si>
  <si>
    <t>Нэмэлт 22</t>
  </si>
  <si>
    <t>Төрийн болон орон нутгийн өмчит ААНБ-ын зээл болон зээлийн мэдээлэл</t>
  </si>
  <si>
    <t>Нэмэлт 23</t>
  </si>
  <si>
    <t>Бүтээгдэхүүн хуваах гэрээний талаар мэдээлэл /Газрын тос/</t>
  </si>
  <si>
    <t>Нэмэлт 24</t>
  </si>
  <si>
    <t>Газрын тосны олборлолт , борлуулалтын мэдээлэл /Газрын тос/</t>
  </si>
  <si>
    <t>Нэмэлт 25</t>
  </si>
  <si>
    <t>Татвар, төлбөр, хураамж, үйлчилгээний хөлс /Газрын тос/</t>
  </si>
  <si>
    <t xml:space="preserve">Хавсралт 5 Төрийн байгууллагуудад илгээсэн тайлангийн маягтуудын бүтэц </t>
  </si>
  <si>
    <t>Төрийн байгууллагуудаас хүссэн мэдээлэл</t>
  </si>
  <si>
    <t xml:space="preserve">АШИГТ МАЛТМАЛ, ГАЗРЫН ТОСНЫ ГАЗАР </t>
  </si>
  <si>
    <t>Тусгай зөвшөөрөл олголтын журам, хуваарилах практикийн талаарх мэдээлэл</t>
  </si>
  <si>
    <t>Шаардлага 2.2</t>
  </si>
  <si>
    <t>2022 оны баталгаажуулалтын зөвлөмжөөр өгсөн саналын хэрэгжилтийн мэдээлэл;</t>
  </si>
  <si>
    <t>Хууль тогтоомж зөрчиж олгогдсон тусгай зөвшөөрлүүдийн мэдээлэл, тэдгээрийг олгосон үйл явц, авсан арга хэмжээний мэдээлэл;</t>
  </si>
  <si>
    <t>Шаардлага 2.2.а</t>
  </si>
  <si>
    <t>Ашигт малтмал, газрын тос, байгалийн хийн тусгай зөвшөөрөл олгох үйл явцын санхүүгийн шалгуур үзүүлэлтүүдийн талаарх мэдээлэл;</t>
  </si>
  <si>
    <t>Тусгай зөвшөөрөл олгоход хэрхэн үнэлдэг талаарх мэдээлэл;</t>
  </si>
  <si>
    <t>Ашиглалт болон хайгуулын тусгай зөвшөөрөл шилжүүлэх шалгуур үзүүлэлтүүд;</t>
  </si>
  <si>
    <t>Сонгон шалгаруулалтын бус замаар (шууд гэрээ, хэлэлцээр хийх замаар) тусгай зөвшөөрөл олгохтой холбоотой дүрэм, журам байдаг эсэх мэдээлэл</t>
  </si>
  <si>
    <r>
      <t xml:space="preserve">Тусгай зөвшөөрөл олгох шалгаруулалтад оролцсон боловч шалгараагүй оролцогчдын мэдээлэл </t>
    </r>
    <r>
      <rPr>
        <b/>
        <sz val="10"/>
        <color rgb="FF000000"/>
        <rFont val="Arial"/>
        <family val="2"/>
      </rPr>
      <t>(Маягт 1-ын дагуу);</t>
    </r>
  </si>
  <si>
    <r>
      <t xml:space="preserve">2023 онд сонгон шалгаруулалтын бус замаар (шууд гэрээ, хэлэлцээр хийх замаар) олгосон тусгай зөвшөөрлийн дэлгэрэнгүй мэдээлэл, ямар процетур хэрэглэж байгаа талаарх мэдээлэл </t>
    </r>
    <r>
      <rPr>
        <b/>
        <sz val="10"/>
        <color rgb="FF000000"/>
        <rFont val="Arial"/>
        <family val="2"/>
      </rPr>
      <t>(Маягт 2-ын дагуу);</t>
    </r>
  </si>
  <si>
    <t>Газрын тос, хий болон ашигт малтмалын хайгуул ба олборлолттой холбоотой гэрээ ба лицензийн төрлийн талаарх дэлгэрэнгүй тайлбар;</t>
  </si>
  <si>
    <t>Шаардлага 2.2.a.i</t>
  </si>
  <si>
    <t>Тусгай зөвшөөрлийг сонгон шалгаруулалтаар олгох, шилжүүлэхтэй холбоотой бодлого, дүрэм журам, хууль зүйн акт, тэдгээрийн хэрэгжилтийн үйл явц;</t>
  </si>
  <si>
    <t>Тусгай зөвшөөрөл олголтын тендерийн үйл явц, ашигласан техникийн болон санхүүгийн шалгуур үзүүлэлтүүд, тендерт оролцсон болон Тийм компаниудын авсан онооны жагсаалт</t>
  </si>
  <si>
    <t>Шаардлага 2.2.a.ii</t>
  </si>
  <si>
    <t>Ашигт малтмалын болон хайгуулын тусгай зөвшөөрлийг шилжүүлэх үйл явц</t>
  </si>
  <si>
    <t>Шаардлага 2.2.a.iii</t>
  </si>
  <si>
    <r>
      <t xml:space="preserve">2023 онд шинээр олгосон хайгуулын тусгай зөвшөөрлийн талаарх дэлгэрэнгүй мэдээлэл </t>
    </r>
    <r>
      <rPr>
        <b/>
        <sz val="10"/>
        <color rgb="FF000000"/>
        <rFont val="Arial"/>
        <family val="2"/>
      </rPr>
      <t>(Маягт 3.а-ын дагуу);</t>
    </r>
  </si>
  <si>
    <r>
      <t xml:space="preserve">2023 онд шинээр олгосон ашиглалтын тусгай зөвшөөрлийн талаарх дэлгэрэнгүй мэдээлэл </t>
    </r>
    <r>
      <rPr>
        <b/>
        <sz val="10"/>
        <color rgb="FF000000"/>
        <rFont val="Arial"/>
        <family val="2"/>
      </rPr>
      <t>(Маягт 3.б-ын дагуу);</t>
    </r>
  </si>
  <si>
    <r>
      <t>  </t>
    </r>
    <r>
      <rPr>
        <sz val="10"/>
        <color rgb="FF000000"/>
        <rFont val="Arial"/>
        <family val="2"/>
      </rPr>
      <t xml:space="preserve">2023 онд хасагдсан буюу хүчингүй болсон ашиглалтын болон хайгуулын тусгай зөвшөөрлийн талаарх дэлгэрэнгүй мэдээлэл </t>
    </r>
    <r>
      <rPr>
        <b/>
        <sz val="10"/>
        <color rgb="FF000000"/>
        <rFont val="Arial"/>
        <family val="2"/>
      </rPr>
      <t>(Маягт 3.в-ын дагуу);</t>
    </r>
  </si>
  <si>
    <r>
      <t xml:space="preserve">2023 онд шилжүүлсэн хайгуулын тусгай зөвшөөрлийн талаарх дэлгэрэнгүй мэдээлэл </t>
    </r>
    <r>
      <rPr>
        <b/>
        <sz val="10"/>
        <color rgb="FF000000"/>
        <rFont val="Arial"/>
        <family val="2"/>
      </rPr>
      <t>(Маягт 4.а-ын дагуу);</t>
    </r>
  </si>
  <si>
    <r>
      <t xml:space="preserve">2023 онд шилжүүлсэн ашиглалтын тусгай зөвшөөрлийн талаарх дэлгэрэнгүй мэдээлэл </t>
    </r>
    <r>
      <rPr>
        <b/>
        <sz val="10"/>
        <color rgb="FF000000"/>
        <rFont val="Arial"/>
        <family val="2"/>
      </rPr>
      <t>(Маягт 4.б-ын дагуу);</t>
    </r>
  </si>
  <si>
    <t>Сонгон шалгаруулалтаар тусгай зөвшөөрөл олгох зориулалтаар талбай зарласан шийдвэр, сонгон шалгаруулалтын хорооны бүрэлдэхүүн, шийдвэрийн огноо, тогтоосон талбай, сонгон шалгаруулалтад тавигдах шаардлага, шалгуур үзүүлэлт, хурлын тэмдэглэл, эцсийн шийдвэрийн мэдээлэл;</t>
  </si>
  <si>
    <t>Шаардлага 2.2.c</t>
  </si>
  <si>
    <t>2023 онд хайгуул болон ашиглалтын тусгай зөвшөөрлийн тендерт оролцогчдын жагсаалт, сонгон шалгаруулалтад авсан онооны дэлгэрэнгүй мэдээлэл;</t>
  </si>
  <si>
    <t>Тусгай зөвшөөрөл олгох, эсхүл гэрээ байгуулахыг саатсан, эсхүл хойшлуулсан талаарх мэдээлэл;</t>
  </si>
  <si>
    <r>
      <t> </t>
    </r>
    <r>
      <rPr>
        <sz val="10"/>
        <color rgb="FF000000"/>
        <rFont val="Arial"/>
        <family val="2"/>
      </rPr>
      <t>2023 онд сонгон шалгаруулалтад ороод шалгарч чадаагүй талуудын жагсаалт оролцогчдын жагсаалт;</t>
    </r>
  </si>
  <si>
    <t>Нийгмийн зай барих шаардлагын хүрээнд тусгай зөвшөөрөл олгох ажиллагаанд гарсан хувилбаруудын мэдээлэл;</t>
  </si>
  <si>
    <t>Шаардлага 2.3</t>
  </si>
  <si>
    <t>Олон нийтэд нээлттэй ашигт малтмал, газрын тос, байгалийн хий болон олборлох зорилгоор ААН-д олгосон кадастрын бүртгэл, тусгай зөвшөөрөл, түрээсийн эрх, зөвшөөрөл, гэрээ, концессын талаарх мэдээлэл;</t>
  </si>
  <si>
    <t>Шаардлага 2.3.a</t>
  </si>
  <si>
    <t>Ковид19-өөс улбаалан түдгэлзүүлсэн тусгай зөвшөөрлийн мэдээлэл;</t>
  </si>
  <si>
    <t>Тусгай зөвшөөрөл эзэмшигч болон бүтээгдэхүүн хуваах гэрээтэй аж ахуй нэгжийн талаарх дэлгэрэнгүй мэдээлэл (2023 оны 12 сарын 31-ний байдлаарх бүх хүчин төгөлдөр тусгай зөвшөөрлүүд);</t>
  </si>
  <si>
    <t>Шаардлага 2.3.b.i</t>
  </si>
  <si>
    <r>
      <t xml:space="preserve">Түгээмэл тархацтай ашигт малтмалын тусгай зөвшөөрлийн 2023 оны мэдээлэл (ашигт малтмалын төрлөөр задалж харуулах) </t>
    </r>
    <r>
      <rPr>
        <b/>
        <sz val="10"/>
        <color rgb="FF000000"/>
        <rFont val="Arial"/>
        <family val="2"/>
      </rPr>
      <t>(Маягт 5-ын дагуу);</t>
    </r>
  </si>
  <si>
    <t>Хайгуул болон ашиглалтын талбайн солбицлын мэдээлэл (2023 оны 12 сарын 31-ний байдлаар);</t>
  </si>
  <si>
    <t>Шаардлага 2.3b.ii</t>
  </si>
  <si>
    <r>
      <t> </t>
    </r>
    <r>
      <rPr>
        <sz val="10"/>
        <color rgb="FF000000"/>
        <rFont val="Arial"/>
        <family val="2"/>
      </rPr>
      <t>Уран болон түгээмэл тархацтай ашигт малтмалын талбайн солбицлын мэдээлэл (2023 оны 12 сарын 31-ний байдлаар);</t>
    </r>
  </si>
  <si>
    <t>2023 онд ашигт малтмал, газрын тосны хайгуул болон ашиглалтын лиценз авахаар гаргасан өргөдлийн дэлгэрэнгүй мэдээлэл, гаргасан огноо, лиценз олгосон огноо, талбайн солбицол, лицензийн хүчинтэй хугацаа, орон нутгийн захиргаанаас санал авах мэдэгдлийн огноо, ирсэн хариуны огноо</t>
  </si>
  <si>
    <t>Шаардлага 2.3.b.iii</t>
  </si>
  <si>
    <t>Ашиглалтын тусгай зөвшөөрлийг хувьд олборлож буй бүтээгдэхүүний мэдээлэл;</t>
  </si>
  <si>
    <t>Шаардлага 2.3.b.iv</t>
  </si>
  <si>
    <t>Шаардлага  2.3.а-д холбогдох мэдээллүүд байхгүй эсвэл дутуу бол хэрхэн бүрдүүлэх талаар авч байгаа арга хэмжээний талаарх мэдээлэл</t>
  </si>
  <si>
    <t>Шаардлага 2.3.с</t>
  </si>
  <si>
    <t>2023 онд улсын төсвийн хөрөнгөөр гүйцэтгэсэн томоохон хэмжээний АМГТ-ны геологи, хайгуулын үйл ажиллагаа болон зарцуулсан хөрөнгийн хэмжээний талаарх мэдээлэл;</t>
  </si>
  <si>
    <t>Шаардлага 3.1</t>
  </si>
  <si>
    <t>2023 онд хувийн хөрөнгөөр гүйцэтгэсэн томоохон хэмжээний АМГТ-ны геологи, хайгуулын үйл ажиллагааны мэдээлэл, зарцуулсан хөрөнгийн хэмжээ;</t>
  </si>
  <si>
    <t>Ашигт малтмал, газрын тос, цацраг идэвхт ашигт малтмалын геологи, хайгуулын мэдээлэл, ашигт малтмалын нөөцийн дэлгэрэнгүй мэдээлэл;</t>
  </si>
  <si>
    <t>Байгалийн хийн талаар ямар нэгэн гэрээ хэрэгжүүлээгүй, байгалийн хийн эрэл, хайгуулын ажил явагдаагүй байгаа шалтгаан;</t>
  </si>
  <si>
    <t>Ковид-19, ашигт малтмалын үнэ унаснаас шалтгаалсан салбар, аж үйлдвэрийн хөгжил, ирээдүйн байдлын талаар мэдээлэл;</t>
  </si>
  <si>
    <t>Ковид-19 болон ашигт малтмалын үнийн уналт хайгуул, хөгжлийн төлөвлөгөөнд нөлөө үзүүлсэн эсэх мэдээлэл;</t>
  </si>
  <si>
    <t>2023 оны ашигт малтмал, газрын тосны бүтээгдэхүүн үйлдвэрлэлийн дэлгэрэнгүй мэдээлэл (Үүнд: ААН, төсөл тус бүрээр, бүтээгдэхүүний нэр төрлөөр нь үйлдвэрлэсэн хэмжээ, үйлдвэрлэлийн өртөг, дундаж үнэ, борлуулалтын үнэ зэргийг сар, хагас жил, жилийн бүтэн дүнгээр харуулах);</t>
  </si>
  <si>
    <t>Шаардлага 3.2</t>
  </si>
  <si>
    <t>2023 онд олборлосон нийт бүтээгдэхүүнийг түүхий эд тус бүрээр ангилах боломжтой эсэх;</t>
  </si>
  <si>
    <t>Түүхий нефтийн үйлдвэрлэлийн үнийн мэдээлэл;</t>
  </si>
  <si>
    <t>Бичил уул уурхай эрхлэгчдийн олборлосон бүтээгдэхүүний хэмжээ, борлуулалтын статистик мэдээлэл;</t>
  </si>
  <si>
    <t>Ковид-19 төлөвлөсөн болон бодит үйлдвэрлэл, экспортод хэр нөлөөлсөн талаарх мэдээлэл;</t>
  </si>
  <si>
    <t>Шаардлага 3.2 болон 3.3</t>
  </si>
  <si>
    <t>2023 оны үйлдвэрлэл, экспортыг компани, төслөөр нь задлан харуулсан мэдээлэл;</t>
  </si>
  <si>
    <t>2023 оны ашигт малтмал, газрын тосны бүтээгдэхүүний борлуулалт, экспортын дэлгэрэнгүй мэдээлэл (Үүнд: ААН, төсөл тус бүрээр, бүтээгдэхүүний нэр төрлөөр нь экспортын хэмжээ, экспортын үнэ зэргийг сар, хагас жил, жилийн бүтэн дүнгээр харуулах);</t>
  </si>
  <si>
    <t>Шаардлага 3.3</t>
  </si>
  <si>
    <t>Экспортын хэмжээ болон үнэ, өртгийг хэрхэн тооцсон тухай мэдээлэл, экспортын мэдээллийн эх үүсвэр;</t>
  </si>
  <si>
    <t>Үйлдвэрлэсэн бүтээгдэхүүний төрд ногдох хэсгийг худалдан олсон болон буцалтгүй хэлбэрээр хүлээн авсан бусад орлогын мэдээлэл;</t>
  </si>
  <si>
    <t>Шаардлага 4.2</t>
  </si>
  <si>
    <t>Ашигт малтмалын үнийн өсөлт, уналт нөлөөлсөн эсэх талаар мэдээлэл;</t>
  </si>
  <si>
    <t>Ашигт малтмалын үнэ нэмэгдсэн эсхүл бууснаас олборлох үйлдвэрлэлд болон эдийн засгийн нийт нөхцөл байдалд үзүүлсэн үр нөлөөний талаарх мэдээлэл;</t>
  </si>
  <si>
    <t>Шаардлага 6.3</t>
  </si>
  <si>
    <t>ТӨРИЙН ӨМЧИЙН БОДЛОГО, ЗОХИЦУУЛАЛТЫН ГАЗАР</t>
  </si>
  <si>
    <t>Төрийн өмчит аж ахуйн нэгж болон засгийн газрын хоорондын харилцааг зохицуулсан хууль эрх зүйн орчны мэдээлэл;</t>
  </si>
  <si>
    <t>Шаардлага 2.1</t>
  </si>
  <si>
    <t>Засгийн газар болон төрийн өмчит аж ахуйн нэгжүүд хоорондын санхүүгийн харилцааг зохицуулсан дүрэм журмын талаарх мэдээлэл;</t>
  </si>
  <si>
    <t>2023 онд олборлох салбарт үйл ажиллагаа явуулдаг төрийн өмчит аж ахуйн нэгжийн эзэмшилд гарсан өөрчлөлтүүд, төрийн өмчит аж ахуйн нэгжүүдийн төрд ногдох хэсгийг хувьчилсан байдлын талаарх мэдээлэл;</t>
  </si>
  <si>
    <t>Шаардлага 2.6</t>
  </si>
  <si>
    <t>2023 онд олборлох салбарт үйл ажиллагаа явуулдаг нийт төрийн өмчит аж ахуйн нэгжүүдээс хүлээн авсан ногдол ашгийн мэдээлэл;</t>
  </si>
  <si>
    <t>Засгийн газраас Хөгжлийн банкаар дамжуулан уул уурхай, газрын тосны төрийн болон төрийн өмчийн оролцоотой аж ахуйн нэгжүүдэд олгосон зээл, гаргасан баталгааны талаарх мэдээлэл;</t>
  </si>
  <si>
    <t>Төрийн өмчит ААН-ийн төрийн оролцоо, бодлогын өөрчлөлтүүдийн мэдээлэл;</t>
  </si>
  <si>
    <t>Шаардлага 2.6, 4.5 болон 6.2</t>
  </si>
  <si>
    <t>Төрийн өмчит ААН оператор, туслан гүйцэтгэгч компаниудын мэдээлэл, тэдгээртэй байгуулсан гэрээ;</t>
  </si>
  <si>
    <t>Шаардлага 2.6.а</t>
  </si>
  <si>
    <t>Компанийн ногдол ашиг тооцох, хуваарилах аргачлал, дүрэм журам, түүний хэрэгжилт, 2023 онд олгосон болон зарласан ногдол ашгийн дүнгийн мэдээлэл;</t>
  </si>
  <si>
    <t>Олборлох салбарын компаниудад олгосон ямар нэгэн зээл, түүний үлдэгдэл эсвэл гаргасан зээлийн баталгаа бий юу;</t>
  </si>
  <si>
    <t>Төрийн өмчит ААН-ийн засаглах удирдлага, бүтэц, зохион байгуулалт, өмчлөл, засаглалын талаарх мэдээлэл;</t>
  </si>
  <si>
    <r>
      <t>Төрийн</t>
    </r>
    <r>
      <rPr>
        <sz val="10"/>
        <color rgb="FFC00000"/>
        <rFont val="Arial"/>
        <family val="2"/>
        <charset val="1"/>
      </rPr>
      <t xml:space="preserve"> </t>
    </r>
    <r>
      <rPr>
        <sz val="10"/>
        <color rgb="FF000000"/>
        <rFont val="Arial"/>
        <family val="2"/>
        <charset val="1"/>
      </rPr>
      <t>өмчит ААН-ийн өмчлөлийн бүтцэд 2023 онд гарсан өөрчлөлтүүдийн зураглал, тэдгээртэй холбоотой шийдвэрүүд;</t>
    </r>
  </si>
  <si>
    <t>Төрийн өмчийн ААН-ийн эрх зүйн орчны 2023 онд оруулсан өөрчлөлт мэдээлэл;</t>
  </si>
  <si>
    <t>2023 онд төрөөс олборлох салбарын төрийн өмчит ААН-д өгсөн татаас, хөрөнгө оруулалтын мэдээлэл;</t>
  </si>
  <si>
    <t>Шаардлага 2.6 с</t>
  </si>
  <si>
    <t>2023 онд төрийн өмчит ААН-ээс өөр компанид хувьцаагаар хөрөнгө оруулалт хийсэн эсэх талаарх мэдээлэл;</t>
  </si>
  <si>
    <t>2023 онд олборлох салбарын төрийн өмчит ААН нь гуравдагч тал /гадаад болон дотоодын ААН/-аас авсан татаас, хөрөнгө оруулалтын мэдээлэл;</t>
  </si>
  <si>
    <t>Төрийн өмчит ААН-ийн ТУЗ-ийн хараат бус гишүүдийг томилох үйл явц, тавих шаардлага, түүнтэй холбоотой дүрэм журмын талаарх мэдээлэл;</t>
  </si>
  <si>
    <t>Төрийн өмчит болон төрийн өмчийн оролцоотой уул уурхайн компаниудад 2023 онд олгосон татаас, санхүүжилтийн жагсаалт</t>
  </si>
  <si>
    <t>Шаардлага 4.5</t>
  </si>
  <si>
    <t>БАЙГАЛЬ ОРЧИН, УУР АМЬСГАЛЫН ӨӨРЧЛӨЛТИЙН ЯАМ</t>
  </si>
  <si>
    <t>Байгаль орчны нөхөн сэргээлт хийх тусгай зөвшөөрөлтэй ААН-үүдийн хувьд тухайн хот суурин, орон нутагтай байгуулсан нөхөн сэргээлтийн гэрээнүүдийн дэлгэрэнгүй жагсаалт;</t>
  </si>
  <si>
    <t>Шаардлага 2.4</t>
  </si>
  <si>
    <t>2023 оны газрын тосны тусгай зөвшөөрөл эзэмшигчдийн уулын ажлын болон нөхөн сэргээлтийн төлөвлөгөө, гүйцэтгэлийн мэдээлэл;</t>
  </si>
  <si>
    <t>Шаардлага 6.4</t>
  </si>
  <si>
    <t>2023 оны газрын тосны тусгай зөвшөөрөл эзэмшигчдийн нөхөн сэргээлтийн төлөвлөгөө, гүйцэтгэлийн мэдээлэл;</t>
  </si>
  <si>
    <t>Монголын олборлох салбарын хөрөнгө оруулалтын байгаль орчны менежмент болон мониторингд хамаарах хуулийн заалтууд, захиргааны журмууд, бодлогууд болон бодит практикийн тухай тойм мэдээлэл;</t>
  </si>
  <si>
    <t>Шаардлага 6.4.a</t>
  </si>
  <si>
    <t>Монголын олборлох салбараас байгаль орчинд үзүүлж буй нөлөөллийн чиглэлээр хийгдэхээр төлөвлөж байгаа төсөл, хөтөлбөр болон эсвэл одоо хийгдэж байгаа шинэчлэлийн талаарх мэдээлэл;</t>
  </si>
  <si>
    <t>Байгаль орчныг нөхөн сэргээх чиглэлээр ААН-үүдэд тусгай зөвшөөрлийг олгох үйл явц, нарийвчилсан алхмууд, бодлого, дүрэм журам, хууль эрх зүйн актууд;</t>
  </si>
  <si>
    <t>Тодорхой бүс нутаг болон сав газарт иргэн, аж ахуйн нэгж, байгууллагаас хэрэгжүүлэх, хэрэгжүүлж байгаа төсөлд хийсэн байгаль орчны стратегийн үнэлгээ, хуримтлагдах нөлөөллийн үнэлгээний тайлан;</t>
  </si>
  <si>
    <t>Эрдэс баялгийн салбарын төслийн байгаль орчны төлөв байдлын үнэлгээ, байгаль орчны нөлөөллийн үнэлгээний тайлан;</t>
  </si>
  <si>
    <t>Байгаль орчны менежментийн төлөвлөгөө, хэрэгжилтийн тайлан;</t>
  </si>
  <si>
    <t>Уул уурхайн үйл ажиллагааны улмаас эвдэрсэн газрын нөхөн сэргээлтийн дэлгэрэнгүй статистик мэдээлэл (БОАЖЯ-ны Маягт БОХ-3 дагуу, 2023 оны хувьд);</t>
  </si>
  <si>
    <t>Ашигт малтмал, газрын тос, байгалийн хий, цацраг идэвхт ашигт малтмал, түгээмэл тархацтай ашигт малтмалын ордын нөхөн сэргээлт, хаалтын менежментийн төлөвлөгөө;</t>
  </si>
  <si>
    <t>Орон нутгийн байгаль орчин, экологи, ан амьтан, ургамал зүйд үзүүлэх нөлөөллийн талаарх мэдээлэл;</t>
  </si>
  <si>
    <t>Уул уурхайн ашиглалтын улмаас эвдэрсэн газар, эвдэгдсэнээс нөхөн сэргээх шаардлагатай газруудын тооллого, судалгааны тайлан (2023 оны хувьд);</t>
  </si>
  <si>
    <t>Төрийн зүгээс хэрэгжүүлж байгаа байгаль орчныг хамгаалах чиглэлийн мониторингийн үйл явц, авч хэрэгжүүлж байгаа хориг арга хэмжээний тухай дэлгэрэнгүй мэдээлэл;</t>
  </si>
  <si>
    <t>Шаардлага 6.4.b</t>
  </si>
  <si>
    <t>Төрийн зүгээс авч хэрэгжүүлж байгаа байгаль орчны нөхөн сэргээлтийн төлөвлөгөө, хөтөлбөрүүдийн тухай мэдээлэл;</t>
  </si>
  <si>
    <t>Байгаль орчныг хамгаалах, цаг уурын өөрчлөлтийг бууруулах чиглэлийн хууль тогтоомжийн өөрчлөлт, чөлөөтэй, урьдчилсан, мэдээлэл бүхий зөвлөлдөөн хийгдсэн байгаа эсэх мэдээлэл;</t>
  </si>
  <si>
    <t>САНГИЙН ЯАМ</t>
  </si>
  <si>
    <t>Төсвийн бодлого, 2023 оны төсвийн бодлоготой холбоотой хууль тогтоомжийн өөрчлөлтийн тухай мэдээлэл. Үүнд дараах мэдээллийг багтаасан байна.</t>
  </si>
  <si>
    <t>Олборлох салбарын төсвийн бодлого;</t>
  </si>
  <si>
    <t>Давагдашгүй нөхцөл байдлаас шалтгаалан төсөв, санхүүгийн дэглэм гарсан өөрчлөлт, олборлох салбарын компаниудад өгсөн дэмжлэг, эсхүл урамшууллын талаарх мэдээлэл;</t>
  </si>
  <si>
    <t>Төлөвлөсөн болон бодит орон нутгийн төлбөр, орон нутгийн төсөвт үүссэн ямар нэгэн бэрхшээлийн талаарх мэдээлэл;</t>
  </si>
  <si>
    <t>Шаардлага 4.6</t>
  </si>
  <si>
    <t>Олборлох салбараас орж ирж буй бэлэн болон бэлэн бус орлогыг улсын төсөвт хэрхэн бүртгэж буй талаарх мэдээлэл. Энэхүү мэдээлэлд доорх асуудлыг тусгах.</t>
  </si>
  <si>
    <t>Шаардлага 5.1</t>
  </si>
  <si>
    <t>Олон талт оролцогчдын бүлгүүдийг дотоодын орлогын ангиллын систем ОУВС-ийн Засгийн газрын санхүүгийн статистикийн заавар зэрэг олон улсын стандартыг мөрддөг эсэх;</t>
  </si>
  <si>
    <t>Ковид-19-өөс шалтгаалан олборлох салбараас хүлээн авахаар тодотгосон орлого;</t>
  </si>
  <si>
    <t>Төсвийн тухай хуулийн 59.2-д заасны дагуу ОНХС-гаас болон улсын төсвөөс олгосон шилжүүлгийг аймаг, нийслэлээс сум дүүргийн ОНХС-д хуваарилсан хуваарилалт (аймаг, сум бүрээр);</t>
  </si>
  <si>
    <t>Шаардлага 5.2</t>
  </si>
  <si>
    <t>ОНХС-тай ижил төстэй бусад өөр шилжүүлгийн талаарх мэдээлэл;</t>
  </si>
  <si>
    <t>Хүний хөгжлийн сангийн тухай хуулийн 3.2-д заасан эх үүсвэрүүдийг татан төвлөрүүлсэн байдал, сангийн зарцуулалтын тайлан;</t>
  </si>
  <si>
    <t>Төсвийн тогтвортой байдлын тухай хуулийн 16.2-д заасан төсвийн тогтворжуулалтын сангийн эх үүсвэрүүдийг татан төвлөрүүлсэн байдал, сангийн зарцуулалтын тайлан;</t>
  </si>
  <si>
    <t>Олборлох салбараас орсон орлогоос төв болон орон нутгийн төрийн байгууллага хоорондоо шилжүүлсэн материаллаг хэмжээний төлбөрийн мэдээлэл;</t>
  </si>
  <si>
    <t>Төсвийн орлогын хуваарилалтын зарчим, орон нутгийн төсвийн хуваарилалтын орлого хуваах тогтолцоо томьёо, түүнчлэн орон нутгийн тухайн томьёог ашиглан тооцсон орлого болон бодит шилжүүлсэн орлогын зөрүүний мэдээлэл;</t>
  </si>
  <si>
    <t>2023 оны улсын нэгдсэн төсвийн гүйцэтгэлд хийлгэсэн аудитын тайлан, дүгнэлт;</t>
  </si>
  <si>
    <t>Төлөвлөсөн болон бодит орон нутгийн шилжүүлэг үүнээс шалтгаалан орон нутгийн төсөвт болон нутгийн иргэдэд үүссэн ямар нэгэн бэрхшээлийн талаарх мэдээлэл;</t>
  </si>
  <si>
    <t>Ковид-19-өөс үүссэн хямралыг давахад орон нутгийн шилжүүлгийн талаар нутгийн захиргаанаас хийсэн удирдлага, өөрчлөлтийн арга;</t>
  </si>
  <si>
    <t>Олборлох салбараас орсон орлогыг ямар нэг тусгай хөтөлбөр эсвэл бүс нутагт хуваарилсан бол энэ талаар тайлбар;</t>
  </si>
  <si>
    <t>Шаардлага 5.3.</t>
  </si>
  <si>
    <t>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t>
  </si>
  <si>
    <t>Орлого, төсвийн тооцооллын тодотгол (ашигт малтмалын үнийн таамаглалыг оруулна);</t>
  </si>
  <si>
    <t>2023 онд авралын санхүүжилт, идэвхжүүлэх багц, олборлох салбарт, эсхүл төрийн өмчит компанид үзүүлсэн татаасны мэдээлэл;</t>
  </si>
  <si>
    <t>2023 оны олборлох салбарын зээллэгийн өөрчлөлтийн талаарх мэдээлэл;</t>
  </si>
  <si>
    <t>2023 онд Ирээдүйн өв сангийн хөрөнгийг онцгой нөхцөлд ашигласан эсэх талаарх мэдээлэл;</t>
  </si>
  <si>
    <t>АЖ ҮЙЛДВЭР, ЭРДЭС БАЯЛГИЙН ЯАМ</t>
  </si>
  <si>
    <t>Уул уурхай, газрын тос, түлш, цөмийн энергийн салбарын эрх зүйн зохицуулалт, 2023 онд гарсан хуулийн нэмэлт өөрчлөлтүүд, шинэчилсэн болон шинэ журам зааврын талаарх мэдээлэл</t>
  </si>
  <si>
    <t>2023 оны байдлаар Эрдэс баялгийн салбарт Төрөөс баримтлах бодлогууд, бодлогын шинэчлэлд гарсан өөрчлөлтийн талаарх мэдээлэл</t>
  </si>
  <si>
    <t>Уул уурхай, газрын тос, түлш, цөмийн энергийн салбарын эрх зүйн тогтолцоо болон практикт үүсэж байгаа зөрүүтэй байдлын талаарх дүгнэлт санал</t>
  </si>
  <si>
    <t>Гол, мөрний урсац бүрэлдэх эх, усны сан бүхий газрын хамгаалалтын бүс, ойн сан бүхий газарт ашигт малтмал хайх, ашиглахыг хориглох тухай хуулийн хэрэгжилт, өнөөгийн бодит байдлын талаарх тайлан мэдээлэл</t>
  </si>
  <si>
    <t>Тусгай зөвшөөрөл, гэрээнд оруулсан өөрчлөлт, нэмэлт, гэрээний хавсралтыг шинэчилсэн хуваарь</t>
  </si>
  <si>
    <t>2023 оны 1 дүгээр сарын 1-ны өдрөөс эхлэн олгогдсон лиценз, хийсэн гэрээ эсвэл нэмэлт өөрчлөлт орсон гэрээ болон лицензийн мэдээлэл</t>
  </si>
  <si>
    <t>Гэрээний ил тод байдлын чиглэлээр ОТАХ-ийн гаргасан төлөвлөгөө, шинэчлэлийн талаарх мэдээлэл</t>
  </si>
  <si>
    <t>Эрдэс баялгийн салбар дахь гэрээний ил тод байдалтай холбоотой өнөөгийн хууль тогтоомж, тэдгээрийн хэрэгжилт, гэрээг ил тод болгохтой холбоотойгоор талуудад тулгарч буй асуудал, тэдгээрийг шийдвэрлэх арга замын талаарх санал дүгнэлт</t>
  </si>
  <si>
    <t>ЗАМ, ТЭЭВРИЙН ХӨГЖЛИЙН ЯАМ</t>
  </si>
  <si>
    <t>Шаардлага 4.4</t>
  </si>
  <si>
    <t>2023 онд хийгдсэн нүүрсний тээврийн шинэчлэлийн тухай мэдээлэл</t>
  </si>
  <si>
    <t xml:space="preserve">АВТО ТЭЭВРИЙН ҮНДЭСНИЙ ТӨВ ТӨҮГ </t>
  </si>
  <si>
    <t>Авто замын тээвэрлэлтийн мэдээлэл, 2023 оны хувьд</t>
  </si>
  <si>
    <t>Хавсралт 6 Компаниудын ирүүлсэн мэдээлэл</t>
  </si>
  <si>
    <t>Компанийн регистр</t>
  </si>
  <si>
    <t>Нэгтгэлийн залруулгын маягт</t>
  </si>
  <si>
    <t>Аудитын тайлан</t>
  </si>
  <si>
    <t>Удирдлагын захидал</t>
  </si>
  <si>
    <t>✓</t>
  </si>
  <si>
    <t>Ирүүлсэн</t>
  </si>
  <si>
    <t>Ирүүлээгүй</t>
  </si>
  <si>
    <t>Нийт</t>
  </si>
  <si>
    <t>Баатарван транс ххк</t>
  </si>
  <si>
    <t xml:space="preserve">Хавсралт 7 Засгийн газрын байгууллагуудаас ирүүлсэн мэдээлэл </t>
  </si>
  <si>
    <t>Ил тод болгох мэдээлэл</t>
  </si>
  <si>
    <t>x</t>
  </si>
  <si>
    <t>Төрийн өмчийн бодлого зохицуулалтын газар болон ТӨХК-үүд</t>
  </si>
  <si>
    <t>Ашигт малтмал газрын тосны газар</t>
  </si>
  <si>
    <t>Зам тээвэр хөгжийн яам</t>
  </si>
  <si>
    <t>Байгаль орчин, уур амьсгалын өөрчлөлтийн яам</t>
  </si>
  <si>
    <t>Сангийн яам</t>
  </si>
  <si>
    <t>Аж үйлдвэр, эрдэс баялгийн яам</t>
  </si>
  <si>
    <t xml:space="preserve">Дундговь </t>
  </si>
  <si>
    <t>√</t>
  </si>
  <si>
    <t xml:space="preserve">Ирүүлсэн  </t>
  </si>
  <si>
    <t>Ирүүлээгүй байгаа</t>
  </si>
  <si>
    <t>Хүссэн мэдээлэл байхгүй</t>
  </si>
  <si>
    <t>Хавсралт 8 Тохируулаагүй үлдсэн зөрүү, орлогын урсгалаар /сая төгрөгөөр/</t>
  </si>
  <si>
    <t>Орлогын урсгал</t>
  </si>
  <si>
    <t xml:space="preserve"> Засгийн газар илүү тайлагнасан </t>
  </si>
  <si>
    <t xml:space="preserve"> Засгийн газар дутуу тайлагнасан </t>
  </si>
  <si>
    <t>Улсын хэмжээний төлбөрийн урсгал</t>
  </si>
  <si>
    <t>Аж ахуйн нэгжийн орлогын албан татвар</t>
  </si>
  <si>
    <t>Гаалийн албан татвар</t>
  </si>
  <si>
    <t>Нэмэгдсэн өртгийн албан татвар</t>
  </si>
  <si>
    <t>Авто дизелийн түлшний онцгой албан татвар</t>
  </si>
  <si>
    <t>Авто дизелийн түлшний албан татвар</t>
  </si>
  <si>
    <t>Ашигт малтмалын нөөц ашигласны төлбөр</t>
  </si>
  <si>
    <t>Тусгай зөвшөөрлийн төлбөр 
/Засгийн газар</t>
  </si>
  <si>
    <t>Улсын төсвийн хөрөнгөөр хайгуул хийсэн ордын нөхөн төлбөр /Засгийн газар</t>
  </si>
  <si>
    <t>Гадаад ажилчдын ажлын байрны төлбөр /Засгийн газар</t>
  </si>
  <si>
    <t>Агаарын бохирдлын төлбөр  /Засгийн газар</t>
  </si>
  <si>
    <t>Ажилчдын НДШ /Засгийн газар</t>
  </si>
  <si>
    <t>Гаалийн үйлчилгээний хураамж  /Засгийн газар</t>
  </si>
  <si>
    <t>ЗГ-т төлсөн урьдчилгаа төлбөр /Засгийн газар</t>
  </si>
  <si>
    <t>Торгууль /Засгийн газар</t>
  </si>
  <si>
    <t>Нөхөн төлбөр /Засгийн газар</t>
  </si>
  <si>
    <t>Бусад /Засгийн газар</t>
  </si>
  <si>
    <t xml:space="preserve"> Бүтээгдэхүүн хуваах гэрээгээр тухайн жилд төвлөрүүлсэн сургалтын урамшуулал /Засгийн газар</t>
  </si>
  <si>
    <t>Газрын тосны хайгуулын талбайн захиалгын үйлчилгээний хөлс /Засгийн газар</t>
  </si>
  <si>
    <t>Орон нутгийн хэмжээний төлбөрийн урсгал</t>
  </si>
  <si>
    <t>ҮХЭХАТ /ОНТ</t>
  </si>
  <si>
    <t>АТБӨЯХАТ /ОНТ</t>
  </si>
  <si>
    <t>Газрын төлбөр /ОНТ</t>
  </si>
  <si>
    <t>Ус ашигласны төлбөр /ОНТ</t>
  </si>
  <si>
    <t>Ус бохирдуулсны төлбөр /ОНТ</t>
  </si>
  <si>
    <t>ТТАМНАТ /ОНТ</t>
  </si>
  <si>
    <t>Гадаад ажилчдын ажлын байрны төлбөр /ОНТ</t>
  </si>
  <si>
    <t>Орон нутгийн төрийн өмчийн ногдол ашиг /ОНТ</t>
  </si>
  <si>
    <t>Торгууль /ОНТ</t>
  </si>
  <si>
    <t>Нөхөн төлбөр /ОНТ</t>
  </si>
  <si>
    <t>Бусад /ОНТ</t>
  </si>
  <si>
    <t>Орон нутгийн төсөвт төвлөрүүлсэн тэмдэгтийн хураамж /ОНТ</t>
  </si>
  <si>
    <t>Хандив/ОНТ</t>
  </si>
  <si>
    <t xml:space="preserve">Хавсралт 9 Анхны нэгтгэлээрх тайлбарлагдаагүй зөрүү (компаниудаар) </t>
  </si>
  <si>
    <t>РД</t>
  </si>
  <si>
    <t>Залруулгын дараах зөрүү</t>
  </si>
  <si>
    <t>Хавсралт 10 Анхны нэгтгэл, залруулга болон залруулгын дараах нэгтгэл (Компаниудаар)</t>
  </si>
  <si>
    <t>Регистрийн дугаар</t>
  </si>
  <si>
    <t>Анхны нэгтгэл</t>
  </si>
  <si>
    <t xml:space="preserve"> Залруулга</t>
  </si>
  <si>
    <t>Залруулгын дараах нэгтгэл</t>
  </si>
  <si>
    <t>ЗГ</t>
  </si>
  <si>
    <t>Компани</t>
  </si>
  <si>
    <t xml:space="preserve">Зөрүү  </t>
  </si>
  <si>
    <t xml:space="preserve">ЗГ </t>
  </si>
  <si>
    <t xml:space="preserve"> Компани</t>
  </si>
  <si>
    <t>Зөрүү</t>
  </si>
  <si>
    <t xml:space="preserve">ЗГ  </t>
  </si>
  <si>
    <t xml:space="preserve"> Компани  </t>
  </si>
  <si>
    <t xml:space="preserve">Зөрүү </t>
  </si>
  <si>
    <t>Хавсралт 11 Тайлбарлаагүй зөрүү, компаниар</t>
  </si>
  <si>
    <t>Хавсралт 12 Тохируулгын дараах улсын хэмжээний гол орлогын урсгалууд, ЗГ-ын дүнгээр</t>
  </si>
  <si>
    <t>(сая төгрөгөөр)</t>
  </si>
  <si>
    <t>Нэмэгдсэн өртгийн албан татвар (ТЕГ+Гааль)</t>
  </si>
  <si>
    <t xml:space="preserve">Ашигт малтмалын нөөц ашигласны төлбөр </t>
  </si>
  <si>
    <t>Тусгай зөвшөөрлийн төлбөр</t>
  </si>
  <si>
    <t>Улсын төсвийн хөрөнгөөр хайгуул хийсэн ордын нөхөн төлбөр</t>
  </si>
  <si>
    <t>Агаарын бохирдлын төлбөр - залруулсан</t>
  </si>
  <si>
    <t>Ажилчдын НДШ</t>
  </si>
  <si>
    <t>Гаалийн үйлчилгээний хураамж</t>
  </si>
  <si>
    <t>Төрийн өмчийн ногдол аши</t>
  </si>
  <si>
    <t>Торгууль</t>
  </si>
  <si>
    <t>Нөхөн төлбөр</t>
  </si>
  <si>
    <t xml:space="preserve"> Бүтээгдэхүүн хуваах гэрээгээр тухайн жилд төвлөрүүлсэн сургалтын урамшуулал</t>
  </si>
  <si>
    <t xml:space="preserve"> Бүтээгдэхүүн хуваах гэрээнд заасан нөхцөлийн дагуу төлөөлөгчийн газрын үйл ажиллагааг дэмжсэн төлбөр</t>
  </si>
  <si>
    <t xml:space="preserve"> Бүтээгдэхүүн хуваах гэрээний дагуу Засгийн газарт ногдох газрын тосны орлого</t>
  </si>
  <si>
    <t>Газрын тосны хайгуулын талбайн захиалгын үйлчилгээний хөлс</t>
  </si>
  <si>
    <t>ХХОАТ</t>
  </si>
  <si>
    <t>Хавсралт 13  Тохируулгын дараах орон нутгийн хэмжээний гол урсгалууд, ЗГ-ын дүнгээр</t>
  </si>
  <si>
    <t>Үл хөдлөх эд хөрөнгийн албан татвар</t>
  </si>
  <si>
    <t>Авто тээврийн болон өөрөө явагч хэрэгслийн албан татвар</t>
  </si>
  <si>
    <t>Газрын төлбөр</t>
  </si>
  <si>
    <t>Ус ашигласны төлбөр</t>
  </si>
  <si>
    <t>Ус бохирдуулсны төлбөр</t>
  </si>
  <si>
    <t>ТТАМНАТ</t>
  </si>
  <si>
    <t>Гадаад ажилчдын ажлын байрны төлбөр</t>
  </si>
  <si>
    <t xml:space="preserve">Орон нутгийн төрийн өмчийн ногдол ашиг </t>
  </si>
  <si>
    <t>Байгаль хамгаалах зардлын 50 хувийг тусгай дансанд төвлөрүүлсэн хэмжээ</t>
  </si>
  <si>
    <t>Орон нутгийн төсөвт төвлөрүүлсэн тэмдэгтийн хураамж</t>
  </si>
  <si>
    <t>Бүтээгдэхүүн хуваах гэрээний дагуу хүлээн авсан орон нутгийг хөгжүүлэх урамшуулал</t>
  </si>
  <si>
    <t>Ашигт малтмалаас бусад байгалийн баялаг ашиглахад олгох эрхийн зөвшөөрлийн хураамж</t>
  </si>
  <si>
    <t>Хандив</t>
  </si>
  <si>
    <t>Хавсралт 14 Ажилчдын мэдээлэл</t>
  </si>
  <si>
    <t>Нийт ажилчдын тоо</t>
  </si>
  <si>
    <t>Монгол ажилчид</t>
  </si>
  <si>
    <t>Гадаад ажилчид</t>
  </si>
  <si>
    <t>Орон нутгийн ажилчид</t>
  </si>
  <si>
    <t>Инженер, техникийн ажилчид</t>
  </si>
  <si>
    <t>Эрэгтэй</t>
  </si>
  <si>
    <t>Эмэгтэй</t>
  </si>
  <si>
    <t>Хавсралт 15А Ашиглалтын тусгай зөвшөөрлүүдийн жагсаалт (2023 оны 12 сарын 31-ний байдлаар)</t>
  </si>
  <si>
    <t>Д/д</t>
  </si>
  <si>
    <t>ТЗ-ийн дугаар</t>
  </si>
  <si>
    <t>Ашигт малтмал</t>
  </si>
  <si>
    <t>Талбайн нэр</t>
  </si>
  <si>
    <t>Талбайн хэмжээ (га)</t>
  </si>
  <si>
    <t>Эзэмшигчийн регистр #</t>
  </si>
  <si>
    <t>Эзэмшигч</t>
  </si>
  <si>
    <t>ААН-ийн төрөл</t>
  </si>
  <si>
    <t>Хуулийн этгээдийн Ангилал</t>
  </si>
  <si>
    <t>Олгосон огноо</t>
  </si>
  <si>
    <t>Дуусах огноо</t>
  </si>
  <si>
    <t>Сумууд</t>
  </si>
  <si>
    <t>MV-000005</t>
  </si>
  <si>
    <t>Алт /Шороо/</t>
  </si>
  <si>
    <t>Баянголын дэнж</t>
  </si>
  <si>
    <t>Заамар өгөөмөр хайрхан</t>
  </si>
  <si>
    <t>ХХК</t>
  </si>
  <si>
    <t>дотоодын а.а.н</t>
  </si>
  <si>
    <t>MV-000011</t>
  </si>
  <si>
    <t>Зэс, Молибден</t>
  </si>
  <si>
    <t>Эрдэнэтийн овоо</t>
  </si>
  <si>
    <t>Эрдэнэт-Үйлдвэр</t>
  </si>
  <si>
    <t>ТӨҮГ</t>
  </si>
  <si>
    <t>Баян-Өндөр, Жаргалант</t>
  </si>
  <si>
    <t>MV-000015</t>
  </si>
  <si>
    <t>Далд-2</t>
  </si>
  <si>
    <t>Монголболгаргео</t>
  </si>
  <si>
    <t>хамтарсан хөрөнгө оруулалттай ХХК</t>
  </si>
  <si>
    <t>Гадаадын х/о хамтарсан аж ахуйн нэгж</t>
  </si>
  <si>
    <t>Баянхонгор</t>
  </si>
  <si>
    <t>Бөмбөгөр</t>
  </si>
  <si>
    <t>MV-000104</t>
  </si>
  <si>
    <t>Бэрлэг, Бэрлэгийн цагаан тохой, Е</t>
  </si>
  <si>
    <t>Монтэнгэр</t>
  </si>
  <si>
    <t>Ерөө</t>
  </si>
  <si>
    <t>MV-000114</t>
  </si>
  <si>
    <t>Билүүт</t>
  </si>
  <si>
    <t>Гацуурт</t>
  </si>
  <si>
    <t>Мандал</t>
  </si>
  <si>
    <t>MV-000124</t>
  </si>
  <si>
    <t>Зайсан салаа</t>
  </si>
  <si>
    <t>Хартарвагатай</t>
  </si>
  <si>
    <t>Хамтарсан ХК</t>
  </si>
  <si>
    <t>Увс</t>
  </si>
  <si>
    <t>Тариалан</t>
  </si>
  <si>
    <t>MV-000129</t>
  </si>
  <si>
    <t>Ар наймган хөндий доод хэсэг</t>
  </si>
  <si>
    <t>Эм Жи Жи И Си</t>
  </si>
  <si>
    <t>MV-000131</t>
  </si>
  <si>
    <t>Баруун баруун-Урт</t>
  </si>
  <si>
    <t>Хүдэр-Эрдэнэ</t>
  </si>
  <si>
    <t>Сэргэлэн</t>
  </si>
  <si>
    <t>MV-000136</t>
  </si>
  <si>
    <t>Салхит</t>
  </si>
  <si>
    <t>Баян-Эрдэс</t>
  </si>
  <si>
    <t>Норовлин</t>
  </si>
  <si>
    <t>MV-000150</t>
  </si>
  <si>
    <t>Хавчуу</t>
  </si>
  <si>
    <t>Багатаян</t>
  </si>
  <si>
    <t>Шарынгол</t>
  </si>
  <si>
    <t>MV-000159</t>
  </si>
  <si>
    <t>Хамар ус</t>
  </si>
  <si>
    <t>Монголросцветмет</t>
  </si>
  <si>
    <t>Их хэт</t>
  </si>
  <si>
    <t>MV-000160</t>
  </si>
  <si>
    <t>Баруун баргын овоо</t>
  </si>
  <si>
    <t>MV-000161</t>
  </si>
  <si>
    <t>Бор толгой</t>
  </si>
  <si>
    <t>Айраг</t>
  </si>
  <si>
    <t>MV-000163</t>
  </si>
  <si>
    <t>Бужгар</t>
  </si>
  <si>
    <t>MV-000164</t>
  </si>
  <si>
    <t>Өргөн</t>
  </si>
  <si>
    <t>MV-000166</t>
  </si>
  <si>
    <t>Дэлгэрхаан</t>
  </si>
  <si>
    <t>Ваёо флюорит</t>
  </si>
  <si>
    <t>Батноров</t>
  </si>
  <si>
    <t>MV-000167</t>
  </si>
  <si>
    <t>Тохой булаг</t>
  </si>
  <si>
    <t>Адуляргео</t>
  </si>
  <si>
    <t>MV-000168</t>
  </si>
  <si>
    <t>Толгойт гол</t>
  </si>
  <si>
    <t>Ди Зэт энд Ай</t>
  </si>
  <si>
    <t>MV-000169</t>
  </si>
  <si>
    <t>Дунд өлөнт</t>
  </si>
  <si>
    <t>Өсөх билиг эрдэнэ</t>
  </si>
  <si>
    <t>MV-000173</t>
  </si>
  <si>
    <t>Адаг</t>
  </si>
  <si>
    <t>Бор-Өндөр, Дархан</t>
  </si>
  <si>
    <t>MV-000174</t>
  </si>
  <si>
    <t>MV-000175</t>
  </si>
  <si>
    <t>Туул голын гольдрол</t>
  </si>
  <si>
    <t>Булган, Төв</t>
  </si>
  <si>
    <t>Бүрэгхангай, Заамар</t>
  </si>
  <si>
    <t>MV-000181</t>
  </si>
  <si>
    <t>Туул голын зүүн дэнжийн 1-3</t>
  </si>
  <si>
    <t>Платинумланд</t>
  </si>
  <si>
    <t>Булган</t>
  </si>
  <si>
    <t>Бүрэгхангай</t>
  </si>
  <si>
    <t>MV-000184</t>
  </si>
  <si>
    <t>Тосонгийн дэнж</t>
  </si>
  <si>
    <t>Монполимет</t>
  </si>
  <si>
    <t>MV-000191</t>
  </si>
  <si>
    <t>Бүдүүн гол</t>
  </si>
  <si>
    <t>Хүдэр</t>
  </si>
  <si>
    <t>MV-000198</t>
  </si>
  <si>
    <t>Алт /Шороо/, Шавар, Элс</t>
  </si>
  <si>
    <t>Бороо</t>
  </si>
  <si>
    <t>Бороогоулд</t>
  </si>
  <si>
    <t>гадаадын 100% хөрөнгө оруулалттай ХХК</t>
  </si>
  <si>
    <t>гадаадын 100 % х/о</t>
  </si>
  <si>
    <t>Баянгол, Мандал</t>
  </si>
  <si>
    <t>MV-000200</t>
  </si>
  <si>
    <t>Баруун шанд</t>
  </si>
  <si>
    <t>MV-000203</t>
  </si>
  <si>
    <t>Хайрхан уулын нөмөр</t>
  </si>
  <si>
    <t>MV-000213</t>
  </si>
  <si>
    <t>Цагаан чулуут</t>
  </si>
  <si>
    <t>Заамар гоулд</t>
  </si>
  <si>
    <t>MV-000218</t>
  </si>
  <si>
    <t>Урд дэлэнгийн Жалга-44</t>
  </si>
  <si>
    <t>Коулдголд монгол</t>
  </si>
  <si>
    <t>MV-000221</t>
  </si>
  <si>
    <t>Налайх</t>
  </si>
  <si>
    <t>Сүмбэрхудаг</t>
  </si>
  <si>
    <t>MV-000222</t>
  </si>
  <si>
    <t>Өвөрчулуут</t>
  </si>
  <si>
    <t>Баялаг-Орд</t>
  </si>
  <si>
    <t>Галуут</t>
  </si>
  <si>
    <t>MV-000227</t>
  </si>
  <si>
    <t>Нарийн сухайт</t>
  </si>
  <si>
    <t>Монголын алт МАК</t>
  </si>
  <si>
    <t>MV-000228</t>
  </si>
  <si>
    <t>Тахилтын нүүрс</t>
  </si>
  <si>
    <t>Төгрөгнуурын энержи</t>
  </si>
  <si>
    <t>Баян</t>
  </si>
  <si>
    <t>MV-000231</t>
  </si>
  <si>
    <t>Буурал хангай</t>
  </si>
  <si>
    <t>Гурвантөхөм</t>
  </si>
  <si>
    <t>MV-000238</t>
  </si>
  <si>
    <t>Их дашир</t>
  </si>
  <si>
    <t>MV-000242</t>
  </si>
  <si>
    <t>Түгээмэл, Дайрга</t>
  </si>
  <si>
    <t>Дэлийн хошуу</t>
  </si>
  <si>
    <t>Чингэлбөөнцагаан</t>
  </si>
  <si>
    <t>Баян-Өндөр</t>
  </si>
  <si>
    <t>MV-000247</t>
  </si>
  <si>
    <t>Холимог металл</t>
  </si>
  <si>
    <t>Улаан</t>
  </si>
  <si>
    <t>Шинь Шинь</t>
  </si>
  <si>
    <t>Баяндун, Дашбалбар</t>
  </si>
  <si>
    <t>MV-000251</t>
  </si>
  <si>
    <t>Тарагт-1</t>
  </si>
  <si>
    <t>Талстгөлтгөнө</t>
  </si>
  <si>
    <t>Дэлгэрхангай</t>
  </si>
  <si>
    <t>MV-000267</t>
  </si>
  <si>
    <t>Ар тамсаг</t>
  </si>
  <si>
    <t>Хосхас</t>
  </si>
  <si>
    <t>MV-000278</t>
  </si>
  <si>
    <t>Мөнгө</t>
  </si>
  <si>
    <t>Асгат</t>
  </si>
  <si>
    <t>Эрдэнэс Монгол</t>
  </si>
  <si>
    <t>УҮГ</t>
  </si>
  <si>
    <t>Ногооннуур</t>
  </si>
  <si>
    <t>MV-000281</t>
  </si>
  <si>
    <t>Их өвөлжөө</t>
  </si>
  <si>
    <t>ИӨОТ</t>
  </si>
  <si>
    <t>MV-000282</t>
  </si>
  <si>
    <t>Баян-Ам</t>
  </si>
  <si>
    <t>Шижир-Аранжин</t>
  </si>
  <si>
    <t>MV-000286</t>
  </si>
  <si>
    <t>Цагаан чулуут худаг</t>
  </si>
  <si>
    <t>Дун-Уянга</t>
  </si>
  <si>
    <t>MV-000287</t>
  </si>
  <si>
    <t>Таван толгой</t>
  </si>
  <si>
    <t>ХК</t>
  </si>
  <si>
    <t>MV-000288</t>
  </si>
  <si>
    <t>Цеолит</t>
  </si>
  <si>
    <t>Цагаан цав</t>
  </si>
  <si>
    <t>MV-000290</t>
  </si>
  <si>
    <t>Баянголын гольдрол</t>
  </si>
  <si>
    <t>Баянгол эко  заамар</t>
  </si>
  <si>
    <t>MV-000293</t>
  </si>
  <si>
    <t>Үнэгт</t>
  </si>
  <si>
    <t>Эрэл</t>
  </si>
  <si>
    <t>Улаанбадрах</t>
  </si>
  <si>
    <t>MV-000294</t>
  </si>
  <si>
    <t>Шохойн чулууны 1,2</t>
  </si>
  <si>
    <t>Хонгор</t>
  </si>
  <si>
    <t>MV-000296</t>
  </si>
  <si>
    <t>Хайлааст</t>
  </si>
  <si>
    <t>Ирмүүнбосго</t>
  </si>
  <si>
    <t>MV-000311</t>
  </si>
  <si>
    <t>Жаргалантын ам</t>
  </si>
  <si>
    <t>Баян-Овоо</t>
  </si>
  <si>
    <t>MV-000321</t>
  </si>
  <si>
    <t>Тосонгийн гольдрол</t>
  </si>
  <si>
    <t>MV-000349</t>
  </si>
  <si>
    <t>Түгээмэл, Элс</t>
  </si>
  <si>
    <t>16-р зөрлөг</t>
  </si>
  <si>
    <t>Говьсүмбэр, Дундговь</t>
  </si>
  <si>
    <t>Баянтал, Цагаандэлгэр</t>
  </si>
  <si>
    <t>MV-000360</t>
  </si>
  <si>
    <t>Битум</t>
  </si>
  <si>
    <t>Баян-Эрхэт</t>
  </si>
  <si>
    <t>Баянжаргалан</t>
  </si>
  <si>
    <t>MV-000362</t>
  </si>
  <si>
    <t>Өлтийн бүлэг</t>
  </si>
  <si>
    <t>Аум алт</t>
  </si>
  <si>
    <t>Уянга</t>
  </si>
  <si>
    <t>MV-000367</t>
  </si>
  <si>
    <t>Баянтээг</t>
  </si>
  <si>
    <t>MV-000384</t>
  </si>
  <si>
    <t>Могойн гол</t>
  </si>
  <si>
    <t>MV-000394</t>
  </si>
  <si>
    <t>Шохойн чулуу1</t>
  </si>
  <si>
    <t>MV-000396</t>
  </si>
  <si>
    <t>Шаазгайт, Жалга1,2</t>
  </si>
  <si>
    <t>Хатантүшиг трейд</t>
  </si>
  <si>
    <t>MV-000399</t>
  </si>
  <si>
    <t>Чандмань металл орд</t>
  </si>
  <si>
    <t>Хонгор, Шарынгол</t>
  </si>
  <si>
    <t>MV-000400</t>
  </si>
  <si>
    <t>Дамбат</t>
  </si>
  <si>
    <t>MV-000435</t>
  </si>
  <si>
    <t>Цагаан тохой</t>
  </si>
  <si>
    <t>Бэрлэгмайнинг</t>
  </si>
  <si>
    <t>MV-000436</t>
  </si>
  <si>
    <t>Өртөнт, Нарийн жалга</t>
  </si>
  <si>
    <t>Эм Эс бэл майнинг</t>
  </si>
  <si>
    <t>Зүүнбаян-Улаан</t>
  </si>
  <si>
    <t>MV-000440</t>
  </si>
  <si>
    <t>Хүйтний гол</t>
  </si>
  <si>
    <t>Жел гор</t>
  </si>
  <si>
    <t>MV-000456</t>
  </si>
  <si>
    <t>Мухар эрэг, Өвөрчулуут, Сайрын худаг</t>
  </si>
  <si>
    <t>MV-000704</t>
  </si>
  <si>
    <t>Туул голын дэнж</t>
  </si>
  <si>
    <t>Уулсзаамар</t>
  </si>
  <si>
    <t>MV-000713</t>
  </si>
  <si>
    <t>Алт /Үндсэн/</t>
  </si>
  <si>
    <t>Наран толгой</t>
  </si>
  <si>
    <t>Тэн Хун</t>
  </si>
  <si>
    <t>Жаргалант</t>
  </si>
  <si>
    <t>MV-000716</t>
  </si>
  <si>
    <t>Алаг тогоо</t>
  </si>
  <si>
    <t>MV-000723</t>
  </si>
  <si>
    <t>Төмөртийн-Овоо</t>
  </si>
  <si>
    <t>Цайртминерал</t>
  </si>
  <si>
    <t>MV-000784</t>
  </si>
  <si>
    <t>Нарийны алтны шороон орд</t>
  </si>
  <si>
    <t>Түм Их Эрхэд</t>
  </si>
  <si>
    <t>MV-000801</t>
  </si>
  <si>
    <t>Булагийн -Ам</t>
  </si>
  <si>
    <t>Пураам</t>
  </si>
  <si>
    <t>MV-000857</t>
  </si>
  <si>
    <t>Түгээмэл, Шавар</t>
  </si>
  <si>
    <t>Найрамдал-Орд</t>
  </si>
  <si>
    <t>MV-000859</t>
  </si>
  <si>
    <t>Цагаан-Овоо</t>
  </si>
  <si>
    <t>Хандээж</t>
  </si>
  <si>
    <t>Эрдэнэдалай</t>
  </si>
  <si>
    <t>MV-000874</t>
  </si>
  <si>
    <t>Давс</t>
  </si>
  <si>
    <t>Шүдэн-Уул</t>
  </si>
  <si>
    <t>Ихтэмүүлэл</t>
  </si>
  <si>
    <t>Давст</t>
  </si>
  <si>
    <t>MV-000883</t>
  </si>
  <si>
    <t>Элстэйн гол</t>
  </si>
  <si>
    <t>Мон-Элс</t>
  </si>
  <si>
    <t>MV-000901</t>
  </si>
  <si>
    <t>Шивээ-Овоо</t>
  </si>
  <si>
    <t>MV-000905</t>
  </si>
  <si>
    <t>Зээгт</t>
  </si>
  <si>
    <t>Сэкер ресорсус монголиа</t>
  </si>
  <si>
    <t>Говь-Алтай</t>
  </si>
  <si>
    <t>Чандмань</t>
  </si>
  <si>
    <t>MV-000911</t>
  </si>
  <si>
    <t>Гантиг</t>
  </si>
  <si>
    <t>Шанд худаг</t>
  </si>
  <si>
    <t>Наран тахилт</t>
  </si>
  <si>
    <t>MV-000919</t>
  </si>
  <si>
    <t>Шохойт-Уул</t>
  </si>
  <si>
    <t>Шохой цагаан булаг</t>
  </si>
  <si>
    <t>Эрдэнэ</t>
  </si>
  <si>
    <t>MV-000926</t>
  </si>
  <si>
    <t>Заамарын-Эх</t>
  </si>
  <si>
    <t>MV-000995</t>
  </si>
  <si>
    <t>Шавар</t>
  </si>
  <si>
    <t>Кенже</t>
  </si>
  <si>
    <t>MV-001025</t>
  </si>
  <si>
    <t>Их мянган</t>
  </si>
  <si>
    <t>Эрдэс-Увс</t>
  </si>
  <si>
    <t>MV-001026</t>
  </si>
  <si>
    <t>Сүүж нуур</t>
  </si>
  <si>
    <t>MV-001071</t>
  </si>
  <si>
    <t>Гянтболд</t>
  </si>
  <si>
    <t>Ховд гол</t>
  </si>
  <si>
    <t>СС Монголиа</t>
  </si>
  <si>
    <t>Цэнгэл</t>
  </si>
  <si>
    <t>MV-001105</t>
  </si>
  <si>
    <t>Чулуут цагаанм дэл</t>
  </si>
  <si>
    <t>Монголчех металл</t>
  </si>
  <si>
    <t>Баянцагаан</t>
  </si>
  <si>
    <t>MV-001126</t>
  </si>
  <si>
    <t>Олон-Овоо</t>
  </si>
  <si>
    <t>Монгол Зөвлөлтийн хувь нийлүүлсэн нийгэмлэг Улаанбаатар төмөр зам</t>
  </si>
  <si>
    <t>Xамтарсан ТӨ</t>
  </si>
  <si>
    <t>MV-001134</t>
  </si>
  <si>
    <t>Хашаат</t>
  </si>
  <si>
    <t>MV-001137</t>
  </si>
  <si>
    <t>Урд дэлэнгийн дэнж</t>
  </si>
  <si>
    <t>MV-001231</t>
  </si>
  <si>
    <t>Улаан-Овоо</t>
  </si>
  <si>
    <t>Рэдхилмонголия</t>
  </si>
  <si>
    <t>Түшиг</t>
  </si>
  <si>
    <t>MV-001269</t>
  </si>
  <si>
    <t>Сангийн далай</t>
  </si>
  <si>
    <t>Давстрейд</t>
  </si>
  <si>
    <t>Халхгол</t>
  </si>
  <si>
    <t>MV-001347</t>
  </si>
  <si>
    <t>Дайрга</t>
  </si>
  <si>
    <t>Цагаандаваа</t>
  </si>
  <si>
    <t>Монланд</t>
  </si>
  <si>
    <t>MV-001361</t>
  </si>
  <si>
    <t>Жилчиг булаг</t>
  </si>
  <si>
    <t>Мон-Ажнай</t>
  </si>
  <si>
    <t>Бүрэнтогтох</t>
  </si>
  <si>
    <t>MV-001364</t>
  </si>
  <si>
    <t>Адуунчулуу</t>
  </si>
  <si>
    <t>Найнги</t>
  </si>
  <si>
    <t>Баянтүмэн, Хэрлэн</t>
  </si>
  <si>
    <t>MV-001366</t>
  </si>
  <si>
    <t>Хар тарвагатай</t>
  </si>
  <si>
    <t>MV-001371</t>
  </si>
  <si>
    <t>Нүүрс, Элс, Хайрга</t>
  </si>
  <si>
    <t>Нарийний тал</t>
  </si>
  <si>
    <t>Багануур</t>
  </si>
  <si>
    <t>Төв, Улаанбаатар</t>
  </si>
  <si>
    <t>Баяндэлгэр, Багануур</t>
  </si>
  <si>
    <t>MV-001389</t>
  </si>
  <si>
    <t>Адуун чулуу</t>
  </si>
  <si>
    <t>Адуунчулуун</t>
  </si>
  <si>
    <t>MV-001390</t>
  </si>
  <si>
    <t>Ихрийн хөндий</t>
  </si>
  <si>
    <t>Тэвшийн говь</t>
  </si>
  <si>
    <t>Сайнцагаан</t>
  </si>
  <si>
    <t>MV-001400</t>
  </si>
  <si>
    <t>Ялбаг гол 2(1)</t>
  </si>
  <si>
    <t>Сентеррагоулд монголия</t>
  </si>
  <si>
    <t>MV-001401</t>
  </si>
  <si>
    <t>Ялбаг гол 3(1)</t>
  </si>
  <si>
    <t>MV-001408</t>
  </si>
  <si>
    <t>Халнитийн-Ам</t>
  </si>
  <si>
    <t>Дунар-Од</t>
  </si>
  <si>
    <t>MV-001410</t>
  </si>
  <si>
    <t>Өлзийт тээл</t>
  </si>
  <si>
    <t>БМНС</t>
  </si>
  <si>
    <t>Архангай</t>
  </si>
  <si>
    <t>Цэнхэр</t>
  </si>
  <si>
    <t>MV-001414</t>
  </si>
  <si>
    <t>Хөшөөт гол</t>
  </si>
  <si>
    <t>МОЭНКО</t>
  </si>
  <si>
    <t>Ховд</t>
  </si>
  <si>
    <t>Дарви</t>
  </si>
  <si>
    <t>MV-001438</t>
  </si>
  <si>
    <t>Салхит-Уул</t>
  </si>
  <si>
    <t>MV-001441</t>
  </si>
  <si>
    <t>Нүүрст хотгор</t>
  </si>
  <si>
    <t>Хотгор</t>
  </si>
  <si>
    <t>Бөхмөрөн</t>
  </si>
  <si>
    <t>MV-001455</t>
  </si>
  <si>
    <t>Мануулт</t>
  </si>
  <si>
    <t>Үнэн-Анд</t>
  </si>
  <si>
    <t>MV-001497</t>
  </si>
  <si>
    <t>Дундгол</t>
  </si>
  <si>
    <t>Сондог</t>
  </si>
  <si>
    <t>MV-001498</t>
  </si>
  <si>
    <t>Нүүрс, Алт /Шороо/</t>
  </si>
  <si>
    <t>MV-001581</t>
  </si>
  <si>
    <t>Цагаан-Элгэн</t>
  </si>
  <si>
    <t>Жимэнг</t>
  </si>
  <si>
    <t>MV-001640</t>
  </si>
  <si>
    <t>Хөндлөнгийн хөтөл</t>
  </si>
  <si>
    <t>MV-001701</t>
  </si>
  <si>
    <t>Бар/м</t>
  </si>
  <si>
    <t>Чингэлийн голын хөндлөн намаг</t>
  </si>
  <si>
    <t>Отгонтэнгэр-Оргил</t>
  </si>
  <si>
    <t>Булган, Орхон</t>
  </si>
  <si>
    <t>Орхон, Жаргалант</t>
  </si>
  <si>
    <t>MV-001715</t>
  </si>
  <si>
    <t>Хужиртын-Ам</t>
  </si>
  <si>
    <t>Хүннү говь алтай</t>
  </si>
  <si>
    <t>Төгрөг</t>
  </si>
  <si>
    <t>MV-001747</t>
  </si>
  <si>
    <t>Шанд худаг-2</t>
  </si>
  <si>
    <t>Чилагу</t>
  </si>
  <si>
    <t>MV-001755</t>
  </si>
  <si>
    <t>Усан биндэрьяа</t>
  </si>
  <si>
    <t>Хутаг-Уул</t>
  </si>
  <si>
    <t>ЭБЭ</t>
  </si>
  <si>
    <t>MV-001774</t>
  </si>
  <si>
    <t>MV-001781</t>
  </si>
  <si>
    <t>Цагаан шар</t>
  </si>
  <si>
    <t>Аурум Металс</t>
  </si>
  <si>
    <t>Тэшиг</t>
  </si>
  <si>
    <t>MV-001804</t>
  </si>
  <si>
    <t>Модот-Уул</t>
  </si>
  <si>
    <t>Тэгшхан</t>
  </si>
  <si>
    <t>MV-001817</t>
  </si>
  <si>
    <t>Цагаанчулуутын-Ам</t>
  </si>
  <si>
    <t>Сонортрейд</t>
  </si>
  <si>
    <t>MV-001824</t>
  </si>
  <si>
    <t>Түгээмэл, Элс, Хайрга</t>
  </si>
  <si>
    <t>Хараа</t>
  </si>
  <si>
    <t>Дархан молор-Эрдэнэ</t>
  </si>
  <si>
    <t>MV-001830</t>
  </si>
  <si>
    <t>Баруун шохойн хажуу</t>
  </si>
  <si>
    <t>Говьманхан</t>
  </si>
  <si>
    <t>MV-001903</t>
  </si>
  <si>
    <t>Зуун модны элс</t>
  </si>
  <si>
    <t>Ай Эф соонс</t>
  </si>
  <si>
    <t>MV-001960</t>
  </si>
  <si>
    <t>Бороогийн</t>
  </si>
  <si>
    <t>MV-001970</t>
  </si>
  <si>
    <t>MV-001990</t>
  </si>
  <si>
    <t>Зүлэгт</t>
  </si>
  <si>
    <t>Витватерсранд</t>
  </si>
  <si>
    <t>MV-002273</t>
  </si>
  <si>
    <t>Харганы хөндий</t>
  </si>
  <si>
    <t>Цэнгэг-Орог</t>
  </si>
  <si>
    <t>MV-002275</t>
  </si>
  <si>
    <t>Өлөнтийн наран</t>
  </si>
  <si>
    <t>Дунтрейд</t>
  </si>
  <si>
    <t>MV-002366</t>
  </si>
  <si>
    <t>Сайхан уул</t>
  </si>
  <si>
    <t>Эс Эм Ай</t>
  </si>
  <si>
    <t>MV-002392</t>
  </si>
  <si>
    <t>Хошуу уулын уурхайн доод хэсэг</t>
  </si>
  <si>
    <t>Шижиргоулд</t>
  </si>
  <si>
    <t>MV-002425</t>
  </si>
  <si>
    <t>Сөгдөх</t>
  </si>
  <si>
    <t>Ялгуун-Интернэйшнл</t>
  </si>
  <si>
    <t>MV-002545</t>
  </si>
  <si>
    <t>Элдэвийн</t>
  </si>
  <si>
    <t>MV-002613</t>
  </si>
  <si>
    <t>Айраг уул</t>
  </si>
  <si>
    <t>Гөүлдэннэст</t>
  </si>
  <si>
    <t>MV-002616</t>
  </si>
  <si>
    <t>Эрээн</t>
  </si>
  <si>
    <t>Сонгоулд</t>
  </si>
  <si>
    <t>MV-002907</t>
  </si>
  <si>
    <t>Батговь</t>
  </si>
  <si>
    <t>MV-002913</t>
  </si>
  <si>
    <t>Олон булаг</t>
  </si>
  <si>
    <t>Үенч</t>
  </si>
  <si>
    <t>MV-003040</t>
  </si>
  <si>
    <t>Үхэр чулуутын толгой</t>
  </si>
  <si>
    <t>Бритишмайнинг</t>
  </si>
  <si>
    <t>Шинэжинст</t>
  </si>
  <si>
    <t>MV-003054</t>
  </si>
  <si>
    <t>Ногоон толгой</t>
  </si>
  <si>
    <t>НК</t>
  </si>
  <si>
    <t>MV-003059</t>
  </si>
  <si>
    <t>Цагаан тугалга</t>
  </si>
  <si>
    <t>Баянмод</t>
  </si>
  <si>
    <t>Баянмодот уул</t>
  </si>
  <si>
    <t>Цэнхэрмандал</t>
  </si>
  <si>
    <t>MV-003108</t>
  </si>
  <si>
    <t>Цагаан чулуут хоолойн дээд хэсэг</t>
  </si>
  <si>
    <t>ХОТУ</t>
  </si>
  <si>
    <t>MV-003166</t>
  </si>
  <si>
    <t>Цемент 3 орд</t>
  </si>
  <si>
    <t>Шиба</t>
  </si>
  <si>
    <t>MV-003202</t>
  </si>
  <si>
    <t>Өлзийт-1</t>
  </si>
  <si>
    <t>Гаррисон-Ази</t>
  </si>
  <si>
    <t>Түвшинширээ</t>
  </si>
  <si>
    <t>MV-003205</t>
  </si>
  <si>
    <t>Шохойт</t>
  </si>
  <si>
    <t>Шимконстракшн</t>
  </si>
  <si>
    <t>MV-003240</t>
  </si>
  <si>
    <t>Сангийн найдвар</t>
  </si>
  <si>
    <t>Бугант мандал</t>
  </si>
  <si>
    <t>MV-003274</t>
  </si>
  <si>
    <t>Думбатын гол</t>
  </si>
  <si>
    <t>MV-003284</t>
  </si>
  <si>
    <t>Чулуут цагаан дэл</t>
  </si>
  <si>
    <t>MV-003389</t>
  </si>
  <si>
    <t>Хажуу улаан</t>
  </si>
  <si>
    <t>Баянтэгш импекс</t>
  </si>
  <si>
    <t>MV-003506</t>
  </si>
  <si>
    <t>Цүнхэг</t>
  </si>
  <si>
    <t>Их уулын эрдэнэс</t>
  </si>
  <si>
    <t>MV-003508</t>
  </si>
  <si>
    <t>Шанага</t>
  </si>
  <si>
    <t>Хотгоршанага</t>
  </si>
  <si>
    <t>MV-003518</t>
  </si>
  <si>
    <t>Сайрын худаг</t>
  </si>
  <si>
    <t>Новодин</t>
  </si>
  <si>
    <t>MV-003883</t>
  </si>
  <si>
    <t>Зүрхийнхуудас</t>
  </si>
  <si>
    <t>Дэлгэрхангай трейд</t>
  </si>
  <si>
    <t>Завхан</t>
  </si>
  <si>
    <t>Завханмандал</t>
  </si>
  <si>
    <t>MV-003978</t>
  </si>
  <si>
    <t>Шавар, Түгээмэл</t>
  </si>
  <si>
    <t>Хоргын чулуу</t>
  </si>
  <si>
    <t>MV-003999</t>
  </si>
  <si>
    <t>Бүрэнхаан-1</t>
  </si>
  <si>
    <t>Талстмаргад</t>
  </si>
  <si>
    <t>MV-004121</t>
  </si>
  <si>
    <t>Цагаан эрэг</t>
  </si>
  <si>
    <t>Их тохойрол</t>
  </si>
  <si>
    <t>MV-004136</t>
  </si>
  <si>
    <t>Аралтхудаг</t>
  </si>
  <si>
    <t>Ам Tа Тү</t>
  </si>
  <si>
    <t>Чойбалсан</t>
  </si>
  <si>
    <t>MV-004153</t>
  </si>
  <si>
    <t>Хүдрийнбиет-16</t>
  </si>
  <si>
    <t>Си Эм Кэй Ай</t>
  </si>
  <si>
    <t>MV-004194</t>
  </si>
  <si>
    <t>Хэрс-2</t>
  </si>
  <si>
    <t>Золотаякорона</t>
  </si>
  <si>
    <t>MV-004197</t>
  </si>
  <si>
    <t>Бар/м, Түгээмэл</t>
  </si>
  <si>
    <t>Бөхөгийн гол</t>
  </si>
  <si>
    <t>Өндөрбуянт холдинг</t>
  </si>
  <si>
    <t>Алтанбулаг</t>
  </si>
  <si>
    <t>MV-004265</t>
  </si>
  <si>
    <t>Баавгайт</t>
  </si>
  <si>
    <t>MV-004306</t>
  </si>
  <si>
    <t>Төв үнэгт</t>
  </si>
  <si>
    <t>MV-004317</t>
  </si>
  <si>
    <t>Хөхшугам</t>
  </si>
  <si>
    <t>MV-004322</t>
  </si>
  <si>
    <t>Хөндлөнгийн гол</t>
  </si>
  <si>
    <t>MV-004386</t>
  </si>
  <si>
    <t>Бумбат</t>
  </si>
  <si>
    <t>Ханхас трейд</t>
  </si>
  <si>
    <t>Говь-Угтаал</t>
  </si>
  <si>
    <t>MV-004388</t>
  </si>
  <si>
    <t>Асгатын орд</t>
  </si>
  <si>
    <t>MV-004403</t>
  </si>
  <si>
    <t>Бурхантайн хөндий</t>
  </si>
  <si>
    <t>ЖМЭ</t>
  </si>
  <si>
    <t>MV-004404</t>
  </si>
  <si>
    <t>Цагаан тал, Дагналтай</t>
  </si>
  <si>
    <t>Скарн</t>
  </si>
  <si>
    <t>Мөнгөнморьт</t>
  </si>
  <si>
    <t>MV-004411</t>
  </si>
  <si>
    <t>Ар наймган</t>
  </si>
  <si>
    <t>Топ ган дриллинг</t>
  </si>
  <si>
    <t>MV-004412</t>
  </si>
  <si>
    <t>Илтгоулд</t>
  </si>
  <si>
    <t>MV-004431</t>
  </si>
  <si>
    <t>Жоншт толгой</t>
  </si>
  <si>
    <t>Хүрээ дэл</t>
  </si>
  <si>
    <t>MV-004478</t>
  </si>
  <si>
    <t>Тасархай дэл</t>
  </si>
  <si>
    <t>Болдфоарда</t>
  </si>
  <si>
    <t>Хүрмэн</t>
  </si>
  <si>
    <t>MV-004487</t>
  </si>
  <si>
    <t>Зүүн үнэгт</t>
  </si>
  <si>
    <t>MV-004508</t>
  </si>
  <si>
    <t>Налайхын зүүн жигүүр</t>
  </si>
  <si>
    <t>Хуалян</t>
  </si>
  <si>
    <t>MV-004537</t>
  </si>
  <si>
    <t>Хавцал</t>
  </si>
  <si>
    <t>ЭБНЭ</t>
  </si>
  <si>
    <t>MV-004555</t>
  </si>
  <si>
    <t>Галтын хөндий</t>
  </si>
  <si>
    <t>Жи Жи Эс Эс</t>
  </si>
  <si>
    <t>MV-004590</t>
  </si>
  <si>
    <t>Чандган тал</t>
  </si>
  <si>
    <t>Бэрх-Уул</t>
  </si>
  <si>
    <t>Мөрөн</t>
  </si>
  <si>
    <t>MV-004646</t>
  </si>
  <si>
    <t>Цагаанчулуут</t>
  </si>
  <si>
    <t>Монголианминералз питии</t>
  </si>
  <si>
    <t>MV-004658</t>
  </si>
  <si>
    <t>Цохиот толгой 2</t>
  </si>
  <si>
    <t>Идэрхайрхан</t>
  </si>
  <si>
    <t>MV-004663</t>
  </si>
  <si>
    <t>Онгон-Улаан уул</t>
  </si>
  <si>
    <t>MV-004691</t>
  </si>
  <si>
    <t>Урд дэлэн</t>
  </si>
  <si>
    <t>Дашинчилэн, Заамар</t>
  </si>
  <si>
    <t>MV-004773</t>
  </si>
  <si>
    <t>Алт /Шороо/, Нүүрс</t>
  </si>
  <si>
    <t>Галт</t>
  </si>
  <si>
    <t>Антрацит</t>
  </si>
  <si>
    <t>MV-004780</t>
  </si>
  <si>
    <t>Бодонтын ам</t>
  </si>
  <si>
    <t>Голден хаммер</t>
  </si>
  <si>
    <t>MV-004839</t>
  </si>
  <si>
    <t>Алтандорнод монгол</t>
  </si>
  <si>
    <t>MV-004852</t>
  </si>
  <si>
    <t>Зүүн өргөн</t>
  </si>
  <si>
    <t>Спот констракшн</t>
  </si>
  <si>
    <t>MV-004872</t>
  </si>
  <si>
    <t>Хавтгай</t>
  </si>
  <si>
    <t>Дорнын нүүрс</t>
  </si>
  <si>
    <t>Баянхутаг</t>
  </si>
  <si>
    <t>MV-004878</t>
  </si>
  <si>
    <t>Улаан уул</t>
  </si>
  <si>
    <t>MV-004910</t>
  </si>
  <si>
    <t>Улаан шивэртийн ам</t>
  </si>
  <si>
    <t>Мондулаан трейд</t>
  </si>
  <si>
    <t>MV-004960</t>
  </si>
  <si>
    <t>Ододгоулд</t>
  </si>
  <si>
    <t>Бөмбөгөр, Бууцагаан</t>
  </si>
  <si>
    <t>MV-005008</t>
  </si>
  <si>
    <t>Олон дов</t>
  </si>
  <si>
    <t>Заяатүвшин</t>
  </si>
  <si>
    <t>MV-005028</t>
  </si>
  <si>
    <t>Ар наймганы дунд хэсэг</t>
  </si>
  <si>
    <t>Хаан булаг интернэйшнл</t>
  </si>
  <si>
    <t>MV-005043</t>
  </si>
  <si>
    <t>Хужирт булаг</t>
  </si>
  <si>
    <t>MV-005092</t>
  </si>
  <si>
    <t>Баян-Овоот уул</t>
  </si>
  <si>
    <t>MV-005097</t>
  </si>
  <si>
    <t>Хужиртын булаг</t>
  </si>
  <si>
    <t>MV-005117</t>
  </si>
  <si>
    <t>Цавдан</t>
  </si>
  <si>
    <t>Дельфин</t>
  </si>
  <si>
    <t>Зүүнхангай</t>
  </si>
  <si>
    <t>MV-005129</t>
  </si>
  <si>
    <t>Ширээ нуруу</t>
  </si>
  <si>
    <t>Даланбулаг трейд</t>
  </si>
  <si>
    <t>MV-005210</t>
  </si>
  <si>
    <t>Хүдрийн биет-17</t>
  </si>
  <si>
    <t>Хэрлэн-Энерго</t>
  </si>
  <si>
    <t>MV-005211</t>
  </si>
  <si>
    <t>Тарвагатай</t>
  </si>
  <si>
    <t>Монгол-Анар трейд</t>
  </si>
  <si>
    <t>MV-005239</t>
  </si>
  <si>
    <t>Их гүн нуур</t>
  </si>
  <si>
    <t>Шүүхийн шийдвэр гүйцэтгэх алба</t>
  </si>
  <si>
    <t>Баяндэлгэр</t>
  </si>
  <si>
    <t>MV-005294</t>
  </si>
  <si>
    <t>Баруун бүс</t>
  </si>
  <si>
    <t>Баялагжонш</t>
  </si>
  <si>
    <t>MV-005411</t>
  </si>
  <si>
    <t>Өвөр хөшөөт</t>
  </si>
  <si>
    <t>Жи Эс Би Ресурс</t>
  </si>
  <si>
    <t>Гурванбулаг</t>
  </si>
  <si>
    <t>MV-005458</t>
  </si>
  <si>
    <t>MV-005459</t>
  </si>
  <si>
    <t>Хүрэн толгой</t>
  </si>
  <si>
    <t>Хүрэн толгой коал майнинг</t>
  </si>
  <si>
    <t>MV-005484</t>
  </si>
  <si>
    <t>Хүйтэн</t>
  </si>
  <si>
    <t>Майнинг энд оперэйшн</t>
  </si>
  <si>
    <t>MV-005507</t>
  </si>
  <si>
    <t>Бурхант</t>
  </si>
  <si>
    <t>Дархан алтан туул</t>
  </si>
  <si>
    <t>MV-005518</t>
  </si>
  <si>
    <t>Кайнарвольфрам</t>
  </si>
  <si>
    <t>MV-005529</t>
  </si>
  <si>
    <t>Харгуйтын ам</t>
  </si>
  <si>
    <t>Бат дөлгөөн мөрөн</t>
  </si>
  <si>
    <t>MV-005639</t>
  </si>
  <si>
    <t>Өвөлжөөт</t>
  </si>
  <si>
    <t>Дун-Эрдэнэ</t>
  </si>
  <si>
    <t>MV-005692</t>
  </si>
  <si>
    <t>Хонгор овоо</t>
  </si>
  <si>
    <t>Мин Ли Да</t>
  </si>
  <si>
    <t>MV-005696</t>
  </si>
  <si>
    <t>Эрчим баян өлгий</t>
  </si>
  <si>
    <t>MV-005707</t>
  </si>
  <si>
    <t>Харгана</t>
  </si>
  <si>
    <t>Гүнбилэг гоулд</t>
  </si>
  <si>
    <t>Борнуур</t>
  </si>
  <si>
    <t>MV-005770</t>
  </si>
  <si>
    <t>Эргэн усны худаг</t>
  </si>
  <si>
    <t>Си Эй Жи И Эн</t>
  </si>
  <si>
    <t>Хайрхандулаан</t>
  </si>
  <si>
    <t>MV-005778</t>
  </si>
  <si>
    <t>Туулынбаруун дэнж</t>
  </si>
  <si>
    <t>Тодбум</t>
  </si>
  <si>
    <t>MV-005784</t>
  </si>
  <si>
    <t>Өвөршар хөтөл</t>
  </si>
  <si>
    <t>MV-005798</t>
  </si>
  <si>
    <t>Өмнөбага чулуу</t>
  </si>
  <si>
    <t>Ану Майнинг Минералс</t>
  </si>
  <si>
    <t>Алтанширээ</t>
  </si>
  <si>
    <t>MV-005806</t>
  </si>
  <si>
    <t>Дархан толгой</t>
  </si>
  <si>
    <t>Суурь</t>
  </si>
  <si>
    <t>MV-005850</t>
  </si>
  <si>
    <t>Найдвар</t>
  </si>
  <si>
    <t>Өргөн мандал говь майнинг</t>
  </si>
  <si>
    <t>MV-005877</t>
  </si>
  <si>
    <t>Мөнх ням хайрхан</t>
  </si>
  <si>
    <t>Завхан, Увс</t>
  </si>
  <si>
    <t>Сонгино, Зүүнхангай</t>
  </si>
  <si>
    <t>MV-005959</t>
  </si>
  <si>
    <t>Вершина толгойт</t>
  </si>
  <si>
    <t>Бугантнандин</t>
  </si>
  <si>
    <t>MV-005970</t>
  </si>
  <si>
    <t>Өндөр-1</t>
  </si>
  <si>
    <t>Харзанар</t>
  </si>
  <si>
    <t>Баян, Сэргэлэн</t>
  </si>
  <si>
    <t>MV-005974</t>
  </si>
  <si>
    <t>Бага ноёны дунд хэсэг</t>
  </si>
  <si>
    <t>Уулсноён</t>
  </si>
  <si>
    <t>MV-006066</t>
  </si>
  <si>
    <t>Шоргоолж-1</t>
  </si>
  <si>
    <t>Вэнчөн</t>
  </si>
  <si>
    <t>MV-006080</t>
  </si>
  <si>
    <t>Түгээмэл, Шавар, Дайрга</t>
  </si>
  <si>
    <t>Нарангийн гол</t>
  </si>
  <si>
    <t>Нарангол тоосго</t>
  </si>
  <si>
    <t>MV-006098</t>
  </si>
  <si>
    <t>Бүргэд толгой</t>
  </si>
  <si>
    <t>MV-006222</t>
  </si>
  <si>
    <t>Дөш толгой</t>
  </si>
  <si>
    <t>Чулуун-Өргөө</t>
  </si>
  <si>
    <t>Эрдэнэцогт</t>
  </si>
  <si>
    <t>MV-006242</t>
  </si>
  <si>
    <t>Индэрт</t>
  </si>
  <si>
    <t>Бүркит корпораци</t>
  </si>
  <si>
    <t>MV-006364</t>
  </si>
  <si>
    <t>Нарийн гол</t>
  </si>
  <si>
    <t>Нарийн гол гоулд</t>
  </si>
  <si>
    <t>MV-006387</t>
  </si>
  <si>
    <t>Огторгын худаг</t>
  </si>
  <si>
    <t>Мандал-Алтай групп</t>
  </si>
  <si>
    <t>MV-006391</t>
  </si>
  <si>
    <t>Баруун сүүж</t>
  </si>
  <si>
    <t>Ирвэс-интертрейд</t>
  </si>
  <si>
    <t>Дашбалбар</t>
  </si>
  <si>
    <t>MV-006399</t>
  </si>
  <si>
    <t>Хөтөл ус-2</t>
  </si>
  <si>
    <t>Адил-Оч</t>
  </si>
  <si>
    <t>Өлзийт</t>
  </si>
  <si>
    <t>MV-006428</t>
  </si>
  <si>
    <t>Цагаан чулуутын ам</t>
  </si>
  <si>
    <t>MV-006449</t>
  </si>
  <si>
    <t>Харганат-2</t>
  </si>
  <si>
    <t>MV-006452</t>
  </si>
  <si>
    <t>Довцог</t>
  </si>
  <si>
    <t>Цирконмайнинг</t>
  </si>
  <si>
    <t>MV-006453</t>
  </si>
  <si>
    <t>Цайдам нуурын хүрэн нүүрсний орд</t>
  </si>
  <si>
    <t>Цэцэнс холдинг</t>
  </si>
  <si>
    <t>MV-006454</t>
  </si>
  <si>
    <t>Хайрхан чулуу</t>
  </si>
  <si>
    <t>MV-006502</t>
  </si>
  <si>
    <t>Гоулдланд</t>
  </si>
  <si>
    <t>MV-006505</t>
  </si>
  <si>
    <t>Сайхан гол</t>
  </si>
  <si>
    <t>Алтайхангай бүрд</t>
  </si>
  <si>
    <t>Батширээт, Өмнөдэлгэр</t>
  </si>
  <si>
    <t>MV-006506</t>
  </si>
  <si>
    <t>Жонш толгой</t>
  </si>
  <si>
    <t>Чулуут-Интернэшнл</t>
  </si>
  <si>
    <t>MV-006525</t>
  </si>
  <si>
    <t>Хөшөөт</t>
  </si>
  <si>
    <t>MV-006606</t>
  </si>
  <si>
    <t>Хангай-2</t>
  </si>
  <si>
    <t>MV-006612</t>
  </si>
  <si>
    <t>Туулын гольдрол-3</t>
  </si>
  <si>
    <t>Жотойнбажууна</t>
  </si>
  <si>
    <t>MV-006620</t>
  </si>
  <si>
    <t>Зэс, Алт</t>
  </si>
  <si>
    <t>Үрлийн овоо</t>
  </si>
  <si>
    <t>Гурванзагал</t>
  </si>
  <si>
    <t>MV-006680</t>
  </si>
  <si>
    <t>Баруун зах цаг</t>
  </si>
  <si>
    <t>Өрмөн уул групп</t>
  </si>
  <si>
    <t>MV-006689</t>
  </si>
  <si>
    <t>Билүүт ам</t>
  </si>
  <si>
    <t>Бат-Өлзий</t>
  </si>
  <si>
    <t>MV-006701</t>
  </si>
  <si>
    <t>Дөрвөлжин</t>
  </si>
  <si>
    <t>Жинхуа орд</t>
  </si>
  <si>
    <t>Дорноговь, Хэнтий</t>
  </si>
  <si>
    <t>Даланжаргалан, Дархан</t>
  </si>
  <si>
    <t>MV-006703</t>
  </si>
  <si>
    <t>Хөх Өндөр</t>
  </si>
  <si>
    <t>MV-006708</t>
  </si>
  <si>
    <t>Холимог металл, Дайрга</t>
  </si>
  <si>
    <t>Манахт</t>
  </si>
  <si>
    <t>Оюу Толгой</t>
  </si>
  <si>
    <t>MV-006709</t>
  </si>
  <si>
    <t>Зэс, Холимог металл, Алт, Шавар, Элс, Дайрга</t>
  </si>
  <si>
    <t>Оюу толгой</t>
  </si>
  <si>
    <t>MV-006710</t>
  </si>
  <si>
    <t>Холимог металл, Элс</t>
  </si>
  <si>
    <t>Хөх хад</t>
  </si>
  <si>
    <t>MV-006720</t>
  </si>
  <si>
    <t>Улаан толгой</t>
  </si>
  <si>
    <t>Наран мандал энтерпрайзес</t>
  </si>
  <si>
    <t>MV-006725</t>
  </si>
  <si>
    <t>Дархан-Уул, Сэлэнгэ</t>
  </si>
  <si>
    <t>Дархан, Сайхан</t>
  </si>
  <si>
    <t>MV-006784</t>
  </si>
  <si>
    <t>Баржин</t>
  </si>
  <si>
    <t>АШБ</t>
  </si>
  <si>
    <t>MV-006852</t>
  </si>
  <si>
    <t>Нарийн Сухайтзүүний</t>
  </si>
  <si>
    <t>MV-006853</t>
  </si>
  <si>
    <t>Өлзийт гол</t>
  </si>
  <si>
    <t>MV-006907</t>
  </si>
  <si>
    <t>MV-006911</t>
  </si>
  <si>
    <t>Ховор металл</t>
  </si>
  <si>
    <t>Халзан бүрэгтэй</t>
  </si>
  <si>
    <t>Монголиан нэшнл рийр ийрт корп</t>
  </si>
  <si>
    <t>Мянгад</t>
  </si>
  <si>
    <t>MV-007005</t>
  </si>
  <si>
    <t>Шавартын ам-1</t>
  </si>
  <si>
    <t>Местранспортэшн</t>
  </si>
  <si>
    <t>MV-007039</t>
  </si>
  <si>
    <t>Бор тал</t>
  </si>
  <si>
    <t>Ноёнтохой трейд</t>
  </si>
  <si>
    <t>MV-007104</t>
  </si>
  <si>
    <t>Мод мухар</t>
  </si>
  <si>
    <t>Өгөөмөр-Өргөө</t>
  </si>
  <si>
    <t>MV-007134</t>
  </si>
  <si>
    <t>Их булаг</t>
  </si>
  <si>
    <t>Цээцээ-Импекс</t>
  </si>
  <si>
    <t>MV-007137</t>
  </si>
  <si>
    <t>Улаан-Уул</t>
  </si>
  <si>
    <t>MV-007194</t>
  </si>
  <si>
    <t>Баян-Уул-3</t>
  </si>
  <si>
    <t>Гэрэлт-Орд</t>
  </si>
  <si>
    <t>MV-007197</t>
  </si>
  <si>
    <t>Туулын баруун тэнж</t>
  </si>
  <si>
    <t>MV-007257</t>
  </si>
  <si>
    <t>ШТН</t>
  </si>
  <si>
    <t>MV-007299</t>
  </si>
  <si>
    <t>Тэх-Ямаат</t>
  </si>
  <si>
    <t>Султан гоулд</t>
  </si>
  <si>
    <t>Алтанцөгц</t>
  </si>
  <si>
    <t>MV-007374</t>
  </si>
  <si>
    <t>Нарийн өлөнт</t>
  </si>
  <si>
    <t>Мөнхмайнинг</t>
  </si>
  <si>
    <t>Ихтамир</t>
  </si>
  <si>
    <t>MV-007401</t>
  </si>
  <si>
    <t>Цагаан толгойн шохойн орд</t>
  </si>
  <si>
    <t>Монре</t>
  </si>
  <si>
    <t>MV-007435</t>
  </si>
  <si>
    <t>Баруун уртын</t>
  </si>
  <si>
    <t>Ариун-Өрнөх</t>
  </si>
  <si>
    <t>MV-007453</t>
  </si>
  <si>
    <t>Цагаан чулуут-2</t>
  </si>
  <si>
    <t>MV-007468</t>
  </si>
  <si>
    <t>Байдраг гол</t>
  </si>
  <si>
    <t>MV-007514</t>
  </si>
  <si>
    <t>Мөнххаан</t>
  </si>
  <si>
    <t>MV-007530</t>
  </si>
  <si>
    <t>Өндөр дов</t>
  </si>
  <si>
    <t>Хотолдэгжих</t>
  </si>
  <si>
    <t>MV-007687</t>
  </si>
  <si>
    <t>Зүүн сөдөт-1</t>
  </si>
  <si>
    <t>Архангай, Өвөрхангай</t>
  </si>
  <si>
    <t>Цэнхэр, Бат-Өлзий</t>
  </si>
  <si>
    <t>MV-007688</t>
  </si>
  <si>
    <t>Зүүн сөдөт-3</t>
  </si>
  <si>
    <t>MV-007689</t>
  </si>
  <si>
    <t>Зүүн сөдөт-2</t>
  </si>
  <si>
    <t>MV-007690</t>
  </si>
  <si>
    <t>Зүүн сөдөт-4</t>
  </si>
  <si>
    <t>MV-007700</t>
  </si>
  <si>
    <t>MV-007712</t>
  </si>
  <si>
    <t>Их Тохойрол</t>
  </si>
  <si>
    <t>Бүрдэл майнинг</t>
  </si>
  <si>
    <t>MV-007713</t>
  </si>
  <si>
    <t>Их Тохойрол-1</t>
  </si>
  <si>
    <t>MV-007716</t>
  </si>
  <si>
    <t>MV-007746</t>
  </si>
  <si>
    <t>Асгат уул</t>
  </si>
  <si>
    <t>Си Би Зи</t>
  </si>
  <si>
    <t>MV-007902</t>
  </si>
  <si>
    <t>Хайлаастын орд</t>
  </si>
  <si>
    <t>ДБТХ</t>
  </si>
  <si>
    <t>MV-007929</t>
  </si>
  <si>
    <t>ЖЕМИ интернэйшнл</t>
  </si>
  <si>
    <t>MV-007944</t>
  </si>
  <si>
    <t>Хар тэвш</t>
  </si>
  <si>
    <t>Биг могул коул энд энержи</t>
  </si>
  <si>
    <t>MV-007969</t>
  </si>
  <si>
    <t>Ерөө-Хэрээн гол</t>
  </si>
  <si>
    <t>Ганбат тулга</t>
  </si>
  <si>
    <t>MV-007970</t>
  </si>
  <si>
    <t>Хүнгүйч-Хэрээ гол</t>
  </si>
  <si>
    <t>Хангарьд</t>
  </si>
  <si>
    <t>MV-007976</t>
  </si>
  <si>
    <t>Эрдэнийн хөгжил</t>
  </si>
  <si>
    <t>MV-007978</t>
  </si>
  <si>
    <t>Цагаан гозгор</t>
  </si>
  <si>
    <t>Монгол экспресс Эм Эн</t>
  </si>
  <si>
    <t>Орхонтуул</t>
  </si>
  <si>
    <t>MV-008085</t>
  </si>
  <si>
    <t>Өлөнтийн хяр</t>
  </si>
  <si>
    <t>Уртхошуу</t>
  </si>
  <si>
    <t>MV-008097</t>
  </si>
  <si>
    <t>Баруун баруун урт</t>
  </si>
  <si>
    <t>Хунан</t>
  </si>
  <si>
    <t>MV-008149</t>
  </si>
  <si>
    <t>Сэрүүн цагаан</t>
  </si>
  <si>
    <t>Тэнүүн байгаль</t>
  </si>
  <si>
    <t>MV-008183</t>
  </si>
  <si>
    <t>Их бурхант</t>
  </si>
  <si>
    <t>Полиметпотала</t>
  </si>
  <si>
    <t>MV-008191</t>
  </si>
  <si>
    <t>Асгатын өмнөд участок</t>
  </si>
  <si>
    <t>MV-008478</t>
  </si>
  <si>
    <t>Зүүн сөдөт-6</t>
  </si>
  <si>
    <t>MV-008479</t>
  </si>
  <si>
    <t>Зүүн сөдөт-5</t>
  </si>
  <si>
    <t>MV-008523</t>
  </si>
  <si>
    <t>Ноён уулын ам</t>
  </si>
  <si>
    <t>Лучеро</t>
  </si>
  <si>
    <t>MV-008595</t>
  </si>
  <si>
    <t>Чулуутын зүүн салаа</t>
  </si>
  <si>
    <t>Баянжонш</t>
  </si>
  <si>
    <t>MV-008645</t>
  </si>
  <si>
    <t>Асгатын хойд төвийн хэсэг</t>
  </si>
  <si>
    <t>MV-008652</t>
  </si>
  <si>
    <t>Зэрэгцээ</t>
  </si>
  <si>
    <t>Жун-Юань</t>
  </si>
  <si>
    <t>MV-008656</t>
  </si>
  <si>
    <t>Хүдрийн биет-9</t>
  </si>
  <si>
    <t>MV-008664</t>
  </si>
  <si>
    <t>Их ноёны дунд хэсэг</t>
  </si>
  <si>
    <t>Хом-Инвент</t>
  </si>
  <si>
    <t>Хонгор, Ерөө</t>
  </si>
  <si>
    <t>MV-008719</t>
  </si>
  <si>
    <t>Модот уул</t>
  </si>
  <si>
    <t>Ов энд тулга</t>
  </si>
  <si>
    <t>MV-008728</t>
  </si>
  <si>
    <t>Бага мухар</t>
  </si>
  <si>
    <t>Пенинсуламайнинг</t>
  </si>
  <si>
    <t>MV-008863</t>
  </si>
  <si>
    <t>Ар тамсаг-1-1</t>
  </si>
  <si>
    <t>Алтангол эксплорэйшн</t>
  </si>
  <si>
    <t>MV-008866</t>
  </si>
  <si>
    <t>Өгөөмөр-2</t>
  </si>
  <si>
    <t>MV-008880</t>
  </si>
  <si>
    <t>Жалга</t>
  </si>
  <si>
    <t>Алтантөхөм</t>
  </si>
  <si>
    <t>MV-008888</t>
  </si>
  <si>
    <t>Болдтөмөр ерөө гол</t>
  </si>
  <si>
    <t>MV-008998</t>
  </si>
  <si>
    <t>ГБНБ</t>
  </si>
  <si>
    <t>MV-009061</t>
  </si>
  <si>
    <t>Барлагийн голын орд</t>
  </si>
  <si>
    <t>ЛУВР</t>
  </si>
  <si>
    <t>Цэцэг</t>
  </si>
  <si>
    <t>MV-009097</t>
  </si>
  <si>
    <t>Ховилын хоолой</t>
  </si>
  <si>
    <t>Монрос пром уголь</t>
  </si>
  <si>
    <t>MV-009115</t>
  </si>
  <si>
    <t>Магнезит</t>
  </si>
  <si>
    <t>Нарийн овгор</t>
  </si>
  <si>
    <t>Нутгийн хаш</t>
  </si>
  <si>
    <t>Есөнбулаг</t>
  </si>
  <si>
    <t>MV-009192</t>
  </si>
  <si>
    <t>Налайх гол-1</t>
  </si>
  <si>
    <t>Күнлүн</t>
  </si>
  <si>
    <t>MV-009203</t>
  </si>
  <si>
    <t>Таацын гол</t>
  </si>
  <si>
    <t>MV-009204</t>
  </si>
  <si>
    <t>Таацын гол-1</t>
  </si>
  <si>
    <t>MV-009305</t>
  </si>
  <si>
    <t>Дунд Галт</t>
  </si>
  <si>
    <t>MV-009364</t>
  </si>
  <si>
    <t>Булган аймгийн хорих 439-р анги</t>
  </si>
  <si>
    <t>MV-009427</t>
  </si>
  <si>
    <t>МАК Цемент</t>
  </si>
  <si>
    <t>MV-009464</t>
  </si>
  <si>
    <t>Бөхөгийн хөндий-1</t>
  </si>
  <si>
    <t>Бөхөг түргэн</t>
  </si>
  <si>
    <t>MV-009467</t>
  </si>
  <si>
    <t>Полиметмонголд</t>
  </si>
  <si>
    <t>MV-009470</t>
  </si>
  <si>
    <t>Хөтөл шохой-1</t>
  </si>
  <si>
    <t>Лайм-Инвест</t>
  </si>
  <si>
    <t>MV-009495</t>
  </si>
  <si>
    <t>Баянголын дэнж Б хэсэг</t>
  </si>
  <si>
    <t>Баян гол тариалан</t>
  </si>
  <si>
    <t>MV-009515</t>
  </si>
  <si>
    <t>Зүүн цагаан хошуу-1</t>
  </si>
  <si>
    <t>Эрдэнэмайнинг үйлс</t>
  </si>
  <si>
    <t>MV-009579</t>
  </si>
  <si>
    <t>Шохойн чулууны 3-р орд</t>
  </si>
  <si>
    <t>MV-009598</t>
  </si>
  <si>
    <t>Цагаан шал</t>
  </si>
  <si>
    <t>Одцэ</t>
  </si>
  <si>
    <t>MV-009623</t>
  </si>
  <si>
    <t>Ар тамсаг-1-2-2</t>
  </si>
  <si>
    <t>Өгөөжбаян хангай</t>
  </si>
  <si>
    <t>MV-009630</t>
  </si>
  <si>
    <t>Сэрвэн сухайт</t>
  </si>
  <si>
    <t>Эрдэнэс цагаан суварга</t>
  </si>
  <si>
    <t>Мандах</t>
  </si>
  <si>
    <t>MV-009631</t>
  </si>
  <si>
    <t>Баргилт овоо</t>
  </si>
  <si>
    <t>Шидэт-Од</t>
  </si>
  <si>
    <t>MV-009772</t>
  </si>
  <si>
    <t>Тамирын гол</t>
  </si>
  <si>
    <t>Бэрэнмайнинг</t>
  </si>
  <si>
    <t>Төвшрүүлэх</t>
  </si>
  <si>
    <t>MV-009813</t>
  </si>
  <si>
    <t>Шохойн нуруу</t>
  </si>
  <si>
    <t>БСОН</t>
  </si>
  <si>
    <t>Орхон, Сайхан</t>
  </si>
  <si>
    <t>MV-009817</t>
  </si>
  <si>
    <t>Бурхантын хөндий</t>
  </si>
  <si>
    <t>MV-009852</t>
  </si>
  <si>
    <t>Хар толгой</t>
  </si>
  <si>
    <t>Дун-Юань</t>
  </si>
  <si>
    <t>Номгон</t>
  </si>
  <si>
    <t>MV-009918</t>
  </si>
  <si>
    <t>Алтан овоо</t>
  </si>
  <si>
    <t>Сунхунголд</t>
  </si>
  <si>
    <t>Уулбаян</t>
  </si>
  <si>
    <t>MV-009919</t>
  </si>
  <si>
    <t>Сүхийн ам</t>
  </si>
  <si>
    <t>Эрдэс мөрөн</t>
  </si>
  <si>
    <t>MV-009950</t>
  </si>
  <si>
    <t>MV-009951</t>
  </si>
  <si>
    <t>MV-009968</t>
  </si>
  <si>
    <t>Цагаан элгэн</t>
  </si>
  <si>
    <t>Төвшин</t>
  </si>
  <si>
    <t>MV-009975</t>
  </si>
  <si>
    <t>Арын нуур</t>
  </si>
  <si>
    <t>Молиметал</t>
  </si>
  <si>
    <t>MV-009978</t>
  </si>
  <si>
    <t>MV-010061</t>
  </si>
  <si>
    <t>Шүдэн уул</t>
  </si>
  <si>
    <t>Жамц давс</t>
  </si>
  <si>
    <t>MV-010085</t>
  </si>
  <si>
    <t>Хар төмөртэй</t>
  </si>
  <si>
    <t>Зө-Юүе</t>
  </si>
  <si>
    <t>MV-010089</t>
  </si>
  <si>
    <t>Мухар</t>
  </si>
  <si>
    <t>MV-010126</t>
  </si>
  <si>
    <t>Цайдам нуур</t>
  </si>
  <si>
    <t>Чандганакоул</t>
  </si>
  <si>
    <t>MV-010164</t>
  </si>
  <si>
    <t>Харганат</t>
  </si>
  <si>
    <t>Хунхуа</t>
  </si>
  <si>
    <t>MV-010172</t>
  </si>
  <si>
    <t>Цагаан даваа</t>
  </si>
  <si>
    <t>Даяарх</t>
  </si>
  <si>
    <t>MV-010194</t>
  </si>
  <si>
    <t>Ингэний ам</t>
  </si>
  <si>
    <t>MV-010206</t>
  </si>
  <si>
    <t>Баргилт овоо-1</t>
  </si>
  <si>
    <t>Лут чулуу</t>
  </si>
  <si>
    <t>MV-010207</t>
  </si>
  <si>
    <t>Баргилтын овоо-1</t>
  </si>
  <si>
    <t>MV-010219</t>
  </si>
  <si>
    <t>Цав уул</t>
  </si>
  <si>
    <t>Баялагбогд</t>
  </si>
  <si>
    <t>MV-010223</t>
  </si>
  <si>
    <t>Тарагт-2</t>
  </si>
  <si>
    <t>Тарагт гөлтгөнө</t>
  </si>
  <si>
    <t>MV-010224</t>
  </si>
  <si>
    <t>Молибден, Гянтболд</t>
  </si>
  <si>
    <t>Егүзэр</t>
  </si>
  <si>
    <t>Билүүтмайнинг</t>
  </si>
  <si>
    <t>Эрдэнэцагаан</t>
  </si>
  <si>
    <t>MV-010225</t>
  </si>
  <si>
    <t>Хүдрийн биет-12</t>
  </si>
  <si>
    <t>РЕМАР</t>
  </si>
  <si>
    <t>MV-010258</t>
  </si>
  <si>
    <t>Өлзийт ухаа</t>
  </si>
  <si>
    <t>Шаширтрейд</t>
  </si>
  <si>
    <t>MV-010278</t>
  </si>
  <si>
    <t>Мөнгөн өндөр</t>
  </si>
  <si>
    <t>Эй Ар Ай Эй</t>
  </si>
  <si>
    <t>Өмнөдэлгэр</t>
  </si>
  <si>
    <t>MV-010296</t>
  </si>
  <si>
    <t>Гянтболд, Цагаан тугалга</t>
  </si>
  <si>
    <t>Бургастайн-1</t>
  </si>
  <si>
    <t>Эс Эн Даблью интернэшнл</t>
  </si>
  <si>
    <t>MV-010319</t>
  </si>
  <si>
    <t>Скорпионсервис</t>
  </si>
  <si>
    <t>Баянзүрх, Сүхбаатар</t>
  </si>
  <si>
    <t>MV-010329</t>
  </si>
  <si>
    <t>Хөтөл</t>
  </si>
  <si>
    <t>Галшар</t>
  </si>
  <si>
    <t>MV-010380</t>
  </si>
  <si>
    <t>Бамбарын талбай</t>
  </si>
  <si>
    <t>Цэгц финанс</t>
  </si>
  <si>
    <t>MV-010431</t>
  </si>
  <si>
    <t>Тохойрол-88</t>
  </si>
  <si>
    <t>MV-010434</t>
  </si>
  <si>
    <t>Сэрвэн</t>
  </si>
  <si>
    <t>Чинг хиеи вей еэ</t>
  </si>
  <si>
    <t>MV-010457</t>
  </si>
  <si>
    <t>Нүүрэнт</t>
  </si>
  <si>
    <t>Бриджконстракшн</t>
  </si>
  <si>
    <t>MV-010483</t>
  </si>
  <si>
    <t>Налайх хэсэг</t>
  </si>
  <si>
    <t>MV-010488</t>
  </si>
  <si>
    <t>Гоал тоавард майнинг</t>
  </si>
  <si>
    <t>MV-010511</t>
  </si>
  <si>
    <t>Нураг уул</t>
  </si>
  <si>
    <t>Ирмүүнзээрд</t>
  </si>
  <si>
    <t>Баяндалай</t>
  </si>
  <si>
    <t>MV-010551</t>
  </si>
  <si>
    <t>Төмөр толгой</t>
  </si>
  <si>
    <t>Бэрэнгрупп</t>
  </si>
  <si>
    <t>Төвшрүүлэх, Цэнхэр</t>
  </si>
  <si>
    <t>MV-010598</t>
  </si>
  <si>
    <t>Наймдай</t>
  </si>
  <si>
    <t>Эм Жи Би</t>
  </si>
  <si>
    <t>MV-010599</t>
  </si>
  <si>
    <t>Цеолит, Түгээмэл</t>
  </si>
  <si>
    <t>Цагаан цавын худаг</t>
  </si>
  <si>
    <t>Дорнын цеолит</t>
  </si>
  <si>
    <t>MV-015478</t>
  </si>
  <si>
    <t>Ар наймганы дээд хэсэг</t>
  </si>
  <si>
    <t>Рэдвулкан</t>
  </si>
  <si>
    <t>MV-015479</t>
  </si>
  <si>
    <t>Ар наймганы доод хэсэг</t>
  </si>
  <si>
    <t>MV-010614</t>
  </si>
  <si>
    <t>Заамарын их алт</t>
  </si>
  <si>
    <t>MV-010632</t>
  </si>
  <si>
    <t>MV-010646</t>
  </si>
  <si>
    <t>Хүдрийн биет</t>
  </si>
  <si>
    <t>Монфайненс</t>
  </si>
  <si>
    <t>MV-010663</t>
  </si>
  <si>
    <t>Гишүүний ам</t>
  </si>
  <si>
    <t>Суурь хана</t>
  </si>
  <si>
    <t>MV-010664</t>
  </si>
  <si>
    <t>Өлзийт-2</t>
  </si>
  <si>
    <t>MV-010665</t>
  </si>
  <si>
    <t>Төмөр, Цайр</t>
  </si>
  <si>
    <t>Хараат уул</t>
  </si>
  <si>
    <t>Шанжин-Орд</t>
  </si>
  <si>
    <t>Баянжаргалан, Говь-Угтаал</t>
  </si>
  <si>
    <t>MV-010666</t>
  </si>
  <si>
    <t>Манган</t>
  </si>
  <si>
    <t>Хүрмэн-2</t>
  </si>
  <si>
    <t>Монгол манганейз натурал ресурс</t>
  </si>
  <si>
    <t>MV-010714</t>
  </si>
  <si>
    <t>Хар бичигт</t>
  </si>
  <si>
    <t>Тавин-Эх</t>
  </si>
  <si>
    <t>MV-010735</t>
  </si>
  <si>
    <t>Их бичигт</t>
  </si>
  <si>
    <t>Жонштгазар</t>
  </si>
  <si>
    <t>MV-010736</t>
  </si>
  <si>
    <t>Перлит</t>
  </si>
  <si>
    <t>Замын улаан уул</t>
  </si>
  <si>
    <t>Монгол перлит констракшн</t>
  </si>
  <si>
    <t>Цагаандэлгэр</t>
  </si>
  <si>
    <t>MV-010737</t>
  </si>
  <si>
    <t>MV-010738</t>
  </si>
  <si>
    <t>Төмөр толгойн орд</t>
  </si>
  <si>
    <t>Дарханы төмөрлөгийн үйлдвэр</t>
  </si>
  <si>
    <t>ТӨХК</t>
  </si>
  <si>
    <t>MV-010749</t>
  </si>
  <si>
    <t>Шувуутын адаг</t>
  </si>
  <si>
    <t>Зунрун</t>
  </si>
  <si>
    <t>MV-010811</t>
  </si>
  <si>
    <t>Төмөртэй</t>
  </si>
  <si>
    <t>Их баян төмөртэй</t>
  </si>
  <si>
    <t>MV-010871</t>
  </si>
  <si>
    <t>Хулдын нүүрс</t>
  </si>
  <si>
    <t>MV-010874</t>
  </si>
  <si>
    <t>Тэвшийн нүүрс</t>
  </si>
  <si>
    <t>MV-010875</t>
  </si>
  <si>
    <t>Улаан уул-2</t>
  </si>
  <si>
    <t>MV-010882</t>
  </si>
  <si>
    <t>Ичээт</t>
  </si>
  <si>
    <t>Хорикаваметалл</t>
  </si>
  <si>
    <t>Хяргас</t>
  </si>
  <si>
    <t>MV-010883</t>
  </si>
  <si>
    <t>Даян-Оргил</t>
  </si>
  <si>
    <t>MV-010889</t>
  </si>
  <si>
    <t>Өнгөт металл</t>
  </si>
  <si>
    <t>Арын нуур-1</t>
  </si>
  <si>
    <t>MV-010935</t>
  </si>
  <si>
    <t>Аяганы ам</t>
  </si>
  <si>
    <t>МЕС</t>
  </si>
  <si>
    <t>MV-010965</t>
  </si>
  <si>
    <t>Баянхаан</t>
  </si>
  <si>
    <t>MV-010988</t>
  </si>
  <si>
    <t>Хайлуур жонш</t>
  </si>
  <si>
    <t>Монголжүюаньли</t>
  </si>
  <si>
    <t>Түмэнцогт</t>
  </si>
  <si>
    <t>MV-010989</t>
  </si>
  <si>
    <t>Зангиат толгой</t>
  </si>
  <si>
    <t>MV-011025</t>
  </si>
  <si>
    <t>MV-011027</t>
  </si>
  <si>
    <t>Улаан уулын орд</t>
  </si>
  <si>
    <t>MV-011055</t>
  </si>
  <si>
    <t>Баянцогт</t>
  </si>
  <si>
    <t>Өндөрбаян цогт</t>
  </si>
  <si>
    <t>MV-011114</t>
  </si>
  <si>
    <t>Цагаан чулуут-1</t>
  </si>
  <si>
    <t>MV-011123</t>
  </si>
  <si>
    <t>Молибден</t>
  </si>
  <si>
    <t>Өвөр баян</t>
  </si>
  <si>
    <t>Баян-Эрч</t>
  </si>
  <si>
    <t>MV-011124</t>
  </si>
  <si>
    <t>Ар баян</t>
  </si>
  <si>
    <t>Сэнтрал азиан майнор металс</t>
  </si>
  <si>
    <t>MV-011151</t>
  </si>
  <si>
    <t>Хадат уул</t>
  </si>
  <si>
    <t>Юу Эн Эф Эм</t>
  </si>
  <si>
    <t>Баянхангай, Баянцогт</t>
  </si>
  <si>
    <t>MV-011222</t>
  </si>
  <si>
    <t>Зуун модны элс-1</t>
  </si>
  <si>
    <t>БИТҮ элс</t>
  </si>
  <si>
    <t>MV-011281</t>
  </si>
  <si>
    <t>Далан</t>
  </si>
  <si>
    <t>Штайнколе</t>
  </si>
  <si>
    <t>MV-011350</t>
  </si>
  <si>
    <t>Сүүл толгой</t>
  </si>
  <si>
    <t>НУН</t>
  </si>
  <si>
    <t>MV-011377</t>
  </si>
  <si>
    <t>Цагаанташаа</t>
  </si>
  <si>
    <t>MV-011378</t>
  </si>
  <si>
    <t>Шар хөтөл</t>
  </si>
  <si>
    <t>Баян талын өв</t>
  </si>
  <si>
    <t>Шарынгол, Баянгол</t>
  </si>
  <si>
    <t>MV-011382</t>
  </si>
  <si>
    <t>Баянчандмань</t>
  </si>
  <si>
    <t>MV-011425</t>
  </si>
  <si>
    <t>7,18,19,20-р хүдрийн биет</t>
  </si>
  <si>
    <t>MV-011426</t>
  </si>
  <si>
    <t>Эрдэсгрупп</t>
  </si>
  <si>
    <t>MV-011427</t>
  </si>
  <si>
    <t>Налайхын хэсэг</t>
  </si>
  <si>
    <t>Бэцтрейд</t>
  </si>
  <si>
    <t>MV-011428</t>
  </si>
  <si>
    <t>Бүрэн уул</t>
  </si>
  <si>
    <t>MV-011430</t>
  </si>
  <si>
    <t>Туулын баруун дэнж</t>
  </si>
  <si>
    <t>Их ундарга майнинг</t>
  </si>
  <si>
    <t>MV-011510</t>
  </si>
  <si>
    <t>Элгэн булаг</t>
  </si>
  <si>
    <t>Баярсконстракшн</t>
  </si>
  <si>
    <t>MV-011593</t>
  </si>
  <si>
    <t>4-р давхрага</t>
  </si>
  <si>
    <t>MV-011595</t>
  </si>
  <si>
    <t>Мөнгөн цээж</t>
  </si>
  <si>
    <t>MV-011617</t>
  </si>
  <si>
    <t>Хөөтийн тал</t>
  </si>
  <si>
    <t>Хүдэн</t>
  </si>
  <si>
    <t>MV-011618</t>
  </si>
  <si>
    <t>Туулын тохой</t>
  </si>
  <si>
    <t>Флинкмонголиа</t>
  </si>
  <si>
    <t>MV-011619</t>
  </si>
  <si>
    <t>MV-011648</t>
  </si>
  <si>
    <t>Бугантай-1</t>
  </si>
  <si>
    <t>Ньюголден кроун</t>
  </si>
  <si>
    <t>MV-011657</t>
  </si>
  <si>
    <t>Анар</t>
  </si>
  <si>
    <t>Шавар царам</t>
  </si>
  <si>
    <t>Монголиан Жемстонес индастри</t>
  </si>
  <si>
    <t>Тариат</t>
  </si>
  <si>
    <t>MV-011664</t>
  </si>
  <si>
    <t>Давст-Оргил</t>
  </si>
  <si>
    <t>ББН</t>
  </si>
  <si>
    <t>MV-011665</t>
  </si>
  <si>
    <t>MV-011666</t>
  </si>
  <si>
    <t>Цагаан даваа-3</t>
  </si>
  <si>
    <t>Монвольфрам</t>
  </si>
  <si>
    <t>MV-011667</t>
  </si>
  <si>
    <t>Кварц</t>
  </si>
  <si>
    <t>Их цагаан дэл</t>
  </si>
  <si>
    <t>Ричфлюорит</t>
  </si>
  <si>
    <t>MV-011668</t>
  </si>
  <si>
    <t>Бичигт</t>
  </si>
  <si>
    <t>Нордвинд</t>
  </si>
  <si>
    <t>MV-011696</t>
  </si>
  <si>
    <t>Элстэйн зуун мод-1</t>
  </si>
  <si>
    <t>Жи  Эй Жи</t>
  </si>
  <si>
    <t>MV-011702</t>
  </si>
  <si>
    <t>Алаг толгой-1</t>
  </si>
  <si>
    <t>Ариун флюор</t>
  </si>
  <si>
    <t>MV-011721</t>
  </si>
  <si>
    <t>Өндөр цагаан-1</t>
  </si>
  <si>
    <t>MV-011722</t>
  </si>
  <si>
    <t>Зүүн цагаан дэл</t>
  </si>
  <si>
    <t>MV-011732</t>
  </si>
  <si>
    <t>Зуун мод</t>
  </si>
  <si>
    <t>Мерсу</t>
  </si>
  <si>
    <t>MV-011758</t>
  </si>
  <si>
    <t>Бөхөг цолмон</t>
  </si>
  <si>
    <t>Эн Си Эйч Эн</t>
  </si>
  <si>
    <t>MV-011761</t>
  </si>
  <si>
    <t>Алт, Шавар, Элс</t>
  </si>
  <si>
    <t>MV-011790</t>
  </si>
  <si>
    <t>Баруун шувуун уул</t>
  </si>
  <si>
    <t>Шувуун-Уул</t>
  </si>
  <si>
    <t>MV-011809</t>
  </si>
  <si>
    <t>Цөнхөгийн гол-1</t>
  </si>
  <si>
    <t>Жэй Си Си Ар</t>
  </si>
  <si>
    <t>MV-011823</t>
  </si>
  <si>
    <t>Бүрэнхаан-9</t>
  </si>
  <si>
    <t>Топруонхэнцо</t>
  </si>
  <si>
    <t>Түнэл</t>
  </si>
  <si>
    <t>MV-011824</t>
  </si>
  <si>
    <t>Бүрэнхаан-хх</t>
  </si>
  <si>
    <t>MV-011839</t>
  </si>
  <si>
    <t>Талын бор толгой</t>
  </si>
  <si>
    <t>Очот-Уул</t>
  </si>
  <si>
    <t>MV-011855</t>
  </si>
  <si>
    <t>Баруун цагаан дэл 175</t>
  </si>
  <si>
    <t>Дунфанлунма</t>
  </si>
  <si>
    <t>MV-011863</t>
  </si>
  <si>
    <t>MV-011864</t>
  </si>
  <si>
    <t>Улаан хус</t>
  </si>
  <si>
    <t>Кавернболд</t>
  </si>
  <si>
    <t>Улаанхус</t>
  </si>
  <si>
    <t>MV-011875</t>
  </si>
  <si>
    <t>Бугат</t>
  </si>
  <si>
    <t>Боржгоны тал</t>
  </si>
  <si>
    <t>Алтанбулаг, Хан-Уул</t>
  </si>
  <si>
    <t>MV-011881</t>
  </si>
  <si>
    <t>Ар тамсаг-1-1-1</t>
  </si>
  <si>
    <t>MV-011882</t>
  </si>
  <si>
    <t>Ар тамсаг-1-3-1</t>
  </si>
  <si>
    <t>MV-011884</t>
  </si>
  <si>
    <t>Хужхаан</t>
  </si>
  <si>
    <t>Хонгчангли</t>
  </si>
  <si>
    <t>MV-011887</t>
  </si>
  <si>
    <t>Хөшөөт хөндлөн</t>
  </si>
  <si>
    <t>MV-011888</t>
  </si>
  <si>
    <t>Хамар даваа</t>
  </si>
  <si>
    <t>MV-011892</t>
  </si>
  <si>
    <t>Хүрзэтийн ам</t>
  </si>
  <si>
    <t>Үүртгоулд</t>
  </si>
  <si>
    <t>MV-011894</t>
  </si>
  <si>
    <t>Их ажир</t>
  </si>
  <si>
    <t>Жи Би Лийз</t>
  </si>
  <si>
    <t>MV-011898</t>
  </si>
  <si>
    <t>MV-011907</t>
  </si>
  <si>
    <t>Булаг</t>
  </si>
  <si>
    <t>MV-011908</t>
  </si>
  <si>
    <t>MV-011909</t>
  </si>
  <si>
    <t>Ар хөшөөт</t>
  </si>
  <si>
    <t>MV-011915</t>
  </si>
  <si>
    <t>Сайхан гашуун</t>
  </si>
  <si>
    <t>Дасайн-Уул</t>
  </si>
  <si>
    <t>MV-011916</t>
  </si>
  <si>
    <t>MV-011919</t>
  </si>
  <si>
    <t>MV-011923</t>
  </si>
  <si>
    <t>Намираа эх</t>
  </si>
  <si>
    <t>MV-011931</t>
  </si>
  <si>
    <t>Хөх дэл</t>
  </si>
  <si>
    <t>Дорноговийн үйлс</t>
  </si>
  <si>
    <t>MV-011932</t>
  </si>
  <si>
    <t>MV-011933</t>
  </si>
  <si>
    <t>Шар толгой</t>
  </si>
  <si>
    <t>Монголиан Нейшнл Рийр Ийрт Корпорейшн</t>
  </si>
  <si>
    <t>MV-011940</t>
  </si>
  <si>
    <t>Хана-Интернэшнл</t>
  </si>
  <si>
    <t>MV-011943</t>
  </si>
  <si>
    <t>Эрдэнэс-Тавантолгой</t>
  </si>
  <si>
    <t>MV-011949</t>
  </si>
  <si>
    <t>Мингхонда</t>
  </si>
  <si>
    <t>MV-011950</t>
  </si>
  <si>
    <t>Алтат</t>
  </si>
  <si>
    <t>Кормонмайн хаус</t>
  </si>
  <si>
    <t>MV-011952</t>
  </si>
  <si>
    <t>Ухаа худаг</t>
  </si>
  <si>
    <t>Энержиресурс</t>
  </si>
  <si>
    <t>MV-011953</t>
  </si>
  <si>
    <t>MV-011954</t>
  </si>
  <si>
    <t>Бор тээг-1</t>
  </si>
  <si>
    <t>Ханхонгор, Цогтцэций</t>
  </si>
  <si>
    <t>MV-011955</t>
  </si>
  <si>
    <t>Шар тээг</t>
  </si>
  <si>
    <t>MV-011956</t>
  </si>
  <si>
    <t>Таван толгой-1</t>
  </si>
  <si>
    <t>MV-011965</t>
  </si>
  <si>
    <t>Шар хоолой</t>
  </si>
  <si>
    <t>MV-011968</t>
  </si>
  <si>
    <t>Базальт</t>
  </si>
  <si>
    <t>Орхон орд</t>
  </si>
  <si>
    <t>MV-011969</t>
  </si>
  <si>
    <t>Шарга овоо</t>
  </si>
  <si>
    <t>Хатанцацал</t>
  </si>
  <si>
    <t>MV-011979</t>
  </si>
  <si>
    <t>Толгойтын эх</t>
  </si>
  <si>
    <t>MV-011981</t>
  </si>
  <si>
    <t>MV-012031</t>
  </si>
  <si>
    <t>MV-012039</t>
  </si>
  <si>
    <t>Их мандал</t>
  </si>
  <si>
    <t>MV-012048</t>
  </si>
  <si>
    <t>БИЛГҮҮНТРЕЙД</t>
  </si>
  <si>
    <t>MV-012049</t>
  </si>
  <si>
    <t>Овоот</t>
  </si>
  <si>
    <t>Гуравт</t>
  </si>
  <si>
    <t>MV-012085</t>
  </si>
  <si>
    <t>Голденхейлс</t>
  </si>
  <si>
    <t>MV-012094</t>
  </si>
  <si>
    <t>Бүдүүн ам</t>
  </si>
  <si>
    <t>Их гахайтын өвөр</t>
  </si>
  <si>
    <t>MV-012112</t>
  </si>
  <si>
    <t>Ногоон дов</t>
  </si>
  <si>
    <t>Хонг Да интернэшнл</t>
  </si>
  <si>
    <t>MV-012118</t>
  </si>
  <si>
    <t>Хэцүү цав</t>
  </si>
  <si>
    <t>Боржигт</t>
  </si>
  <si>
    <t>MV-012125</t>
  </si>
  <si>
    <t>Барууны гол</t>
  </si>
  <si>
    <t>Эрдэнэдорно</t>
  </si>
  <si>
    <t>MV-012161</t>
  </si>
  <si>
    <t>Тасгийн овоо</t>
  </si>
  <si>
    <t>Очиртөв</t>
  </si>
  <si>
    <t>MV-012169</t>
  </si>
  <si>
    <t>MV-012193</t>
  </si>
  <si>
    <t>Цагаан чулуут эллойс</t>
  </si>
  <si>
    <t>Өмнөдэлгэр, Хэрлэн</t>
  </si>
  <si>
    <t>MV-012197</t>
  </si>
  <si>
    <t>Заг</t>
  </si>
  <si>
    <t>MV-012199</t>
  </si>
  <si>
    <t>Хөөт</t>
  </si>
  <si>
    <t>MV-012203</t>
  </si>
  <si>
    <t>Хажуу-Улаан</t>
  </si>
  <si>
    <t>MV-012215</t>
  </si>
  <si>
    <t>Бөхөг-солонго</t>
  </si>
  <si>
    <t>Очирням</t>
  </si>
  <si>
    <t>MV-012219</t>
  </si>
  <si>
    <t>Цемент шохой</t>
  </si>
  <si>
    <t>MV-012225</t>
  </si>
  <si>
    <t>Нарийн сухайт баруун</t>
  </si>
  <si>
    <t>MV-012226</t>
  </si>
  <si>
    <t>Нарийн сухайт зүүн</t>
  </si>
  <si>
    <t>MV-012229</t>
  </si>
  <si>
    <t>Ногоон хаш</t>
  </si>
  <si>
    <t>Тэнгэс гол</t>
  </si>
  <si>
    <t>Өргөнцагаан нуур</t>
  </si>
  <si>
    <t>Цагааннуур</t>
  </si>
  <si>
    <t>MV-012246</t>
  </si>
  <si>
    <t>Сангийн гол</t>
  </si>
  <si>
    <t>MV-012263</t>
  </si>
  <si>
    <t>Худаг байшинт</t>
  </si>
  <si>
    <t>Фокусметал майнинг</t>
  </si>
  <si>
    <t>MV-012277</t>
  </si>
  <si>
    <t>Ханан-Өнжүүл</t>
  </si>
  <si>
    <t>Миндуотайди</t>
  </si>
  <si>
    <t>Баян-Өнжүүл</t>
  </si>
  <si>
    <t>MV-012297</t>
  </si>
  <si>
    <t>Хөхтий нуруу-3</t>
  </si>
  <si>
    <t>Эрдэнийн олз</t>
  </si>
  <si>
    <t>MV-012325</t>
  </si>
  <si>
    <t>Бэрх уул</t>
  </si>
  <si>
    <t>Цүй ханг инвест</t>
  </si>
  <si>
    <t>MV-012328</t>
  </si>
  <si>
    <t>Эрвэн хошууны овоо</t>
  </si>
  <si>
    <t>Каскейд майнинг</t>
  </si>
  <si>
    <t>MV-012335</t>
  </si>
  <si>
    <t>Архүрэн уул</t>
  </si>
  <si>
    <t>MV-012342</t>
  </si>
  <si>
    <t>Жунзэнь</t>
  </si>
  <si>
    <t>MV-012395</t>
  </si>
  <si>
    <t>Хөл цайдам</t>
  </si>
  <si>
    <t>Гоулд-Оптивелл</t>
  </si>
  <si>
    <t>Матад</t>
  </si>
  <si>
    <t>MV-012401</t>
  </si>
  <si>
    <t>Хөөтийн хонхор</t>
  </si>
  <si>
    <t>Ган-Илч</t>
  </si>
  <si>
    <t>MV-012412</t>
  </si>
  <si>
    <t>Дай уул</t>
  </si>
  <si>
    <t>Тайшаншин юань</t>
  </si>
  <si>
    <t>MV-012413</t>
  </si>
  <si>
    <t>MV-012414</t>
  </si>
  <si>
    <t>Гермесгахиур</t>
  </si>
  <si>
    <t>MV-012415</t>
  </si>
  <si>
    <t>Зоолуу хар</t>
  </si>
  <si>
    <t>Очир-Ундраа</t>
  </si>
  <si>
    <t>MV-012435</t>
  </si>
  <si>
    <t>Алагтолгод-1</t>
  </si>
  <si>
    <t>Чингисийн хар алт</t>
  </si>
  <si>
    <t>MV-012439</t>
  </si>
  <si>
    <t>MV-012442</t>
  </si>
  <si>
    <t>Хүрэнбулаг</t>
  </si>
  <si>
    <t>MV-012463</t>
  </si>
  <si>
    <t>Элдэв-2</t>
  </si>
  <si>
    <t>MV-012466</t>
  </si>
  <si>
    <t>Тал булаг</t>
  </si>
  <si>
    <t>Цэгээн-Үүдэн</t>
  </si>
  <si>
    <t>MV-012469</t>
  </si>
  <si>
    <t>Толгойт-1</t>
  </si>
  <si>
    <t>Чамин-Алт</t>
  </si>
  <si>
    <t>MV-012470</t>
  </si>
  <si>
    <t>Ар чулуут-1</t>
  </si>
  <si>
    <t>Алтайголд</t>
  </si>
  <si>
    <t>MV-012474</t>
  </si>
  <si>
    <t>Эм Си Жи Ти</t>
  </si>
  <si>
    <t>MV-012475</t>
  </si>
  <si>
    <t>Галбаян-1</t>
  </si>
  <si>
    <t>Петрокоал</t>
  </si>
  <si>
    <t>MV-012500</t>
  </si>
  <si>
    <t>Хүрэн ганга</t>
  </si>
  <si>
    <t>МБГЦ</t>
  </si>
  <si>
    <t>MV-012512</t>
  </si>
  <si>
    <t>Шийр ам</t>
  </si>
  <si>
    <t>Эм Ар Си Эм Жи Эл</t>
  </si>
  <si>
    <t>MV-012515</t>
  </si>
  <si>
    <t>Баруун далан</t>
  </si>
  <si>
    <t>MV-012558</t>
  </si>
  <si>
    <t>Нүүрс, Шавар</t>
  </si>
  <si>
    <t>Зүүн хэсэг</t>
  </si>
  <si>
    <t>Хэлтрэгэ</t>
  </si>
  <si>
    <t>MV-012578</t>
  </si>
  <si>
    <t>Өндөр-овоо-33</t>
  </si>
  <si>
    <t>Дарханфлюорит</t>
  </si>
  <si>
    <t>MV-012579</t>
  </si>
  <si>
    <t>Үнэгт төв баруун-2</t>
  </si>
  <si>
    <t>Тээлийн шонхор</t>
  </si>
  <si>
    <t>MV-012605</t>
  </si>
  <si>
    <t>Баруун цагаан дэл</t>
  </si>
  <si>
    <t>Эм Си Ти Ти</t>
  </si>
  <si>
    <t>MV-012619</t>
  </si>
  <si>
    <t>Хавтгай-1</t>
  </si>
  <si>
    <t>Бор-Өндөр уул</t>
  </si>
  <si>
    <t>MV-012653</t>
  </si>
  <si>
    <t>Бууцат уул</t>
  </si>
  <si>
    <t>Гурвантамга</t>
  </si>
  <si>
    <t>MV-012665</t>
  </si>
  <si>
    <t>Замын булаг</t>
  </si>
  <si>
    <t>MV-012681</t>
  </si>
  <si>
    <t>Цагаан-Өвөр</t>
  </si>
  <si>
    <t>Мөнхболор хүрээ</t>
  </si>
  <si>
    <t>MV-012717</t>
  </si>
  <si>
    <t>Гучин-сайр</t>
  </si>
  <si>
    <t>Андын тэмүүлэл</t>
  </si>
  <si>
    <t>MV-012721</t>
  </si>
  <si>
    <t>Баруун мухар ам</t>
  </si>
  <si>
    <t>Стандартхолдинг</t>
  </si>
  <si>
    <t>MV-012726</t>
  </si>
  <si>
    <t>Овоот толгой</t>
  </si>
  <si>
    <t>Саусгоби сэндс</t>
  </si>
  <si>
    <t>MV-012728</t>
  </si>
  <si>
    <t>MV-012763</t>
  </si>
  <si>
    <t>Заамарын эх -2</t>
  </si>
  <si>
    <t>MV-012806</t>
  </si>
  <si>
    <t>Өвөрхөшөөтийн ам</t>
  </si>
  <si>
    <t>Жи энд Юу голд</t>
  </si>
  <si>
    <t>MV-012884</t>
  </si>
  <si>
    <t>MV-012909</t>
  </si>
  <si>
    <t>Нугын тохой</t>
  </si>
  <si>
    <t>Хөвсгөл зам</t>
  </si>
  <si>
    <t>MV-012960</t>
  </si>
  <si>
    <t>Дунд булаг</t>
  </si>
  <si>
    <t>Талст-Орчлон</t>
  </si>
  <si>
    <t>Баян-Адрага</t>
  </si>
  <si>
    <t>MV-013028</t>
  </si>
  <si>
    <t>Ар өлт</t>
  </si>
  <si>
    <t>Агитхангай</t>
  </si>
  <si>
    <t>MV-013146</t>
  </si>
  <si>
    <t>MV-013179</t>
  </si>
  <si>
    <t>Цагаан дэл</t>
  </si>
  <si>
    <t>Флюмон</t>
  </si>
  <si>
    <t>MV-013180</t>
  </si>
  <si>
    <t>Хуурай чулуутын дунд хэсэг</t>
  </si>
  <si>
    <t>Монгол газрын ховор элемент</t>
  </si>
  <si>
    <t>MV-013185</t>
  </si>
  <si>
    <t>Чулуут</t>
  </si>
  <si>
    <t>Лотус-Амгалан</t>
  </si>
  <si>
    <t>MV-013205</t>
  </si>
  <si>
    <t>Өгөөмөр хоолой-3</t>
  </si>
  <si>
    <t>MV-013218</t>
  </si>
  <si>
    <t>Хүрэмт</t>
  </si>
  <si>
    <t>Олонгол трейд</t>
  </si>
  <si>
    <t>Арбулаг</t>
  </si>
  <si>
    <t>MV-013223</t>
  </si>
  <si>
    <t>Өмнөд алтат</t>
  </si>
  <si>
    <t>Хэрлэн-Импекс</t>
  </si>
  <si>
    <t>MV-013262</t>
  </si>
  <si>
    <t>Өндөрцагаан</t>
  </si>
  <si>
    <t>Эрстсайр эксплорэйшн</t>
  </si>
  <si>
    <t>MV-013276</t>
  </si>
  <si>
    <t>Хар чулуут</t>
  </si>
  <si>
    <t>Баяннүүргэстэй</t>
  </si>
  <si>
    <t>MV-013278</t>
  </si>
  <si>
    <t>Мөсөн шүү</t>
  </si>
  <si>
    <t>Цайдам</t>
  </si>
  <si>
    <t>Нэйшнлхимикал</t>
  </si>
  <si>
    <t>Заамар, Цээл</t>
  </si>
  <si>
    <t>MV-013308</t>
  </si>
  <si>
    <t>Онгон хайрхан-1</t>
  </si>
  <si>
    <t>Резевоиртунгс</t>
  </si>
  <si>
    <t>Бүрэн</t>
  </si>
  <si>
    <t>MV-013311</t>
  </si>
  <si>
    <t>Талбай-1</t>
  </si>
  <si>
    <t>Сүмбэр, Шивээговь</t>
  </si>
  <si>
    <t>MV-013312</t>
  </si>
  <si>
    <t>Талбай-2</t>
  </si>
  <si>
    <t>MV-013313</t>
  </si>
  <si>
    <t>Талбай-3</t>
  </si>
  <si>
    <t>MV-013319</t>
  </si>
  <si>
    <t>Төмөртэйн орд</t>
  </si>
  <si>
    <t>MV-013322</t>
  </si>
  <si>
    <t>Сэрүүнсэлбэ</t>
  </si>
  <si>
    <t>MV-013323</t>
  </si>
  <si>
    <t>Зуун модны элс-2</t>
  </si>
  <si>
    <t>MV-013331</t>
  </si>
  <si>
    <t>Барилга-Орд</t>
  </si>
  <si>
    <t>MV-013348</t>
  </si>
  <si>
    <t>Маль</t>
  </si>
  <si>
    <t>Мальфлюорит</t>
  </si>
  <si>
    <t>MV-013378</t>
  </si>
  <si>
    <t>Булган уул</t>
  </si>
  <si>
    <t>Ди Жи Ти энд Эм</t>
  </si>
  <si>
    <t>MV-013403</t>
  </si>
  <si>
    <t>Зэст</t>
  </si>
  <si>
    <t>Билэгтзурвас</t>
  </si>
  <si>
    <t>MV-013409</t>
  </si>
  <si>
    <t>Баян айраг</t>
  </si>
  <si>
    <t>Баян айраг эксплорэйшн</t>
  </si>
  <si>
    <t>MV-013412</t>
  </si>
  <si>
    <t>Авдарант уул</t>
  </si>
  <si>
    <t>Принципал инвестмэнтс</t>
  </si>
  <si>
    <t>MV-013414</t>
  </si>
  <si>
    <t>Идэрмэг</t>
  </si>
  <si>
    <t>ЭБГ</t>
  </si>
  <si>
    <t>MV-013421</t>
  </si>
  <si>
    <t>Улаан ам-1</t>
  </si>
  <si>
    <t>Шинэст-Өргөө</t>
  </si>
  <si>
    <t>MV-013440</t>
  </si>
  <si>
    <t>8-р хүдрийн бүс</t>
  </si>
  <si>
    <t>MV-013455</t>
  </si>
  <si>
    <t>Элт хайрга</t>
  </si>
  <si>
    <t>Гантиг-Уул</t>
  </si>
  <si>
    <t>MV-013456</t>
  </si>
  <si>
    <t>Хүрэнбэлчир</t>
  </si>
  <si>
    <t>MV-013470</t>
  </si>
  <si>
    <t>Баруун цогт</t>
  </si>
  <si>
    <t>Нутгийн анар</t>
  </si>
  <si>
    <t>MV-013499</t>
  </si>
  <si>
    <t>Ногоон толгой-1</t>
  </si>
  <si>
    <t>Төгс-Эрхэс</t>
  </si>
  <si>
    <t>MV-013500</t>
  </si>
  <si>
    <t>Буман-Олз</t>
  </si>
  <si>
    <t>MV-013501</t>
  </si>
  <si>
    <t>Баян улаан</t>
  </si>
  <si>
    <t>MV-013502</t>
  </si>
  <si>
    <t>Цагаан өндөр</t>
  </si>
  <si>
    <t>MV-013507</t>
  </si>
  <si>
    <t>Баян тал</t>
  </si>
  <si>
    <t>Анома</t>
  </si>
  <si>
    <t>Эрдэнэ, Налайх</t>
  </si>
  <si>
    <t>MV-013527</t>
  </si>
  <si>
    <t>Төмөр, Шохойн чулуу</t>
  </si>
  <si>
    <t>Таян нуур</t>
  </si>
  <si>
    <t>Алтайнхүдэр</t>
  </si>
  <si>
    <t>Цээл</t>
  </si>
  <si>
    <t>MV-013533</t>
  </si>
  <si>
    <t>Тахилт-1</t>
  </si>
  <si>
    <t>MV-013539</t>
  </si>
  <si>
    <t>Мааль</t>
  </si>
  <si>
    <t>MV-013542</t>
  </si>
  <si>
    <t>MV-013550</t>
  </si>
  <si>
    <t>Арвижих</t>
  </si>
  <si>
    <t>Эм Си Си Эм</t>
  </si>
  <si>
    <t>MV-013553</t>
  </si>
  <si>
    <t>Тахилтын нүүрсний орд</t>
  </si>
  <si>
    <t>MV-013555</t>
  </si>
  <si>
    <t>Мухар-1</t>
  </si>
  <si>
    <t>Хунбөө</t>
  </si>
  <si>
    <t>MV-013579</t>
  </si>
  <si>
    <t>Нийлэх</t>
  </si>
  <si>
    <t>Санаажигүүр</t>
  </si>
  <si>
    <t>MV-013606</t>
  </si>
  <si>
    <t>Бөхөг-1</t>
  </si>
  <si>
    <t>Итгэлтүшиг</t>
  </si>
  <si>
    <t>MV-013630</t>
  </si>
  <si>
    <t>MV-013631</t>
  </si>
  <si>
    <t>MV-013653</t>
  </si>
  <si>
    <t>Баргилт толгой</t>
  </si>
  <si>
    <t>MV-013678</t>
  </si>
  <si>
    <t>Ямаат худаг</t>
  </si>
  <si>
    <t>Ноёнгари</t>
  </si>
  <si>
    <t>MV-013681</t>
  </si>
  <si>
    <t>Сэнжит худаг</t>
  </si>
  <si>
    <t>Монцемент билдинг материалс</t>
  </si>
  <si>
    <t>MV-013683</t>
  </si>
  <si>
    <t>Хуурай сайрын ам</t>
  </si>
  <si>
    <t>Сигма-Инженеринг</t>
  </si>
  <si>
    <t>MV-013759</t>
  </si>
  <si>
    <t>Гурван толгой</t>
  </si>
  <si>
    <t>Номин стар трейд</t>
  </si>
  <si>
    <t>MV-013766</t>
  </si>
  <si>
    <t>Эй Эл Жи Ти</t>
  </si>
  <si>
    <t>Наранбулаг</t>
  </si>
  <si>
    <t>MV-013813</t>
  </si>
  <si>
    <t>Улаан хужирт</t>
  </si>
  <si>
    <t>MV-013851</t>
  </si>
  <si>
    <t>Хуст-Уул</t>
  </si>
  <si>
    <t>MV-013852</t>
  </si>
  <si>
    <t>Баргилт</t>
  </si>
  <si>
    <t>Зүүн хоолой</t>
  </si>
  <si>
    <t>Эрдэнэресурс Монголиа</t>
  </si>
  <si>
    <t>MV-013858</t>
  </si>
  <si>
    <t>цахиурт</t>
  </si>
  <si>
    <t>Монкварц</t>
  </si>
  <si>
    <t>MV-013859</t>
  </si>
  <si>
    <t>Болор</t>
  </si>
  <si>
    <t>Дэрсэн ус</t>
  </si>
  <si>
    <t>Сайхандулаан</t>
  </si>
  <si>
    <t>MV-013860</t>
  </si>
  <si>
    <t>Залаа цагаан</t>
  </si>
  <si>
    <t>MV-013875</t>
  </si>
  <si>
    <t>Элстэй</t>
  </si>
  <si>
    <t>Монлаа</t>
  </si>
  <si>
    <t>Хатанбулаг</t>
  </si>
  <si>
    <t>MV-013904</t>
  </si>
  <si>
    <t>Хуурай салаа</t>
  </si>
  <si>
    <t>MV-013948</t>
  </si>
  <si>
    <t>Алтанхунчир</t>
  </si>
  <si>
    <t>MV-014111</t>
  </si>
  <si>
    <t>Экилешия</t>
  </si>
  <si>
    <t>MV-014112</t>
  </si>
  <si>
    <t>Базальт, Түгээмэл</t>
  </si>
  <si>
    <t>Чин</t>
  </si>
  <si>
    <t>MV-014147</t>
  </si>
  <si>
    <t>Баруун уртын баруун дээд хэсэг</t>
  </si>
  <si>
    <t>MV-014170</t>
  </si>
  <si>
    <t>Цагаан элгэн-2</t>
  </si>
  <si>
    <t>MV-014196</t>
  </si>
  <si>
    <t>Бураат</t>
  </si>
  <si>
    <t>Дримлэйнд</t>
  </si>
  <si>
    <t>Дэлүүн</t>
  </si>
  <si>
    <t>MV-014217</t>
  </si>
  <si>
    <t>MV-014218</t>
  </si>
  <si>
    <t>Алс-1</t>
  </si>
  <si>
    <t>Засаг сүмбэр</t>
  </si>
  <si>
    <t>MV-014228</t>
  </si>
  <si>
    <t>Эрээний ихэр уул</t>
  </si>
  <si>
    <t>Илчитметалл</t>
  </si>
  <si>
    <t>MV-014272</t>
  </si>
  <si>
    <t>Бор хужир</t>
  </si>
  <si>
    <t>Дарханбор хужир</t>
  </si>
  <si>
    <t>MV-014302</t>
  </si>
  <si>
    <t>Харзатын хотгор</t>
  </si>
  <si>
    <t>Өвөрхарзат</t>
  </si>
  <si>
    <t>MV-014310</t>
  </si>
  <si>
    <t>Шар хөвийн хоолой</t>
  </si>
  <si>
    <t>Эм Эл Ти Престиж</t>
  </si>
  <si>
    <t>MV-014312</t>
  </si>
  <si>
    <t>Бумбат-1</t>
  </si>
  <si>
    <t>Бууралстоун</t>
  </si>
  <si>
    <t>MV-014377</t>
  </si>
  <si>
    <t>Зэс, Түгээмэл, Хайрга</t>
  </si>
  <si>
    <t>Гишүүний ам-2</t>
  </si>
  <si>
    <t>Жэй Ти Ти</t>
  </si>
  <si>
    <t>MV-015480</t>
  </si>
  <si>
    <t>Ар наймганы хөндийн дээд хэсэг</t>
  </si>
  <si>
    <t>MV-014382</t>
  </si>
  <si>
    <t>Түгээмэл, Элс, Хайрга, Дайрга</t>
  </si>
  <si>
    <t>Элст-Хайрхан</t>
  </si>
  <si>
    <t>Ядам-Од</t>
  </si>
  <si>
    <t>MV-014442</t>
  </si>
  <si>
    <t>Хотгор өргөтгөл</t>
  </si>
  <si>
    <t>MV-014492</t>
  </si>
  <si>
    <t>Фриендшип Ресурсис</t>
  </si>
  <si>
    <t>MV-014493</t>
  </si>
  <si>
    <t>Баруун наран</t>
  </si>
  <si>
    <t>Хангад-Эксплорэйшн</t>
  </si>
  <si>
    <t>Ханхонгор</t>
  </si>
  <si>
    <t>MV-014506</t>
  </si>
  <si>
    <t>Цагаан булаг</t>
  </si>
  <si>
    <t>Монжин далай</t>
  </si>
  <si>
    <t>MV-014519</t>
  </si>
  <si>
    <t>MV-014532</t>
  </si>
  <si>
    <t>Шар хад</t>
  </si>
  <si>
    <t>Эф Жи Пи Эм</t>
  </si>
  <si>
    <t>MV-014548</t>
  </si>
  <si>
    <t>Бүдүүний гол</t>
  </si>
  <si>
    <t>Бэйсикметал майнинг</t>
  </si>
  <si>
    <t>MV-014563</t>
  </si>
  <si>
    <t>Талбулаг</t>
  </si>
  <si>
    <t>Талын гал</t>
  </si>
  <si>
    <t>MV-014631</t>
  </si>
  <si>
    <t>Хуц-Толгой</t>
  </si>
  <si>
    <t>Цагаанговь</t>
  </si>
  <si>
    <t>MV-014657</t>
  </si>
  <si>
    <t>Улаан овоо</t>
  </si>
  <si>
    <t>MV-014668</t>
  </si>
  <si>
    <t>Ялгуусан</t>
  </si>
  <si>
    <t>MV-014686</t>
  </si>
  <si>
    <t>Хуурай</t>
  </si>
  <si>
    <t>Алтанхөндий</t>
  </si>
  <si>
    <t>MV-014707</t>
  </si>
  <si>
    <t>Тод-Ундрага</t>
  </si>
  <si>
    <t>MV-014759</t>
  </si>
  <si>
    <t>Зүүн мухар</t>
  </si>
  <si>
    <t>MV-014760</t>
  </si>
  <si>
    <t>Мухарын ам</t>
  </si>
  <si>
    <t>MV-014799</t>
  </si>
  <si>
    <t>Тэвш нуур</t>
  </si>
  <si>
    <t>Этранс</t>
  </si>
  <si>
    <t>MV-014828</t>
  </si>
  <si>
    <t>Агар-уул</t>
  </si>
  <si>
    <t>Хангихүдэр</t>
  </si>
  <si>
    <t>MV-014866</t>
  </si>
  <si>
    <t>Бөхөг хөндий-1</t>
  </si>
  <si>
    <t>Бууралын ар булаг</t>
  </si>
  <si>
    <t>MV-014892</t>
  </si>
  <si>
    <t>MV-014910</t>
  </si>
  <si>
    <t>Дунд бөхөг-1</t>
  </si>
  <si>
    <t>Шижирхайрга</t>
  </si>
  <si>
    <t>MV-014911</t>
  </si>
  <si>
    <t>Үнст худаг</t>
  </si>
  <si>
    <t>Билэгтхайрхан уул</t>
  </si>
  <si>
    <t>Гурвансайхан, Өлзийт</t>
  </si>
  <si>
    <t>MV-014913</t>
  </si>
  <si>
    <t>Талстнуур</t>
  </si>
  <si>
    <t>Hөхөрлөл</t>
  </si>
  <si>
    <t>MV-014920</t>
  </si>
  <si>
    <t>Тосонгийн гол</t>
  </si>
  <si>
    <t>Сутайцэнд</t>
  </si>
  <si>
    <t>MV-014929</t>
  </si>
  <si>
    <t>Бухт уул</t>
  </si>
  <si>
    <t>Лэндмонголиа</t>
  </si>
  <si>
    <t>MV-014937</t>
  </si>
  <si>
    <t>Баян төмөртэй</t>
  </si>
  <si>
    <t>Рэмет</t>
  </si>
  <si>
    <t>Мандал-Овоо</t>
  </si>
  <si>
    <t>MV-014946</t>
  </si>
  <si>
    <t>Элст хайрга</t>
  </si>
  <si>
    <t>Эн Эс Ар</t>
  </si>
  <si>
    <t>MV-014949</t>
  </si>
  <si>
    <t>Цогт</t>
  </si>
  <si>
    <t>Силикат</t>
  </si>
  <si>
    <t>MV-014986</t>
  </si>
  <si>
    <t>Есөн эрдэнэ ундарга</t>
  </si>
  <si>
    <t>MV-014987</t>
  </si>
  <si>
    <t>Жавхлант</t>
  </si>
  <si>
    <t>MV-014989</t>
  </si>
  <si>
    <t>Бичигт хад</t>
  </si>
  <si>
    <t>Бичигт хад майнинг</t>
  </si>
  <si>
    <t>MV-014992</t>
  </si>
  <si>
    <t>Молибден, Рени</t>
  </si>
  <si>
    <t>Хандгайт</t>
  </si>
  <si>
    <t>Монресорсиз</t>
  </si>
  <si>
    <t>Булган, Сэлэнгэ</t>
  </si>
  <si>
    <t>Сэлэнгэ, Түшиг</t>
  </si>
  <si>
    <t>MV-015023</t>
  </si>
  <si>
    <t>Баруун баян</t>
  </si>
  <si>
    <t>Хулд химикалс</t>
  </si>
  <si>
    <t>MV-015032</t>
  </si>
  <si>
    <t>MV-015033</t>
  </si>
  <si>
    <t>Хар толгой-1</t>
  </si>
  <si>
    <t>MV-015037</t>
  </si>
  <si>
    <t>Их наран гол</t>
  </si>
  <si>
    <t>Тэнгэрийн хүрд</t>
  </si>
  <si>
    <t>MV-015038</t>
  </si>
  <si>
    <t>Билүүтийн зүүн хойд хэсэг</t>
  </si>
  <si>
    <t>Мөнхийн баян гал</t>
  </si>
  <si>
    <t>MV-015040</t>
  </si>
  <si>
    <t>Хадан-Ус</t>
  </si>
  <si>
    <t>Мизү</t>
  </si>
  <si>
    <t>MV-015041</t>
  </si>
  <si>
    <t>Цагаан толгой</t>
  </si>
  <si>
    <t>Гоулдланд холдинг</t>
  </si>
  <si>
    <t>Баян-Овоо, Номгон</t>
  </si>
  <si>
    <t>MV-015042</t>
  </si>
  <si>
    <t>Зүүн эрэг</t>
  </si>
  <si>
    <t>Жо интернэшнл</t>
  </si>
  <si>
    <t>MV-015066</t>
  </si>
  <si>
    <t>Хадаттогой</t>
  </si>
  <si>
    <t>Жи Кэй Эм Кэй</t>
  </si>
  <si>
    <t>MV-015077</t>
  </si>
  <si>
    <t>Хөтөл улаан</t>
  </si>
  <si>
    <t>Талст дисковери</t>
  </si>
  <si>
    <t>MV-015090</t>
  </si>
  <si>
    <t>Цайдам-1</t>
  </si>
  <si>
    <t>Тэнгрипетро чэмикалс</t>
  </si>
  <si>
    <t>MV-015091</t>
  </si>
  <si>
    <t>Доод золуу хар</t>
  </si>
  <si>
    <t>Монрок</t>
  </si>
  <si>
    <t>MV-015119</t>
  </si>
  <si>
    <t>Нэргүй толгой</t>
  </si>
  <si>
    <t>Хос хүдэр майнинг</t>
  </si>
  <si>
    <t>MV-015124</t>
  </si>
  <si>
    <t>Төгрөгийн нүүрсний орд</t>
  </si>
  <si>
    <t>Нэйчө</t>
  </si>
  <si>
    <t>Говьсүмбэр, Төв</t>
  </si>
  <si>
    <t>Баянтал, Баян</t>
  </si>
  <si>
    <t>MV-015151</t>
  </si>
  <si>
    <t>Эрдэнэ-Өндөр</t>
  </si>
  <si>
    <t>Жи Би Эм</t>
  </si>
  <si>
    <t>MV-015152</t>
  </si>
  <si>
    <t>Захцаг уул</t>
  </si>
  <si>
    <t>MV-015169</t>
  </si>
  <si>
    <t>MV-015170</t>
  </si>
  <si>
    <t>Ихэр худаг</t>
  </si>
  <si>
    <t>Шинэсансар</t>
  </si>
  <si>
    <t>MV-015219</t>
  </si>
  <si>
    <t>Агальметолит, Барит</t>
  </si>
  <si>
    <t>Ягаан худгийн ам</t>
  </si>
  <si>
    <t>Ивээл-Өлзий</t>
  </si>
  <si>
    <t>MV-015222</t>
  </si>
  <si>
    <t>Баруун бурхант</t>
  </si>
  <si>
    <t>Гүн-Орд</t>
  </si>
  <si>
    <t>MV-015225</t>
  </si>
  <si>
    <t>Алт /Шороо/, Зэс</t>
  </si>
  <si>
    <t>ОНТРЭ</t>
  </si>
  <si>
    <t>Баян-Овоо, Ханбогд</t>
  </si>
  <si>
    <t>MV-015226</t>
  </si>
  <si>
    <t>Шивээ толгой</t>
  </si>
  <si>
    <t>MV-015234</t>
  </si>
  <si>
    <t>Ньюфлюорит</t>
  </si>
  <si>
    <t>Гурвансайхан</t>
  </si>
  <si>
    <t>MV-015243</t>
  </si>
  <si>
    <t>Налайх-2</t>
  </si>
  <si>
    <t>Хөхсүлд групп</t>
  </si>
  <si>
    <t>MV-015244</t>
  </si>
  <si>
    <t>Хадат</t>
  </si>
  <si>
    <t>Мөнх аргал уул</t>
  </si>
  <si>
    <t>Баянхангай, Угтаалцайдам</t>
  </si>
  <si>
    <t>MV-015249</t>
  </si>
  <si>
    <t>Хөтөл-2</t>
  </si>
  <si>
    <t>MV-015274</t>
  </si>
  <si>
    <t>Овоот-1</t>
  </si>
  <si>
    <t>Олон-Овоот гоулд</t>
  </si>
  <si>
    <t>MV-015275</t>
  </si>
  <si>
    <t>Гоёот улаан</t>
  </si>
  <si>
    <t>MV-015282</t>
  </si>
  <si>
    <t>Мөргөцөг уул</t>
  </si>
  <si>
    <t>MV-015283</t>
  </si>
  <si>
    <t>Бороодон</t>
  </si>
  <si>
    <t>MV-015285</t>
  </si>
  <si>
    <t>Өнжин уул</t>
  </si>
  <si>
    <t>Сэлэнгэ, Төв</t>
  </si>
  <si>
    <t>Мандал, Борнуур</t>
  </si>
  <si>
    <t>MV-015287</t>
  </si>
  <si>
    <t>Нэргүй</t>
  </si>
  <si>
    <t>Ихшижир эрдэнэ</t>
  </si>
  <si>
    <t>MV-015289</t>
  </si>
  <si>
    <t>MV-015299</t>
  </si>
  <si>
    <t>Хар уул</t>
  </si>
  <si>
    <t>Геогоулд</t>
  </si>
  <si>
    <t>MV-015331</t>
  </si>
  <si>
    <t>Авдартолгой</t>
  </si>
  <si>
    <t>Би Эйч Эм</t>
  </si>
  <si>
    <t>Чулуунхороот</t>
  </si>
  <si>
    <t>MV-015332</t>
  </si>
  <si>
    <t>Төсөлч</t>
  </si>
  <si>
    <t>MV-015333</t>
  </si>
  <si>
    <t>Оюут овоо</t>
  </si>
  <si>
    <t>Голденпогада</t>
  </si>
  <si>
    <t>MV-015334</t>
  </si>
  <si>
    <t>Шар хүрээ</t>
  </si>
  <si>
    <t>Рео</t>
  </si>
  <si>
    <t>MV-015353</t>
  </si>
  <si>
    <t>MV-015377</t>
  </si>
  <si>
    <t>Таяннуур-1</t>
  </si>
  <si>
    <t>MV-015378</t>
  </si>
  <si>
    <t>Хөх адар-1</t>
  </si>
  <si>
    <t>И Эй Эм хөх адар</t>
  </si>
  <si>
    <t>Толбо</t>
  </si>
  <si>
    <t>MV-015403</t>
  </si>
  <si>
    <t>Хужиртын улаан ар</t>
  </si>
  <si>
    <t>MV-015424</t>
  </si>
  <si>
    <t>Наран гоулд</t>
  </si>
  <si>
    <t>MV-015429</t>
  </si>
  <si>
    <t>Тахилт-2</t>
  </si>
  <si>
    <t>MV-015436</t>
  </si>
  <si>
    <t>Эс Жи Гоулд Майнинг</t>
  </si>
  <si>
    <t>MV-015458</t>
  </si>
  <si>
    <t>Буурлын хөндийн дээд</t>
  </si>
  <si>
    <t>Түвшинтөр трейд</t>
  </si>
  <si>
    <t>MV-010548</t>
  </si>
  <si>
    <t>Замбалын ам</t>
  </si>
  <si>
    <t>Хөвших баян хайрхан</t>
  </si>
  <si>
    <t>MV-001130</t>
  </si>
  <si>
    <t>Дэвтээр нуур</t>
  </si>
  <si>
    <t>Монголхан</t>
  </si>
  <si>
    <t>Сантмаргац</t>
  </si>
  <si>
    <t>MV-008826</t>
  </si>
  <si>
    <t>Бетон-Арматур</t>
  </si>
  <si>
    <t>MV-012239</t>
  </si>
  <si>
    <t>Цант уул-1</t>
  </si>
  <si>
    <t>Мөнхийн жонш</t>
  </si>
  <si>
    <t>MV-013635</t>
  </si>
  <si>
    <t>Дэлгэр-3</t>
  </si>
  <si>
    <t>Ситисүлжээ</t>
  </si>
  <si>
    <t>MV-014125</t>
  </si>
  <si>
    <t>Арвинхад</t>
  </si>
  <si>
    <t>MV-005582</t>
  </si>
  <si>
    <t>Баян оргил сэр</t>
  </si>
  <si>
    <t>MV-008663</t>
  </si>
  <si>
    <t>Галгатайн гол</t>
  </si>
  <si>
    <t>Дөрвөн тал</t>
  </si>
  <si>
    <t>MV-015450</t>
  </si>
  <si>
    <t>Сондуулт</t>
  </si>
  <si>
    <t>Хэнтий аймаг дахь Шүүхийн Шийдвэр Биелүүлэх Алба</t>
  </si>
  <si>
    <t>MV-015522</t>
  </si>
  <si>
    <t>Сөрт</t>
  </si>
  <si>
    <t>Ууган-Илч</t>
  </si>
  <si>
    <t>MV-015449</t>
  </si>
  <si>
    <t>Хар ямаат</t>
  </si>
  <si>
    <t>MV-015496</t>
  </si>
  <si>
    <t>Тарвагатайн гол</t>
  </si>
  <si>
    <t>Микмайнинг</t>
  </si>
  <si>
    <t>MV-015465</t>
  </si>
  <si>
    <t>Шарнарст</t>
  </si>
  <si>
    <t>MV-015565</t>
  </si>
  <si>
    <t>МОНЦЕО</t>
  </si>
  <si>
    <t>MV-015571</t>
  </si>
  <si>
    <t>Бурхант толгой</t>
  </si>
  <si>
    <t>Шенгчан</t>
  </si>
  <si>
    <t>MV-015572</t>
  </si>
  <si>
    <t>Замын хөх толгой</t>
  </si>
  <si>
    <t>MV-015573</t>
  </si>
  <si>
    <t>Дэнжийн элс-1</t>
  </si>
  <si>
    <t>MV-015552</t>
  </si>
  <si>
    <t>Туулын зүүн дэнж</t>
  </si>
  <si>
    <t>ПЛ майнинг</t>
  </si>
  <si>
    <t>MV-015581</t>
  </si>
  <si>
    <t>Төгрөг нуур</t>
  </si>
  <si>
    <t>Төгрөгтал</t>
  </si>
  <si>
    <t>Баян, Баянжаргалан</t>
  </si>
  <si>
    <t>MV-015580</t>
  </si>
  <si>
    <t>Буянт</t>
  </si>
  <si>
    <t>Түмэн-Ивээл</t>
  </si>
  <si>
    <t>MV-015576</t>
  </si>
  <si>
    <t>Цагаан хөшөө адаг</t>
  </si>
  <si>
    <t>Нэтэнт</t>
  </si>
  <si>
    <t>Улаангом</t>
  </si>
  <si>
    <t>MV-015535</t>
  </si>
  <si>
    <t>Ганзагат</t>
  </si>
  <si>
    <t>Баян-Уудам тал</t>
  </si>
  <si>
    <t>MV-015585</t>
  </si>
  <si>
    <t>Их ам</t>
  </si>
  <si>
    <t>Шармонгол</t>
  </si>
  <si>
    <t>MV-015586</t>
  </si>
  <si>
    <t>Туул гол</t>
  </si>
  <si>
    <t>Олз гоулд майнинг</t>
  </si>
  <si>
    <t>MV-015590</t>
  </si>
  <si>
    <t>Юүдэг</t>
  </si>
  <si>
    <t>Арвижихмандал</t>
  </si>
  <si>
    <t>MV-015597</t>
  </si>
  <si>
    <t>Дацантрейд</t>
  </si>
  <si>
    <t>MV-015595</t>
  </si>
  <si>
    <t>Ундрах толгой</t>
  </si>
  <si>
    <t>Их-Урсгал</t>
  </si>
  <si>
    <t>MV-015594</t>
  </si>
  <si>
    <t>Засаг чандмань майнз</t>
  </si>
  <si>
    <t>Дэлгэрэх</t>
  </si>
  <si>
    <t>MV-015600</t>
  </si>
  <si>
    <t>Тасархай</t>
  </si>
  <si>
    <t>Монлайхад</t>
  </si>
  <si>
    <t>MV-015599</t>
  </si>
  <si>
    <t>Баян уул</t>
  </si>
  <si>
    <t>MV-015605</t>
  </si>
  <si>
    <t>Дулаан хар уул</t>
  </si>
  <si>
    <t>Юүшэнгминг</t>
  </si>
  <si>
    <t>MV-015610</t>
  </si>
  <si>
    <t>Цахиурт овоо</t>
  </si>
  <si>
    <t>Эм Эл цахиурт овоо</t>
  </si>
  <si>
    <t>MV-015596</t>
  </si>
  <si>
    <t>MV-015606</t>
  </si>
  <si>
    <t>Шар уул</t>
  </si>
  <si>
    <t>MV-015619</t>
  </si>
  <si>
    <t>Зуун модны гол</t>
  </si>
  <si>
    <t>MV-015618</t>
  </si>
  <si>
    <t>Зуун модны гол-1</t>
  </si>
  <si>
    <t>MV-015617</t>
  </si>
  <si>
    <t>Эрээн гол</t>
  </si>
  <si>
    <t>MV-015616</t>
  </si>
  <si>
    <t>Баян-Ус</t>
  </si>
  <si>
    <t>Пи Эй Ар Эй Эн</t>
  </si>
  <si>
    <t>MV-015620</t>
  </si>
  <si>
    <t>Би Жи Эм Би</t>
  </si>
  <si>
    <t>MV-015633</t>
  </si>
  <si>
    <t>Шаргалболор</t>
  </si>
  <si>
    <t>MV-015635</t>
  </si>
  <si>
    <t>Номт</t>
  </si>
  <si>
    <t>MV-015631</t>
  </si>
  <si>
    <t>Хотгор минералс</t>
  </si>
  <si>
    <t>Ханхонгор, Цогт-Овоо</t>
  </si>
  <si>
    <t>MV-015632</t>
  </si>
  <si>
    <t>Харгайт</t>
  </si>
  <si>
    <t>Геопро монгол</t>
  </si>
  <si>
    <t>Сагил</t>
  </si>
  <si>
    <t>MV-015636</t>
  </si>
  <si>
    <t>Эн Си Жи Ти</t>
  </si>
  <si>
    <t>Бигэр</t>
  </si>
  <si>
    <t>MV-001258</t>
  </si>
  <si>
    <t>Бааюу Буурлын овоо</t>
  </si>
  <si>
    <t>Урансэлэнгэ</t>
  </si>
  <si>
    <t>Шаамар</t>
  </si>
  <si>
    <t>MV-010927</t>
  </si>
  <si>
    <t>Наймган-Орд</t>
  </si>
  <si>
    <t>MV-011820</t>
  </si>
  <si>
    <t>Зүүн Аргатай</t>
  </si>
  <si>
    <t>Болоржонш</t>
  </si>
  <si>
    <t>MV-015640</t>
  </si>
  <si>
    <t>Эргэн</t>
  </si>
  <si>
    <t>Олондавна</t>
  </si>
  <si>
    <t>Баруун-Урт, Сүхбаатар</t>
  </si>
  <si>
    <t>MV-015642</t>
  </si>
  <si>
    <t>Хээр морьт</t>
  </si>
  <si>
    <t>Тоосгон-Уул</t>
  </si>
  <si>
    <t>Түргэн</t>
  </si>
  <si>
    <t>MV-015643</t>
  </si>
  <si>
    <t>Хүүшийн ам</t>
  </si>
  <si>
    <t>Империал гоулд майнинг</t>
  </si>
  <si>
    <t>MV-015645</t>
  </si>
  <si>
    <t>Тайван-1</t>
  </si>
  <si>
    <t>НАБД</t>
  </si>
  <si>
    <t>MV-015646</t>
  </si>
  <si>
    <t>Шайзгайтын гол</t>
  </si>
  <si>
    <t>Би Эс Майнинг</t>
  </si>
  <si>
    <t>MV-015649</t>
  </si>
  <si>
    <t>Дэнжийн элс</t>
  </si>
  <si>
    <t>MV-015650</t>
  </si>
  <si>
    <t>Элсэн чулуу, Түгээмэл</t>
  </si>
  <si>
    <t>Ташгай уул орчим</t>
  </si>
  <si>
    <t>Тэгштплант</t>
  </si>
  <si>
    <t>MV-015651</t>
  </si>
  <si>
    <t>Мандалын голын адаг</t>
  </si>
  <si>
    <t>Оргил моунт</t>
  </si>
  <si>
    <t>MV-016657</t>
  </si>
  <si>
    <t>MV-016662</t>
  </si>
  <si>
    <t>Зүүн түрүүний адаг</t>
  </si>
  <si>
    <t>Ди Эйч Пи Эн</t>
  </si>
  <si>
    <t>MV-016668</t>
  </si>
  <si>
    <t>Ширээ уул-1</t>
  </si>
  <si>
    <t>Түмэн-Анд</t>
  </si>
  <si>
    <t>MV-016669</t>
  </si>
  <si>
    <t>Ширээ уул-2</t>
  </si>
  <si>
    <t>MV-016653</t>
  </si>
  <si>
    <t>Балган уул</t>
  </si>
  <si>
    <t>Ар Эс И</t>
  </si>
  <si>
    <t>MV-016658</t>
  </si>
  <si>
    <t>Хужирт</t>
  </si>
  <si>
    <t>Болоршүр</t>
  </si>
  <si>
    <t>Баян-Уул</t>
  </si>
  <si>
    <t>MV-016660</t>
  </si>
  <si>
    <t>Ширэн овоо</t>
  </si>
  <si>
    <t>Зэст-Өндөр</t>
  </si>
  <si>
    <t>MV-016679</t>
  </si>
  <si>
    <t>Сайн хөөвөр</t>
  </si>
  <si>
    <t>Бадмаарагхаш</t>
  </si>
  <si>
    <t>MV-016682</t>
  </si>
  <si>
    <t>Төхөм</t>
  </si>
  <si>
    <t>Төхөмдавс</t>
  </si>
  <si>
    <t>MV-016683</t>
  </si>
  <si>
    <t>Цагаанхайрхан-2</t>
  </si>
  <si>
    <t>Мөст олон булаг</t>
  </si>
  <si>
    <t>Цагаанхайрхан</t>
  </si>
  <si>
    <t>MV-016684</t>
  </si>
  <si>
    <t>Тарагт</t>
  </si>
  <si>
    <t>Монголиан индастрил минералс корпорэйшн</t>
  </si>
  <si>
    <t>MV-016685</t>
  </si>
  <si>
    <t>MV-016686</t>
  </si>
  <si>
    <t>Шийризстоун</t>
  </si>
  <si>
    <t>MV-016687</t>
  </si>
  <si>
    <t>MV-016689</t>
  </si>
  <si>
    <t>Бүдүүн ухаа</t>
  </si>
  <si>
    <t>Хунт Өгөөж</t>
  </si>
  <si>
    <t>MV-016700</t>
  </si>
  <si>
    <t>Өвөр бүрэгтэй</t>
  </si>
  <si>
    <t>MV-016690</t>
  </si>
  <si>
    <t>Түргэний гол</t>
  </si>
  <si>
    <t>Увсхүдэр</t>
  </si>
  <si>
    <t>MV-016703</t>
  </si>
  <si>
    <t>MV-016704</t>
  </si>
  <si>
    <t>Цайдам уул</t>
  </si>
  <si>
    <t>Сувданбороо</t>
  </si>
  <si>
    <t>MV-016708</t>
  </si>
  <si>
    <t>Өнөржонш</t>
  </si>
  <si>
    <t>MV-016709</t>
  </si>
  <si>
    <t>Мөргөцөг-2</t>
  </si>
  <si>
    <t>Арвинжонш</t>
  </si>
  <si>
    <t>MV-016711</t>
  </si>
  <si>
    <t>Буд-Ундрам</t>
  </si>
  <si>
    <t>MV-016718</t>
  </si>
  <si>
    <t>MV-016719</t>
  </si>
  <si>
    <t>Бүс толгой-1</t>
  </si>
  <si>
    <t>Чандмань-Эрхүүд</t>
  </si>
  <si>
    <t>MV-016722</t>
  </si>
  <si>
    <t>MV-016733</t>
  </si>
  <si>
    <t>Керамзитын шавар</t>
  </si>
  <si>
    <t>Хими-2</t>
  </si>
  <si>
    <t>ТЭДЭӨ</t>
  </si>
  <si>
    <t>Багахангай</t>
  </si>
  <si>
    <t>MV-016734</t>
  </si>
  <si>
    <t>MV-016735</t>
  </si>
  <si>
    <t>Манж толгой</t>
  </si>
  <si>
    <t>MV-016752</t>
  </si>
  <si>
    <t>Баясгалантын дэнж</t>
  </si>
  <si>
    <t>Хавтгайн хангайн хүрд</t>
  </si>
  <si>
    <t>MV-006233</t>
  </si>
  <si>
    <t>Мирайфлюорид</t>
  </si>
  <si>
    <t>MV-016760</t>
  </si>
  <si>
    <t>Лаахын хөндий</t>
  </si>
  <si>
    <t>Цантын жим</t>
  </si>
  <si>
    <t>MV-001329</t>
  </si>
  <si>
    <t>Өгөөмөр</t>
  </si>
  <si>
    <t>MV-016767</t>
  </si>
  <si>
    <t>MV-016772</t>
  </si>
  <si>
    <t>Хүдрийнбиет-16-1</t>
  </si>
  <si>
    <t>MV-016775</t>
  </si>
  <si>
    <t>Сайрт</t>
  </si>
  <si>
    <t>Ихэргурван цохио</t>
  </si>
  <si>
    <t>MV-016759</t>
  </si>
  <si>
    <t>Хоримт</t>
  </si>
  <si>
    <t>Мандал ресурс</t>
  </si>
  <si>
    <t>MV-016790</t>
  </si>
  <si>
    <t>Төмөр, Холимог металл</t>
  </si>
  <si>
    <t>Хараат</t>
  </si>
  <si>
    <t>Шианганюнтун</t>
  </si>
  <si>
    <t>MV-016791</t>
  </si>
  <si>
    <t>Бор-Овоо</t>
  </si>
  <si>
    <t>Алтантахь</t>
  </si>
  <si>
    <t>Сайхан-Овоо</t>
  </si>
  <si>
    <t>MV-016793</t>
  </si>
  <si>
    <t>Улаан чулуут</t>
  </si>
  <si>
    <t>MV-016795</t>
  </si>
  <si>
    <t>Ховдцемент</t>
  </si>
  <si>
    <t>MV-008469</t>
  </si>
  <si>
    <t>Өмнөт хар айраг</t>
  </si>
  <si>
    <t>Би Ти девелопмент</t>
  </si>
  <si>
    <t>MV-016806</t>
  </si>
  <si>
    <t>Шинэлонгда</t>
  </si>
  <si>
    <t>Манлай</t>
  </si>
  <si>
    <t>MV-016816</t>
  </si>
  <si>
    <t>Хужиртын гол</t>
  </si>
  <si>
    <t>Нарлагговь жем</t>
  </si>
  <si>
    <t>MV-016817</t>
  </si>
  <si>
    <t>Хужиртын гол-1</t>
  </si>
  <si>
    <t>MV-016819</t>
  </si>
  <si>
    <t>Дожир</t>
  </si>
  <si>
    <t>Ханшашир</t>
  </si>
  <si>
    <t>MV-016821</t>
  </si>
  <si>
    <t>Билүүт уул</t>
  </si>
  <si>
    <t>MV-016827</t>
  </si>
  <si>
    <t>Ухаа бэл-3</t>
  </si>
  <si>
    <t>Гүрэн</t>
  </si>
  <si>
    <t>MV-001573</t>
  </si>
  <si>
    <t>Боржин</t>
  </si>
  <si>
    <t>Буурал Хангай Уул</t>
  </si>
  <si>
    <t>Мага</t>
  </si>
  <si>
    <t>MV-016831</t>
  </si>
  <si>
    <t>Эрдэнэ толгой</t>
  </si>
  <si>
    <t>Эрдэнэтолгой ресорсэс</t>
  </si>
  <si>
    <t>MV-016833</t>
  </si>
  <si>
    <t>Шийрийн хөндийн адаг 4-р орд</t>
  </si>
  <si>
    <t>Инноваложиистик</t>
  </si>
  <si>
    <t>MV-016838</t>
  </si>
  <si>
    <t>Цагаан хяр</t>
  </si>
  <si>
    <t>Прешиусмаунтин</t>
  </si>
  <si>
    <t>MV-016839</t>
  </si>
  <si>
    <t>Бөхөг-3</t>
  </si>
  <si>
    <t>Батшил</t>
  </si>
  <si>
    <t>MV-016841</t>
  </si>
  <si>
    <t>Туул голын баруун дэнж</t>
  </si>
  <si>
    <t>MV-016835</t>
  </si>
  <si>
    <t>Морин толгой</t>
  </si>
  <si>
    <t>Эслэт</t>
  </si>
  <si>
    <t>MV-016836</t>
  </si>
  <si>
    <t>Хөвийн хар</t>
  </si>
  <si>
    <t>Анианресорсиз</t>
  </si>
  <si>
    <t>MV-016843</t>
  </si>
  <si>
    <t>Хөх толгой</t>
  </si>
  <si>
    <t>Ширээгийн шугуй</t>
  </si>
  <si>
    <t>MV-016848</t>
  </si>
  <si>
    <t>Баруун туруун-2</t>
  </si>
  <si>
    <t>Монфрукт</t>
  </si>
  <si>
    <t>MV-016852</t>
  </si>
  <si>
    <t>Салхит бор толгой</t>
  </si>
  <si>
    <t>Блүү вэйл ресурс</t>
  </si>
  <si>
    <t>MV-016854</t>
  </si>
  <si>
    <t>Могул-Энержи</t>
  </si>
  <si>
    <t>MV-016855</t>
  </si>
  <si>
    <t>Гокбулган уул</t>
  </si>
  <si>
    <t>MV-016861</t>
  </si>
  <si>
    <t>Банзат хайрхан</t>
  </si>
  <si>
    <t>Гурванзам</t>
  </si>
  <si>
    <t>Ноён</t>
  </si>
  <si>
    <t>MV-016862</t>
  </si>
  <si>
    <t>Морин даваа</t>
  </si>
  <si>
    <t>Ургахморин элс</t>
  </si>
  <si>
    <t>MV-016865</t>
  </si>
  <si>
    <t>Дорноговь-4</t>
  </si>
  <si>
    <t>Си Өү Эй Эл</t>
  </si>
  <si>
    <t>Мандах, Хөвсгөл</t>
  </si>
  <si>
    <t>MV-016867</t>
  </si>
  <si>
    <t>Бэрхийн нурамт</t>
  </si>
  <si>
    <t>Дашинчилэн</t>
  </si>
  <si>
    <t>MV-016869</t>
  </si>
  <si>
    <t>Өвөлжөө уул-1</t>
  </si>
  <si>
    <t>Гурвантэс, Ноён</t>
  </si>
  <si>
    <t>MV-016870</t>
  </si>
  <si>
    <t>Майхант толгой</t>
  </si>
  <si>
    <t>Ти Эн Би</t>
  </si>
  <si>
    <t>MV-016871</t>
  </si>
  <si>
    <t>Баянжаргалан район</t>
  </si>
  <si>
    <t>Занадукоал монголиа</t>
  </si>
  <si>
    <t>MV-016872</t>
  </si>
  <si>
    <t>Цант уул</t>
  </si>
  <si>
    <t>Мөнхноён суварга</t>
  </si>
  <si>
    <t>MV-016876</t>
  </si>
  <si>
    <t>Шарга</t>
  </si>
  <si>
    <t>БТМГ</t>
  </si>
  <si>
    <t>MV-016877</t>
  </si>
  <si>
    <t>Мөнгөн-Уул</t>
  </si>
  <si>
    <t>Ариунхайрхан</t>
  </si>
  <si>
    <t>Хишиг-Өндөр</t>
  </si>
  <si>
    <t>MV-016879</t>
  </si>
  <si>
    <t>MV-016880</t>
  </si>
  <si>
    <t>Морин толгой-1</t>
  </si>
  <si>
    <t>ЭСТО</t>
  </si>
  <si>
    <t>MV-016881</t>
  </si>
  <si>
    <t>MV-016882</t>
  </si>
  <si>
    <t>MV-016883</t>
  </si>
  <si>
    <t>MV-014715</t>
  </si>
  <si>
    <t>Дүньли</t>
  </si>
  <si>
    <t>MV-016896</t>
  </si>
  <si>
    <t>Хамтын эх булаг</t>
  </si>
  <si>
    <t>MV-016897</t>
  </si>
  <si>
    <t>Бүүвэйт</t>
  </si>
  <si>
    <t>Централ эйшиан цемент</t>
  </si>
  <si>
    <t>MV-016898</t>
  </si>
  <si>
    <t>Ширээгийн хөндий</t>
  </si>
  <si>
    <t>MV-016901</t>
  </si>
  <si>
    <t>Уулзвар</t>
  </si>
  <si>
    <t>Жинжий майнинг</t>
  </si>
  <si>
    <t>MV-016905</t>
  </si>
  <si>
    <t>Уртын дэнж</t>
  </si>
  <si>
    <t>Цогт-Онон</t>
  </si>
  <si>
    <t>MV-016906</t>
  </si>
  <si>
    <t>Хоолтын даваа</t>
  </si>
  <si>
    <t>Андсөүрвэй</t>
  </si>
  <si>
    <t>MV-016912</t>
  </si>
  <si>
    <t>Долмитжсэн гантиг</t>
  </si>
  <si>
    <t>MV-016920</t>
  </si>
  <si>
    <t>Түмэнцацал</t>
  </si>
  <si>
    <t>MV-016921</t>
  </si>
  <si>
    <t>Асгат-Эрдэнэ</t>
  </si>
  <si>
    <t>MV-016922</t>
  </si>
  <si>
    <t>Наран</t>
  </si>
  <si>
    <t>Кайлонкуонеэ</t>
  </si>
  <si>
    <t>MV-016930</t>
  </si>
  <si>
    <t>Цагаан-Өндөр</t>
  </si>
  <si>
    <t>Эм Ди Эф И</t>
  </si>
  <si>
    <t>Өндөршил</t>
  </si>
  <si>
    <t>MV-016932</t>
  </si>
  <si>
    <t>Бахлаг</t>
  </si>
  <si>
    <t>Луже-Орд</t>
  </si>
  <si>
    <t>MV-016933</t>
  </si>
  <si>
    <t>Ногоон нуурын хөндий</t>
  </si>
  <si>
    <t>MV-016934</t>
  </si>
  <si>
    <t>Алтан тал</t>
  </si>
  <si>
    <t>Говьмарал</t>
  </si>
  <si>
    <t>MV-016935</t>
  </si>
  <si>
    <t>Ди Жи Эф Эл</t>
  </si>
  <si>
    <t>MV-016936</t>
  </si>
  <si>
    <t>Айраг-Индмин</t>
  </si>
  <si>
    <t>MV-016937</t>
  </si>
  <si>
    <t>Цэнхэрмандал-1</t>
  </si>
  <si>
    <t>Алтан эрдэнийн орд</t>
  </si>
  <si>
    <t>MV-016940</t>
  </si>
  <si>
    <t>Цагаан чулуут уул</t>
  </si>
  <si>
    <t>Шашир-Оргил</t>
  </si>
  <si>
    <t>MV-016938</t>
  </si>
  <si>
    <t>Хүрэн уул</t>
  </si>
  <si>
    <t>Талын элч</t>
  </si>
  <si>
    <t>MV-016947</t>
  </si>
  <si>
    <t>MV-016950</t>
  </si>
  <si>
    <t>Саран Уул</t>
  </si>
  <si>
    <t>Ньюсаймин рисорсэс</t>
  </si>
  <si>
    <t>Жинст</t>
  </si>
  <si>
    <t>MV-016952</t>
  </si>
  <si>
    <t>Зангат уул-1</t>
  </si>
  <si>
    <t>Жавхлант-Орд</t>
  </si>
  <si>
    <t>MV-016958</t>
  </si>
  <si>
    <t>Грийн энержи просперити</t>
  </si>
  <si>
    <t>MV-016959</t>
  </si>
  <si>
    <t>Эрдэнэцогт-1</t>
  </si>
  <si>
    <t>MV-016962</t>
  </si>
  <si>
    <t>Үүд</t>
  </si>
  <si>
    <t>Дорнын хүдэр</t>
  </si>
  <si>
    <t>Булган, Матад</t>
  </si>
  <si>
    <t>MV-016965</t>
  </si>
  <si>
    <t>Орлогын гол</t>
  </si>
  <si>
    <t>Ихбуянт овоо</t>
  </si>
  <si>
    <t>MV-016964</t>
  </si>
  <si>
    <t>Мон минералс майнинг энд трейд</t>
  </si>
  <si>
    <t>MV-016968</t>
  </si>
  <si>
    <t>Самартай-1</t>
  </si>
  <si>
    <t>Хөхжонш</t>
  </si>
  <si>
    <t>MV-016971</t>
  </si>
  <si>
    <t>Хөвгүүн</t>
  </si>
  <si>
    <t>Алагтэвш</t>
  </si>
  <si>
    <t>MV-016975</t>
  </si>
  <si>
    <t>Премиумкөүл корпораци</t>
  </si>
  <si>
    <t>MV-016980</t>
  </si>
  <si>
    <t>Саарлын хөтөл</t>
  </si>
  <si>
    <t>Хонгорын орд</t>
  </si>
  <si>
    <t>MV-016981</t>
  </si>
  <si>
    <t>MV-016982</t>
  </si>
  <si>
    <t>MV-016988</t>
  </si>
  <si>
    <t>Талстбурхант</t>
  </si>
  <si>
    <t>MV-016989</t>
  </si>
  <si>
    <t>Хар овоо</t>
  </si>
  <si>
    <t>MV-016990</t>
  </si>
  <si>
    <t>Шанаган</t>
  </si>
  <si>
    <t>Фийлдсаплай</t>
  </si>
  <si>
    <t>MV-016998</t>
  </si>
  <si>
    <t>MV-017004</t>
  </si>
  <si>
    <t>Асланполимет</t>
  </si>
  <si>
    <t>MV-017005</t>
  </si>
  <si>
    <t>MV-016994</t>
  </si>
  <si>
    <t>Улаан хажуу</t>
  </si>
  <si>
    <t>Эж улаан хатуу</t>
  </si>
  <si>
    <t>MV-016995</t>
  </si>
  <si>
    <t>Арцат цүнхэг</t>
  </si>
  <si>
    <t>MV-016997</t>
  </si>
  <si>
    <t>Бор хаг</t>
  </si>
  <si>
    <t>Монголиан күүпер майнинг</t>
  </si>
  <si>
    <t>MV-017007</t>
  </si>
  <si>
    <t>Хүрээ дэл-1</t>
  </si>
  <si>
    <t>Жунхаовэйеэ</t>
  </si>
  <si>
    <t>MV-017010</t>
  </si>
  <si>
    <t>Спек</t>
  </si>
  <si>
    <t>MV-017013</t>
  </si>
  <si>
    <t>Чойр</t>
  </si>
  <si>
    <t>Талын шигтгээ</t>
  </si>
  <si>
    <t>Баянжаргалан, Өндөршил</t>
  </si>
  <si>
    <t>MV-017014</t>
  </si>
  <si>
    <t>Халбас уул</t>
  </si>
  <si>
    <t>Эс эс Жи Пи</t>
  </si>
  <si>
    <t>MV-017017</t>
  </si>
  <si>
    <t>Хустай</t>
  </si>
  <si>
    <t>Хүннүстийл</t>
  </si>
  <si>
    <t>MV-017020</t>
  </si>
  <si>
    <t>Да шан хайрхан</t>
  </si>
  <si>
    <t>MV-017021</t>
  </si>
  <si>
    <t>Оньдолт</t>
  </si>
  <si>
    <t>Завтайж</t>
  </si>
  <si>
    <t>MV-017028</t>
  </si>
  <si>
    <t>Тайшэндевелопмент</t>
  </si>
  <si>
    <t>MV-017029</t>
  </si>
  <si>
    <t>Ар богол</t>
  </si>
  <si>
    <t>Алагтайцэцэн</t>
  </si>
  <si>
    <t>Архуст</t>
  </si>
  <si>
    <t>MV-017030</t>
  </si>
  <si>
    <t>Нутгийн мана</t>
  </si>
  <si>
    <t>MV-017036</t>
  </si>
  <si>
    <t>Гавьжийн шанд</t>
  </si>
  <si>
    <t>Восточный дорог</t>
  </si>
  <si>
    <t>MV-017041</t>
  </si>
  <si>
    <t>Шийрийн хөндий</t>
  </si>
  <si>
    <t>Мөнхболор эрдэнэ</t>
  </si>
  <si>
    <t>MV-017042</t>
  </si>
  <si>
    <t>Бадамт</t>
  </si>
  <si>
    <t>Лотусдай уул</t>
  </si>
  <si>
    <t>MV-017043</t>
  </si>
  <si>
    <t>Товон уул-1</t>
  </si>
  <si>
    <t>MV-017059</t>
  </si>
  <si>
    <t>Миншингэрэлт од</t>
  </si>
  <si>
    <t>MV-017060</t>
  </si>
  <si>
    <t>Хотгор зүүн</t>
  </si>
  <si>
    <t>MV-017061</t>
  </si>
  <si>
    <t>Хотгор баруун</t>
  </si>
  <si>
    <t>MV-017057</t>
  </si>
  <si>
    <t>MV-017062</t>
  </si>
  <si>
    <t>Байц</t>
  </si>
  <si>
    <t>MV-017063</t>
  </si>
  <si>
    <t>Шанд худаг-2-1</t>
  </si>
  <si>
    <t>Тэвхэн</t>
  </si>
  <si>
    <t>MV-017064</t>
  </si>
  <si>
    <t>Өндөр жавхлан</t>
  </si>
  <si>
    <t>Фрийгүүд эрин</t>
  </si>
  <si>
    <t>MV-017065</t>
  </si>
  <si>
    <t>MV-017076</t>
  </si>
  <si>
    <t>Төв азийн гантиг</t>
  </si>
  <si>
    <t>Алаг-Эрдэнэ</t>
  </si>
  <si>
    <t>MV-017077</t>
  </si>
  <si>
    <t>Бор нуур</t>
  </si>
  <si>
    <t>Тайширын хүдэр</t>
  </si>
  <si>
    <t>Тайшир</t>
  </si>
  <si>
    <t>MV-017078</t>
  </si>
  <si>
    <t>Эрдэнэцогт-2</t>
  </si>
  <si>
    <t>И Си Эм</t>
  </si>
  <si>
    <t>MV-017080</t>
  </si>
  <si>
    <t>Манж худаг</t>
  </si>
  <si>
    <t>Нинжмөрөн</t>
  </si>
  <si>
    <t>Баян-Овоо, Галуут</t>
  </si>
  <si>
    <t>MV-017081</t>
  </si>
  <si>
    <t>Цахир дэл</t>
  </si>
  <si>
    <t>MV-017088</t>
  </si>
  <si>
    <t>MV-017089</t>
  </si>
  <si>
    <t>Юниверсалкоппер</t>
  </si>
  <si>
    <t>Баянговь</t>
  </si>
  <si>
    <t>MV-017090</t>
  </si>
  <si>
    <t>Даажийн булаг</t>
  </si>
  <si>
    <t>MV-017098</t>
  </si>
  <si>
    <t>Хургатайхайрхан</t>
  </si>
  <si>
    <t>MV-017097</t>
  </si>
  <si>
    <t>Доод дөрвөлжин</t>
  </si>
  <si>
    <t>MV-017100</t>
  </si>
  <si>
    <t>MV-017106</t>
  </si>
  <si>
    <t>Монгол тунжөн майнинг инвестмент групп</t>
  </si>
  <si>
    <t>MV-017111</t>
  </si>
  <si>
    <t>Алт /Шороо/, Холимог металл</t>
  </si>
  <si>
    <t>Урд цагаан овоо</t>
  </si>
  <si>
    <t>Степ голд</t>
  </si>
  <si>
    <t>MV-017112</t>
  </si>
  <si>
    <t>Олонгийн ухаа</t>
  </si>
  <si>
    <t>Эл Эл Ти Ди</t>
  </si>
  <si>
    <t>MV-017113</t>
  </si>
  <si>
    <t>Хэц толгой</t>
  </si>
  <si>
    <t>MV-017117</t>
  </si>
  <si>
    <t>MV-017118</t>
  </si>
  <si>
    <t>Сайн шанд худаг</t>
  </si>
  <si>
    <t>Майпло майнинг девелопмент</t>
  </si>
  <si>
    <t>MV-017120</t>
  </si>
  <si>
    <t>Дарцагт</t>
  </si>
  <si>
    <t>MV-017121</t>
  </si>
  <si>
    <t>Булагт</t>
  </si>
  <si>
    <t>Дэлгэр</t>
  </si>
  <si>
    <t>MV-017129</t>
  </si>
  <si>
    <t>Оюут улаан</t>
  </si>
  <si>
    <t>Вантаже</t>
  </si>
  <si>
    <t>MV-017131</t>
  </si>
  <si>
    <t>MV-017147</t>
  </si>
  <si>
    <t>Баг хайлаастын амны эх</t>
  </si>
  <si>
    <t>Төгс майнинг</t>
  </si>
  <si>
    <t>MV-017156</t>
  </si>
  <si>
    <t>Бумбат-188</t>
  </si>
  <si>
    <t>MV-017157</t>
  </si>
  <si>
    <t>Бумбат-197</t>
  </si>
  <si>
    <t>MV-017158</t>
  </si>
  <si>
    <t>Бумбат 115</t>
  </si>
  <si>
    <t>MV-017159</t>
  </si>
  <si>
    <t>Бумбат 56</t>
  </si>
  <si>
    <t>MV-017160</t>
  </si>
  <si>
    <t>MV-017162</t>
  </si>
  <si>
    <t>Баруун ноён уул-1</t>
  </si>
  <si>
    <t>Цагаан-Өвөлжөө</t>
  </si>
  <si>
    <t>MV-017164</t>
  </si>
  <si>
    <t>Ухаа шар уул</t>
  </si>
  <si>
    <t>Эс Жи майнинг эрдэс</t>
  </si>
  <si>
    <t>MV-017166</t>
  </si>
  <si>
    <t>Зүүн тойром</t>
  </si>
  <si>
    <t>Чинхаш</t>
  </si>
  <si>
    <t>MV-017171</t>
  </si>
  <si>
    <t>Алтансүлжээ системос</t>
  </si>
  <si>
    <t>MV-017173</t>
  </si>
  <si>
    <t>MV-017187</t>
  </si>
  <si>
    <t>Цэцэнс майнинг энд энержи</t>
  </si>
  <si>
    <t>MV-017188</t>
  </si>
  <si>
    <t>MV-017189</t>
  </si>
  <si>
    <t>Ямаат</t>
  </si>
  <si>
    <t>Зэвтдуулга</t>
  </si>
  <si>
    <t>MV-017191</t>
  </si>
  <si>
    <t>Баянтойрог</t>
  </si>
  <si>
    <t>ТОУУ</t>
  </si>
  <si>
    <t>MV-017195</t>
  </si>
  <si>
    <t>Үнсгэнийн хөндий-1</t>
  </si>
  <si>
    <t>Би Си Эм Эм</t>
  </si>
  <si>
    <t>MV-017185</t>
  </si>
  <si>
    <t>Ээдэмт-2</t>
  </si>
  <si>
    <t>Нарантуул трейд</t>
  </si>
  <si>
    <t>Баянжаргалан, Гурвансайхан</t>
  </si>
  <si>
    <t>MV-017194</t>
  </si>
  <si>
    <t>Зараа</t>
  </si>
  <si>
    <t>Анандбаян тал</t>
  </si>
  <si>
    <t>MV-017196</t>
  </si>
  <si>
    <t>Төхөм-3</t>
  </si>
  <si>
    <t>Ихговь энержи</t>
  </si>
  <si>
    <t>MV-017198</t>
  </si>
  <si>
    <t>Бумбат-5</t>
  </si>
  <si>
    <t>MV-017202</t>
  </si>
  <si>
    <t>Эрдэнийн сан майнинг</t>
  </si>
  <si>
    <t>Адаацаг</t>
  </si>
  <si>
    <t>MV-017220</t>
  </si>
  <si>
    <t>Даваат</t>
  </si>
  <si>
    <t>Сагсай</t>
  </si>
  <si>
    <t>MV-017224</t>
  </si>
  <si>
    <t>Сонин хангай-1</t>
  </si>
  <si>
    <t>Сонинхад</t>
  </si>
  <si>
    <t>MV-017225</t>
  </si>
  <si>
    <t>Жөн Юан</t>
  </si>
  <si>
    <t>MV-017231</t>
  </si>
  <si>
    <t>Бөхөг</t>
  </si>
  <si>
    <t>Минжийн хангайн төгөл</t>
  </si>
  <si>
    <t>MV-017232</t>
  </si>
  <si>
    <t>Улаан-Үүд</t>
  </si>
  <si>
    <t>Умардбаян</t>
  </si>
  <si>
    <t>MV-017234</t>
  </si>
  <si>
    <t>Ээдэмт-3</t>
  </si>
  <si>
    <t>Баянжаргалан, Говь-Угтаал, Гурвансайхан</t>
  </si>
  <si>
    <t>MV-017238</t>
  </si>
  <si>
    <t>Туулын дэнж</t>
  </si>
  <si>
    <t>MV-017239</t>
  </si>
  <si>
    <t>Тулга</t>
  </si>
  <si>
    <t>Дөчиндэлгэрэх</t>
  </si>
  <si>
    <t>MV-017241</t>
  </si>
  <si>
    <t>Хөнгөн цагаан</t>
  </si>
  <si>
    <t>Алаг уул</t>
  </si>
  <si>
    <t>Металл-Импекс</t>
  </si>
  <si>
    <t>MV-017243</t>
  </si>
  <si>
    <t>MV-017256</t>
  </si>
  <si>
    <t>Хонгор-3</t>
  </si>
  <si>
    <t>Хүдрэнт</t>
  </si>
  <si>
    <t>MV-017257</t>
  </si>
  <si>
    <t>Гозгор уул</t>
  </si>
  <si>
    <t>ЗТХ</t>
  </si>
  <si>
    <t>MV-017259</t>
  </si>
  <si>
    <t>Баян метал</t>
  </si>
  <si>
    <t>MV-017275</t>
  </si>
  <si>
    <t>Гялтгануур</t>
  </si>
  <si>
    <t>Эргийн ус</t>
  </si>
  <si>
    <t>Хүсэлтрейд</t>
  </si>
  <si>
    <t>Алтай</t>
  </si>
  <si>
    <t>MV-017286</t>
  </si>
  <si>
    <t>Налгар</t>
  </si>
  <si>
    <t>Стар ложестик ресурс</t>
  </si>
  <si>
    <t>MV-017291</t>
  </si>
  <si>
    <t>Цахир толгод</t>
  </si>
  <si>
    <t>Талст дөл</t>
  </si>
  <si>
    <t>MV-017292</t>
  </si>
  <si>
    <t>Хонхор заг</t>
  </si>
  <si>
    <t>Салхит-Алтай</t>
  </si>
  <si>
    <t>Алтай, Бугат</t>
  </si>
  <si>
    <t>MV-017301</t>
  </si>
  <si>
    <t>Баруун ноён уул</t>
  </si>
  <si>
    <t>Хур эрдэнэ баялаг</t>
  </si>
  <si>
    <t>MV-017302</t>
  </si>
  <si>
    <t>Тарагтын хөндий</t>
  </si>
  <si>
    <t>MV-017303</t>
  </si>
  <si>
    <t>Литий</t>
  </si>
  <si>
    <t>Алкалли метал монголиа</t>
  </si>
  <si>
    <t>MV-017304</t>
  </si>
  <si>
    <t>Баянголын дэнж-1</t>
  </si>
  <si>
    <t>Илтхэт</t>
  </si>
  <si>
    <t>MV-017305</t>
  </si>
  <si>
    <t>MV-017309</t>
  </si>
  <si>
    <t>Хашаат худаг</t>
  </si>
  <si>
    <t>Гоби форсе майнинг</t>
  </si>
  <si>
    <t>MV-017310</t>
  </si>
  <si>
    <t>Дунд бөхөг</t>
  </si>
  <si>
    <t>Хонгор холдинг</t>
  </si>
  <si>
    <t>MV-017314</t>
  </si>
  <si>
    <t>Морин даваа-2</t>
  </si>
  <si>
    <t>Мориндаваа дайрга</t>
  </si>
  <si>
    <t>MV-017316</t>
  </si>
  <si>
    <t>Гүүтийн амны адаг</t>
  </si>
  <si>
    <t>Сэншивэемонгол</t>
  </si>
  <si>
    <t>MV-017317</t>
  </si>
  <si>
    <t>Хүрэншанд</t>
  </si>
  <si>
    <t>Өсөхзоос</t>
  </si>
  <si>
    <t>MV-017321</t>
  </si>
  <si>
    <t>Жи би коппер майнинг</t>
  </si>
  <si>
    <t>MV-017325</t>
  </si>
  <si>
    <t>Ар тээл</t>
  </si>
  <si>
    <t>Би Би Жи Эн</t>
  </si>
  <si>
    <t>MV-017329</t>
  </si>
  <si>
    <t>Ухаа</t>
  </si>
  <si>
    <t>Мандахбулаг</t>
  </si>
  <si>
    <t>MV-017336</t>
  </si>
  <si>
    <t>Цайхар худаг</t>
  </si>
  <si>
    <t>MV-017349</t>
  </si>
  <si>
    <t>Нүүрст</t>
  </si>
  <si>
    <t>Модунресурсэс</t>
  </si>
  <si>
    <t>Архуст, Баян, Баянжаргалан</t>
  </si>
  <si>
    <t>MV-017334</t>
  </si>
  <si>
    <t>Адуун чулууны хөндий</t>
  </si>
  <si>
    <t>Баянтүмэн</t>
  </si>
  <si>
    <t>MV-017337</t>
  </si>
  <si>
    <t>Миний тоонот</t>
  </si>
  <si>
    <t>MV-017350</t>
  </si>
  <si>
    <t>Майхан толгой</t>
  </si>
  <si>
    <t>Цахирцагаан гол</t>
  </si>
  <si>
    <t>MV-017352</t>
  </si>
  <si>
    <t>Ухаа овоо</t>
  </si>
  <si>
    <t>Геохөгжил майнинг</t>
  </si>
  <si>
    <t>MV-017362</t>
  </si>
  <si>
    <t>Элс, Хайрга</t>
  </si>
  <si>
    <t>Их булан</t>
  </si>
  <si>
    <t>Сонголонхайрхан</t>
  </si>
  <si>
    <t>MV-017365</t>
  </si>
  <si>
    <t>Цэрэнбадам</t>
  </si>
  <si>
    <t>MV-017367</t>
  </si>
  <si>
    <t>Цагаан-Өндөр-3</t>
  </si>
  <si>
    <t>MV-017369</t>
  </si>
  <si>
    <t>MV-017371</t>
  </si>
  <si>
    <t>Орхонтуул-4</t>
  </si>
  <si>
    <t>Бийд майнинг</t>
  </si>
  <si>
    <t>MV-017373</t>
  </si>
  <si>
    <t>Салхитын бор толгой</t>
  </si>
  <si>
    <t>Полиметалл ресурс</t>
  </si>
  <si>
    <t>MV-017378</t>
  </si>
  <si>
    <t>Сүмтийн хоолой</t>
  </si>
  <si>
    <t>Гоулдсэнын монголиа</t>
  </si>
  <si>
    <t>MV-017375</t>
  </si>
  <si>
    <t>Монкоул петро майнинг</t>
  </si>
  <si>
    <t>MV-017376</t>
  </si>
  <si>
    <t>Цайдам хөндий</t>
  </si>
  <si>
    <t>MV-017377</t>
  </si>
  <si>
    <t>Зүүн цайдам</t>
  </si>
  <si>
    <t>MV-017384</t>
  </si>
  <si>
    <t>MV-017386</t>
  </si>
  <si>
    <t>Гишүүн</t>
  </si>
  <si>
    <t>Бэствайт</t>
  </si>
  <si>
    <t>MV-017387</t>
  </si>
  <si>
    <t>Хармагтай</t>
  </si>
  <si>
    <t>Оюут-Улаан</t>
  </si>
  <si>
    <t>MV-017388</t>
  </si>
  <si>
    <t>Си Би Жи Эм</t>
  </si>
  <si>
    <t>MV-017389</t>
  </si>
  <si>
    <t>Эрдэнэ-2</t>
  </si>
  <si>
    <t>Минтекминералс</t>
  </si>
  <si>
    <t>MV-017393</t>
  </si>
  <si>
    <t>Шар-Өндөр</t>
  </si>
  <si>
    <t>MV-017396</t>
  </si>
  <si>
    <t>Мушгиа худаг-1</t>
  </si>
  <si>
    <t>Макс-Импекс</t>
  </si>
  <si>
    <t>MV-017397</t>
  </si>
  <si>
    <t>Мушгиа худаг-2</t>
  </si>
  <si>
    <t>MV-017392</t>
  </si>
  <si>
    <t>Урт дэл</t>
  </si>
  <si>
    <t>Идэрголд</t>
  </si>
  <si>
    <t>MV-017398</t>
  </si>
  <si>
    <t>Бүрэнхаан-8</t>
  </si>
  <si>
    <t>Сутайхэн цо</t>
  </si>
  <si>
    <t>MV-017399</t>
  </si>
  <si>
    <t>Тугалтай-2</t>
  </si>
  <si>
    <t>Космо коал</t>
  </si>
  <si>
    <t>Жаргалтхаан, Мөрөн</t>
  </si>
  <si>
    <t>MV-017401</t>
  </si>
  <si>
    <t>Тугалгатай</t>
  </si>
  <si>
    <t>MV-017402</t>
  </si>
  <si>
    <t>Хармөрөн Монгол</t>
  </si>
  <si>
    <t>MV-017404</t>
  </si>
  <si>
    <t>Бөхөгийн хөндий</t>
  </si>
  <si>
    <t>Ээмдэ</t>
  </si>
  <si>
    <t>MV-017405</t>
  </si>
  <si>
    <t>Ай Эн Ди</t>
  </si>
  <si>
    <t>MV-017408</t>
  </si>
  <si>
    <t>Ноён шанд</t>
  </si>
  <si>
    <t>MV-017411</t>
  </si>
  <si>
    <t>Бөхөгийн хөндий-3</t>
  </si>
  <si>
    <t>Гангар-Инвест</t>
  </si>
  <si>
    <t>MV-017412</t>
  </si>
  <si>
    <t>Урал дизел</t>
  </si>
  <si>
    <t>MV-017423</t>
  </si>
  <si>
    <t>Замын худаг</t>
  </si>
  <si>
    <t>Түмэнтал</t>
  </si>
  <si>
    <t>MV-017425</t>
  </si>
  <si>
    <t>Мига-Эрин</t>
  </si>
  <si>
    <t>MV-017431</t>
  </si>
  <si>
    <t>Үнээтийн дэл</t>
  </si>
  <si>
    <t>Урагшлахговь</t>
  </si>
  <si>
    <t>MV-017432</t>
  </si>
  <si>
    <t>Цагаан залаат</t>
  </si>
  <si>
    <t>Дорнын чулуулаг</t>
  </si>
  <si>
    <t>Асгат, Сүхбаатар</t>
  </si>
  <si>
    <t>MV-017424</t>
  </si>
  <si>
    <t>Оорцог толгой</t>
  </si>
  <si>
    <t>Бумбат шохой</t>
  </si>
  <si>
    <t>MV-017426</t>
  </si>
  <si>
    <t>Ногоон уул</t>
  </si>
  <si>
    <t>Монгол базальт</t>
  </si>
  <si>
    <t>MV-017430</t>
  </si>
  <si>
    <t>Модот</t>
  </si>
  <si>
    <t>Эй Эйч Жи металлс групп</t>
  </si>
  <si>
    <t>MV-017433</t>
  </si>
  <si>
    <t>Ерөөлт</t>
  </si>
  <si>
    <t>MV-017436</t>
  </si>
  <si>
    <t>Эрдэнэгипс</t>
  </si>
  <si>
    <t>MV-017437</t>
  </si>
  <si>
    <t>MV-017438</t>
  </si>
  <si>
    <t>MV-017439</t>
  </si>
  <si>
    <t>Тойванамдүү чинео</t>
  </si>
  <si>
    <t>MV-017442</t>
  </si>
  <si>
    <t>MV-017443</t>
  </si>
  <si>
    <t>Рашаантын доод хэсэг</t>
  </si>
  <si>
    <t>Тунамал шижир</t>
  </si>
  <si>
    <t>MV-017449</t>
  </si>
  <si>
    <t>Алтан хундагын хөндий-1</t>
  </si>
  <si>
    <t>ОДЭ</t>
  </si>
  <si>
    <t>MV-017456</t>
  </si>
  <si>
    <t>Төмөр, Молибден</t>
  </si>
  <si>
    <t>Шохойт-1</t>
  </si>
  <si>
    <t>Эрдэнийн тал майнинг</t>
  </si>
  <si>
    <t>MV-017471</t>
  </si>
  <si>
    <t>Хуабэй куане</t>
  </si>
  <si>
    <t>MV-017479</t>
  </si>
  <si>
    <t>Гал баян</t>
  </si>
  <si>
    <t>Софт коал</t>
  </si>
  <si>
    <t>MV-017480</t>
  </si>
  <si>
    <t>Хулман нуур</t>
  </si>
  <si>
    <t>Эрдэнийн босго</t>
  </si>
  <si>
    <t>MV-017482</t>
  </si>
  <si>
    <t>Цайрт</t>
  </si>
  <si>
    <t>Говьмастер</t>
  </si>
  <si>
    <t>MV-017486</t>
  </si>
  <si>
    <t>Баруун дэл</t>
  </si>
  <si>
    <t>Дугуй-Уул</t>
  </si>
  <si>
    <t>MV-017488</t>
  </si>
  <si>
    <t>Шанд-1</t>
  </si>
  <si>
    <t>Би Эм Би Би</t>
  </si>
  <si>
    <t>MV-017493</t>
  </si>
  <si>
    <t>Дэвжих</t>
  </si>
  <si>
    <t>MV-017495</t>
  </si>
  <si>
    <t>Вестернресурс</t>
  </si>
  <si>
    <t>MV-017496</t>
  </si>
  <si>
    <t>Бор үзүүр</t>
  </si>
  <si>
    <t>Давхарсолонго</t>
  </si>
  <si>
    <t>MV-017499</t>
  </si>
  <si>
    <t>Ньюхаппи</t>
  </si>
  <si>
    <t>MV-017501</t>
  </si>
  <si>
    <t>Мөнххаш</t>
  </si>
  <si>
    <t>MV-017504</t>
  </si>
  <si>
    <t>Этүгэн-Эе</t>
  </si>
  <si>
    <t>MV-017506</t>
  </si>
  <si>
    <t>Хавцгайтын ам</t>
  </si>
  <si>
    <t>MV-017500</t>
  </si>
  <si>
    <t>Өнжүүл, Хар хонгор</t>
  </si>
  <si>
    <t>Си Ти Эл Ти</t>
  </si>
  <si>
    <t>MV-017507</t>
  </si>
  <si>
    <t>Хатавчийн өндөр уул</t>
  </si>
  <si>
    <t>Эрдэнэминас</t>
  </si>
  <si>
    <t>MV-017511</t>
  </si>
  <si>
    <t>Олон овоотын талбай</t>
  </si>
  <si>
    <t>MV-017512</t>
  </si>
  <si>
    <t>Жю бан сеок</t>
  </si>
  <si>
    <t>MV-017514</t>
  </si>
  <si>
    <t>Төв эрдэнэ сант</t>
  </si>
  <si>
    <t>MV-017515</t>
  </si>
  <si>
    <t>Хөмөөлт-1</t>
  </si>
  <si>
    <t>Коммонмакс</t>
  </si>
  <si>
    <t>MV-017516</t>
  </si>
  <si>
    <t>MV-017517</t>
  </si>
  <si>
    <t>Мөрөн, Түнэл</t>
  </si>
  <si>
    <t>MV-017524</t>
  </si>
  <si>
    <t>Өгөөмөр толгой</t>
  </si>
  <si>
    <t>MV-017521</t>
  </si>
  <si>
    <t>Залаа хайрхан уул-4</t>
  </si>
  <si>
    <t>MV-017525</t>
  </si>
  <si>
    <t>Илжигтэйн ам</t>
  </si>
  <si>
    <t>Шударга-Андууд</t>
  </si>
  <si>
    <t>MV-017527</t>
  </si>
  <si>
    <t>Хашаатын говь</t>
  </si>
  <si>
    <t>Галлантстар</t>
  </si>
  <si>
    <t>MV-017534</t>
  </si>
  <si>
    <t>Батширээт-1</t>
  </si>
  <si>
    <t>Эс Эйч Юу Ти</t>
  </si>
  <si>
    <t>MV-017535</t>
  </si>
  <si>
    <t>Цагаан суврага</t>
  </si>
  <si>
    <t>MV-017536</t>
  </si>
  <si>
    <t>Бөөрөлжүүтийн тал</t>
  </si>
  <si>
    <t>MV-017539</t>
  </si>
  <si>
    <t>Өлзийт овоо</t>
  </si>
  <si>
    <t>Нүүдэлчин айрон ресорс</t>
  </si>
  <si>
    <t>MV-017540</t>
  </si>
  <si>
    <t>Цахир</t>
  </si>
  <si>
    <t>Венера-Алтай</t>
  </si>
  <si>
    <t>MV-017541</t>
  </si>
  <si>
    <t>Түмэн Өлзий уул</t>
  </si>
  <si>
    <t>MV-017543</t>
  </si>
  <si>
    <t>Лог</t>
  </si>
  <si>
    <t>Говьшоо</t>
  </si>
  <si>
    <t>MV-017545</t>
  </si>
  <si>
    <t>Чингилийн гол-2</t>
  </si>
  <si>
    <t>MV-017548</t>
  </si>
  <si>
    <t>Сэлэнгэминералс</t>
  </si>
  <si>
    <t>MV-017551</t>
  </si>
  <si>
    <t>Нүүрстийн хутаг</t>
  </si>
  <si>
    <t>MV-017555</t>
  </si>
  <si>
    <t>MV-017556</t>
  </si>
  <si>
    <t>Элст гол</t>
  </si>
  <si>
    <t>БММЖ</t>
  </si>
  <si>
    <t>MV-017567</t>
  </si>
  <si>
    <t>Баянхурай</t>
  </si>
  <si>
    <t>MV-017568</t>
  </si>
  <si>
    <t>Цагаан гозгор-2</t>
  </si>
  <si>
    <t>Коол Адвентурс</t>
  </si>
  <si>
    <t>MV-017570</t>
  </si>
  <si>
    <t>Хиагтын Сэврээ уул</t>
  </si>
  <si>
    <t>Могол интэрнэшнл</t>
  </si>
  <si>
    <t>MV-017572</t>
  </si>
  <si>
    <t>Мөнгө, Холимог металл</t>
  </si>
  <si>
    <t>Шавагтай уул</t>
  </si>
  <si>
    <t>Мөст</t>
  </si>
  <si>
    <t>MV-017573</t>
  </si>
  <si>
    <t>Нэргүй хөндий</t>
  </si>
  <si>
    <t>MV-017574</t>
  </si>
  <si>
    <t>Түгээмэл, Элс, Дайрга</t>
  </si>
  <si>
    <t>Уянхайрхан</t>
  </si>
  <si>
    <t>MV-017575</t>
  </si>
  <si>
    <t>Хөмөөлт-2</t>
  </si>
  <si>
    <t>MV-017577</t>
  </si>
  <si>
    <t>MV-017579</t>
  </si>
  <si>
    <t>Алт /Шороо/, Мөнгө</t>
  </si>
  <si>
    <t>Өрхөт</t>
  </si>
  <si>
    <t>MV-017580</t>
  </si>
  <si>
    <t>Хөндлөн уул</t>
  </si>
  <si>
    <t>Юниверсалминерал эксплорейшн</t>
  </si>
  <si>
    <t>Тонхил</t>
  </si>
  <si>
    <t>MV-017585</t>
  </si>
  <si>
    <t>Улаан чулуу</t>
  </si>
  <si>
    <t>Мандговь</t>
  </si>
  <si>
    <t>MV-017590</t>
  </si>
  <si>
    <t>Түгээмэл, Барилгын ба өнгөлгөөний чулуу</t>
  </si>
  <si>
    <t>Баяннуур</t>
  </si>
  <si>
    <t>Гялалзах-Эрдэнэс</t>
  </si>
  <si>
    <t>MV-017591</t>
  </si>
  <si>
    <t>Балганы ар хоолой</t>
  </si>
  <si>
    <t>MV-017594</t>
  </si>
  <si>
    <t>Цагаан даваа-1</t>
  </si>
  <si>
    <t>Корн-Эскорт</t>
  </si>
  <si>
    <t>MV-017598</t>
  </si>
  <si>
    <t>MV-017603</t>
  </si>
  <si>
    <t>MV-017606</t>
  </si>
  <si>
    <t>Дэндгэр овоо</t>
  </si>
  <si>
    <t>СТБЛ</t>
  </si>
  <si>
    <t>MV-017607</t>
  </si>
  <si>
    <t>MV-017609</t>
  </si>
  <si>
    <t>Алаг уул-1</t>
  </si>
  <si>
    <t>Блэкпланет</t>
  </si>
  <si>
    <t>MV-017610</t>
  </si>
  <si>
    <t>Шийр</t>
  </si>
  <si>
    <t>Монсөнөд</t>
  </si>
  <si>
    <t>MV-017611</t>
  </si>
  <si>
    <t>Олгойбулаг</t>
  </si>
  <si>
    <t>MV-017617</t>
  </si>
  <si>
    <t>Могойтын ар</t>
  </si>
  <si>
    <t>Майнтөмөр</t>
  </si>
  <si>
    <t>MV-017624</t>
  </si>
  <si>
    <t>Хөх булаг</t>
  </si>
  <si>
    <t>Брит осианс куание</t>
  </si>
  <si>
    <t>MV-017625</t>
  </si>
  <si>
    <t>Шарлангол</t>
  </si>
  <si>
    <t>MV-017615</t>
  </si>
  <si>
    <t>Өвөлжөөний эх</t>
  </si>
  <si>
    <t>Жи Эф Си</t>
  </si>
  <si>
    <t>Жаргалтхаан</t>
  </si>
  <si>
    <t>MV-017616</t>
  </si>
  <si>
    <t>Түгээмэл, Шавар, Элс, Хайрга</t>
  </si>
  <si>
    <t>Сөөм газар</t>
  </si>
  <si>
    <t>Илчлэгхайлан</t>
  </si>
  <si>
    <t>MV-017621</t>
  </si>
  <si>
    <t>Өндөр цахир</t>
  </si>
  <si>
    <t>Содгазар</t>
  </si>
  <si>
    <t>MV-017626</t>
  </si>
  <si>
    <t>Чандмань-Өндөр</t>
  </si>
  <si>
    <t>MV-017627</t>
  </si>
  <si>
    <t>MV-017629</t>
  </si>
  <si>
    <t>Мандахын хөндий</t>
  </si>
  <si>
    <t>Мянганжигүүр</t>
  </si>
  <si>
    <t>Батцэнгэл, Төвшрүүлэх</t>
  </si>
  <si>
    <t>MV-017630</t>
  </si>
  <si>
    <t>Аман гол</t>
  </si>
  <si>
    <t>Эпидот</t>
  </si>
  <si>
    <t>MV-017639</t>
  </si>
  <si>
    <t>Зүрийн булан</t>
  </si>
  <si>
    <t>MV-017662</t>
  </si>
  <si>
    <t>Түгээмэл, Керамзитын шавар</t>
  </si>
  <si>
    <t>Баруун нуруу</t>
  </si>
  <si>
    <t>Мөнхтэргүүн</t>
  </si>
  <si>
    <t>MV-017663</t>
  </si>
  <si>
    <t>Ногцот толгой</t>
  </si>
  <si>
    <t>Галаксимайнинг монголиа</t>
  </si>
  <si>
    <t>MV-017669</t>
  </si>
  <si>
    <t>Жаргалант уул</t>
  </si>
  <si>
    <t>Хасдаваа</t>
  </si>
  <si>
    <t>MV-017635</t>
  </si>
  <si>
    <t>Салхит-2</t>
  </si>
  <si>
    <t>Хувьбилэгт</t>
  </si>
  <si>
    <t>MV-017641</t>
  </si>
  <si>
    <t>Чойл уул</t>
  </si>
  <si>
    <t>Майнерел</t>
  </si>
  <si>
    <t>MV-017642</t>
  </si>
  <si>
    <t>MV-017643</t>
  </si>
  <si>
    <t>MV-017644</t>
  </si>
  <si>
    <t>MV-017656</t>
  </si>
  <si>
    <t>Дөшийн гол</t>
  </si>
  <si>
    <t>Эхмөрөн</t>
  </si>
  <si>
    <t>Алаг-Эрдэнэ, Ренчинлхүмбэ</t>
  </si>
  <si>
    <t>MV-017658</t>
  </si>
  <si>
    <t>Өвөр мараат гол</t>
  </si>
  <si>
    <t>MV-017665</t>
  </si>
  <si>
    <t>Бүлээний хөндий</t>
  </si>
  <si>
    <t>Бүлээн-Ундрага</t>
  </si>
  <si>
    <t>MV-017666</t>
  </si>
  <si>
    <t>Баруун-Бортолгой-1</t>
  </si>
  <si>
    <t>MV-017671</t>
  </si>
  <si>
    <t>Соронзон толгой</t>
  </si>
  <si>
    <t>Соронзонтолгой</t>
  </si>
  <si>
    <t>Мөнххаан, Түвшинширээ</t>
  </si>
  <si>
    <t>MV-017695</t>
  </si>
  <si>
    <t>Баян дүүрэх</t>
  </si>
  <si>
    <t>MV-017700</t>
  </si>
  <si>
    <t>MV-017684</t>
  </si>
  <si>
    <t>Сааль толгой</t>
  </si>
  <si>
    <t>Баян, Багахангай</t>
  </si>
  <si>
    <t>MV-017685</t>
  </si>
  <si>
    <t>MV-017686</t>
  </si>
  <si>
    <t>Сидакуангей</t>
  </si>
  <si>
    <t>MV-017689</t>
  </si>
  <si>
    <t>Цэнгазар</t>
  </si>
  <si>
    <t>MV-017694</t>
  </si>
  <si>
    <t>Түшэц</t>
  </si>
  <si>
    <t>Сармайдээлт</t>
  </si>
  <si>
    <t>Айраг, Даланжаргалан</t>
  </si>
  <si>
    <t>MV-017707</t>
  </si>
  <si>
    <t>Шанд</t>
  </si>
  <si>
    <t>MV-017743</t>
  </si>
  <si>
    <t>Ариг гал</t>
  </si>
  <si>
    <t>MV-017770</t>
  </si>
  <si>
    <t>Урд тал</t>
  </si>
  <si>
    <t>Фүжибик</t>
  </si>
  <si>
    <t>MV-017771</t>
  </si>
  <si>
    <t>Овоот уул</t>
  </si>
  <si>
    <t>Грэйтпарагон</t>
  </si>
  <si>
    <t>MV-017890</t>
  </si>
  <si>
    <t>MV-017891</t>
  </si>
  <si>
    <t>MV-018116</t>
  </si>
  <si>
    <t>MV-018117</t>
  </si>
  <si>
    <t>Цайдам-6, 20, 21</t>
  </si>
  <si>
    <t>MV-018159</t>
  </si>
  <si>
    <t>Их нарт</t>
  </si>
  <si>
    <t>Ремикон</t>
  </si>
  <si>
    <t>MV-018164</t>
  </si>
  <si>
    <t>Ар улаан</t>
  </si>
  <si>
    <t>Лилидаймонд</t>
  </si>
  <si>
    <t>MV-018219</t>
  </si>
  <si>
    <t>Мушгуу</t>
  </si>
  <si>
    <t>Мушгуу майнинг</t>
  </si>
  <si>
    <t>Сагсай, Улаанхус</t>
  </si>
  <si>
    <t>MV-018291</t>
  </si>
  <si>
    <t>Цагаан арын даваа</t>
  </si>
  <si>
    <t>Тефис майнинг</t>
  </si>
  <si>
    <t>MV-018293</t>
  </si>
  <si>
    <t>Баатарын нуруу-2</t>
  </si>
  <si>
    <t>MV-018354</t>
  </si>
  <si>
    <t>Цахирын хоолой</t>
  </si>
  <si>
    <t>Баян-Өндөр, Бүрд</t>
  </si>
  <si>
    <t>MV-018410</t>
  </si>
  <si>
    <t>Гүннүтулга</t>
  </si>
  <si>
    <t>MV-018496</t>
  </si>
  <si>
    <t>Алаг толгод</t>
  </si>
  <si>
    <t>Блюскай хорс</t>
  </si>
  <si>
    <t>MV-018498</t>
  </si>
  <si>
    <t>Ховилийн хоолой</t>
  </si>
  <si>
    <t>MV-018499</t>
  </si>
  <si>
    <t>MV-018500</t>
  </si>
  <si>
    <t>Асгат-2</t>
  </si>
  <si>
    <t>Халзан</t>
  </si>
  <si>
    <t>MV-018548</t>
  </si>
  <si>
    <t>MV-018564</t>
  </si>
  <si>
    <t>Хөнгөн гэгээ орд</t>
  </si>
  <si>
    <t>MV-018717</t>
  </si>
  <si>
    <t>Цогт өндөр</t>
  </si>
  <si>
    <t>Эрдэнэс-Эрдэнэс</t>
  </si>
  <si>
    <t>MV-018764</t>
  </si>
  <si>
    <t>Бөөрөлжүүтийн гол-1</t>
  </si>
  <si>
    <t>Баярсгоулд</t>
  </si>
  <si>
    <t>MV-018775</t>
  </si>
  <si>
    <t>Төхөм-4</t>
  </si>
  <si>
    <t>Дулаан ийстэрн коул</t>
  </si>
  <si>
    <t>MV-018806</t>
  </si>
  <si>
    <t>Үнэгдийн хүрэн толгод</t>
  </si>
  <si>
    <t>Үнэгдийн хүрэн</t>
  </si>
  <si>
    <t>MV-018807</t>
  </si>
  <si>
    <t>Унагад</t>
  </si>
  <si>
    <t>Алтраг-Ахас</t>
  </si>
  <si>
    <t>MV-018830</t>
  </si>
  <si>
    <t>Талын таваг</t>
  </si>
  <si>
    <t>Өгөөмөрбаян хайрхан</t>
  </si>
  <si>
    <t>MV-018900</t>
  </si>
  <si>
    <t>Хяргас нуур</t>
  </si>
  <si>
    <t>MV-018914</t>
  </si>
  <si>
    <t>Өмнөт</t>
  </si>
  <si>
    <t>Бадрах энержи</t>
  </si>
  <si>
    <t>MV-018915</t>
  </si>
  <si>
    <t>Зөөвч овоо</t>
  </si>
  <si>
    <t>MV-018916</t>
  </si>
  <si>
    <t>Дулаан уул</t>
  </si>
  <si>
    <t>MV-018925</t>
  </si>
  <si>
    <t>Зараагийн тал</t>
  </si>
  <si>
    <t>Эрдэнэжас</t>
  </si>
  <si>
    <t>MV-018934</t>
  </si>
  <si>
    <t>Дарцагт овоо</t>
  </si>
  <si>
    <t>Харангахүдэр</t>
  </si>
  <si>
    <t>MV-018936</t>
  </si>
  <si>
    <t>Хүдрийн биет 16-2</t>
  </si>
  <si>
    <t>Түшиг-Интернэшнл</t>
  </si>
  <si>
    <t>MV-018972</t>
  </si>
  <si>
    <t>Луус худаг</t>
  </si>
  <si>
    <t>Ди Би Эс Ти майнинг групп</t>
  </si>
  <si>
    <t>MV-018964</t>
  </si>
  <si>
    <t>MV-018971</t>
  </si>
  <si>
    <t>Хасрич</t>
  </si>
  <si>
    <t>MV-018976</t>
  </si>
  <si>
    <t>Бал чулуу</t>
  </si>
  <si>
    <t>Вай эйч графит нэчүрал</t>
  </si>
  <si>
    <t>MV-018978</t>
  </si>
  <si>
    <t>Альшаа хайрхан</t>
  </si>
  <si>
    <t>MV-018994</t>
  </si>
  <si>
    <t>Хүрэн</t>
  </si>
  <si>
    <t>Дарханговь</t>
  </si>
  <si>
    <t>Даланзадгад</t>
  </si>
  <si>
    <t>MV-018995</t>
  </si>
  <si>
    <t>Баян голын эх</t>
  </si>
  <si>
    <t>MV-019018</t>
  </si>
  <si>
    <t>Мэжикбридж</t>
  </si>
  <si>
    <t>MV-019022</t>
  </si>
  <si>
    <t>Угалзанцамхаг</t>
  </si>
  <si>
    <t>MV-019031</t>
  </si>
  <si>
    <t>Заамрын эх-2</t>
  </si>
  <si>
    <t>MV-019035</t>
  </si>
  <si>
    <t>Модон</t>
  </si>
  <si>
    <t>БУУЛБЛ</t>
  </si>
  <si>
    <t>MV-019039</t>
  </si>
  <si>
    <t>Наран гол</t>
  </si>
  <si>
    <t>Пентатерра</t>
  </si>
  <si>
    <t>MV-019041</t>
  </si>
  <si>
    <t>Хөтөл цагаан</t>
  </si>
  <si>
    <t>Үнэн бэх</t>
  </si>
  <si>
    <t>MV-019043</t>
  </si>
  <si>
    <t>Заагийн</t>
  </si>
  <si>
    <t>Ай Эн Ди минералс</t>
  </si>
  <si>
    <t>MV-019106</t>
  </si>
  <si>
    <t>Майхант</t>
  </si>
  <si>
    <t>Айраг эксплорэйшн</t>
  </si>
  <si>
    <t>MV-019137</t>
  </si>
  <si>
    <t>Зангат уул</t>
  </si>
  <si>
    <t>Монгол чадал интернэшнл энержи</t>
  </si>
  <si>
    <t>MV-019149</t>
  </si>
  <si>
    <t>Хар сэрвэгэн</t>
  </si>
  <si>
    <t>Энхтунх орчлон</t>
  </si>
  <si>
    <t>MV-019187</t>
  </si>
  <si>
    <t>Салхит майнинг</t>
  </si>
  <si>
    <t>MV-019223</t>
  </si>
  <si>
    <t>Цэнтрал Могул Майнинг</t>
  </si>
  <si>
    <t>MV-019225</t>
  </si>
  <si>
    <t>Фэско</t>
  </si>
  <si>
    <t>MV-019233</t>
  </si>
  <si>
    <t>Алтан суврага-8</t>
  </si>
  <si>
    <t>Мийдлгоби майнинг</t>
  </si>
  <si>
    <t>Дэлгэрхангай, Хулд</t>
  </si>
  <si>
    <t>MV-019327</t>
  </si>
  <si>
    <t>Хөөвөрбулаг</t>
  </si>
  <si>
    <t>Өнт-Өнгөт</t>
  </si>
  <si>
    <t>MV-019328</t>
  </si>
  <si>
    <t>Түшээговь</t>
  </si>
  <si>
    <t>MV-019329</t>
  </si>
  <si>
    <t>Монголиан Лантаноиде Корпораци</t>
  </si>
  <si>
    <t>MV-019330</t>
  </si>
  <si>
    <t>Шаварт</t>
  </si>
  <si>
    <t>Хан Алтайн тоосго</t>
  </si>
  <si>
    <t>MV-019331</t>
  </si>
  <si>
    <t>Зүүн далан</t>
  </si>
  <si>
    <t>Говийн шандаст хүлэг</t>
  </si>
  <si>
    <t>MV-019336</t>
  </si>
  <si>
    <t>Авдрант-1</t>
  </si>
  <si>
    <t>зөв зүг</t>
  </si>
  <si>
    <t>MV-019638</t>
  </si>
  <si>
    <t>Бумбат-6</t>
  </si>
  <si>
    <t>MV-019647</t>
  </si>
  <si>
    <t>Зүүн дэнж</t>
  </si>
  <si>
    <t>Түмэн айл нөөц</t>
  </si>
  <si>
    <t>MV-019648</t>
  </si>
  <si>
    <t>Согоот</t>
  </si>
  <si>
    <t>Борцэцэг</t>
  </si>
  <si>
    <t>MV-019681</t>
  </si>
  <si>
    <t>Бест ресоурсес</t>
  </si>
  <si>
    <t>MV-019832</t>
  </si>
  <si>
    <t>Сүмбэр</t>
  </si>
  <si>
    <t>Харангасүмбэр</t>
  </si>
  <si>
    <t>MV-019852</t>
  </si>
  <si>
    <t>Ар тамсаг-1-2</t>
  </si>
  <si>
    <t>Эрхэсмайнинг</t>
  </si>
  <si>
    <t>Бүрэгхангай, Орхонтуул</t>
  </si>
  <si>
    <t>MV-019856</t>
  </si>
  <si>
    <t>Аргатай</t>
  </si>
  <si>
    <t>MV-019938</t>
  </si>
  <si>
    <t>Бумбат-2</t>
  </si>
  <si>
    <t>MV-019940</t>
  </si>
  <si>
    <t>Харуул овоо-5</t>
  </si>
  <si>
    <t>Алтанбулаг, Баян-Өнжүүл</t>
  </si>
  <si>
    <t>MV-020041</t>
  </si>
  <si>
    <t>Элcтэй</t>
  </si>
  <si>
    <t>Бумбатын гол</t>
  </si>
  <si>
    <t>MV-020042</t>
  </si>
  <si>
    <t>Адамасмайнинг</t>
  </si>
  <si>
    <t>MV-020095</t>
  </si>
  <si>
    <t>Хуурайн хүйс</t>
  </si>
  <si>
    <t>Амардалай трейд</t>
  </si>
  <si>
    <t>MV-020097</t>
  </si>
  <si>
    <t>Хар тойром</t>
  </si>
  <si>
    <t>MV-020098</t>
  </si>
  <si>
    <t>MV-020123</t>
  </si>
  <si>
    <t>MV-020224</t>
  </si>
  <si>
    <t>Зүүндэнж-2</t>
  </si>
  <si>
    <t>MV-020297</t>
  </si>
  <si>
    <t>MV-020299</t>
  </si>
  <si>
    <t>MV-020335</t>
  </si>
  <si>
    <t>MV-020342</t>
  </si>
  <si>
    <t>MV-020388</t>
  </si>
  <si>
    <t>MV-020391</t>
  </si>
  <si>
    <t>Ар тамсаг-1-3-2</t>
  </si>
  <si>
    <t>MV-020387</t>
  </si>
  <si>
    <t>Хант</t>
  </si>
  <si>
    <t>MV-020399</t>
  </si>
  <si>
    <t>Бөөргийн ам</t>
  </si>
  <si>
    <t>Жамп</t>
  </si>
  <si>
    <t>MV-020400</t>
  </si>
  <si>
    <t>MV-020415</t>
  </si>
  <si>
    <t>Цахир уул</t>
  </si>
  <si>
    <t>Гангархаш</t>
  </si>
  <si>
    <t>MV-020417</t>
  </si>
  <si>
    <t>Алаг өндөр</t>
  </si>
  <si>
    <t>Минюу шиши</t>
  </si>
  <si>
    <t>MV-020427</t>
  </si>
  <si>
    <t>MV-020428</t>
  </si>
  <si>
    <t>MV-020429</t>
  </si>
  <si>
    <t>MV-020430</t>
  </si>
  <si>
    <t>Бүрэгхангай, Дашинчилэн, Заамар</t>
  </si>
  <si>
    <t>MV-020419</t>
  </si>
  <si>
    <t>Шивээ-1</t>
  </si>
  <si>
    <t>Эйкүсора</t>
  </si>
  <si>
    <t>Говьсүмбэр, Дорноговь</t>
  </si>
  <si>
    <t>Шивээговь, Даланжаргалан</t>
  </si>
  <si>
    <t>MV-020420</t>
  </si>
  <si>
    <t>Шивээ-2</t>
  </si>
  <si>
    <t>MV-020421</t>
  </si>
  <si>
    <t>Шивээговь-1</t>
  </si>
  <si>
    <t>Сүмбэр, Шивээговь, Даланжаргалан</t>
  </si>
  <si>
    <t>MV-020423</t>
  </si>
  <si>
    <t>MV-020424</t>
  </si>
  <si>
    <t>Хүрэн дух</t>
  </si>
  <si>
    <t>MV-020432</t>
  </si>
  <si>
    <t>MV-020435</t>
  </si>
  <si>
    <t>Алтан од</t>
  </si>
  <si>
    <t>АХХ</t>
  </si>
  <si>
    <t>MV-020436</t>
  </si>
  <si>
    <t>MV-020442</t>
  </si>
  <si>
    <t>Өлийн гол-1</t>
  </si>
  <si>
    <t>Улз групп</t>
  </si>
  <si>
    <t>MV-020444</t>
  </si>
  <si>
    <t>Нагааранз</t>
  </si>
  <si>
    <t>MV-020451</t>
  </si>
  <si>
    <t>Галын овоо-1</t>
  </si>
  <si>
    <t>MV-020453</t>
  </si>
  <si>
    <t>MV-020458</t>
  </si>
  <si>
    <t>Их салаа</t>
  </si>
  <si>
    <t>MV-020459</t>
  </si>
  <si>
    <t>MV-020463</t>
  </si>
  <si>
    <t>Өвөрцагаан-1</t>
  </si>
  <si>
    <t>Эм Эн Си Ар Ай</t>
  </si>
  <si>
    <t>MV-020471</t>
  </si>
  <si>
    <t>MV-020474</t>
  </si>
  <si>
    <t>Жи Ар Ти Би</t>
  </si>
  <si>
    <t>MV-020482</t>
  </si>
  <si>
    <t>Шандын ам</t>
  </si>
  <si>
    <t>ЛМО майнинг</t>
  </si>
  <si>
    <t>Лүн</t>
  </si>
  <si>
    <t>MV-020483</t>
  </si>
  <si>
    <t>Бумбат-3</t>
  </si>
  <si>
    <t>MV-020484</t>
  </si>
  <si>
    <t>MV-020485</t>
  </si>
  <si>
    <t>Тулгаттрейд</t>
  </si>
  <si>
    <t>MV-020486</t>
  </si>
  <si>
    <t>Ямаат-1</t>
  </si>
  <si>
    <t>Түвшингарав</t>
  </si>
  <si>
    <t>MV-020487</t>
  </si>
  <si>
    <t>ЭКТУ</t>
  </si>
  <si>
    <t>MV-020493</t>
  </si>
  <si>
    <t>MV-020495</t>
  </si>
  <si>
    <t>Арсайн сайр</t>
  </si>
  <si>
    <t>Энержи-Импайр</t>
  </si>
  <si>
    <t>MV-020501</t>
  </si>
  <si>
    <t>Зүүн цагаан хошуу</t>
  </si>
  <si>
    <t>Цанзирунли</t>
  </si>
  <si>
    <t>MV-020496</t>
  </si>
  <si>
    <t>Үнэгтийн овоо</t>
  </si>
  <si>
    <t>Миллениумсторм</t>
  </si>
  <si>
    <t>MV-020497</t>
  </si>
  <si>
    <t>Харганат-3</t>
  </si>
  <si>
    <t>Танлон</t>
  </si>
  <si>
    <t>MV-020502</t>
  </si>
  <si>
    <t>Баян металл майнинг</t>
  </si>
  <si>
    <t>MV-020507</t>
  </si>
  <si>
    <t>ЦЦ эрдэс майнинг</t>
  </si>
  <si>
    <t>MV-020511</t>
  </si>
  <si>
    <t>Хайрхан толгой</t>
  </si>
  <si>
    <t>Хайрхан толгой коал</t>
  </si>
  <si>
    <t>MV-020512</t>
  </si>
  <si>
    <t>Алт /Шороо/, Төмөр</t>
  </si>
  <si>
    <t>Хүслэмж</t>
  </si>
  <si>
    <t>MV-020524</t>
  </si>
  <si>
    <t>Нүүрст уул-3</t>
  </si>
  <si>
    <t>Говь-Эрээн</t>
  </si>
  <si>
    <t>MV-020529</t>
  </si>
  <si>
    <t>Зэс, Цайр</t>
  </si>
  <si>
    <t>Агммайнинг</t>
  </si>
  <si>
    <t>MV-020530</t>
  </si>
  <si>
    <t>Элээтийн ам</t>
  </si>
  <si>
    <t>Ричмөнх</t>
  </si>
  <si>
    <t>MV-020533</t>
  </si>
  <si>
    <t>Цоохор морьт</t>
  </si>
  <si>
    <t>MV-020546</t>
  </si>
  <si>
    <t>MV-020542</t>
  </si>
  <si>
    <t>Жоншит</t>
  </si>
  <si>
    <t>MV-020559</t>
  </si>
  <si>
    <t>Монзол</t>
  </si>
  <si>
    <t>MV-020561</t>
  </si>
  <si>
    <t>Хул морьт</t>
  </si>
  <si>
    <t>Баян өндөр ресурс</t>
  </si>
  <si>
    <t>MV-020562</t>
  </si>
  <si>
    <t>MV-020563</t>
  </si>
  <si>
    <t>Хул морьт-1</t>
  </si>
  <si>
    <t>MV-020564</t>
  </si>
  <si>
    <t>Хуль морьт</t>
  </si>
  <si>
    <t>MV-020566</t>
  </si>
  <si>
    <t>Олонбулаг</t>
  </si>
  <si>
    <t>Өү Жи Си Эйч Эл</t>
  </si>
  <si>
    <t>MV-020573</t>
  </si>
  <si>
    <t>Рео майнинг</t>
  </si>
  <si>
    <t>MV-020575</t>
  </si>
  <si>
    <t>Өлөнт</t>
  </si>
  <si>
    <t>Монлид трейд</t>
  </si>
  <si>
    <t>MV-020579</t>
  </si>
  <si>
    <t>Говьметалл</t>
  </si>
  <si>
    <t>MV-020587</t>
  </si>
  <si>
    <t>Хар сэрвэн</t>
  </si>
  <si>
    <t>Хөхдэл-Инвест</t>
  </si>
  <si>
    <t>MV-020591</t>
  </si>
  <si>
    <t>Далтын өвөр</t>
  </si>
  <si>
    <t>Вояжер Минерал Ресурсес</t>
  </si>
  <si>
    <t>MV-020594</t>
  </si>
  <si>
    <t>Нүдэн</t>
  </si>
  <si>
    <t>MV-020595</t>
  </si>
  <si>
    <t>Сэрээгийн өндөр</t>
  </si>
  <si>
    <t>Хүннү алтай минералс</t>
  </si>
  <si>
    <t>MV-020598</t>
  </si>
  <si>
    <t>MV-020602</t>
  </si>
  <si>
    <t>Доргонот, Улаан ухаа</t>
  </si>
  <si>
    <t>Ай Би Би Ай</t>
  </si>
  <si>
    <t>MV-020607</t>
  </si>
  <si>
    <t>Такаражин</t>
  </si>
  <si>
    <t>MV-020611</t>
  </si>
  <si>
    <t>Хүрэнгийн талбай</t>
  </si>
  <si>
    <t>MV-020612</t>
  </si>
  <si>
    <t>MV-020613</t>
  </si>
  <si>
    <t>Хүрэн гол</t>
  </si>
  <si>
    <t>MV-020614</t>
  </si>
  <si>
    <t>MV-020615</t>
  </si>
  <si>
    <t>Ацын ам</t>
  </si>
  <si>
    <t>MV-020616</t>
  </si>
  <si>
    <t>MV-020601</t>
  </si>
  <si>
    <t>Баян цахир</t>
  </si>
  <si>
    <t>Эрдэсхолдинг</t>
  </si>
  <si>
    <t>Баянбулаг</t>
  </si>
  <si>
    <t>MV-020603</t>
  </si>
  <si>
    <t>Баянтал</t>
  </si>
  <si>
    <t>Каймекс</t>
  </si>
  <si>
    <t>MV-020606</t>
  </si>
  <si>
    <t>MV-020608</t>
  </si>
  <si>
    <t>Цагдуулт уул</t>
  </si>
  <si>
    <t>MV-020609</t>
  </si>
  <si>
    <t>MV-020610</t>
  </si>
  <si>
    <t>MV-020622</t>
  </si>
  <si>
    <t>MV-020624</t>
  </si>
  <si>
    <t>MV-020636</t>
  </si>
  <si>
    <t>Урд залаа</t>
  </si>
  <si>
    <t>Мегатек манюфактуринг монголиа</t>
  </si>
  <si>
    <t>MV-020638</t>
  </si>
  <si>
    <t>Хасгуа</t>
  </si>
  <si>
    <t>MV-020628</t>
  </si>
  <si>
    <t>Од</t>
  </si>
  <si>
    <t>Форс голд майнинг</t>
  </si>
  <si>
    <t>Ургамал</t>
  </si>
  <si>
    <t>MV-020637</t>
  </si>
  <si>
    <t>MV-020646</t>
  </si>
  <si>
    <t>Сойрт</t>
  </si>
  <si>
    <t>Хризопраза групп</t>
  </si>
  <si>
    <t>MV-020629</t>
  </si>
  <si>
    <t>Хайрхан</t>
  </si>
  <si>
    <t>MV-020631</t>
  </si>
  <si>
    <t>MV-020633</t>
  </si>
  <si>
    <t>MV-020661</t>
  </si>
  <si>
    <t>Дэлгэр-Орчлон</t>
  </si>
  <si>
    <t>MV-020667</t>
  </si>
  <si>
    <t>MV-020674</t>
  </si>
  <si>
    <t>Бал чулуу, Шохойн чулуу</t>
  </si>
  <si>
    <t>21-р зуун</t>
  </si>
  <si>
    <t>МИНВЕСКО</t>
  </si>
  <si>
    <t>Хулд</t>
  </si>
  <si>
    <t>MV-020664</t>
  </si>
  <si>
    <t>Зэс, Молибден, Алт</t>
  </si>
  <si>
    <t>Суман хад</t>
  </si>
  <si>
    <t>Налгархөндий</t>
  </si>
  <si>
    <t>MV-020665</t>
  </si>
  <si>
    <t>MV-020666</t>
  </si>
  <si>
    <t>Шаргатын уул</t>
  </si>
  <si>
    <t>Дунгоулд</t>
  </si>
  <si>
    <t>Дөргөн, Мянгад</t>
  </si>
  <si>
    <t>MV-020675</t>
  </si>
  <si>
    <t>Товон уул</t>
  </si>
  <si>
    <t>MV-020676</t>
  </si>
  <si>
    <t>Холнгил уул-1</t>
  </si>
  <si>
    <t>MV-020669</t>
  </si>
  <si>
    <t>MV-020670</t>
  </si>
  <si>
    <t>MV-020693</t>
  </si>
  <si>
    <t>Цоцгоны мухар</t>
  </si>
  <si>
    <t>Эрдхул</t>
  </si>
  <si>
    <t>MV-020709</t>
  </si>
  <si>
    <t>MV-020708</t>
  </si>
  <si>
    <t>Оюут уул</t>
  </si>
  <si>
    <t>Бест коппер гоулд корпорейшн</t>
  </si>
  <si>
    <t>MV-020710</t>
  </si>
  <si>
    <t>MV-020717</t>
  </si>
  <si>
    <t>Цагаан-Уулын магнит</t>
  </si>
  <si>
    <t>MV-020718</t>
  </si>
  <si>
    <t>Зүүн түрүүн</t>
  </si>
  <si>
    <t>MV-020730</t>
  </si>
  <si>
    <t>Дэлт толгойн орд</t>
  </si>
  <si>
    <t>MV-020733</t>
  </si>
  <si>
    <t>Бага залуугийн овоо</t>
  </si>
  <si>
    <t>MV-020719</t>
  </si>
  <si>
    <t>Бийрийн гол</t>
  </si>
  <si>
    <t>MV-020737</t>
  </si>
  <si>
    <t>Зүүн гол толгой-Эрдэнэт</t>
  </si>
  <si>
    <t>Арвинцайдам</t>
  </si>
  <si>
    <t>MV-020738</t>
  </si>
  <si>
    <t>Дадын хар толгой-2</t>
  </si>
  <si>
    <t>Сора интернэшнл</t>
  </si>
  <si>
    <t>MV-020726</t>
  </si>
  <si>
    <t>Стар флюорит</t>
  </si>
  <si>
    <t>MV-020739</t>
  </si>
  <si>
    <t>MV-020759</t>
  </si>
  <si>
    <t>Төмөртийн овоо-2</t>
  </si>
  <si>
    <t>MV-020755</t>
  </si>
  <si>
    <t>Тугалагт</t>
  </si>
  <si>
    <t>Өгөөж их орд</t>
  </si>
  <si>
    <t>MV-020756</t>
  </si>
  <si>
    <t>Урт гозгор</t>
  </si>
  <si>
    <t>Зөв газар элемент</t>
  </si>
  <si>
    <t>MV-020763</t>
  </si>
  <si>
    <t>Хөх тээг</t>
  </si>
  <si>
    <t>Тайхар-Орд</t>
  </si>
  <si>
    <t>MV-020764</t>
  </si>
  <si>
    <t>Хүрмэн толгой</t>
  </si>
  <si>
    <t>MV-020765</t>
  </si>
  <si>
    <t>Шарга овоо-1</t>
  </si>
  <si>
    <t>Тэнгэрийн гэгээн тал</t>
  </si>
  <si>
    <t>MV-020766</t>
  </si>
  <si>
    <t>Тэмээт толгой</t>
  </si>
  <si>
    <t>MV-020770</t>
  </si>
  <si>
    <t>Дабльштутце</t>
  </si>
  <si>
    <t>MV-020771</t>
  </si>
  <si>
    <t>Улиастайн гол</t>
  </si>
  <si>
    <t>Эй Кэй Эм Юу</t>
  </si>
  <si>
    <t>Дадал</t>
  </si>
  <si>
    <t>MV-020768</t>
  </si>
  <si>
    <t>Хоолтын баруун салаа</t>
  </si>
  <si>
    <t>Эрдэнийн цахирмаа тал</t>
  </si>
  <si>
    <t>MV-020772</t>
  </si>
  <si>
    <t>Хөөтийн хонхор-2</t>
  </si>
  <si>
    <t>MV-020773</t>
  </si>
  <si>
    <t>MV-020775</t>
  </si>
  <si>
    <t>Хөх-Өндөр</t>
  </si>
  <si>
    <t>Баян-Овоо, Норовлин</t>
  </si>
  <si>
    <t>MV-020776</t>
  </si>
  <si>
    <t>Тосонгийн овоо</t>
  </si>
  <si>
    <t>MV-020785</t>
  </si>
  <si>
    <t>Урт хошуу</t>
  </si>
  <si>
    <t>Опэнпит</t>
  </si>
  <si>
    <t>MV-020782</t>
  </si>
  <si>
    <t>Өгөөмөр-1</t>
  </si>
  <si>
    <t>Цэрдийн тал</t>
  </si>
  <si>
    <t>MV-020783</t>
  </si>
  <si>
    <t>MV-020784</t>
  </si>
  <si>
    <t>Шохойн чулуу, Дайрга</t>
  </si>
  <si>
    <t>Ар хүрэн уул</t>
  </si>
  <si>
    <t>MV-020795</t>
  </si>
  <si>
    <t>Хишигт хөндий</t>
  </si>
  <si>
    <t>MV-020796</t>
  </si>
  <si>
    <t>АДАЭ</t>
  </si>
  <si>
    <t>MV-020804</t>
  </si>
  <si>
    <t>Хацавч</t>
  </si>
  <si>
    <t>Грийнривер</t>
  </si>
  <si>
    <t>MV-020806</t>
  </si>
  <si>
    <t>Баянтал-1</t>
  </si>
  <si>
    <t>Эрдэнэшувуут</t>
  </si>
  <si>
    <t>MV-020808</t>
  </si>
  <si>
    <t>Цагаан өндөр толгой</t>
  </si>
  <si>
    <t>Занаду энержи ресорсэс монголиа</t>
  </si>
  <si>
    <t>MV-020809</t>
  </si>
  <si>
    <t>Тахилгат уул</t>
  </si>
  <si>
    <t>Их хэт, Галшар</t>
  </si>
  <si>
    <t>MV-020810</t>
  </si>
  <si>
    <t>MV-020803</t>
  </si>
  <si>
    <t>Өвөлжөө уул</t>
  </si>
  <si>
    <t>MV-020807</t>
  </si>
  <si>
    <t>MV-020814</t>
  </si>
  <si>
    <t>Өдөр булаг</t>
  </si>
  <si>
    <t>Цогц эрин транс</t>
  </si>
  <si>
    <t>Бугат, Тонхил</t>
  </si>
  <si>
    <t>MV-020815</t>
  </si>
  <si>
    <t>Улаан хошуу уул</t>
  </si>
  <si>
    <t>Зэт Ди Эл</t>
  </si>
  <si>
    <t>MV-020819</t>
  </si>
  <si>
    <t>Бууцагаан</t>
  </si>
  <si>
    <t>MV-020834</t>
  </si>
  <si>
    <t>Алт /Шороо/, Алт /Үндсэн/</t>
  </si>
  <si>
    <t>Сайр-Уул</t>
  </si>
  <si>
    <t>Демситрейд</t>
  </si>
  <si>
    <t>Баянгол, Мандал, Борнуур</t>
  </si>
  <si>
    <t>MV-020836</t>
  </si>
  <si>
    <t>Жонш, Гянтболд</t>
  </si>
  <si>
    <t>Сайрын ухаа</t>
  </si>
  <si>
    <t>Титан-Орд</t>
  </si>
  <si>
    <t>MV-020837</t>
  </si>
  <si>
    <t>Элс, Түгээмэл</t>
  </si>
  <si>
    <t>Элст</t>
  </si>
  <si>
    <t>Арслантрейд</t>
  </si>
  <si>
    <t>MV-020838</t>
  </si>
  <si>
    <t>Загдал</t>
  </si>
  <si>
    <t>Альтаиргоулд</t>
  </si>
  <si>
    <t>MV-020841</t>
  </si>
  <si>
    <t>Их зүүн</t>
  </si>
  <si>
    <t>Авад ресурс</t>
  </si>
  <si>
    <t>MV-020855</t>
  </si>
  <si>
    <t>Өнгөт чулуу</t>
  </si>
  <si>
    <t>Гүн</t>
  </si>
  <si>
    <t>Баатарван транс</t>
  </si>
  <si>
    <t>MV-020851</t>
  </si>
  <si>
    <t>Хөх булгийн хөндий</t>
  </si>
  <si>
    <t>Голденкастл</t>
  </si>
  <si>
    <t>MV-020852</t>
  </si>
  <si>
    <t>Зараа толгой</t>
  </si>
  <si>
    <t>MV-020853</t>
  </si>
  <si>
    <t>MV-020859</t>
  </si>
  <si>
    <t>Тайхаржин майнинг</t>
  </si>
  <si>
    <t>MV-020861</t>
  </si>
  <si>
    <t>Шар тохой</t>
  </si>
  <si>
    <t>Ирээдүй МНЖ транс</t>
  </si>
  <si>
    <t>MV-020862</t>
  </si>
  <si>
    <t>Туул</t>
  </si>
  <si>
    <t>Тэргүүн майнинг</t>
  </si>
  <si>
    <t>MV-020863</t>
  </si>
  <si>
    <t>Эм Жи Эм Жи</t>
  </si>
  <si>
    <t>MV-020868</t>
  </si>
  <si>
    <t>MV-020869</t>
  </si>
  <si>
    <t>MV-020872</t>
  </si>
  <si>
    <t>Бага Өнжүүл</t>
  </si>
  <si>
    <t>MV-020875</t>
  </si>
  <si>
    <t>Бөхмөрөн, Ховд</t>
  </si>
  <si>
    <t>MV-020877</t>
  </si>
  <si>
    <t>Индэрт-2</t>
  </si>
  <si>
    <t>MV-020884</t>
  </si>
  <si>
    <t>MV-020885</t>
  </si>
  <si>
    <t>Цагаан уул</t>
  </si>
  <si>
    <t>Монгол ресурс корпораци</t>
  </si>
  <si>
    <t>Цагаан-Уул</t>
  </si>
  <si>
    <t>MV-020889</t>
  </si>
  <si>
    <t>MV-020893</t>
  </si>
  <si>
    <t>Улаануул</t>
  </si>
  <si>
    <t>Мон хуа энерги</t>
  </si>
  <si>
    <t>MV-020894</t>
  </si>
  <si>
    <t>Магнет-Айрон</t>
  </si>
  <si>
    <t>MV-020895</t>
  </si>
  <si>
    <t>Бугант-1</t>
  </si>
  <si>
    <t>Хишиг-Оргилуун</t>
  </si>
  <si>
    <t>MV-020898</t>
  </si>
  <si>
    <t>Цувраа толгой</t>
  </si>
  <si>
    <t>Монголстандарт</t>
  </si>
  <si>
    <t>MV-020899</t>
  </si>
  <si>
    <t>Хуучин-Андууд</t>
  </si>
  <si>
    <t>MV-020902</t>
  </si>
  <si>
    <t>Талын эрдэс</t>
  </si>
  <si>
    <t>MV-020903</t>
  </si>
  <si>
    <t>MV-020904</t>
  </si>
  <si>
    <t>MV-020905</t>
  </si>
  <si>
    <t>Дэл</t>
  </si>
  <si>
    <t>Майн Ланд Майнинг</t>
  </si>
  <si>
    <t>Луус, Хулд</t>
  </si>
  <si>
    <t>MV-020907</t>
  </si>
  <si>
    <t>Хүнгүйч зүр хүзүү</t>
  </si>
  <si>
    <t>Капитал авто сервис</t>
  </si>
  <si>
    <t>MV-020927</t>
  </si>
  <si>
    <t>Илч хужирт</t>
  </si>
  <si>
    <t>MV-020929</t>
  </si>
  <si>
    <t>MV-020930</t>
  </si>
  <si>
    <t>Богоч</t>
  </si>
  <si>
    <t>Талстмолор</t>
  </si>
  <si>
    <t>MV-020936</t>
  </si>
  <si>
    <t>Хашаатын цав</t>
  </si>
  <si>
    <t>Меланж</t>
  </si>
  <si>
    <t>MV-020941</t>
  </si>
  <si>
    <t>Төмөртийн ам</t>
  </si>
  <si>
    <t>Блэкрок</t>
  </si>
  <si>
    <t>MV-020942</t>
  </si>
  <si>
    <t>Тал</t>
  </si>
  <si>
    <t>Луус, Өлзийт</t>
  </si>
  <si>
    <t>MV-020944</t>
  </si>
  <si>
    <t>Өндөр толгой-2</t>
  </si>
  <si>
    <t>Женри</t>
  </si>
  <si>
    <t>MV-020945</t>
  </si>
  <si>
    <t>Цагаан галт</t>
  </si>
  <si>
    <t>MV-020946</t>
  </si>
  <si>
    <t>Цагаанчулуу</t>
  </si>
  <si>
    <t>Баялаг өлгий</t>
  </si>
  <si>
    <t>MV-020948</t>
  </si>
  <si>
    <t>Цахиур</t>
  </si>
  <si>
    <t>MV-020953</t>
  </si>
  <si>
    <t>Их</t>
  </si>
  <si>
    <t>Уянга онги</t>
  </si>
  <si>
    <t>MV-020954</t>
  </si>
  <si>
    <t>MV-020955</t>
  </si>
  <si>
    <t>Ар тамсаг-1-1-2</t>
  </si>
  <si>
    <t>Талдовын шонхор</t>
  </si>
  <si>
    <t>Булган, Сэлэнгэ, Төв</t>
  </si>
  <si>
    <t>Бүрэгхангай, Орхонтуул, Заамар</t>
  </si>
  <si>
    <t>MV-020962</t>
  </si>
  <si>
    <t>Арвижих далан</t>
  </si>
  <si>
    <t>Арвижих энерги</t>
  </si>
  <si>
    <t>MV-020974</t>
  </si>
  <si>
    <t>Чавганцын булаг</t>
  </si>
  <si>
    <t>Дальняя земля</t>
  </si>
  <si>
    <t>Баян-Овоо, Бөмбөгөр</t>
  </si>
  <si>
    <t>MV-020975</t>
  </si>
  <si>
    <t>Утаат минжүүр-А</t>
  </si>
  <si>
    <t>Эн И Си</t>
  </si>
  <si>
    <t>MV-020976</t>
  </si>
  <si>
    <t>Утаат минжүүр-2</t>
  </si>
  <si>
    <t>MV-020982</t>
  </si>
  <si>
    <t>Хар тогоо</t>
  </si>
  <si>
    <t>Хөх бүрдний эх</t>
  </si>
  <si>
    <t>MV-020984</t>
  </si>
  <si>
    <t>Бодончийн гол</t>
  </si>
  <si>
    <t>Ди Эйч Эл</t>
  </si>
  <si>
    <t>MV-020969</t>
  </si>
  <si>
    <t>Төгрөг нуур-1</t>
  </si>
  <si>
    <t>Төгрөг нуур девелопмент</t>
  </si>
  <si>
    <t>MV-020971</t>
  </si>
  <si>
    <t>Хавцгайн дэл</t>
  </si>
  <si>
    <t>MV-020972</t>
  </si>
  <si>
    <t>Тугалагтайн нуруу</t>
  </si>
  <si>
    <t>MV-020973</t>
  </si>
  <si>
    <t>Цагаан</t>
  </si>
  <si>
    <t>Цагаан эрдэс</t>
  </si>
  <si>
    <t>MV-020996</t>
  </si>
  <si>
    <t>Хөхтий нуруу-2</t>
  </si>
  <si>
    <t>Андын илч</t>
  </si>
  <si>
    <t>MV-020997</t>
  </si>
  <si>
    <t>Авдрант</t>
  </si>
  <si>
    <t>Баяндэлгэр, Эрдэнэ</t>
  </si>
  <si>
    <t>MV-020998</t>
  </si>
  <si>
    <t>Цахир жалга</t>
  </si>
  <si>
    <t>Эрдэнэ цагаач</t>
  </si>
  <si>
    <t>MV-020999</t>
  </si>
  <si>
    <t>Хөтөл-Ус</t>
  </si>
  <si>
    <t>Флюоритстар</t>
  </si>
  <si>
    <t>MV-021000</t>
  </si>
  <si>
    <t>Шандын орд</t>
  </si>
  <si>
    <t>MV-021001</t>
  </si>
  <si>
    <t>Баян хайрхан</t>
  </si>
  <si>
    <t>Шувуун хар уул</t>
  </si>
  <si>
    <t>MV-021008</t>
  </si>
  <si>
    <t>Билэгтбаялаг</t>
  </si>
  <si>
    <t>MV-021010</t>
  </si>
  <si>
    <t>Элс</t>
  </si>
  <si>
    <t>MV-021011</t>
  </si>
  <si>
    <t>Голденсанрайз энержи</t>
  </si>
  <si>
    <t>Өлзийт, Хулд</t>
  </si>
  <si>
    <t>MV-021013</t>
  </si>
  <si>
    <t>Салхитын ам-1</t>
  </si>
  <si>
    <t>Хонгорхангай эрдэнэс</t>
  </si>
  <si>
    <t>Хүрээмарал</t>
  </si>
  <si>
    <t>MV-021014</t>
  </si>
  <si>
    <t>MV-021015</t>
  </si>
  <si>
    <t>Мандах заамар майнинг</t>
  </si>
  <si>
    <t>MV-021024</t>
  </si>
  <si>
    <t>Ухаа дэл</t>
  </si>
  <si>
    <t>Сайхан барс Эйч Эн</t>
  </si>
  <si>
    <t>MV-021037</t>
  </si>
  <si>
    <t>Өндөр</t>
  </si>
  <si>
    <t>Редгранат</t>
  </si>
  <si>
    <t>MV-021054</t>
  </si>
  <si>
    <t>Мөнгөнгүрэн</t>
  </si>
  <si>
    <t>MV-021055</t>
  </si>
  <si>
    <t>Тавт</t>
  </si>
  <si>
    <t>Баянчулуут газар</t>
  </si>
  <si>
    <t>MV-021059</t>
  </si>
  <si>
    <t>Тогоот</t>
  </si>
  <si>
    <t>Эл Ти Ди</t>
  </si>
  <si>
    <t>MV-021068</t>
  </si>
  <si>
    <t>MV-021069</t>
  </si>
  <si>
    <t>Энгэрт</t>
  </si>
  <si>
    <t>Сагсайминерал ресурс</t>
  </si>
  <si>
    <t>MV-021065</t>
  </si>
  <si>
    <t>MV-021071</t>
  </si>
  <si>
    <t>MV-021073</t>
  </si>
  <si>
    <t>Хадан хошуу</t>
  </si>
  <si>
    <t>MV-021076</t>
  </si>
  <si>
    <t>Маркополо</t>
  </si>
  <si>
    <t>MV-021081</t>
  </si>
  <si>
    <t>Вестернхолд</t>
  </si>
  <si>
    <t>MV-021082</t>
  </si>
  <si>
    <t>Сүртийн ам</t>
  </si>
  <si>
    <t>Галт-Үнэг</t>
  </si>
  <si>
    <t>MV-021088</t>
  </si>
  <si>
    <t>Туулын полигоны зүүн дэнж</t>
  </si>
  <si>
    <t>Булган майнинг</t>
  </si>
  <si>
    <t>MV-021089</t>
  </si>
  <si>
    <t>Би Эйч Ай Би</t>
  </si>
  <si>
    <t>MV-021083</t>
  </si>
  <si>
    <t>Эс Жи групп</t>
  </si>
  <si>
    <t>MV-021085</t>
  </si>
  <si>
    <t>MV-021092</t>
  </si>
  <si>
    <t>Дун уул</t>
  </si>
  <si>
    <t>Про Аурум</t>
  </si>
  <si>
    <t>MV-021093</t>
  </si>
  <si>
    <t>ОАДХ</t>
  </si>
  <si>
    <t>MV-021094</t>
  </si>
  <si>
    <t>Хөх дэл-1</t>
  </si>
  <si>
    <t>Хөхтөр</t>
  </si>
  <si>
    <t>MV-021095</t>
  </si>
  <si>
    <t>Буянтын хөндий</t>
  </si>
  <si>
    <t>Чойчингүн</t>
  </si>
  <si>
    <t>MV-021098</t>
  </si>
  <si>
    <t>MV-021100</t>
  </si>
  <si>
    <t>Цагаан ширээ</t>
  </si>
  <si>
    <t>Шинэ уужим орд</t>
  </si>
  <si>
    <t>MV-021101</t>
  </si>
  <si>
    <t>Хавтгай уул</t>
  </si>
  <si>
    <t>MV-021104</t>
  </si>
  <si>
    <t>Нитросибир азиа</t>
  </si>
  <si>
    <t>MV-021108</t>
  </si>
  <si>
    <t>Заанширээ</t>
  </si>
  <si>
    <t>Блэйкмаунт майнинг</t>
  </si>
  <si>
    <t>Сүхбаатар, Хэнтий</t>
  </si>
  <si>
    <t>Мөнххаан, Баянхутаг</t>
  </si>
  <si>
    <t>MV-021109</t>
  </si>
  <si>
    <t>Нэргүй сайр</t>
  </si>
  <si>
    <t>Нордвест минералс</t>
  </si>
  <si>
    <t>MV-021111</t>
  </si>
  <si>
    <t>Өвгөнт</t>
  </si>
  <si>
    <t>Газрын хүдэр</t>
  </si>
  <si>
    <t>MV-021112</t>
  </si>
  <si>
    <t>MV-021113</t>
  </si>
  <si>
    <t>MV-021120</t>
  </si>
  <si>
    <t>Улаан чулууны нуруу</t>
  </si>
  <si>
    <t>MV-021121</t>
  </si>
  <si>
    <t>Тэвш-2</t>
  </si>
  <si>
    <t>ОТХ</t>
  </si>
  <si>
    <t>MV-021122</t>
  </si>
  <si>
    <t>Тэвш</t>
  </si>
  <si>
    <t>MV-021130</t>
  </si>
  <si>
    <t>Хужиртын овгор</t>
  </si>
  <si>
    <t>Жи Эс Би майнинг</t>
  </si>
  <si>
    <t>MV-021136</t>
  </si>
  <si>
    <t>Шанд булаг</t>
  </si>
  <si>
    <t>Сантавиач</t>
  </si>
  <si>
    <t>MV-021137</t>
  </si>
  <si>
    <t>Бэрхресорсиз</t>
  </si>
  <si>
    <t>MV-021167</t>
  </si>
  <si>
    <t>Булаг сүүж</t>
  </si>
  <si>
    <t>Булаг сүүж майнинг</t>
  </si>
  <si>
    <t>MV-021168</t>
  </si>
  <si>
    <t>Баянмөнх толгой</t>
  </si>
  <si>
    <t>Пакимор</t>
  </si>
  <si>
    <t>Мөрөн, Хэрлэн</t>
  </si>
  <si>
    <t>MV-021169</t>
  </si>
  <si>
    <t>Дугуй</t>
  </si>
  <si>
    <t>Болдгянтболд</t>
  </si>
  <si>
    <t>MV-021170</t>
  </si>
  <si>
    <t>Зөрлөгийн</t>
  </si>
  <si>
    <t>MV-021171</t>
  </si>
  <si>
    <t>Эмэний хүрэн өндөр</t>
  </si>
  <si>
    <t>Бушуо-Уул</t>
  </si>
  <si>
    <t>MV-021182</t>
  </si>
  <si>
    <t>Хорхойтын зааг</t>
  </si>
  <si>
    <t>Эс Пи Жи</t>
  </si>
  <si>
    <t>MV-021183</t>
  </si>
  <si>
    <t>Зүүн Цагаан толгой</t>
  </si>
  <si>
    <t>Түүчээ тэрэг</t>
  </si>
  <si>
    <t>MV-021184</t>
  </si>
  <si>
    <t>Өгөөмөр-Алт</t>
  </si>
  <si>
    <t>MV-021185</t>
  </si>
  <si>
    <t>Мэндэхийн чулуут гол</t>
  </si>
  <si>
    <t>Металл-Опт</t>
  </si>
  <si>
    <t>MV-021189</t>
  </si>
  <si>
    <t>Петропавловски</t>
  </si>
  <si>
    <t>Мөнгөннавч</t>
  </si>
  <si>
    <t>MV-021200</t>
  </si>
  <si>
    <t>Энгэрийн толгод</t>
  </si>
  <si>
    <t>MV-021201</t>
  </si>
  <si>
    <t>Өү И Эл</t>
  </si>
  <si>
    <t>MV-021203</t>
  </si>
  <si>
    <t>Тохой-1</t>
  </si>
  <si>
    <t>Энхзоо</t>
  </si>
  <si>
    <t>MV-021209</t>
  </si>
  <si>
    <t>Тэмээт</t>
  </si>
  <si>
    <t>Өсөх түмэн хишиг</t>
  </si>
  <si>
    <t>MV-021214</t>
  </si>
  <si>
    <t>Таргат</t>
  </si>
  <si>
    <t>Американстандарт ресурс</t>
  </si>
  <si>
    <t>MV-021220</t>
  </si>
  <si>
    <t>Худагт</t>
  </si>
  <si>
    <t>Есөнхаш эрдэнэ</t>
  </si>
  <si>
    <t>MV-021221</t>
  </si>
  <si>
    <t>Хадын худаг</t>
  </si>
  <si>
    <t>Буман Эксплорейшн</t>
  </si>
  <si>
    <t>MV-021238</t>
  </si>
  <si>
    <t>Алаг толгой</t>
  </si>
  <si>
    <t>Будар минералс</t>
  </si>
  <si>
    <t>MV-021241</t>
  </si>
  <si>
    <t>Мөргөцөг</t>
  </si>
  <si>
    <t>Нью нимон майнинг</t>
  </si>
  <si>
    <t>MV-021242</t>
  </si>
  <si>
    <t>Баянхайрхан</t>
  </si>
  <si>
    <t>Барматгарам</t>
  </si>
  <si>
    <t>MV-021243</t>
  </si>
  <si>
    <t>Бигэр, Есөнбулаг</t>
  </si>
  <si>
    <t>MV-021245</t>
  </si>
  <si>
    <t>Мухар-2</t>
  </si>
  <si>
    <t>Эм Энд Эм</t>
  </si>
  <si>
    <t>MV-021246</t>
  </si>
  <si>
    <t>Дэрст хонхор</t>
  </si>
  <si>
    <t>Эж эрдэнэ майнинг</t>
  </si>
  <si>
    <t>MV-021251</t>
  </si>
  <si>
    <t>Мөнхтийн цагаан дөрвөлжин</t>
  </si>
  <si>
    <t>Шивээговь, Баянжаргалан</t>
  </si>
  <si>
    <t>MV-021252</t>
  </si>
  <si>
    <t>Өмнийн говийн баялаг</t>
  </si>
  <si>
    <t>MV-021268</t>
  </si>
  <si>
    <t>Урд тарагт</t>
  </si>
  <si>
    <t>Эхлэл ургац энержи</t>
  </si>
  <si>
    <t>MV-021272</t>
  </si>
  <si>
    <t>Нарийн дав</t>
  </si>
  <si>
    <t>Булган стар</t>
  </si>
  <si>
    <t>MV-021278</t>
  </si>
  <si>
    <t>Гео зил</t>
  </si>
  <si>
    <t>MV-021290</t>
  </si>
  <si>
    <t>Шим-Аминаа</t>
  </si>
  <si>
    <t>MV-021302</t>
  </si>
  <si>
    <t>Баян хөх толгой</t>
  </si>
  <si>
    <t>Баян-Өндөр, Шинэжинст</t>
  </si>
  <si>
    <t>MV-021303</t>
  </si>
  <si>
    <t>Хөх булгийн хөндийн адаг</t>
  </si>
  <si>
    <t>Мөнхийн номхон далай</t>
  </si>
  <si>
    <t>MV-021305</t>
  </si>
  <si>
    <t>Бат-Алт төв</t>
  </si>
  <si>
    <t>MV-020781</t>
  </si>
  <si>
    <t>ЕАИ</t>
  </si>
  <si>
    <t>MV-021319</t>
  </si>
  <si>
    <t>Халзан цахир</t>
  </si>
  <si>
    <t>Энерживестэрн даймонд</t>
  </si>
  <si>
    <t>Баянговь, Шинэжинст</t>
  </si>
  <si>
    <t>MV-021321</t>
  </si>
  <si>
    <t>Сэлэнгэ байгалийн нөөц</t>
  </si>
  <si>
    <t>Баянгол, Борнуур, Сүмбэр</t>
  </si>
  <si>
    <t>MV-021322</t>
  </si>
  <si>
    <t>Эргэл-Халивийн өргөтгөл</t>
  </si>
  <si>
    <t>Вольф ресурс</t>
  </si>
  <si>
    <t>MV-021324</t>
  </si>
  <si>
    <t>Бүрэг</t>
  </si>
  <si>
    <t>Гэрэлтшинэчлэл</t>
  </si>
  <si>
    <t>MV-021342</t>
  </si>
  <si>
    <t>Бичигтхайрхан трейд</t>
  </si>
  <si>
    <t>MV-021354</t>
  </si>
  <si>
    <t>Хөх бишрэлт</t>
  </si>
  <si>
    <t>MV-021355</t>
  </si>
  <si>
    <t>Их асур</t>
  </si>
  <si>
    <t>MV-021344</t>
  </si>
  <si>
    <t>Могул станнум</t>
  </si>
  <si>
    <t>MV-021362</t>
  </si>
  <si>
    <t>Юниверсалресорсиз</t>
  </si>
  <si>
    <t>MV-021365</t>
  </si>
  <si>
    <t>Бургастай-1</t>
  </si>
  <si>
    <t>Экс Ай Эн</t>
  </si>
  <si>
    <t>MV-021378</t>
  </si>
  <si>
    <t>Окслэй-Айрон</t>
  </si>
  <si>
    <t>MV-021379</t>
  </si>
  <si>
    <t>Цохоор</t>
  </si>
  <si>
    <t>MV-021381</t>
  </si>
  <si>
    <t>MV-021382</t>
  </si>
  <si>
    <t>Цагаан овоо</t>
  </si>
  <si>
    <t>Эрдэнэ Мандал</t>
  </si>
  <si>
    <t>MV-021384</t>
  </si>
  <si>
    <t>Талын овоо</t>
  </si>
  <si>
    <t>Адилцаг</t>
  </si>
  <si>
    <t>MV-021385</t>
  </si>
  <si>
    <t>MV-021387</t>
  </si>
  <si>
    <t>Адексмайн</t>
  </si>
  <si>
    <t>MV-021401</t>
  </si>
  <si>
    <t>Баруун уурхайт</t>
  </si>
  <si>
    <t>MV-021403</t>
  </si>
  <si>
    <t>Өмнө</t>
  </si>
  <si>
    <t>Активы титане</t>
  </si>
  <si>
    <t>MV-021404</t>
  </si>
  <si>
    <t>Мөнгөнхас шонхор</t>
  </si>
  <si>
    <t>MV-021405</t>
  </si>
  <si>
    <t>MV-021406</t>
  </si>
  <si>
    <t>Хөх уул</t>
  </si>
  <si>
    <t>MV-021408</t>
  </si>
  <si>
    <t>MV-021411</t>
  </si>
  <si>
    <t>Баяжихманлай</t>
  </si>
  <si>
    <t>MV-021413</t>
  </si>
  <si>
    <t>Бор</t>
  </si>
  <si>
    <t>Өвөрголд</t>
  </si>
  <si>
    <t>MV-021417</t>
  </si>
  <si>
    <t>Санжит</t>
  </si>
  <si>
    <t>Монголиан токен майнинг инвестмент групп корпорэйшн</t>
  </si>
  <si>
    <t>MV-021441</t>
  </si>
  <si>
    <t>Олон ихт баян</t>
  </si>
  <si>
    <t>MV-021443</t>
  </si>
  <si>
    <t>ХТД</t>
  </si>
  <si>
    <t>MV-021444</t>
  </si>
  <si>
    <t>Хөндий</t>
  </si>
  <si>
    <t>Эрдэнэмонгол</t>
  </si>
  <si>
    <t>MV-021445</t>
  </si>
  <si>
    <t>Тахамт</t>
  </si>
  <si>
    <t>MV-011029</t>
  </si>
  <si>
    <t>Салбартай</t>
  </si>
  <si>
    <t>Сэлэнгэ металл</t>
  </si>
  <si>
    <t>MV-021447</t>
  </si>
  <si>
    <t>Толгод</t>
  </si>
  <si>
    <t>MV-021450</t>
  </si>
  <si>
    <t>Мөнхбичигт</t>
  </si>
  <si>
    <t>MV-021453</t>
  </si>
  <si>
    <t>Сайншанд, Сайхандулаан</t>
  </si>
  <si>
    <t>MV-021456</t>
  </si>
  <si>
    <t>Мөнх нархан орд</t>
  </si>
  <si>
    <t>MV-021459</t>
  </si>
  <si>
    <t>Хэрмийн цагаан өндөр</t>
  </si>
  <si>
    <t>Эрээн толгой</t>
  </si>
  <si>
    <t>MV-021446</t>
  </si>
  <si>
    <t>Баян-Айраг</t>
  </si>
  <si>
    <t>Өү Икс Өү</t>
  </si>
  <si>
    <t>MV-021449</t>
  </si>
  <si>
    <t>Бага Аргалант</t>
  </si>
  <si>
    <t>Алтан эрдэнэ газар</t>
  </si>
  <si>
    <t>MV-021452</t>
  </si>
  <si>
    <t>MV-021454</t>
  </si>
  <si>
    <t>Мига эрин зуун</t>
  </si>
  <si>
    <t>MV-021457</t>
  </si>
  <si>
    <t>Хулсан</t>
  </si>
  <si>
    <t>Файв Хиллс Ресурс ХХК</t>
  </si>
  <si>
    <t>Баянлиг</t>
  </si>
  <si>
    <t>MV-021465</t>
  </si>
  <si>
    <t>Баянбүрд</t>
  </si>
  <si>
    <t>Би Эс Ай</t>
  </si>
  <si>
    <t>MV-021469</t>
  </si>
  <si>
    <t>Хас металл</t>
  </si>
  <si>
    <t>MV-021470</t>
  </si>
  <si>
    <t>MV-021471</t>
  </si>
  <si>
    <t>MV-021479</t>
  </si>
  <si>
    <t>MV-021477</t>
  </si>
  <si>
    <t>Баян-ус</t>
  </si>
  <si>
    <t>Матад энержи</t>
  </si>
  <si>
    <t>Баянтүмэн, Матад</t>
  </si>
  <si>
    <t>MV-021480</t>
  </si>
  <si>
    <t>Хуурай тал</t>
  </si>
  <si>
    <t>Терра майнинг</t>
  </si>
  <si>
    <t>MV-021478</t>
  </si>
  <si>
    <t>Эрдэнийн шонхор майнинг</t>
  </si>
  <si>
    <t>MV-021483</t>
  </si>
  <si>
    <t>Эрдэнэс алт ресурс</t>
  </si>
  <si>
    <t>MV-021484</t>
  </si>
  <si>
    <t>Баруун хонхор</t>
  </si>
  <si>
    <t>MV-021485</t>
  </si>
  <si>
    <t>MV-021487</t>
  </si>
  <si>
    <t>MV-021488</t>
  </si>
  <si>
    <t>MV-021491</t>
  </si>
  <si>
    <t>Хулстай</t>
  </si>
  <si>
    <t>МИМС</t>
  </si>
  <si>
    <t>MV-021489</t>
  </si>
  <si>
    <t>Олон овоот</t>
  </si>
  <si>
    <t>MV-021490</t>
  </si>
  <si>
    <t>MV-021495</t>
  </si>
  <si>
    <t>Баян хар уул</t>
  </si>
  <si>
    <t>Шинэмонгол эрдэс</t>
  </si>
  <si>
    <t>MV-021499</t>
  </si>
  <si>
    <t>Хадагтайн хөндий</t>
  </si>
  <si>
    <t>Монголиан метал майнинг групп</t>
  </si>
  <si>
    <t>MV-021501</t>
  </si>
  <si>
    <t>Ти Жи Вай</t>
  </si>
  <si>
    <t>MV-021505</t>
  </si>
  <si>
    <t>Буянтын хөндийн адаг</t>
  </si>
  <si>
    <t>ЧЧБТ</t>
  </si>
  <si>
    <t>MV-021507</t>
  </si>
  <si>
    <t>MV-021508</t>
  </si>
  <si>
    <t>Галтын ам</t>
  </si>
  <si>
    <t>Саламандер</t>
  </si>
  <si>
    <t>MV-021510</t>
  </si>
  <si>
    <t>Эф Эм Ай</t>
  </si>
  <si>
    <t>MV-021511</t>
  </si>
  <si>
    <t>Өвөр тал</t>
  </si>
  <si>
    <t>Хаантоонот</t>
  </si>
  <si>
    <t>MV-021514</t>
  </si>
  <si>
    <t>Бумбат-4</t>
  </si>
  <si>
    <t>Хавчигийн ам</t>
  </si>
  <si>
    <t>MV-021515</t>
  </si>
  <si>
    <t>Цохиот толгой 1</t>
  </si>
  <si>
    <t>Ньюсинэкс</t>
  </si>
  <si>
    <t>MV-021518</t>
  </si>
  <si>
    <t>Жонш, Шохойн чулуу</t>
  </si>
  <si>
    <t>Минералплас</t>
  </si>
  <si>
    <t>MV-021523</t>
  </si>
  <si>
    <t>MV-021524</t>
  </si>
  <si>
    <t>MV-021525</t>
  </si>
  <si>
    <t>MV-021526</t>
  </si>
  <si>
    <t>MV-021527</t>
  </si>
  <si>
    <t>MV-021528</t>
  </si>
  <si>
    <t>Ноён уул-2</t>
  </si>
  <si>
    <t>Чихуа оч</t>
  </si>
  <si>
    <t>MV-021529</t>
  </si>
  <si>
    <t>Мандалын хоолой, Басангийн хооло</t>
  </si>
  <si>
    <t>Эйч Эс Эйч Эс</t>
  </si>
  <si>
    <t>MV-021530</t>
  </si>
  <si>
    <t>Довцог худаг</t>
  </si>
  <si>
    <t>Түмэн айл инвест</t>
  </si>
  <si>
    <t>MV-021531</t>
  </si>
  <si>
    <t>Төмөрт</t>
  </si>
  <si>
    <t>Кинзроуд</t>
  </si>
  <si>
    <t>MV-021532</t>
  </si>
  <si>
    <t>Никель</t>
  </si>
  <si>
    <t>Өмнөд</t>
  </si>
  <si>
    <t>Бидний зорилго</t>
  </si>
  <si>
    <t>MV-021535</t>
  </si>
  <si>
    <t>Их булгийн хөндийн дунд хэсэг</t>
  </si>
  <si>
    <t>Хархорум сүлд</t>
  </si>
  <si>
    <t>MV-021536</t>
  </si>
  <si>
    <t>MV-021537</t>
  </si>
  <si>
    <t>Хан алтай ресурс</t>
  </si>
  <si>
    <t>MV-021542</t>
  </si>
  <si>
    <t>Билгүүн-Эрдэс</t>
  </si>
  <si>
    <t>MV-021543</t>
  </si>
  <si>
    <t>Хар бичигт-1</t>
  </si>
  <si>
    <t>Чандмань платиниум</t>
  </si>
  <si>
    <t>MV-021547</t>
  </si>
  <si>
    <t>Алт /Үндсэн/, Холимог металл</t>
  </si>
  <si>
    <t>Алтан нар</t>
  </si>
  <si>
    <t>MV-021549</t>
  </si>
  <si>
    <t>Түгээмэл</t>
  </si>
  <si>
    <t>Завсар</t>
  </si>
  <si>
    <t>MV-021550</t>
  </si>
  <si>
    <t>Степ флюорит</t>
  </si>
  <si>
    <t>MV-021559</t>
  </si>
  <si>
    <t>Түмэн айл</t>
  </si>
  <si>
    <t>Их түмэн хүрд</t>
  </si>
  <si>
    <t>MV-021560</t>
  </si>
  <si>
    <t>Өндөр сүүж</t>
  </si>
  <si>
    <t>Сүмбэр-Орд</t>
  </si>
  <si>
    <t>MV-021561</t>
  </si>
  <si>
    <t>Баруун далан-1</t>
  </si>
  <si>
    <t>Ловонко</t>
  </si>
  <si>
    <t>MV-021562</t>
  </si>
  <si>
    <t>Баруун далан-2</t>
  </si>
  <si>
    <t>MV-021565</t>
  </si>
  <si>
    <t>Довжир-6</t>
  </si>
  <si>
    <t>Түшигт-Ээл</t>
  </si>
  <si>
    <t>MV-021578</t>
  </si>
  <si>
    <t>Хавтгай-III</t>
  </si>
  <si>
    <t>Ресурс партнерс групп</t>
  </si>
  <si>
    <t>MV-021580</t>
  </si>
  <si>
    <t>Дойтын булаг</t>
  </si>
  <si>
    <t>Ван руй зи юуан</t>
  </si>
  <si>
    <t>MV-021581</t>
  </si>
  <si>
    <t>Шар булаг хөндий</t>
  </si>
  <si>
    <t>Говийн ертөнц</t>
  </si>
  <si>
    <t>MV-021582</t>
  </si>
  <si>
    <t>MV-021583</t>
  </si>
  <si>
    <t>Илжигтэй хөндий доод хэсэг</t>
  </si>
  <si>
    <t>Монголламбер</t>
  </si>
  <si>
    <t>Жаргалтхаан, Цэнхэрмандал</t>
  </si>
  <si>
    <t>MV-021584</t>
  </si>
  <si>
    <t>Биндэрийн гол</t>
  </si>
  <si>
    <t>Есөнбулаг, Тайшир</t>
  </si>
  <si>
    <t>MV-021585</t>
  </si>
  <si>
    <t>Ерөө, Хүдэр</t>
  </si>
  <si>
    <t>MV-021587</t>
  </si>
  <si>
    <t>Бор-Өндөр-Өвөр хоолой</t>
  </si>
  <si>
    <t>Делта голд</t>
  </si>
  <si>
    <t>MV-021594</t>
  </si>
  <si>
    <t>Хөх довын худаг</t>
  </si>
  <si>
    <t>MV-021595</t>
  </si>
  <si>
    <t>Баянголын эх хөндий</t>
  </si>
  <si>
    <t>Хандгайтгол</t>
  </si>
  <si>
    <t>MV-021598</t>
  </si>
  <si>
    <t>Шарын гол уул уурхай</t>
  </si>
  <si>
    <t>MV-021599</t>
  </si>
  <si>
    <t>Баянмодны 17 дугаар судал</t>
  </si>
  <si>
    <t>MV-021601</t>
  </si>
  <si>
    <t>Винд майнинг</t>
  </si>
  <si>
    <t>MV-021602</t>
  </si>
  <si>
    <t>Нарийн хярын шохойжин</t>
  </si>
  <si>
    <t>Тахилгатгурван сайхан</t>
  </si>
  <si>
    <t>MV-021606</t>
  </si>
  <si>
    <t>Ар тамсаг-1</t>
  </si>
  <si>
    <t>Тамсаг баялаг</t>
  </si>
  <si>
    <t>MV-021608</t>
  </si>
  <si>
    <t>Агитын хөндийн доод хэсэг</t>
  </si>
  <si>
    <t>Номунбогд</t>
  </si>
  <si>
    <t>Баяннуур, Дашинчилэн</t>
  </si>
  <si>
    <t>MV-021616</t>
  </si>
  <si>
    <t>Нүхтийн булаг</t>
  </si>
  <si>
    <t>Эрдгео</t>
  </si>
  <si>
    <t>MV-021617</t>
  </si>
  <si>
    <t>Монгол шанхайн лин хуа олон улсын худалдаа</t>
  </si>
  <si>
    <t>MV-021619</t>
  </si>
  <si>
    <t>Ухаа худаг-1</t>
  </si>
  <si>
    <t>Нутгийн гантиг</t>
  </si>
  <si>
    <t>MV-021621</t>
  </si>
  <si>
    <t>Алт, Полиметалл</t>
  </si>
  <si>
    <t>Зөөлөн толгой</t>
  </si>
  <si>
    <t>Эф Ви Эс Пи</t>
  </si>
  <si>
    <t>MV-021623</t>
  </si>
  <si>
    <t>Хойд ямаат</t>
  </si>
  <si>
    <t>Алтан-Ар</t>
  </si>
  <si>
    <t>MV-021628</t>
  </si>
  <si>
    <t>Сүжигтэй</t>
  </si>
  <si>
    <t>Гүнбилэг трейд</t>
  </si>
  <si>
    <t>MV-021629</t>
  </si>
  <si>
    <t>Майхант-1</t>
  </si>
  <si>
    <t>Ди Эйч Пи</t>
  </si>
  <si>
    <t>MV-021634</t>
  </si>
  <si>
    <t>MV-021637</t>
  </si>
  <si>
    <t>Өмнө бага чулуу ордын хүдрийн баруун үргэлжлэл</t>
  </si>
  <si>
    <t>Мандах дорнын жонш</t>
  </si>
  <si>
    <t>MV-021681</t>
  </si>
  <si>
    <t>Хүнгүйт</t>
  </si>
  <si>
    <t>Надмин Айбекс</t>
  </si>
  <si>
    <t>MV-021682</t>
  </si>
  <si>
    <t>Алт, Зэс</t>
  </si>
  <si>
    <t>Зос уул</t>
  </si>
  <si>
    <t>Вестерн Монголиан Девелопмент</t>
  </si>
  <si>
    <t>MV-021693</t>
  </si>
  <si>
    <t>Их буурал</t>
  </si>
  <si>
    <t>Дорныншим</t>
  </si>
  <si>
    <t>MV-021694</t>
  </si>
  <si>
    <t>Мааньт</t>
  </si>
  <si>
    <t>Галзоо хан</t>
  </si>
  <si>
    <t>MV-021695</t>
  </si>
  <si>
    <t>MV-021697</t>
  </si>
  <si>
    <t>Цахиуртресурс</t>
  </si>
  <si>
    <t>MV-021702</t>
  </si>
  <si>
    <t>MV-021704</t>
  </si>
  <si>
    <t>MV-021705</t>
  </si>
  <si>
    <t>MV-021706</t>
  </si>
  <si>
    <t>MV-021707</t>
  </si>
  <si>
    <t>MV-021708</t>
  </si>
  <si>
    <t>MV-021710</t>
  </si>
  <si>
    <t>MV-021711</t>
  </si>
  <si>
    <t>Гэдгэр хангай</t>
  </si>
  <si>
    <t>Гэдгэр хангайн эрдэс</t>
  </si>
  <si>
    <t>MV-021712</t>
  </si>
  <si>
    <t>Баруун хөндлөн</t>
  </si>
  <si>
    <t>MV-021714</t>
  </si>
  <si>
    <t>Хонгил цав</t>
  </si>
  <si>
    <t>Кратон</t>
  </si>
  <si>
    <t>MV-021715</t>
  </si>
  <si>
    <t>Барилгын ба өнгөлгөөний чулуу</t>
  </si>
  <si>
    <t>Цогт толгой</t>
  </si>
  <si>
    <t>MV-021716</t>
  </si>
  <si>
    <t>Кристалл эксплорэйшн</t>
  </si>
  <si>
    <t>MV-021717</t>
  </si>
  <si>
    <t>Арын худаг</t>
  </si>
  <si>
    <t>Пауэрлэнд</t>
  </si>
  <si>
    <t>MV-021718</t>
  </si>
  <si>
    <t>MV-021727</t>
  </si>
  <si>
    <t>Окслейгоулд</t>
  </si>
  <si>
    <t>MV-021728</t>
  </si>
  <si>
    <t>Улаанхэцийн шанд</t>
  </si>
  <si>
    <t>MV-021729</t>
  </si>
  <si>
    <t>Тойром</t>
  </si>
  <si>
    <t>ВҮС</t>
  </si>
  <si>
    <t>MV-021731</t>
  </si>
  <si>
    <t>Хуурай-1</t>
  </si>
  <si>
    <t>Манлай геологи хайгуул</t>
  </si>
  <si>
    <t>MV-021751</t>
  </si>
  <si>
    <t>Салхит уул-1</t>
  </si>
  <si>
    <t>Си Эй Эм</t>
  </si>
  <si>
    <t>MV-021752</t>
  </si>
  <si>
    <t>Цавчиргийн хэт</t>
  </si>
  <si>
    <t>Боролзой</t>
  </si>
  <si>
    <t>MV-021755</t>
  </si>
  <si>
    <t>Алт /Үндсэн/, Мөнгө</t>
  </si>
  <si>
    <t>MV-021757</t>
  </si>
  <si>
    <t>Зүүн шарын ус</t>
  </si>
  <si>
    <t>Шинэ булаг майнинг</t>
  </si>
  <si>
    <t>MV-021758</t>
  </si>
  <si>
    <t>Бор толгод</t>
  </si>
  <si>
    <t>Манлай энержи</t>
  </si>
  <si>
    <t>MV-021769</t>
  </si>
  <si>
    <t>Алт, Зэс, Мөнгө</t>
  </si>
  <si>
    <t>Билх овоо</t>
  </si>
  <si>
    <t>МТ майнинг</t>
  </si>
  <si>
    <t>MV-021783</t>
  </si>
  <si>
    <t>Чунноров</t>
  </si>
  <si>
    <t>MV-021794</t>
  </si>
  <si>
    <t>Цайр, Мөнгө, Хар тугалга</t>
  </si>
  <si>
    <t>Мөнхсаяан</t>
  </si>
  <si>
    <t>MV-021795</t>
  </si>
  <si>
    <t>Дунд цэрд</t>
  </si>
  <si>
    <t>Гэрэлт олз</t>
  </si>
  <si>
    <t>MV-021796</t>
  </si>
  <si>
    <t>Зүүн цэрд</t>
  </si>
  <si>
    <t>MV-021797</t>
  </si>
  <si>
    <t>Ньюгоулд майн</t>
  </si>
  <si>
    <t>MV-021800</t>
  </si>
  <si>
    <t>Ихрийн ам</t>
  </si>
  <si>
    <t>MV-021805</t>
  </si>
  <si>
    <t>Шивээгийн гозгор</t>
  </si>
  <si>
    <t>Си Жи Си Эм</t>
  </si>
  <si>
    <t>MV-021836</t>
  </si>
  <si>
    <t>MV-021804</t>
  </si>
  <si>
    <t>Саудгоби фортуна</t>
  </si>
  <si>
    <t>MV-021827</t>
  </si>
  <si>
    <t>MV-021835</t>
  </si>
  <si>
    <t>Шар хад-1</t>
  </si>
  <si>
    <t>MV-021838</t>
  </si>
  <si>
    <t>MV-021840</t>
  </si>
  <si>
    <t>Хараатын овоо</t>
  </si>
  <si>
    <t>MV-021841</t>
  </si>
  <si>
    <t>Голден гоби констракшн материалз</t>
  </si>
  <si>
    <t>MV-021868</t>
  </si>
  <si>
    <t>Баруун</t>
  </si>
  <si>
    <t>MV-021869</t>
  </si>
  <si>
    <t>Оюут толгой</t>
  </si>
  <si>
    <t>Орчлон-Орд</t>
  </si>
  <si>
    <t>MV-021871</t>
  </si>
  <si>
    <t>Бор худаг</t>
  </si>
  <si>
    <t>Импайр гоулд майнинг</t>
  </si>
  <si>
    <t>MV-021872</t>
  </si>
  <si>
    <t>Цогтын сүм</t>
  </si>
  <si>
    <t>Эм Эм Эс Эс</t>
  </si>
  <si>
    <t>MV-021873</t>
  </si>
  <si>
    <t>Болор оюун жонш</t>
  </si>
  <si>
    <t>MV-021876</t>
  </si>
  <si>
    <t>Уушиг уул-1</t>
  </si>
  <si>
    <t>Идэр макс</t>
  </si>
  <si>
    <t>Өлзийт, Сайнцагаан</t>
  </si>
  <si>
    <t>MV-021877</t>
  </si>
  <si>
    <t>Зэс, Никель</t>
  </si>
  <si>
    <t>Престиж-эксплорэйшн</t>
  </si>
  <si>
    <t>MV-021878</t>
  </si>
  <si>
    <t>Алтарганахайрхан</t>
  </si>
  <si>
    <t>MV-021879</t>
  </si>
  <si>
    <t>MV-021912</t>
  </si>
  <si>
    <t>Зост уул</t>
  </si>
  <si>
    <t>Зостресорсиз</t>
  </si>
  <si>
    <t>Тосонцэнгэл</t>
  </si>
  <si>
    <t>MV-021913</t>
  </si>
  <si>
    <t>Өвөр зост</t>
  </si>
  <si>
    <t>MV-021914</t>
  </si>
  <si>
    <t>MV-021915</t>
  </si>
  <si>
    <t>MV-021918</t>
  </si>
  <si>
    <t>MV-021919</t>
  </si>
  <si>
    <t>Цооногтын шил</t>
  </si>
  <si>
    <t>Империал метал групп</t>
  </si>
  <si>
    <t>MV-021920</t>
  </si>
  <si>
    <t>Цагаан дэрс</t>
  </si>
  <si>
    <t>Очир мандал хайрхан</t>
  </si>
  <si>
    <t>MV-021921</t>
  </si>
  <si>
    <t>Цагаан Чулуут</t>
  </si>
  <si>
    <t>Монголиан метал ложистик</t>
  </si>
  <si>
    <t>MV-021923</t>
  </si>
  <si>
    <t>Борж-Овоот</t>
  </si>
  <si>
    <t>MV-021925</t>
  </si>
  <si>
    <t>Бор ухаа</t>
  </si>
  <si>
    <t>MV-021954</t>
  </si>
  <si>
    <t>Хайтан</t>
  </si>
  <si>
    <t>Зун Хуа Ин Си Куан</t>
  </si>
  <si>
    <t>MV-021956</t>
  </si>
  <si>
    <t>MV-021957</t>
  </si>
  <si>
    <t>Сэл-2</t>
  </si>
  <si>
    <t>Билүүт эрдэс</t>
  </si>
  <si>
    <t>MV-021962</t>
  </si>
  <si>
    <t>Могойт худаг</t>
  </si>
  <si>
    <t>Их наран уул</t>
  </si>
  <si>
    <t>MV-021963</t>
  </si>
  <si>
    <t>MV-021964</t>
  </si>
  <si>
    <t>Булгантэвш</t>
  </si>
  <si>
    <t>MV-021965</t>
  </si>
  <si>
    <t>Тэмээн чулуу</t>
  </si>
  <si>
    <t>Тэмээт металл ресурс</t>
  </si>
  <si>
    <t>MV-021968</t>
  </si>
  <si>
    <t>Төгс хувьсал</t>
  </si>
  <si>
    <t>Цогт-Овоо</t>
  </si>
  <si>
    <t>MV-021969</t>
  </si>
  <si>
    <t>Алтан хүрд проспектинг</t>
  </si>
  <si>
    <t>MV-021970</t>
  </si>
  <si>
    <t>Холбоо цагаан</t>
  </si>
  <si>
    <t>Гранд гот майнинг</t>
  </si>
  <si>
    <t>MV-021971</t>
  </si>
  <si>
    <t>Гүн-Өндөр-2</t>
  </si>
  <si>
    <t>Юбиксолюшн</t>
  </si>
  <si>
    <t>MV-021972</t>
  </si>
  <si>
    <t>Туулын их тохойрол</t>
  </si>
  <si>
    <t>Вайнд Майнд</t>
  </si>
  <si>
    <t>MV-021975</t>
  </si>
  <si>
    <t>MV-021981</t>
  </si>
  <si>
    <t>Алтан цөгц</t>
  </si>
  <si>
    <t>Монгол бао жиэ зи юань</t>
  </si>
  <si>
    <t>MV-021982</t>
  </si>
  <si>
    <t>Топазстоне майнинг</t>
  </si>
  <si>
    <t>MV-021984</t>
  </si>
  <si>
    <t>Эс И И Ди</t>
  </si>
  <si>
    <t>MV-021985</t>
  </si>
  <si>
    <t>Энгэр Ухаа</t>
  </si>
  <si>
    <t>Өрнөх алтай</t>
  </si>
  <si>
    <t>MV-021980</t>
  </si>
  <si>
    <t>Наран уул</t>
  </si>
  <si>
    <t>Саруулсайн</t>
  </si>
  <si>
    <t>MV-022051</t>
  </si>
  <si>
    <t>Эрдэнэ харвест</t>
  </si>
  <si>
    <t>Эрдэнэхайрхан</t>
  </si>
  <si>
    <t>MV-022054</t>
  </si>
  <si>
    <t>Бриллиант дриллинг</t>
  </si>
  <si>
    <t>MV-022055</t>
  </si>
  <si>
    <t>MV-022056</t>
  </si>
  <si>
    <t>Терра виста</t>
  </si>
  <si>
    <t>MV-022057</t>
  </si>
  <si>
    <t>Алтан дун</t>
  </si>
  <si>
    <t>Алтан дун дорнод монгол</t>
  </si>
  <si>
    <t>MV-022059</t>
  </si>
  <si>
    <t>Юү Жи Эл интерпрайзис</t>
  </si>
  <si>
    <t>MV-022061</t>
  </si>
  <si>
    <t>Жуо юүэ жин энержи монголиа</t>
  </si>
  <si>
    <t>MV-022092</t>
  </si>
  <si>
    <t>Майхан цахир</t>
  </si>
  <si>
    <t>Хадат өндрийн өгөөж</t>
  </si>
  <si>
    <t>MV-022094</t>
  </si>
  <si>
    <t>Алтан гадас</t>
  </si>
  <si>
    <t>Рийлзоин рэсурс</t>
  </si>
  <si>
    <t>MV-022096</t>
  </si>
  <si>
    <t>Скайтимбер</t>
  </si>
  <si>
    <t>MV-022098</t>
  </si>
  <si>
    <t>Гучингийн овоо</t>
  </si>
  <si>
    <t>Стархолдинг</t>
  </si>
  <si>
    <t>MV-022099</t>
  </si>
  <si>
    <t>Доод буурт</t>
  </si>
  <si>
    <t>MV-022106</t>
  </si>
  <si>
    <t>MV-022109</t>
  </si>
  <si>
    <t>MV-022110</t>
  </si>
  <si>
    <t>Эрдэсплазм</t>
  </si>
  <si>
    <t>MV-022111</t>
  </si>
  <si>
    <t>Тээг</t>
  </si>
  <si>
    <t>Иххаан чулуу</t>
  </si>
  <si>
    <t>MV-022112</t>
  </si>
  <si>
    <t>Сүпер</t>
  </si>
  <si>
    <t>Супермедиа пойнт</t>
  </si>
  <si>
    <t>MV-022113</t>
  </si>
  <si>
    <t>Загт</t>
  </si>
  <si>
    <t>Дүүлэх шонхор</t>
  </si>
  <si>
    <t>MV-022116</t>
  </si>
  <si>
    <t>Сартуул орд</t>
  </si>
  <si>
    <t>MV-022120</t>
  </si>
  <si>
    <t>MV-022121</t>
  </si>
  <si>
    <t>Батбродерс майнинг</t>
  </si>
  <si>
    <t>MV-022122</t>
  </si>
  <si>
    <t>Сайр</t>
  </si>
  <si>
    <t>Топсойл инженеринг</t>
  </si>
  <si>
    <t>MV-022118</t>
  </si>
  <si>
    <t>Ганбат өрнөх</t>
  </si>
  <si>
    <t>MV-022126</t>
  </si>
  <si>
    <t>Кюбэра</t>
  </si>
  <si>
    <t>MV-022127</t>
  </si>
  <si>
    <t>Далангийн уул орчим</t>
  </si>
  <si>
    <t>УБТТТ</t>
  </si>
  <si>
    <t>MV-022128</t>
  </si>
  <si>
    <t>MV-022130</t>
  </si>
  <si>
    <t>Гашууны тойром</t>
  </si>
  <si>
    <t>Саруул сансар</t>
  </si>
  <si>
    <t>MV-022134</t>
  </si>
  <si>
    <t>Наран-1</t>
  </si>
  <si>
    <t>Говь вентур</t>
  </si>
  <si>
    <t>MV-022136</t>
  </si>
  <si>
    <t>Мухдаг уул</t>
  </si>
  <si>
    <t>Илчитхурдаст</t>
  </si>
  <si>
    <t>MV-022137</t>
  </si>
  <si>
    <t>Устын ам</t>
  </si>
  <si>
    <t>MV-022140</t>
  </si>
  <si>
    <t>Элгэний худаг</t>
  </si>
  <si>
    <t>Эм Эн Эл Жи</t>
  </si>
  <si>
    <t>MV-022142</t>
  </si>
  <si>
    <t>Дөрөнийн амны доод хэсэг</t>
  </si>
  <si>
    <t>Би Өү Эл Ди майнинг</t>
  </si>
  <si>
    <t>MV-022144</t>
  </si>
  <si>
    <t>Үзүүрт</t>
  </si>
  <si>
    <t>Имперо майнинг</t>
  </si>
  <si>
    <t>Баянхонгор, Өвөрхангай</t>
  </si>
  <si>
    <t>Өлзийт, Нарийнтээл</t>
  </si>
  <si>
    <t>MV-022145</t>
  </si>
  <si>
    <t>Эгэмайнинг</t>
  </si>
  <si>
    <t>MV-022147</t>
  </si>
  <si>
    <t>Цахир толгой</t>
  </si>
  <si>
    <t>Апро</t>
  </si>
  <si>
    <t>MV-022148</t>
  </si>
  <si>
    <t>Баянтолгод</t>
  </si>
  <si>
    <t>MV-022150</t>
  </si>
  <si>
    <t>Агьбуянт</t>
  </si>
  <si>
    <t>MV-022152</t>
  </si>
  <si>
    <t>Баруун VI ордын баруун үргэлжлэл орд</t>
  </si>
  <si>
    <t>MV-022159</t>
  </si>
  <si>
    <t>Өндөр эрэг-2</t>
  </si>
  <si>
    <t>Хантэнгэрийн дуудлага</t>
  </si>
  <si>
    <t>MV-022160</t>
  </si>
  <si>
    <t>Сонгины гол</t>
  </si>
  <si>
    <t>Баяжмал-Алт</t>
  </si>
  <si>
    <t>MV-022162</t>
  </si>
  <si>
    <t>Өлгий цагаан</t>
  </si>
  <si>
    <t>MV-022163</t>
  </si>
  <si>
    <t>Морьт уул</t>
  </si>
  <si>
    <t>MV-022165</t>
  </si>
  <si>
    <t>Дэнж</t>
  </si>
  <si>
    <t>Мөнгөн нуруу</t>
  </si>
  <si>
    <t>MV-022276</t>
  </si>
  <si>
    <t>Эн Юү Юү Ар Эс</t>
  </si>
  <si>
    <t>MV-022281</t>
  </si>
  <si>
    <t>MV-022283</t>
  </si>
  <si>
    <t>MV-022311</t>
  </si>
  <si>
    <t>Цагаан толгойн урд арын</t>
  </si>
  <si>
    <t>Минжит булган гол</t>
  </si>
  <si>
    <t>MV-022364</t>
  </si>
  <si>
    <t>Нью тулт прогресс</t>
  </si>
  <si>
    <t>MV-022389</t>
  </si>
  <si>
    <t>Хөөврийн тал</t>
  </si>
  <si>
    <t>Бичигт шим майнинг</t>
  </si>
  <si>
    <t>MV-022391</t>
  </si>
  <si>
    <t>Нарсын-Хөндлөн</t>
  </si>
  <si>
    <t>Амирлангуй Үжин</t>
  </si>
  <si>
    <t>MV-022419</t>
  </si>
  <si>
    <t>Их тойруу</t>
  </si>
  <si>
    <t>MV-022420</t>
  </si>
  <si>
    <t>Хос кварц</t>
  </si>
  <si>
    <t>MV-022446</t>
  </si>
  <si>
    <t>Шаг алт</t>
  </si>
  <si>
    <t>MV-022475</t>
  </si>
  <si>
    <t>Урт сайр</t>
  </si>
  <si>
    <t>MV-022505</t>
  </si>
  <si>
    <t>Хажуу булаг</t>
  </si>
  <si>
    <t>Тэрмэнжонш</t>
  </si>
  <si>
    <t>MV-022506</t>
  </si>
  <si>
    <t>Зээг</t>
  </si>
  <si>
    <t>Графит Пит Майнинг</t>
  </si>
  <si>
    <t>MV-022510</t>
  </si>
  <si>
    <t>Бумбатын алаг</t>
  </si>
  <si>
    <t>MV-022511</t>
  </si>
  <si>
    <t>Тунгалагийн хөтөл</t>
  </si>
  <si>
    <t>MV-022512</t>
  </si>
  <si>
    <t>MV-022538</t>
  </si>
  <si>
    <t>Улаан өндөр</t>
  </si>
  <si>
    <t>Вайлинк</t>
  </si>
  <si>
    <t>MV-022540</t>
  </si>
  <si>
    <t>Хужихан</t>
  </si>
  <si>
    <t>Цуглан</t>
  </si>
  <si>
    <t>MV-022543</t>
  </si>
  <si>
    <t>АОГО</t>
  </si>
  <si>
    <t>MV-022544</t>
  </si>
  <si>
    <t>MV-022571</t>
  </si>
  <si>
    <t>Найртын дэнж</t>
  </si>
  <si>
    <t>MV-022572</t>
  </si>
  <si>
    <t>Цагаан Овоо</t>
  </si>
  <si>
    <t>Дүнг жин ау ванг</t>
  </si>
  <si>
    <t>MV-022597</t>
  </si>
  <si>
    <t>Хаш-Аранга</t>
  </si>
  <si>
    <t>MV-022626</t>
  </si>
  <si>
    <t>Ташгай</t>
  </si>
  <si>
    <t>Баян хөх толгой ташгай</t>
  </si>
  <si>
    <t>Гучин-Ус, Төгрөг</t>
  </si>
  <si>
    <t>MV-022627</t>
  </si>
  <si>
    <t>Их хурай</t>
  </si>
  <si>
    <t>Оюут цахир уул</t>
  </si>
  <si>
    <t>MV-022679</t>
  </si>
  <si>
    <t>Хонхор</t>
  </si>
  <si>
    <t>Эм Би Эм Эс</t>
  </si>
  <si>
    <t>MV-022682</t>
  </si>
  <si>
    <t>MV-022683</t>
  </si>
  <si>
    <t>Төгрөг, Цээл</t>
  </si>
  <si>
    <t>MV-022686</t>
  </si>
  <si>
    <t>Сумэру</t>
  </si>
  <si>
    <t>MV-022689</t>
  </si>
  <si>
    <t>MV-022690</t>
  </si>
  <si>
    <t>Шохойт тал</t>
  </si>
  <si>
    <t>MV-022599</t>
  </si>
  <si>
    <t>Саншайн энержи майнинг</t>
  </si>
  <si>
    <t>MV-022678</t>
  </si>
  <si>
    <t>MV-022695</t>
  </si>
  <si>
    <t>MV-022696</t>
  </si>
  <si>
    <t>Дэрст хотгор</t>
  </si>
  <si>
    <t>ЖАСКО</t>
  </si>
  <si>
    <t>MV-022697</t>
  </si>
  <si>
    <t>Хужиртын адаг</t>
  </si>
  <si>
    <t>Өгөөмөр ташир</t>
  </si>
  <si>
    <t>MV-022699</t>
  </si>
  <si>
    <t>Оюу ундрал мандуул</t>
  </si>
  <si>
    <t>Хавсралт 15Б Хайгуулын тусгай зөвшөөрлүүдийн жагсаалт (2023 оны 12 сарын 31-ний байдлаар)</t>
  </si>
  <si>
    <t>Эзэмшигчийн регистр</t>
  </si>
  <si>
    <t>XV-003367</t>
  </si>
  <si>
    <t>Эрхт овоот толгой</t>
  </si>
  <si>
    <t>Гурванзагал, Дашбалбар</t>
  </si>
  <si>
    <t>XV-004838</t>
  </si>
  <si>
    <t>Залаагийн худаг</t>
  </si>
  <si>
    <t>Сентрал азиа майнинг</t>
  </si>
  <si>
    <t>XV-005036</t>
  </si>
  <si>
    <t>Хоолойн тал-3</t>
  </si>
  <si>
    <t>Очгүн</t>
  </si>
  <si>
    <t>XV-007812</t>
  </si>
  <si>
    <t>Мушгиа ухаа</t>
  </si>
  <si>
    <t>XV-010256</t>
  </si>
  <si>
    <t>Биндэр, Хэрлэн</t>
  </si>
  <si>
    <t>XV-011200</t>
  </si>
  <si>
    <t>Тоглойн худаг</t>
  </si>
  <si>
    <t>Ньюмон ривер</t>
  </si>
  <si>
    <t>Дөрвөлжин, Ургамал</t>
  </si>
  <si>
    <t>XV-011447</t>
  </si>
  <si>
    <t>Сумт</t>
  </si>
  <si>
    <t>Эм Си Жэй майнинг</t>
  </si>
  <si>
    <t>XV-012322</t>
  </si>
  <si>
    <t>Улаан дэл</t>
  </si>
  <si>
    <t>Гео-Инфо</t>
  </si>
  <si>
    <t>XV-012590</t>
  </si>
  <si>
    <t>Индэрт, Их жаргалант-1</t>
  </si>
  <si>
    <t>XV-012685</t>
  </si>
  <si>
    <t>XV-012738</t>
  </si>
  <si>
    <t>И энд Би Начурал ресурс</t>
  </si>
  <si>
    <t>XV-012739</t>
  </si>
  <si>
    <t>И энд Би начурал майнинг</t>
  </si>
  <si>
    <t>Хөлөнбуйр</t>
  </si>
  <si>
    <t>XV-013053</t>
  </si>
  <si>
    <t>XV-013060</t>
  </si>
  <si>
    <t>Хар бургаст</t>
  </si>
  <si>
    <t>Биндэр, Өмнөдэлгэр</t>
  </si>
  <si>
    <t>XV-013719</t>
  </si>
  <si>
    <t>Сант</t>
  </si>
  <si>
    <t>Чулуунцаг</t>
  </si>
  <si>
    <t>XV-014148</t>
  </si>
  <si>
    <t>Төгөл</t>
  </si>
  <si>
    <t>Ихтүмэн бээр</t>
  </si>
  <si>
    <t>XV-014305</t>
  </si>
  <si>
    <t>Глобалтоун</t>
  </si>
  <si>
    <t>XV-014430</t>
  </si>
  <si>
    <t>Лугийн толгой</t>
  </si>
  <si>
    <t>Реалкокореа</t>
  </si>
  <si>
    <t>XV-014488</t>
  </si>
  <si>
    <t>Хурай</t>
  </si>
  <si>
    <t>XV-014533</t>
  </si>
  <si>
    <t>XV-014560</t>
  </si>
  <si>
    <t>МЕМ</t>
  </si>
  <si>
    <t>XV-014850</t>
  </si>
  <si>
    <t>Загийн хар уул</t>
  </si>
  <si>
    <t>XV-015043</t>
  </si>
  <si>
    <t>Гурван хар толгой</t>
  </si>
  <si>
    <t>XV-015051</t>
  </si>
  <si>
    <t>XV-015064</t>
  </si>
  <si>
    <t>XV-015380</t>
  </si>
  <si>
    <t>Доурадо</t>
  </si>
  <si>
    <t>XV-015381</t>
  </si>
  <si>
    <t>Алдар</t>
  </si>
  <si>
    <t>XV-015382</t>
  </si>
  <si>
    <t>Хөх хадат</t>
  </si>
  <si>
    <t>Монголголомт групп</t>
  </si>
  <si>
    <t>XV-015422</t>
  </si>
  <si>
    <t>Хасарт оюу</t>
  </si>
  <si>
    <t>XV-016010</t>
  </si>
  <si>
    <t>Баян хиллс ресорзис</t>
  </si>
  <si>
    <t>XV-015986</t>
  </si>
  <si>
    <t>Плато</t>
  </si>
  <si>
    <t>Зүлэгтбулаг</t>
  </si>
  <si>
    <t>XV-016057</t>
  </si>
  <si>
    <t>Лидер эксплорэйшн</t>
  </si>
  <si>
    <t>XV-016040</t>
  </si>
  <si>
    <t>Талын толгод-1</t>
  </si>
  <si>
    <t>Глобалбалыш</t>
  </si>
  <si>
    <t>XV-016041</t>
  </si>
  <si>
    <t>Талын толгод</t>
  </si>
  <si>
    <t>XV-015497</t>
  </si>
  <si>
    <t>XV-015472</t>
  </si>
  <si>
    <t>Чамин харш</t>
  </si>
  <si>
    <t>XV-016830</t>
  </si>
  <si>
    <t>Винтерблоссом</t>
  </si>
  <si>
    <t>XV-016993</t>
  </si>
  <si>
    <t>XV-006219</t>
  </si>
  <si>
    <t>Эрдэнэсийн хотхон</t>
  </si>
  <si>
    <t>XV-017136</t>
  </si>
  <si>
    <t>Эргэн ус</t>
  </si>
  <si>
    <t>Эрдэнийн гурвалжин</t>
  </si>
  <si>
    <t>XV-017138</t>
  </si>
  <si>
    <t>Хар сүүл</t>
  </si>
  <si>
    <t>Лидер гоулд</t>
  </si>
  <si>
    <t>Баацагаан, Бөмбөгөр</t>
  </si>
  <si>
    <t>XV-017139</t>
  </si>
  <si>
    <t>Цахир худаг</t>
  </si>
  <si>
    <t>Ривади</t>
  </si>
  <si>
    <t>XV-017142</t>
  </si>
  <si>
    <t>XV-017357</t>
  </si>
  <si>
    <t>Хандгайт-1</t>
  </si>
  <si>
    <t>Эс Кью Эс</t>
  </si>
  <si>
    <t>XV-017628</t>
  </si>
  <si>
    <t>XV-017632</t>
  </si>
  <si>
    <t>Ногоон тал</t>
  </si>
  <si>
    <t>XV-017647</t>
  </si>
  <si>
    <t>Улаан эрэг</t>
  </si>
  <si>
    <t>Дрэйпэркапитал монголиа</t>
  </si>
  <si>
    <t>XV-017651</t>
  </si>
  <si>
    <t>Хонхор дэрс</t>
  </si>
  <si>
    <t>XV-017690</t>
  </si>
  <si>
    <t>Сүүж уул</t>
  </si>
  <si>
    <t>Фоксмайнинг</t>
  </si>
  <si>
    <t>XV-017691</t>
  </si>
  <si>
    <t>Даравгайн худаг</t>
  </si>
  <si>
    <t>Вивидстар</t>
  </si>
  <si>
    <t>XV-017692</t>
  </si>
  <si>
    <t>XV-017713</t>
  </si>
  <si>
    <t>Минерал-Оргил</t>
  </si>
  <si>
    <t>XV-017714</t>
  </si>
  <si>
    <t>Бүүвэйт-1</t>
  </si>
  <si>
    <t>XV-017716</t>
  </si>
  <si>
    <t>XV-017720</t>
  </si>
  <si>
    <t>Эдрэн гоулд ресурс</t>
  </si>
  <si>
    <t>Цогт, Эрдэнэ</t>
  </si>
  <si>
    <t>XV-017729</t>
  </si>
  <si>
    <t>XV-017731</t>
  </si>
  <si>
    <t>Жи Эм энд Эм Жи</t>
  </si>
  <si>
    <t>XV-017735</t>
  </si>
  <si>
    <t>Хөтөл шанд</t>
  </si>
  <si>
    <t>Тавтаанай майнинг</t>
  </si>
  <si>
    <t>Баацагаан</t>
  </si>
  <si>
    <t>XV-017739</t>
  </si>
  <si>
    <t>Увс, Ховд</t>
  </si>
  <si>
    <t>Өлгий, Дөргөн, Мянгад</t>
  </si>
  <si>
    <t>XV-017748</t>
  </si>
  <si>
    <t>Хаг</t>
  </si>
  <si>
    <t>Хунг юүн</t>
  </si>
  <si>
    <t>Малчин</t>
  </si>
  <si>
    <t>XV-017749</t>
  </si>
  <si>
    <t>Хойд борц</t>
  </si>
  <si>
    <t>Цэнгүүншилтгээн</t>
  </si>
  <si>
    <t>XV-017762</t>
  </si>
  <si>
    <t>Геосоорс</t>
  </si>
  <si>
    <t>Алдархаан</t>
  </si>
  <si>
    <t>XV-017774</t>
  </si>
  <si>
    <t>Оюут</t>
  </si>
  <si>
    <t>Эс Ти Эс Эм</t>
  </si>
  <si>
    <t>XV-017776</t>
  </si>
  <si>
    <t>Дөр</t>
  </si>
  <si>
    <t>Буман олз дриллинг</t>
  </si>
  <si>
    <t>Дөрвөлжин, Завханмандал</t>
  </si>
  <si>
    <t>XV-017789</t>
  </si>
  <si>
    <t>Нурамт</t>
  </si>
  <si>
    <t>Энержимандал</t>
  </si>
  <si>
    <t>XV-017795</t>
  </si>
  <si>
    <t>Агуйт</t>
  </si>
  <si>
    <t>Номин эрдэнийн өргөө</t>
  </si>
  <si>
    <t>XV-017813</t>
  </si>
  <si>
    <t>XV-017836</t>
  </si>
  <si>
    <t>Касс таун</t>
  </si>
  <si>
    <t>XV-017839</t>
  </si>
  <si>
    <t>Эрдэнэст проспектинг</t>
  </si>
  <si>
    <t>XV-017841</t>
  </si>
  <si>
    <t>ТДЛБЧ</t>
  </si>
  <si>
    <t>XV-017846</t>
  </si>
  <si>
    <t>Замт</t>
  </si>
  <si>
    <t>XV-017854</t>
  </si>
  <si>
    <t>Улаантолгой</t>
  </si>
  <si>
    <t>Сүмбэр эрдэнэ оргил</t>
  </si>
  <si>
    <t>XV-017928</t>
  </si>
  <si>
    <t>Шийрт</t>
  </si>
  <si>
    <t>Алтан од майнинг</t>
  </si>
  <si>
    <t>XV-017933</t>
  </si>
  <si>
    <t>Шохойтнуруу</t>
  </si>
  <si>
    <t>Малчин, Наранбулаг</t>
  </si>
  <si>
    <t>XV-017877</t>
  </si>
  <si>
    <t>Хөх</t>
  </si>
  <si>
    <t>Эй энд капитал</t>
  </si>
  <si>
    <t>Хөхморьт</t>
  </si>
  <si>
    <t>XV-017881</t>
  </si>
  <si>
    <t>Хүйс</t>
  </si>
  <si>
    <t>XV-017882</t>
  </si>
  <si>
    <t>Хүрд</t>
  </si>
  <si>
    <t>Майн индастри консалтинг</t>
  </si>
  <si>
    <t>Говь-Алтай, Ховд</t>
  </si>
  <si>
    <t>Тонхил, Алтай</t>
  </si>
  <si>
    <t>XV-017883</t>
  </si>
  <si>
    <t>Бакунатур</t>
  </si>
  <si>
    <t>XV-017910</t>
  </si>
  <si>
    <t>Шижиргранд</t>
  </si>
  <si>
    <t>XV-017913</t>
  </si>
  <si>
    <t>Цэнтрал азиа нонферроус металл</t>
  </si>
  <si>
    <t>Буянт, Сагсай</t>
  </si>
  <si>
    <t>XV-017894</t>
  </si>
  <si>
    <t>Моеллер гоулд корпораци</t>
  </si>
  <si>
    <t>XV-017907</t>
  </si>
  <si>
    <t>Зөөлөн</t>
  </si>
  <si>
    <t>Зөөлөн ресурс</t>
  </si>
  <si>
    <t>XV-017935</t>
  </si>
  <si>
    <t>Конгломерат</t>
  </si>
  <si>
    <t>XV-017941</t>
  </si>
  <si>
    <t>Аргал</t>
  </si>
  <si>
    <t>ЗААКИ</t>
  </si>
  <si>
    <t>Дөрвөлжин, Завханмандал, Ургамал</t>
  </si>
  <si>
    <t>XV-017943</t>
  </si>
  <si>
    <t>Их мандал хүрд ресурс проспектинг</t>
  </si>
  <si>
    <t>Богд</t>
  </si>
  <si>
    <t>XV-017944</t>
  </si>
  <si>
    <t>СУММУС</t>
  </si>
  <si>
    <t>XV-017945</t>
  </si>
  <si>
    <t>Их баян</t>
  </si>
  <si>
    <t>Аюут толгой</t>
  </si>
  <si>
    <t>XV-017949</t>
  </si>
  <si>
    <t>Аргалант</t>
  </si>
  <si>
    <t>Фокстрат интернэшнл</t>
  </si>
  <si>
    <t>XV-017951</t>
  </si>
  <si>
    <t>Ханхэнтийн хүдэр</t>
  </si>
  <si>
    <t>XV-017989</t>
  </si>
  <si>
    <t>Новонэт майн</t>
  </si>
  <si>
    <t>Алтай, Үенч</t>
  </si>
  <si>
    <t>XV-017977</t>
  </si>
  <si>
    <t>Голден гроуз айбекс</t>
  </si>
  <si>
    <t>Дорноговь, Өмнөговь</t>
  </si>
  <si>
    <t>Мандах, Манлай</t>
  </si>
  <si>
    <t>XV-017981</t>
  </si>
  <si>
    <t>Дааган дэл уул</t>
  </si>
  <si>
    <t>XV-017986</t>
  </si>
  <si>
    <t>БЭТТА</t>
  </si>
  <si>
    <t>XV-017987</t>
  </si>
  <si>
    <t>XV-018002</t>
  </si>
  <si>
    <t>Алтан мандал</t>
  </si>
  <si>
    <t>XV-018028</t>
  </si>
  <si>
    <t>Тээл</t>
  </si>
  <si>
    <t>XV-018052</t>
  </si>
  <si>
    <t>XV-018031</t>
  </si>
  <si>
    <t>XV-018037</t>
  </si>
  <si>
    <t>Алтайхянган</t>
  </si>
  <si>
    <t>XV-018076</t>
  </si>
  <si>
    <t>Эс Эс Си монголиа майнинг</t>
  </si>
  <si>
    <t>XV-018085</t>
  </si>
  <si>
    <t>Баян толгой</t>
  </si>
  <si>
    <t>Грандлаки</t>
  </si>
  <si>
    <t>XV-018065</t>
  </si>
  <si>
    <t>Баруун цэрд</t>
  </si>
  <si>
    <t>XV-018074</t>
  </si>
  <si>
    <t>Шалын хар уул</t>
  </si>
  <si>
    <t>Фэстжампер</t>
  </si>
  <si>
    <t>XV-018089</t>
  </si>
  <si>
    <t>Эй Би Пи Девелопмент</t>
  </si>
  <si>
    <t>Жаргалан, Тайшир</t>
  </si>
  <si>
    <t>XV-018090</t>
  </si>
  <si>
    <t>Урд цээл</t>
  </si>
  <si>
    <t>XV-018094</t>
  </si>
  <si>
    <t>Бодонч</t>
  </si>
  <si>
    <t>XV-018096</t>
  </si>
  <si>
    <t>Лүтайрөүд констракшн</t>
  </si>
  <si>
    <t>Баянцагаан, Жинст</t>
  </si>
  <si>
    <t>XV-018109</t>
  </si>
  <si>
    <t>Алтан</t>
  </si>
  <si>
    <t>Алтанцөгц, Баяннуур</t>
  </si>
  <si>
    <t>XV-018113</t>
  </si>
  <si>
    <t>Шахлаган</t>
  </si>
  <si>
    <t>XV-018119</t>
  </si>
  <si>
    <t>Эс Ди Ти И Эм</t>
  </si>
  <si>
    <t>XV-018150</t>
  </si>
  <si>
    <t>Алт-Импэкс</t>
  </si>
  <si>
    <t>XV-018151</t>
  </si>
  <si>
    <t>Дэлт</t>
  </si>
  <si>
    <t>Цогш</t>
  </si>
  <si>
    <t>Өндөрхангай</t>
  </si>
  <si>
    <t>XV-018158</t>
  </si>
  <si>
    <t>Баруун жалга</t>
  </si>
  <si>
    <t>Алтай, Мөст</t>
  </si>
  <si>
    <t>XV-018175</t>
  </si>
  <si>
    <t>ЭБЭГ</t>
  </si>
  <si>
    <t>XV-018204</t>
  </si>
  <si>
    <t>Платин-Энержи</t>
  </si>
  <si>
    <t>XV-018191</t>
  </si>
  <si>
    <t>Баянсайр майнинг</t>
  </si>
  <si>
    <t>XV-018200</t>
  </si>
  <si>
    <t>Дээд</t>
  </si>
  <si>
    <t>Сагил, Улаангом</t>
  </si>
  <si>
    <t>XV-018216</t>
  </si>
  <si>
    <t>Алтан хүрд</t>
  </si>
  <si>
    <t>Рашаант</t>
  </si>
  <si>
    <t>XV-018220</t>
  </si>
  <si>
    <t>Хүлэг голд</t>
  </si>
  <si>
    <t>XV-018223</t>
  </si>
  <si>
    <t>Сүүл</t>
  </si>
  <si>
    <t>Майнперфект сольюшн</t>
  </si>
  <si>
    <t>XV-018247</t>
  </si>
  <si>
    <t>Монгол ураниум ресурс</t>
  </si>
  <si>
    <t>XV-018236</t>
  </si>
  <si>
    <t>Өвгөн овоо</t>
  </si>
  <si>
    <t>Батшандас</t>
  </si>
  <si>
    <t>Шилүүстэй</t>
  </si>
  <si>
    <t>XV-018239</t>
  </si>
  <si>
    <t>Тайшир проспектинг майнинг</t>
  </si>
  <si>
    <t>XV-018255</t>
  </si>
  <si>
    <t>Трой-Унц</t>
  </si>
  <si>
    <t>XV-018257</t>
  </si>
  <si>
    <t>Галтконстракшн</t>
  </si>
  <si>
    <t>XV-018292</t>
  </si>
  <si>
    <t>Ган эрдэнэ кристал</t>
  </si>
  <si>
    <t>Баруунбаян-Улаан</t>
  </si>
  <si>
    <t>XV-018305</t>
  </si>
  <si>
    <t>Мэргэн</t>
  </si>
  <si>
    <t>Хөхморьт, Дарви</t>
  </si>
  <si>
    <t>XV-018324</t>
  </si>
  <si>
    <t>Хаг-1</t>
  </si>
  <si>
    <t>Баруун гео</t>
  </si>
  <si>
    <t>XV-018327</t>
  </si>
  <si>
    <t>Хашаатын хөндий</t>
  </si>
  <si>
    <t>XV-018363</t>
  </si>
  <si>
    <t>Нарийн хар</t>
  </si>
  <si>
    <t>Гоулд циркл</t>
  </si>
  <si>
    <t>XV-018330</t>
  </si>
  <si>
    <t>Хангай</t>
  </si>
  <si>
    <t>Зүүнхангай, Өндөрхангай</t>
  </si>
  <si>
    <t>XV-018374</t>
  </si>
  <si>
    <t>Апполо капитал</t>
  </si>
  <si>
    <t>XV-018391</t>
  </si>
  <si>
    <t>XV-018398</t>
  </si>
  <si>
    <t>Гичгэнэ</t>
  </si>
  <si>
    <t>Ланд-Оре</t>
  </si>
  <si>
    <t>XV-018421</t>
  </si>
  <si>
    <t>Дөш</t>
  </si>
  <si>
    <t>Бигстоне</t>
  </si>
  <si>
    <t>XV-018462</t>
  </si>
  <si>
    <t>Мянга</t>
  </si>
  <si>
    <t>Юнионголд</t>
  </si>
  <si>
    <t>XV-018509</t>
  </si>
  <si>
    <t>Хөдөө</t>
  </si>
  <si>
    <t>Эс Ди Баянхөдөө</t>
  </si>
  <si>
    <t>Сантмаргац, Сонгино</t>
  </si>
  <si>
    <t>XV-018549</t>
  </si>
  <si>
    <t>Чингисийн алтан зоос</t>
  </si>
  <si>
    <t>XV-018555</t>
  </si>
  <si>
    <t>Хад</t>
  </si>
  <si>
    <t>СННС</t>
  </si>
  <si>
    <t>XV-018557</t>
  </si>
  <si>
    <t>Даваат алтайн хишиг</t>
  </si>
  <si>
    <t>XV-017954</t>
  </si>
  <si>
    <t>Алаг улаан толгой</t>
  </si>
  <si>
    <t>Өлгий, Мянгад</t>
  </si>
  <si>
    <t>XV-018641</t>
  </si>
  <si>
    <t>Шар дэл</t>
  </si>
  <si>
    <t>ЦДР</t>
  </si>
  <si>
    <t>Дөргөн</t>
  </si>
  <si>
    <t>XV-018091</t>
  </si>
  <si>
    <t>Залуучууд шим</t>
  </si>
  <si>
    <t>XV-018645</t>
  </si>
  <si>
    <t>Алтангол болор</t>
  </si>
  <si>
    <t>XV-018665</t>
  </si>
  <si>
    <t>Эс Ди Баянхаш</t>
  </si>
  <si>
    <t>Наранбулаг, Тариалан</t>
  </si>
  <si>
    <t>XV-018683</t>
  </si>
  <si>
    <t>Жи Эй Кэй</t>
  </si>
  <si>
    <t>XV-018708</t>
  </si>
  <si>
    <t>Чигэртэй-1</t>
  </si>
  <si>
    <t>Ориент</t>
  </si>
  <si>
    <t>XV-018711</t>
  </si>
  <si>
    <t>Энгэр толгод</t>
  </si>
  <si>
    <t>XV-017942</t>
  </si>
  <si>
    <t>Балжинням</t>
  </si>
  <si>
    <t>Ташгайхайрхан</t>
  </si>
  <si>
    <t>XV-018741</t>
  </si>
  <si>
    <t>Домогт хээр</t>
  </si>
  <si>
    <t>XV-018751</t>
  </si>
  <si>
    <t>Би Жи ботгон гол</t>
  </si>
  <si>
    <t>XV-018799</t>
  </si>
  <si>
    <t>Байвгай</t>
  </si>
  <si>
    <t>XV-018800</t>
  </si>
  <si>
    <t>Өлгий, Сагсай</t>
  </si>
  <si>
    <t>XV-018766</t>
  </si>
  <si>
    <t>Хаанбуурынх</t>
  </si>
  <si>
    <t>XV-018791</t>
  </si>
  <si>
    <t>Умгар</t>
  </si>
  <si>
    <t>XV-018795</t>
  </si>
  <si>
    <t>Эвт</t>
  </si>
  <si>
    <t>XV-018926</t>
  </si>
  <si>
    <t>Жиа руй зи юуан</t>
  </si>
  <si>
    <t>XV-018927</t>
  </si>
  <si>
    <t>Цэн руй зи юуан</t>
  </si>
  <si>
    <t>XV-017979</t>
  </si>
  <si>
    <t>Бод</t>
  </si>
  <si>
    <t>Буянт, Толбо</t>
  </si>
  <si>
    <t>XV-018983</t>
  </si>
  <si>
    <t>Чойдог худаг</t>
  </si>
  <si>
    <t>ОДНЭ</t>
  </si>
  <si>
    <t>XV-018993</t>
  </si>
  <si>
    <t>Литех энэржи</t>
  </si>
  <si>
    <t>XV-019003</t>
  </si>
  <si>
    <t>Баошүн яатай</t>
  </si>
  <si>
    <t>XV-019010</t>
  </si>
  <si>
    <t>Сийс кор</t>
  </si>
  <si>
    <t>XV-019013</t>
  </si>
  <si>
    <t>Дуут</t>
  </si>
  <si>
    <t>Тэргүүнбадрах</t>
  </si>
  <si>
    <t>Манхан</t>
  </si>
  <si>
    <t>XV-019017</t>
  </si>
  <si>
    <t>XV-019025</t>
  </si>
  <si>
    <t>XV-019026</t>
  </si>
  <si>
    <t>XV-019048</t>
  </si>
  <si>
    <t>XV-019058</t>
  </si>
  <si>
    <t>Баян оюу</t>
  </si>
  <si>
    <t>Хардэл бэйс</t>
  </si>
  <si>
    <t>XV-019062</t>
  </si>
  <si>
    <t>Баян овоо</t>
  </si>
  <si>
    <t>БХДБ</t>
  </si>
  <si>
    <t>XV-019066</t>
  </si>
  <si>
    <t>Тохой-2</t>
  </si>
  <si>
    <t>Бронз хиллс</t>
  </si>
  <si>
    <t>XV-019067</t>
  </si>
  <si>
    <t>Аман ус</t>
  </si>
  <si>
    <t>Өгөөмөрговийн нуур</t>
  </si>
  <si>
    <t>Өргөн, Эрдэнэ</t>
  </si>
  <si>
    <t>XV-019068</t>
  </si>
  <si>
    <t>XV-019069</t>
  </si>
  <si>
    <t>Далан хар уул</t>
  </si>
  <si>
    <t>Баян ундрал эрдэс групп</t>
  </si>
  <si>
    <t>XV-019074</t>
  </si>
  <si>
    <t>Бүлтгэр</t>
  </si>
  <si>
    <t>ТУСО майнинг</t>
  </si>
  <si>
    <t>XV-019077</t>
  </si>
  <si>
    <t>XV-019078</t>
  </si>
  <si>
    <t>Шаргал маргад</t>
  </si>
  <si>
    <t>XV-019009</t>
  </si>
  <si>
    <t>Эрдэнэбүрэн</t>
  </si>
  <si>
    <t>XV-019081</t>
  </si>
  <si>
    <t>БСБА</t>
  </si>
  <si>
    <t>XV-019089</t>
  </si>
  <si>
    <t>Шавагтай</t>
  </si>
  <si>
    <t>Алтан жигүүр майнинг</t>
  </si>
  <si>
    <t>XV-019108</t>
  </si>
  <si>
    <t>Шижир</t>
  </si>
  <si>
    <t>XV-019128</t>
  </si>
  <si>
    <t>Хөндийт</t>
  </si>
  <si>
    <t>Мэпинг эриэ</t>
  </si>
  <si>
    <t>XV-019129</t>
  </si>
  <si>
    <t>Бүрэгхангай-1</t>
  </si>
  <si>
    <t>Өүк три партнер</t>
  </si>
  <si>
    <t>XV-019132</t>
  </si>
  <si>
    <t>Зүүн дагай</t>
  </si>
  <si>
    <t>Гранд терра</t>
  </si>
  <si>
    <t>XV-019138</t>
  </si>
  <si>
    <t>XV-019140</t>
  </si>
  <si>
    <t>Хөшүүн хавцгай</t>
  </si>
  <si>
    <t>XV-019114</t>
  </si>
  <si>
    <t>Монгол металл консалтинг</t>
  </si>
  <si>
    <t>XV-019115</t>
  </si>
  <si>
    <t>Харгант уул</t>
  </si>
  <si>
    <t>Фэйстмедиа групп</t>
  </si>
  <si>
    <t>XV-019117</t>
  </si>
  <si>
    <t>Одод</t>
  </si>
  <si>
    <t>XV-019121</t>
  </si>
  <si>
    <t>Элемент сток</t>
  </si>
  <si>
    <t>XV-019127</t>
  </si>
  <si>
    <t>Давхар</t>
  </si>
  <si>
    <t>XV-019142</t>
  </si>
  <si>
    <t>Сайхан тал</t>
  </si>
  <si>
    <t>XV-019144</t>
  </si>
  <si>
    <t>Хайлаастын хөндий</t>
  </si>
  <si>
    <t>Уулдалайн баялаг</t>
  </si>
  <si>
    <t>XV-019146</t>
  </si>
  <si>
    <t>Баян агат майнинг</t>
  </si>
  <si>
    <t>XV-019148</t>
  </si>
  <si>
    <t>Хошуу</t>
  </si>
  <si>
    <t>Билэгт арвижих</t>
  </si>
  <si>
    <t>Баянтүмэн, Сэргэлэн</t>
  </si>
  <si>
    <t>XV-019152</t>
  </si>
  <si>
    <t>XV-019154</t>
  </si>
  <si>
    <t>Говь</t>
  </si>
  <si>
    <t>Түмэн ерөөлт</t>
  </si>
  <si>
    <t>XV-019155</t>
  </si>
  <si>
    <t>Зүүн өмнөд</t>
  </si>
  <si>
    <t>Тэнүүн-Үйлс</t>
  </si>
  <si>
    <t>XV-019170</t>
  </si>
  <si>
    <t>344</t>
  </si>
  <si>
    <t>Литиум сенчури</t>
  </si>
  <si>
    <t>XV-019172</t>
  </si>
  <si>
    <t>Чалко минералз</t>
  </si>
  <si>
    <t>XV-019157</t>
  </si>
  <si>
    <t>Хойлогийн худаг</t>
  </si>
  <si>
    <t>XV-019158</t>
  </si>
  <si>
    <t>Авад майнинг</t>
  </si>
  <si>
    <t>XV-019182</t>
  </si>
  <si>
    <t>XV-019183</t>
  </si>
  <si>
    <t>Нялга</t>
  </si>
  <si>
    <t>Вайлдстепп</t>
  </si>
  <si>
    <t>XV-019186</t>
  </si>
  <si>
    <t>Толгой-1</t>
  </si>
  <si>
    <t>Эм Ди Жи Эм</t>
  </si>
  <si>
    <t>XV-019192</t>
  </si>
  <si>
    <t>Замын дагуух</t>
  </si>
  <si>
    <t>XV-019194</t>
  </si>
  <si>
    <t>Санлайтс интернэшнл</t>
  </si>
  <si>
    <t>XV-019199</t>
  </si>
  <si>
    <t>Цагаагчуудконстракшн</t>
  </si>
  <si>
    <t>XV-019201</t>
  </si>
  <si>
    <t>XV-019204</t>
  </si>
  <si>
    <t>Учралтномт констракшн</t>
  </si>
  <si>
    <t>XV-019207</t>
  </si>
  <si>
    <t>Интегрейтэдмайнинг Консалтинг</t>
  </si>
  <si>
    <t>XV-019213</t>
  </si>
  <si>
    <t>Ханан</t>
  </si>
  <si>
    <t>Вийвсорсес</t>
  </si>
  <si>
    <t>XV-019214</t>
  </si>
  <si>
    <t>XV-019216</t>
  </si>
  <si>
    <t>Ти Эс Пи Би</t>
  </si>
  <si>
    <t>XV-019217</t>
  </si>
  <si>
    <t>XV-019218</t>
  </si>
  <si>
    <t>Өвөр</t>
  </si>
  <si>
    <t>Бөхөн минералс</t>
  </si>
  <si>
    <t>XV-018362</t>
  </si>
  <si>
    <t>Таац</t>
  </si>
  <si>
    <t>Хасбагана</t>
  </si>
  <si>
    <t>XV-019196</t>
  </si>
  <si>
    <t>Баян талст эрдэнэ тур</t>
  </si>
  <si>
    <t>XV-019277</t>
  </si>
  <si>
    <t>XV-019279</t>
  </si>
  <si>
    <t>Булгийн</t>
  </si>
  <si>
    <t>Би Эм Ди Эм</t>
  </si>
  <si>
    <t>Их хэт, Дархан</t>
  </si>
  <si>
    <t>XV-019281</t>
  </si>
  <si>
    <t>Ребус майнинг холдинг</t>
  </si>
  <si>
    <t>XV-019226</t>
  </si>
  <si>
    <t>XV-019231</t>
  </si>
  <si>
    <t>XV-019238</t>
  </si>
  <si>
    <t>Повер Стон</t>
  </si>
  <si>
    <t>XV-019244</t>
  </si>
  <si>
    <t>Зүүн</t>
  </si>
  <si>
    <t>XV-019245</t>
  </si>
  <si>
    <t>Гашуун худаг</t>
  </si>
  <si>
    <t>Таурус кредит</t>
  </si>
  <si>
    <t>XV-019248</t>
  </si>
  <si>
    <t>Ийстгоби ресурс</t>
  </si>
  <si>
    <t>XV-019251</t>
  </si>
  <si>
    <t>Өнгөт</t>
  </si>
  <si>
    <t>Эм Жи Эл Геохүдэр</t>
  </si>
  <si>
    <t>XV-019253</t>
  </si>
  <si>
    <t>Хоолой</t>
  </si>
  <si>
    <t>Трожан холдинг</t>
  </si>
  <si>
    <t>XV-019254</t>
  </si>
  <si>
    <t>Күүпермен</t>
  </si>
  <si>
    <t>XV-019258</t>
  </si>
  <si>
    <t>Галсан-уул</t>
  </si>
  <si>
    <t>XV-019269</t>
  </si>
  <si>
    <t>XV-019273</t>
  </si>
  <si>
    <t>Цагдуулт</t>
  </si>
  <si>
    <t>М-Гурван-Өв трейд</t>
  </si>
  <si>
    <t>XV-019285</t>
  </si>
  <si>
    <t>Дорнод коппер</t>
  </si>
  <si>
    <t>XV-019299</t>
  </si>
  <si>
    <t>Мандал инженеринг</t>
  </si>
  <si>
    <t>Батноров, Баян-Овоо</t>
  </si>
  <si>
    <t>XV-019317</t>
  </si>
  <si>
    <t>Хэрсэн</t>
  </si>
  <si>
    <t>ТЕКА</t>
  </si>
  <si>
    <t>XV-019320</t>
  </si>
  <si>
    <t>Аман усны хөндий</t>
  </si>
  <si>
    <t>XV-019321</t>
  </si>
  <si>
    <t>Жаргалан</t>
  </si>
  <si>
    <t>Зэст АМЗ Майнинг</t>
  </si>
  <si>
    <t>XV-019324</t>
  </si>
  <si>
    <t>Загал</t>
  </si>
  <si>
    <t>Ди Пи Холдинг</t>
  </si>
  <si>
    <t>XV-019325</t>
  </si>
  <si>
    <t>Могул майнинг Контрактор</t>
  </si>
  <si>
    <t>XV-019301</t>
  </si>
  <si>
    <t>Юниверсаль логгинг</t>
  </si>
  <si>
    <t>XV-019304</t>
  </si>
  <si>
    <t>Хүдэрт майнинг ресурс</t>
  </si>
  <si>
    <t>Алтанширээ, Их хэт</t>
  </si>
  <si>
    <t>XV-019306</t>
  </si>
  <si>
    <t>Монголиа графит майнинг</t>
  </si>
  <si>
    <t>XV-019309</t>
  </si>
  <si>
    <t>Шувуут</t>
  </si>
  <si>
    <t>Хүрэмтийн хяр</t>
  </si>
  <si>
    <t>XV-019315</t>
  </si>
  <si>
    <t>Баг</t>
  </si>
  <si>
    <t>Херуга-Эксплорэйшн</t>
  </si>
  <si>
    <t>XV-019339</t>
  </si>
  <si>
    <t>XV-019341</t>
  </si>
  <si>
    <t>Иннова минерал</t>
  </si>
  <si>
    <t>XV-019343</t>
  </si>
  <si>
    <t>Майхан</t>
  </si>
  <si>
    <t>Би Ти Эл Си Би И</t>
  </si>
  <si>
    <t>XV-019344</t>
  </si>
  <si>
    <t>Дунд</t>
  </si>
  <si>
    <t>Хүлэгтмайнинг</t>
  </si>
  <si>
    <t>XV-019350</t>
  </si>
  <si>
    <t>жаргалант-1</t>
  </si>
  <si>
    <t>Тайга  Зоне</t>
  </si>
  <si>
    <t>XV-019354</t>
  </si>
  <si>
    <t>Дунлоги</t>
  </si>
  <si>
    <t>XV-019395</t>
  </si>
  <si>
    <t>Зэгэл</t>
  </si>
  <si>
    <t>XV-019369</t>
  </si>
  <si>
    <t>Сүмбэрийн бор</t>
  </si>
  <si>
    <t>Ай голд</t>
  </si>
  <si>
    <t>XV-019370</t>
  </si>
  <si>
    <t>XV-019380</t>
  </si>
  <si>
    <t>Алтгана</t>
  </si>
  <si>
    <t>Солар кредит</t>
  </si>
  <si>
    <t>XV-019384</t>
  </si>
  <si>
    <t>Уулс хангай</t>
  </si>
  <si>
    <t>XV-019392</t>
  </si>
  <si>
    <t>Гурван олз</t>
  </si>
  <si>
    <t>XV-019408</t>
  </si>
  <si>
    <t>Бор өндөр</t>
  </si>
  <si>
    <t>Профиргеологи</t>
  </si>
  <si>
    <t>XV-019420</t>
  </si>
  <si>
    <t>Геоган дөл сервис</t>
  </si>
  <si>
    <t>XV-019423</t>
  </si>
  <si>
    <t>Хүрэн цав майнинг</t>
  </si>
  <si>
    <t>XV-019439</t>
  </si>
  <si>
    <t>XV-019449</t>
  </si>
  <si>
    <t>Зүүн мандал</t>
  </si>
  <si>
    <t>XV-019456</t>
  </si>
  <si>
    <t>Аранзалзээрд</t>
  </si>
  <si>
    <t>XV-019464</t>
  </si>
  <si>
    <t>XV-019465</t>
  </si>
  <si>
    <t>Чандмань эрдэнэ анд</t>
  </si>
  <si>
    <t>XV-019466</t>
  </si>
  <si>
    <t>Улиастайчулуу</t>
  </si>
  <si>
    <t>XV-019473</t>
  </si>
  <si>
    <t>Хос уул</t>
  </si>
  <si>
    <t>XV-019479</t>
  </si>
  <si>
    <t>Бараат</t>
  </si>
  <si>
    <t>Шүтээн майнинг</t>
  </si>
  <si>
    <t>Баянгол, Сүмбэр</t>
  </si>
  <si>
    <t>XV-019481</t>
  </si>
  <si>
    <t>Билгэх-3</t>
  </si>
  <si>
    <t>Билгэх сайхан уул</t>
  </si>
  <si>
    <t>XV-019488</t>
  </si>
  <si>
    <t>Зэст-Алтай</t>
  </si>
  <si>
    <t>XV-019491</t>
  </si>
  <si>
    <t>Говь-Эрдэнэ</t>
  </si>
  <si>
    <t>Цайна инвэстмент монголиа</t>
  </si>
  <si>
    <t>XV-019499</t>
  </si>
  <si>
    <t>Сэтгэлийн үүр</t>
  </si>
  <si>
    <t>XV-019505</t>
  </si>
  <si>
    <t>XV-019510</t>
  </si>
  <si>
    <t>Бүрдэл</t>
  </si>
  <si>
    <t>XV-019511</t>
  </si>
  <si>
    <t>Олдмен</t>
  </si>
  <si>
    <t>Алтанширээ, Дэлгэрэх</t>
  </si>
  <si>
    <t>XV-019512</t>
  </si>
  <si>
    <t>Могойт</t>
  </si>
  <si>
    <t>Маргац Интернэшнл голд</t>
  </si>
  <si>
    <t>XV-019520</t>
  </si>
  <si>
    <t>Үйзэн</t>
  </si>
  <si>
    <t>Үйзэн Ар Эм Эм</t>
  </si>
  <si>
    <t>XV-019507</t>
  </si>
  <si>
    <t>Шилийн эрдэнэс</t>
  </si>
  <si>
    <t>XV-019532</t>
  </si>
  <si>
    <t>Арцүнхэг</t>
  </si>
  <si>
    <t>Сүүдэртхайрхан</t>
  </si>
  <si>
    <t>XV-019539</t>
  </si>
  <si>
    <t>Арвинбаялгийн эрэлд</t>
  </si>
  <si>
    <t>XV-019540</t>
  </si>
  <si>
    <t>Бэст минералс</t>
  </si>
  <si>
    <t>XV-019543</t>
  </si>
  <si>
    <t>Жавхлантболд майнинг</t>
  </si>
  <si>
    <t>XV-019556</t>
  </si>
  <si>
    <t>Билэгтөгс дэлгэр</t>
  </si>
  <si>
    <t>XV-019557</t>
  </si>
  <si>
    <t>Дөшт</t>
  </si>
  <si>
    <t>Баян майнинг</t>
  </si>
  <si>
    <t>XV-019558</t>
  </si>
  <si>
    <t>ТИММОТ</t>
  </si>
  <si>
    <t>XV-019559</t>
  </si>
  <si>
    <t>Баянширээ</t>
  </si>
  <si>
    <t>Эко энвайронментал консалтинг</t>
  </si>
  <si>
    <t>XV-019564</t>
  </si>
  <si>
    <t>Шар ус</t>
  </si>
  <si>
    <t>Өсөх түмэн баясах</t>
  </si>
  <si>
    <t>XV-019565</t>
  </si>
  <si>
    <t>Голд хантер</t>
  </si>
  <si>
    <t>XV-019571</t>
  </si>
  <si>
    <t>Кратос майнинг корпораци</t>
  </si>
  <si>
    <t>XV-019573</t>
  </si>
  <si>
    <t>Ай Ар И Ай Эн Ти Эл</t>
  </si>
  <si>
    <t>XV-019576</t>
  </si>
  <si>
    <t>Элсэн чулуу</t>
  </si>
  <si>
    <t>Норт Лэнд майнинг корпорейшн</t>
  </si>
  <si>
    <t>XV-019582</t>
  </si>
  <si>
    <t>Аранжинболд</t>
  </si>
  <si>
    <t>XV-019584</t>
  </si>
  <si>
    <t>Нутгийн хаялага</t>
  </si>
  <si>
    <t>XV-019586</t>
  </si>
  <si>
    <t>XV-019589</t>
  </si>
  <si>
    <t>Хажуу</t>
  </si>
  <si>
    <t>XV-019590</t>
  </si>
  <si>
    <t>Батноров, Хэрлэн</t>
  </si>
  <si>
    <t>XV-019603</t>
  </si>
  <si>
    <t>Хөх таг</t>
  </si>
  <si>
    <t>XV-019604</t>
  </si>
  <si>
    <t>Баянсүмбэр Богд</t>
  </si>
  <si>
    <t>XV-019614</t>
  </si>
  <si>
    <t>Цахирт</t>
  </si>
  <si>
    <t>Юү Ти Эм Эн</t>
  </si>
  <si>
    <t>XV-019615</t>
  </si>
  <si>
    <t>Өгөөжт</t>
  </si>
  <si>
    <t>Мөнх сэргэлэн майнинг</t>
  </si>
  <si>
    <t>XV-019679</t>
  </si>
  <si>
    <t>XV-019683</t>
  </si>
  <si>
    <t>Сэртэн</t>
  </si>
  <si>
    <t>XV-019684</t>
  </si>
  <si>
    <t>Цэнгэг</t>
  </si>
  <si>
    <t>Мөнгөнпүрэв</t>
  </si>
  <si>
    <t>XV-019686</t>
  </si>
  <si>
    <t>Үнэгтийн</t>
  </si>
  <si>
    <t>Дэвжих интернешнл</t>
  </si>
  <si>
    <t>Архуст, Баяндэлгэр</t>
  </si>
  <si>
    <t>XV-019688</t>
  </si>
  <si>
    <t>Бахлайн нуруу</t>
  </si>
  <si>
    <t>XV-019627</t>
  </si>
  <si>
    <t>Коал бридж майнинг</t>
  </si>
  <si>
    <t>XV-019630</t>
  </si>
  <si>
    <t>Гашуун</t>
  </si>
  <si>
    <t>Мандах, Хатанбулаг</t>
  </si>
  <si>
    <t>XV-019632</t>
  </si>
  <si>
    <t>XV-019634</t>
  </si>
  <si>
    <t>Хайч</t>
  </si>
  <si>
    <t>Тулгат гурван загал</t>
  </si>
  <si>
    <t>XV-019644</t>
  </si>
  <si>
    <t>XV-019646</t>
  </si>
  <si>
    <t>Уушгийн уул</t>
  </si>
  <si>
    <t>Шинэ жес гранд уул уурхай</t>
  </si>
  <si>
    <t>XV-019657</t>
  </si>
  <si>
    <t>Жаргалт</t>
  </si>
  <si>
    <t>Гео эко майнинг</t>
  </si>
  <si>
    <t>XV-019661</t>
  </si>
  <si>
    <t>МТМ гоулд</t>
  </si>
  <si>
    <t>XV-019676</t>
  </si>
  <si>
    <t>Жаран</t>
  </si>
  <si>
    <t>Баян-Өндөр, Есөнзүйл</t>
  </si>
  <si>
    <t>XV-019691</t>
  </si>
  <si>
    <t>Цахир булаг</t>
  </si>
  <si>
    <t>Минторес</t>
  </si>
  <si>
    <t>Есөнбулаг, Халиун</t>
  </si>
  <si>
    <t>XV-019692</t>
  </si>
  <si>
    <t>XV-019694</t>
  </si>
  <si>
    <t>XV-019697</t>
  </si>
  <si>
    <t>Үзүүр</t>
  </si>
  <si>
    <t>Агар шижирийн гол</t>
  </si>
  <si>
    <t>XV-019708</t>
  </si>
  <si>
    <t>XV-019716</t>
  </si>
  <si>
    <t>Рейр Метал Майнинг</t>
  </si>
  <si>
    <t>XV-019725</t>
  </si>
  <si>
    <t>Көүл энержи групп</t>
  </si>
  <si>
    <t>XV-019727</t>
  </si>
  <si>
    <t>Өндөр улаан овоо</t>
  </si>
  <si>
    <t>Ар Эм Си трэйд</t>
  </si>
  <si>
    <t>XV-019735</t>
  </si>
  <si>
    <t>Оорцог</t>
  </si>
  <si>
    <t>Ихмонгол  коммерс</t>
  </si>
  <si>
    <t>XV-019736</t>
  </si>
  <si>
    <t>XV-019737</t>
  </si>
  <si>
    <t>Дөрөвт</t>
  </si>
  <si>
    <t>Шижир дөл</t>
  </si>
  <si>
    <t>XV-019746</t>
  </si>
  <si>
    <t>Хонгор морьт</t>
  </si>
  <si>
    <t>XV-019747</t>
  </si>
  <si>
    <t>Очирдайрга</t>
  </si>
  <si>
    <t>XV-019748</t>
  </si>
  <si>
    <t>Бум</t>
  </si>
  <si>
    <t>XV-019755</t>
  </si>
  <si>
    <t>Бэрх</t>
  </si>
  <si>
    <t>Борзонтгазар</t>
  </si>
  <si>
    <t>XV-019761</t>
  </si>
  <si>
    <t>Миранд</t>
  </si>
  <si>
    <t>XV-019766</t>
  </si>
  <si>
    <t>Нэг толгой</t>
  </si>
  <si>
    <t>Голден Оушн Коаст</t>
  </si>
  <si>
    <t>XV-019769</t>
  </si>
  <si>
    <t>Эм Өү Юү майнинг</t>
  </si>
  <si>
    <t>XV-019770</t>
  </si>
  <si>
    <t>Сайхан хад</t>
  </si>
  <si>
    <t>XV-019773</t>
  </si>
  <si>
    <t>Цагаан дөрвөлжин</t>
  </si>
  <si>
    <t>XV-019781</t>
  </si>
  <si>
    <t>Цэлмэг</t>
  </si>
  <si>
    <t>Таншан мэнчан</t>
  </si>
  <si>
    <t>XV-019783</t>
  </si>
  <si>
    <t>XV-019786</t>
  </si>
  <si>
    <t>Түнхэл</t>
  </si>
  <si>
    <t>Үлэмж-Алт</t>
  </si>
  <si>
    <t>XV-019789</t>
  </si>
  <si>
    <t>XV-019791</t>
  </si>
  <si>
    <t>Хүнхэр</t>
  </si>
  <si>
    <t>XV-019797</t>
  </si>
  <si>
    <t>Борог</t>
  </si>
  <si>
    <t>Мидас Ресурсез</t>
  </si>
  <si>
    <t>XV-019800</t>
  </si>
  <si>
    <t>Писуччи</t>
  </si>
  <si>
    <t>XV-019804</t>
  </si>
  <si>
    <t>Булга</t>
  </si>
  <si>
    <t>Ивээлт дулаан хайрхан</t>
  </si>
  <si>
    <t>XV-019809</t>
  </si>
  <si>
    <t>XV-019825</t>
  </si>
  <si>
    <t>XV-019826</t>
  </si>
  <si>
    <t>Өндөрхаан майнинг</t>
  </si>
  <si>
    <t>XV-019833</t>
  </si>
  <si>
    <t>Ачлалт хүү</t>
  </si>
  <si>
    <t>XV-019837</t>
  </si>
  <si>
    <t>Шижирзул</t>
  </si>
  <si>
    <t>XV-019838</t>
  </si>
  <si>
    <t>Уудам</t>
  </si>
  <si>
    <t>XV-019841</t>
  </si>
  <si>
    <t>Скайлла монголиа</t>
  </si>
  <si>
    <t>XV-019848</t>
  </si>
  <si>
    <t>Муруй</t>
  </si>
  <si>
    <t>XV-019870</t>
  </si>
  <si>
    <t>XV-019891</t>
  </si>
  <si>
    <t>Алаг овоо</t>
  </si>
  <si>
    <t>Синхизит ресурс</t>
  </si>
  <si>
    <t>Улаанбадрах, Хөвсгөл</t>
  </si>
  <si>
    <t>XV-019918</t>
  </si>
  <si>
    <t>Эндлесс ресоурс</t>
  </si>
  <si>
    <t>XV-019927</t>
  </si>
  <si>
    <t>Өндөр уул</t>
  </si>
  <si>
    <t>XV-019901</t>
  </si>
  <si>
    <t>XV-019907</t>
  </si>
  <si>
    <t>Бугат од</t>
  </si>
  <si>
    <t>XV-019912</t>
  </si>
  <si>
    <t>XV-019936</t>
  </si>
  <si>
    <t>Алтан оргил ресурс</t>
  </si>
  <si>
    <t>XV-019944</t>
  </si>
  <si>
    <t>XV-019971</t>
  </si>
  <si>
    <t>Дэ-Юан</t>
  </si>
  <si>
    <t>XV-019974</t>
  </si>
  <si>
    <t>Дулаан</t>
  </si>
  <si>
    <t>Шинэбаялаг</t>
  </si>
  <si>
    <t>XV-019987</t>
  </si>
  <si>
    <t>XV-019998</t>
  </si>
  <si>
    <t>Бэрз</t>
  </si>
  <si>
    <t>Ар Ай Жи Эс</t>
  </si>
  <si>
    <t>XV-020004</t>
  </si>
  <si>
    <t>Их үүц</t>
  </si>
  <si>
    <t>XV-020005</t>
  </si>
  <si>
    <t>Дэвжих гоулд</t>
  </si>
  <si>
    <t>XV-020013</t>
  </si>
  <si>
    <t>Эрдэнэ дисковери</t>
  </si>
  <si>
    <t>XV-020014</t>
  </si>
  <si>
    <t>Буянтпрокюрмент</t>
  </si>
  <si>
    <t>XV-020015</t>
  </si>
  <si>
    <t>XV-020018</t>
  </si>
  <si>
    <t>Ухаа овоот</t>
  </si>
  <si>
    <t>Биг могул коул корп</t>
  </si>
  <si>
    <t>XV-020060</t>
  </si>
  <si>
    <t>Толгойт</t>
  </si>
  <si>
    <t>Си Эл Ти Жи</t>
  </si>
  <si>
    <t>XV-020064</t>
  </si>
  <si>
    <t>Ти Эм Жэй групп</t>
  </si>
  <si>
    <t>XV-020069</t>
  </si>
  <si>
    <t>Алтай мандал майнинг</t>
  </si>
  <si>
    <t>XV-020077</t>
  </si>
  <si>
    <t>Бор дэл</t>
  </si>
  <si>
    <t>Креско майнинг</t>
  </si>
  <si>
    <t>XV-020083</t>
  </si>
  <si>
    <t>Церкон геологи</t>
  </si>
  <si>
    <t>XV-020094</t>
  </si>
  <si>
    <t>Генерго</t>
  </si>
  <si>
    <t>Дэрэн</t>
  </si>
  <si>
    <t>XV-020103</t>
  </si>
  <si>
    <t>Булдруу</t>
  </si>
  <si>
    <t>Мөнхийн хэлхээ</t>
  </si>
  <si>
    <t>XV-020105</t>
  </si>
  <si>
    <t>XV-020114</t>
  </si>
  <si>
    <t>Дэрст</t>
  </si>
  <si>
    <t>Иххүрмэн</t>
  </si>
  <si>
    <t>XV-020127</t>
  </si>
  <si>
    <t>Их баруун</t>
  </si>
  <si>
    <t>XV-020129</t>
  </si>
  <si>
    <t>XV-020159</t>
  </si>
  <si>
    <t>Их ноёд пропертийз</t>
  </si>
  <si>
    <t>XV-020161</t>
  </si>
  <si>
    <t>XV-020167</t>
  </si>
  <si>
    <t>Дөт</t>
  </si>
  <si>
    <t>XV-020169</t>
  </si>
  <si>
    <t>Майндкомпас</t>
  </si>
  <si>
    <t>XV-020172</t>
  </si>
  <si>
    <t>Балт</t>
  </si>
  <si>
    <t>Алт зэс проспектинг</t>
  </si>
  <si>
    <t>XV-020176</t>
  </si>
  <si>
    <t>Дэлгэрийн тал</t>
  </si>
  <si>
    <t>Азуре коал Монгол майнинг</t>
  </si>
  <si>
    <t>XV-020181</t>
  </si>
  <si>
    <t>Модот-3</t>
  </si>
  <si>
    <t>Батбадмаараг</t>
  </si>
  <si>
    <t>XV-020195</t>
  </si>
  <si>
    <t>Иннер монголиа жи юунлай</t>
  </si>
  <si>
    <t>XV-020196</t>
  </si>
  <si>
    <t>Зүүн чулуут</t>
  </si>
  <si>
    <t>Хулд-Олз</t>
  </si>
  <si>
    <t>XV-020205</t>
  </si>
  <si>
    <t>Бага үүц</t>
  </si>
  <si>
    <t>XV-020207</t>
  </si>
  <si>
    <t>Родео аруга</t>
  </si>
  <si>
    <t>XV-020216</t>
  </si>
  <si>
    <t>Дулаан-1</t>
  </si>
  <si>
    <t>XV-020221</t>
  </si>
  <si>
    <t>Өү Ди Би</t>
  </si>
  <si>
    <t>Баруунбүрэн, Орхонтуул</t>
  </si>
  <si>
    <t>XV-020222</t>
  </si>
  <si>
    <t>Селл трейд</t>
  </si>
  <si>
    <t>XV-020223</t>
  </si>
  <si>
    <t>Тосон</t>
  </si>
  <si>
    <t>Цог зол орших</t>
  </si>
  <si>
    <t>XV-020226</t>
  </si>
  <si>
    <t>Суперпойнт</t>
  </si>
  <si>
    <t>XV-020230</t>
  </si>
  <si>
    <t>Хөх газрын шим</t>
  </si>
  <si>
    <t>XV-020243</t>
  </si>
  <si>
    <t>XV-020245</t>
  </si>
  <si>
    <t>Гашуун булаг</t>
  </si>
  <si>
    <t>XV-020257</t>
  </si>
  <si>
    <t>Трешур гоулд</t>
  </si>
  <si>
    <t>XV-020259</t>
  </si>
  <si>
    <t>Хамар толгой</t>
  </si>
  <si>
    <t>XV-020262</t>
  </si>
  <si>
    <t>Юбик партс</t>
  </si>
  <si>
    <t>XV-020269</t>
  </si>
  <si>
    <t>XV-020270</t>
  </si>
  <si>
    <t>ТСГ</t>
  </si>
  <si>
    <t>XV-020282</t>
  </si>
  <si>
    <t>Шинэ-Оюут</t>
  </si>
  <si>
    <t>Шижир баялаг</t>
  </si>
  <si>
    <t>XV-020285</t>
  </si>
  <si>
    <t>Ихкристалл гео</t>
  </si>
  <si>
    <t>XV-020309</t>
  </si>
  <si>
    <t>Занарт</t>
  </si>
  <si>
    <t>Монгол петролиум менежмент</t>
  </si>
  <si>
    <t>XV-020314</t>
  </si>
  <si>
    <t>XV-020296</t>
  </si>
  <si>
    <t>Хөх талст майнинг</t>
  </si>
  <si>
    <t>XV-020318</t>
  </si>
  <si>
    <t>Цахиурт</t>
  </si>
  <si>
    <t>Гүүдпрожект</t>
  </si>
  <si>
    <t>XV-020322</t>
  </si>
  <si>
    <t>Алт мөнгө зэс</t>
  </si>
  <si>
    <t>XV-020337</t>
  </si>
  <si>
    <t>XV-020294</t>
  </si>
  <si>
    <t>Улаан худаг</t>
  </si>
  <si>
    <t>XV-020361</t>
  </si>
  <si>
    <t>Цагаан залаа</t>
  </si>
  <si>
    <t>Гранд Самсара Консалтинг</t>
  </si>
  <si>
    <t>XV-020346</t>
  </si>
  <si>
    <t>Шинэ худаг</t>
  </si>
  <si>
    <t>Кроссфор ворлд майнинг лимитед</t>
  </si>
  <si>
    <t>XV-020347</t>
  </si>
  <si>
    <t>XV-020373</t>
  </si>
  <si>
    <t>Ямаат борзон</t>
  </si>
  <si>
    <t>XV-020374</t>
  </si>
  <si>
    <t>Тодцахир</t>
  </si>
  <si>
    <t>XV-020375</t>
  </si>
  <si>
    <t>XV-020392</t>
  </si>
  <si>
    <t>XV-020394</t>
  </si>
  <si>
    <t>Гашууны худаг</t>
  </si>
  <si>
    <t>XV-020396</t>
  </si>
  <si>
    <t>Цагаан хайрхан</t>
  </si>
  <si>
    <t>Тонхил, Төгрөг</t>
  </si>
  <si>
    <t>XV-019836</t>
  </si>
  <si>
    <t>Даланжаргалан, Бор-Өндөр, Дархан</t>
  </si>
  <si>
    <t>XV-018581</t>
  </si>
  <si>
    <t>Алтан толгой</t>
  </si>
  <si>
    <t>Хабекомон</t>
  </si>
  <si>
    <t>XV-020440</t>
  </si>
  <si>
    <t>XV-020441</t>
  </si>
  <si>
    <t>Мөнгөө Уул</t>
  </si>
  <si>
    <t>Рэд-Эпле</t>
  </si>
  <si>
    <t>XV-020461</t>
  </si>
  <si>
    <t>Чойл-Уул</t>
  </si>
  <si>
    <t>XV-020470</t>
  </si>
  <si>
    <t>XV-020515</t>
  </si>
  <si>
    <t>Ямбат</t>
  </si>
  <si>
    <t>Рагнарок инвестмент</t>
  </si>
  <si>
    <t>XV-020517</t>
  </si>
  <si>
    <t>Монголзүрх сэтгэл</t>
  </si>
  <si>
    <t>XV-020521</t>
  </si>
  <si>
    <t>Галтын талбай</t>
  </si>
  <si>
    <t>XV-020535</t>
  </si>
  <si>
    <t>XV-020532</t>
  </si>
  <si>
    <t>Мэнтэ интернэйшнл</t>
  </si>
  <si>
    <t>XV-020536</t>
  </si>
  <si>
    <t>Бадрах</t>
  </si>
  <si>
    <t>Тэмүүлэн-Орших</t>
  </si>
  <si>
    <t>XV-020537</t>
  </si>
  <si>
    <t>XV-020538</t>
  </si>
  <si>
    <t>XV-020571</t>
  </si>
  <si>
    <t>Даваа-Уул</t>
  </si>
  <si>
    <t>Белуха</t>
  </si>
  <si>
    <t>Хотонт</t>
  </si>
  <si>
    <t>XV-020580</t>
  </si>
  <si>
    <t>Хашаат овоот даваат</t>
  </si>
  <si>
    <t>XV-020585</t>
  </si>
  <si>
    <t>Тэргүүн сод орд</t>
  </si>
  <si>
    <t>XV-020586</t>
  </si>
  <si>
    <t>Хантайшир гоулд</t>
  </si>
  <si>
    <t>XV-020583</t>
  </si>
  <si>
    <t>Дэлийн</t>
  </si>
  <si>
    <t>Занарт-Уул</t>
  </si>
  <si>
    <t>XV-017734</t>
  </si>
  <si>
    <t>XV-020599</t>
  </si>
  <si>
    <t>Мухар хувийн хоолой</t>
  </si>
  <si>
    <t>Тэнгисконстракшн</t>
  </si>
  <si>
    <t>XV-020600</t>
  </si>
  <si>
    <t>Ай ти икс</t>
  </si>
  <si>
    <t>XV-020617</t>
  </si>
  <si>
    <t>Таван толгод</t>
  </si>
  <si>
    <t>Шинэ баялаг майнинг</t>
  </si>
  <si>
    <t>XV-020644</t>
  </si>
  <si>
    <t>Кизүна</t>
  </si>
  <si>
    <t>XV-020645</t>
  </si>
  <si>
    <t>XV-020700</t>
  </si>
  <si>
    <t>XV-020704</t>
  </si>
  <si>
    <t>XV-020734</t>
  </si>
  <si>
    <t>Эм Би Эм Эксплорэйшн</t>
  </si>
  <si>
    <t>XV-020740</t>
  </si>
  <si>
    <t>Хосбаян богд</t>
  </si>
  <si>
    <t>XV-020743</t>
  </si>
  <si>
    <t>Чулуут толгой</t>
  </si>
  <si>
    <t>Жунхө куан еэ</t>
  </si>
  <si>
    <t>XV-020745</t>
  </si>
  <si>
    <t>XV-020746</t>
  </si>
  <si>
    <t>Эрдэнэ чулуут</t>
  </si>
  <si>
    <t>Дийпсурвэй</t>
  </si>
  <si>
    <t>XV-020749</t>
  </si>
  <si>
    <t>Дунд салаа</t>
  </si>
  <si>
    <t>Ургацбуян</t>
  </si>
  <si>
    <t>XV-020751</t>
  </si>
  <si>
    <t>Чацарганат</t>
  </si>
  <si>
    <t>Ребус ресурсез</t>
  </si>
  <si>
    <t>XV-020752</t>
  </si>
  <si>
    <t>XV-019701</t>
  </si>
  <si>
    <t>Нэчрал паувер</t>
  </si>
  <si>
    <t>XV-020799</t>
  </si>
  <si>
    <t>Шоргоолжийн гол</t>
  </si>
  <si>
    <t>XV-020817</t>
  </si>
  <si>
    <t>Хорхойт</t>
  </si>
  <si>
    <t>Свисс эйшн майнинг</t>
  </si>
  <si>
    <t>XV-020818</t>
  </si>
  <si>
    <t>Цагаан хадын нуур</t>
  </si>
  <si>
    <t>XV-020820</t>
  </si>
  <si>
    <t>ЦВД</t>
  </si>
  <si>
    <t>XV-020826</t>
  </si>
  <si>
    <t>Элгэн майнинг</t>
  </si>
  <si>
    <t>XV-020827</t>
  </si>
  <si>
    <t>XV-020833</t>
  </si>
  <si>
    <t>Их хутагт майнинг</t>
  </si>
  <si>
    <t>XV-020835</t>
  </si>
  <si>
    <t>XV-020854</t>
  </si>
  <si>
    <t>Мээрэн мета металс</t>
  </si>
  <si>
    <t>XV-020865</t>
  </si>
  <si>
    <t>XV-020870</t>
  </si>
  <si>
    <t>Болор эксплорэйшн</t>
  </si>
  <si>
    <t>XV-020874</t>
  </si>
  <si>
    <t>XV-020879</t>
  </si>
  <si>
    <t>XV-020880</t>
  </si>
  <si>
    <t>Өвөр наймганы ам</t>
  </si>
  <si>
    <t>Эрдэнэсийн эрэг</t>
  </si>
  <si>
    <t>XV-020886</t>
  </si>
  <si>
    <t>Халзан овоо</t>
  </si>
  <si>
    <t>Монголиадун фанхөен</t>
  </si>
  <si>
    <t>XV-020883</t>
  </si>
  <si>
    <t>Корунд Гео</t>
  </si>
  <si>
    <t>XV-020900</t>
  </si>
  <si>
    <t>XV-020909</t>
  </si>
  <si>
    <t>Алаг</t>
  </si>
  <si>
    <t>XV-020913</t>
  </si>
  <si>
    <t>Цагаан жалга-1</t>
  </si>
  <si>
    <t>Азаргын гол чонот</t>
  </si>
  <si>
    <t>Ханхонгор, Цогт-Овоо, Цогтцэций</t>
  </si>
  <si>
    <t>XV-020914</t>
  </si>
  <si>
    <t>Хөх чулуутын ам-1</t>
  </si>
  <si>
    <t>XV-020915</t>
  </si>
  <si>
    <t>Цагаан жалга-2</t>
  </si>
  <si>
    <t>XV-020916</t>
  </si>
  <si>
    <t>Цагаан жалга-4</t>
  </si>
  <si>
    <t>Баруунбаян-Улаан, Хайрхандулаан</t>
  </si>
  <si>
    <t>XV-020918</t>
  </si>
  <si>
    <t>Цагаан жалга-3</t>
  </si>
  <si>
    <t>XV-020919</t>
  </si>
  <si>
    <t>Хөх чулуутын ам-2</t>
  </si>
  <si>
    <t>XV-020923</t>
  </si>
  <si>
    <t>Улаан сайр-1</t>
  </si>
  <si>
    <t>Элбэг-орд</t>
  </si>
  <si>
    <t>XV-020924</t>
  </si>
  <si>
    <t>Сэл-3</t>
  </si>
  <si>
    <t>Сэлмандал</t>
  </si>
  <si>
    <t>XV-020925</t>
  </si>
  <si>
    <t>Сэл-1</t>
  </si>
  <si>
    <t>XV-020931</t>
  </si>
  <si>
    <t>Говийн хөгжил ресорс</t>
  </si>
  <si>
    <t>XV-020932</t>
  </si>
  <si>
    <t>Дэрст толгой-1</t>
  </si>
  <si>
    <t>Намуунтод</t>
  </si>
  <si>
    <t>XV-020933</t>
  </si>
  <si>
    <t>Дэрст толгой-2</t>
  </si>
  <si>
    <t>XV-020937</t>
  </si>
  <si>
    <t>Дэлийн хяр</t>
  </si>
  <si>
    <t>Азийн эртний зулай</t>
  </si>
  <si>
    <t>XV-020951</t>
  </si>
  <si>
    <t>Френдли майнинг консалтинг</t>
  </si>
  <si>
    <t>XV-020952</t>
  </si>
  <si>
    <t>XV-020956</t>
  </si>
  <si>
    <t>Вест монголиан металс энд минералс</t>
  </si>
  <si>
    <t>XV-021087</t>
  </si>
  <si>
    <t>Сэнжитийн хяр</t>
  </si>
  <si>
    <t>XV-021128</t>
  </si>
  <si>
    <t>Тайшир-1</t>
  </si>
  <si>
    <t>XV-021144</t>
  </si>
  <si>
    <t>Манлайлагч оддын тэнгэр</t>
  </si>
  <si>
    <t>XV-021145</t>
  </si>
  <si>
    <t>Айбо консалтинг</t>
  </si>
  <si>
    <t>XV-021147</t>
  </si>
  <si>
    <t>Баян тээг</t>
  </si>
  <si>
    <t>Аукумо майнз</t>
  </si>
  <si>
    <t>XV-021173</t>
  </si>
  <si>
    <t>XV-021174</t>
  </si>
  <si>
    <t>Хатагтай</t>
  </si>
  <si>
    <t>Мета менежмент</t>
  </si>
  <si>
    <t>XV-021175</t>
  </si>
  <si>
    <t>Хар үзүүр</t>
  </si>
  <si>
    <t>Стратажео</t>
  </si>
  <si>
    <t>XV-021176</t>
  </si>
  <si>
    <t>Баян үзүүр</t>
  </si>
  <si>
    <t>XV-021179</t>
  </si>
  <si>
    <t>XV-021181</t>
  </si>
  <si>
    <t>XV-021190</t>
  </si>
  <si>
    <t>XV-021191</t>
  </si>
  <si>
    <t>XV-021196</t>
  </si>
  <si>
    <t>XV-021197</t>
  </si>
  <si>
    <t>Чэн юань Гү Жи</t>
  </si>
  <si>
    <t>XV-021198</t>
  </si>
  <si>
    <t>Хадан хар</t>
  </si>
  <si>
    <t>Эрч гоулд</t>
  </si>
  <si>
    <t>XV-021210</t>
  </si>
  <si>
    <t>Баавхай уул</t>
  </si>
  <si>
    <t>Ион энержи</t>
  </si>
  <si>
    <t>Онгон</t>
  </si>
  <si>
    <t>XV-021211</t>
  </si>
  <si>
    <t>Баянцогт, Баянчандмань</t>
  </si>
  <si>
    <t>XV-021213</t>
  </si>
  <si>
    <t>XV-021215</t>
  </si>
  <si>
    <t>Хүрэн цав</t>
  </si>
  <si>
    <t>XV-021217</t>
  </si>
  <si>
    <t>XV-021219</t>
  </si>
  <si>
    <t>Хавцгайт</t>
  </si>
  <si>
    <t>XV-021224</t>
  </si>
  <si>
    <t>Хотон</t>
  </si>
  <si>
    <t>Цэцэ гоулд ресурс</t>
  </si>
  <si>
    <t>XV-021226</t>
  </si>
  <si>
    <t>Хишиг арвин индустриал</t>
  </si>
  <si>
    <t>Хяргас, Цагаанхайрхан</t>
  </si>
  <si>
    <t>XV-021227</t>
  </si>
  <si>
    <t>Шөр хөтөл</t>
  </si>
  <si>
    <t>XV-021228</t>
  </si>
  <si>
    <t>Хар тогоо уул</t>
  </si>
  <si>
    <t>XV-021229</t>
  </si>
  <si>
    <t>Улз гол</t>
  </si>
  <si>
    <t>XV-021230</t>
  </si>
  <si>
    <t>ГД трейд</t>
  </si>
  <si>
    <t>XV-021256</t>
  </si>
  <si>
    <t>Дунд сухайт</t>
  </si>
  <si>
    <t>Алтан шар тал</t>
  </si>
  <si>
    <t>XV-021260</t>
  </si>
  <si>
    <t>Хорт уул</t>
  </si>
  <si>
    <t>Амьюс</t>
  </si>
  <si>
    <t>XV-021261</t>
  </si>
  <si>
    <t>Зайсангийн хэц</t>
  </si>
  <si>
    <t>Алтан рио ресурс</t>
  </si>
  <si>
    <t>XV-021271</t>
  </si>
  <si>
    <t>XV-021280</t>
  </si>
  <si>
    <t>Баянгол, Гучин-Ус, Тарагт, Төгрөг</t>
  </si>
  <si>
    <t>XV-021281</t>
  </si>
  <si>
    <t>Айраг толгой</t>
  </si>
  <si>
    <t>Динг шэнг шин</t>
  </si>
  <si>
    <t>XV-021282</t>
  </si>
  <si>
    <t>Цагаан айраг уул</t>
  </si>
  <si>
    <t>XV-021283</t>
  </si>
  <si>
    <t>Эмтийн цагаан толгой</t>
  </si>
  <si>
    <t>Гранд ган хөгжил</t>
  </si>
  <si>
    <t>XV-021284</t>
  </si>
  <si>
    <t>Баян хушуу</t>
  </si>
  <si>
    <t>Ижил мөнх тал</t>
  </si>
  <si>
    <t>XV-021285</t>
  </si>
  <si>
    <t>Акс капитал групп</t>
  </si>
  <si>
    <t>XV-021286</t>
  </si>
  <si>
    <t>Мөнхдалай энержи</t>
  </si>
  <si>
    <t>XV-021288</t>
  </si>
  <si>
    <t>Төөнхий ухаа</t>
  </si>
  <si>
    <t>Хү руй зи юуан интернэшнл</t>
  </si>
  <si>
    <t>XV-021298</t>
  </si>
  <si>
    <t>Үлэмж тогос констракшн</t>
  </si>
  <si>
    <t>XV-021299</t>
  </si>
  <si>
    <t>Орших төхөм</t>
  </si>
  <si>
    <t>Ричмайнинг</t>
  </si>
  <si>
    <t>Мандах, Хатанбулаг, Хөвсгөл</t>
  </si>
  <si>
    <t>XV-021294</t>
  </si>
  <si>
    <t>Марданресурс</t>
  </si>
  <si>
    <t>XV-021306</t>
  </si>
  <si>
    <t>МЖМ монгол</t>
  </si>
  <si>
    <t>XV-021309</t>
  </si>
  <si>
    <t>Дэлийн чулуут ухаа</t>
  </si>
  <si>
    <t>XV-021311</t>
  </si>
  <si>
    <t>Дулаан хөндий</t>
  </si>
  <si>
    <t>XV-021314</t>
  </si>
  <si>
    <t>XV-021320</t>
  </si>
  <si>
    <t>Эрдэнэ-4</t>
  </si>
  <si>
    <t>Монгол панчуан энержи</t>
  </si>
  <si>
    <t>XV-021332</t>
  </si>
  <si>
    <t>Дэлгэрэх газар</t>
  </si>
  <si>
    <t>Сүмбэр, Цагаандэлгэр</t>
  </si>
  <si>
    <t>XV-021335</t>
  </si>
  <si>
    <t>Улаан дух</t>
  </si>
  <si>
    <t>Нутгийн сувд</t>
  </si>
  <si>
    <t>XV-021337</t>
  </si>
  <si>
    <t>Өндөр дэнж</t>
  </si>
  <si>
    <t>XV-021339</t>
  </si>
  <si>
    <t>Баатарын нуруу</t>
  </si>
  <si>
    <t>Көүк энержи корпорэйшн</t>
  </si>
  <si>
    <t>XV-021340</t>
  </si>
  <si>
    <t>Хорт уул -2</t>
  </si>
  <si>
    <t>Гурван Үндэс</t>
  </si>
  <si>
    <t>Өмнөговь, Тариалан</t>
  </si>
  <si>
    <t>XV-021295</t>
  </si>
  <si>
    <t>Булган од майнинг</t>
  </si>
  <si>
    <t>XV-021347</t>
  </si>
  <si>
    <t>Цахиуртын хоолой</t>
  </si>
  <si>
    <t>XV-021350</t>
  </si>
  <si>
    <t>XV-021351</t>
  </si>
  <si>
    <t>Дэлэн</t>
  </si>
  <si>
    <t>XV-021352</t>
  </si>
  <si>
    <t>Модун хаад</t>
  </si>
  <si>
    <t>XV-021368</t>
  </si>
  <si>
    <t>Унаа хад</t>
  </si>
  <si>
    <t>Утаатболор</t>
  </si>
  <si>
    <t>XV-021376</t>
  </si>
  <si>
    <t>Монголиан майнинг энд минерал индастри</t>
  </si>
  <si>
    <t>XV-021396</t>
  </si>
  <si>
    <t>Нуур</t>
  </si>
  <si>
    <t>МШҮБ майнинг</t>
  </si>
  <si>
    <t>XV-021397</t>
  </si>
  <si>
    <t>Мандалхүдэр</t>
  </si>
  <si>
    <t>XV-021400</t>
  </si>
  <si>
    <t>XV-021393</t>
  </si>
  <si>
    <t>XV-021395</t>
  </si>
  <si>
    <t>Арцат</t>
  </si>
  <si>
    <t>Эрдэнэс алтай</t>
  </si>
  <si>
    <t>XV-021412</t>
  </si>
  <si>
    <t>Баяраам</t>
  </si>
  <si>
    <t>XV-021415</t>
  </si>
  <si>
    <t>Мөнх баялаг майнинг</t>
  </si>
  <si>
    <t>XV-021419</t>
  </si>
  <si>
    <t>Мандал-1</t>
  </si>
  <si>
    <t>Гео актив</t>
  </si>
  <si>
    <t>XV-021421</t>
  </si>
  <si>
    <t>Холбоо уул</t>
  </si>
  <si>
    <t>Шанбал хангарьд</t>
  </si>
  <si>
    <t>Баяндэлгэр, Баянжаргалан</t>
  </si>
  <si>
    <t>XV-021428</t>
  </si>
  <si>
    <t>Даваа</t>
  </si>
  <si>
    <t>Мегаватт хурд</t>
  </si>
  <si>
    <t>XV-021433</t>
  </si>
  <si>
    <t>XV-021434</t>
  </si>
  <si>
    <t>Гүн өндөр</t>
  </si>
  <si>
    <t>Уулсын үндэс</t>
  </si>
  <si>
    <t>XV-021435</t>
  </si>
  <si>
    <t>Ханзо майнинг</t>
  </si>
  <si>
    <t>XV-021437</t>
  </si>
  <si>
    <t>Мухлагын овоо</t>
  </si>
  <si>
    <t>Монгол чүнчен энержи индастри групп</t>
  </si>
  <si>
    <t>XV-021438</t>
  </si>
  <si>
    <t>Хөөвөр</t>
  </si>
  <si>
    <t>Монголиан ийстрн пауэрплант</t>
  </si>
  <si>
    <t>XV-021439</t>
  </si>
  <si>
    <t>Хараа толгой</t>
  </si>
  <si>
    <t>Глобалгүүр транс</t>
  </si>
  <si>
    <t>XV-021442</t>
  </si>
  <si>
    <t>Фондминералс</t>
  </si>
  <si>
    <t>XV-021451</t>
  </si>
  <si>
    <t>XV-021464</t>
  </si>
  <si>
    <t>XV-021482</t>
  </si>
  <si>
    <t>Улаанцохио</t>
  </si>
  <si>
    <t>Гоби минералс групп</t>
  </si>
  <si>
    <t>XV-021492</t>
  </si>
  <si>
    <t>Тулгат уул</t>
  </si>
  <si>
    <t>XV-021497</t>
  </si>
  <si>
    <t>Ухаа овоо-2</t>
  </si>
  <si>
    <t>Апекс ван хөгжил</t>
  </si>
  <si>
    <t>XV-021498</t>
  </si>
  <si>
    <t>XV-021545</t>
  </si>
  <si>
    <t>Жем менерал палас</t>
  </si>
  <si>
    <t>XV-021613</t>
  </si>
  <si>
    <t>Сайхан тулга</t>
  </si>
  <si>
    <t>XV-021614</t>
  </si>
  <si>
    <t>Улаан тулга</t>
  </si>
  <si>
    <t>XV-021618</t>
  </si>
  <si>
    <t>XV-021620</t>
  </si>
  <si>
    <t>Дэлгэрэх мөнх орд</t>
  </si>
  <si>
    <t>XV-021633</t>
  </si>
  <si>
    <t>Эм Жи Ти Эн Жи</t>
  </si>
  <si>
    <t>XV-021636</t>
  </si>
  <si>
    <t>Өнөд прогресс</t>
  </si>
  <si>
    <t>XV-021639</t>
  </si>
  <si>
    <t>Цагаан -Овоо</t>
  </si>
  <si>
    <t>XV-021640</t>
  </si>
  <si>
    <t>Монгол майнинг энд эксплорэйшн</t>
  </si>
  <si>
    <t>XV-021644</t>
  </si>
  <si>
    <t>XV-021645</t>
  </si>
  <si>
    <t>Хамар булаг</t>
  </si>
  <si>
    <t>Говь-Алтай, Завхан</t>
  </si>
  <si>
    <t>Тайшир, Шилүүстэй</t>
  </si>
  <si>
    <t>XV-021648</t>
  </si>
  <si>
    <t>XV-021652</t>
  </si>
  <si>
    <t>Дэвтээрийн гол</t>
  </si>
  <si>
    <t>XV-021653</t>
  </si>
  <si>
    <t>Зөвтойрог</t>
  </si>
  <si>
    <t>Угтаалцайдам</t>
  </si>
  <si>
    <t>XV-021655</t>
  </si>
  <si>
    <t>Хавтгайн орд</t>
  </si>
  <si>
    <t>XV-021656</t>
  </si>
  <si>
    <t>Өвдөг нуур</t>
  </si>
  <si>
    <t>XV-021660</t>
  </si>
  <si>
    <t>Сал тулга</t>
  </si>
  <si>
    <t>XV-021664</t>
  </si>
  <si>
    <t>Манхан хүрмэн</t>
  </si>
  <si>
    <t>Нартын хурх</t>
  </si>
  <si>
    <t>XV-021666</t>
  </si>
  <si>
    <t>Хүрэнцав</t>
  </si>
  <si>
    <t>XV-021667</t>
  </si>
  <si>
    <t>Мухар хар толгой</t>
  </si>
  <si>
    <t>XV-021668</t>
  </si>
  <si>
    <t>Довжоот</t>
  </si>
  <si>
    <t>XV-021669</t>
  </si>
  <si>
    <t>XV-021670</t>
  </si>
  <si>
    <t>Овоот хяр</t>
  </si>
  <si>
    <t>XV-021671</t>
  </si>
  <si>
    <t>Манлай, Цогтцэций</t>
  </si>
  <si>
    <t>XV-021672</t>
  </si>
  <si>
    <t>XV-021673</t>
  </si>
  <si>
    <t>Хайрхан уул</t>
  </si>
  <si>
    <t>Аржим транс</t>
  </si>
  <si>
    <t>XV-021677</t>
  </si>
  <si>
    <t>XV-021683</t>
  </si>
  <si>
    <t>Шартын хоолой</t>
  </si>
  <si>
    <t>Рояал хангай</t>
  </si>
  <si>
    <t>XV-021684</t>
  </si>
  <si>
    <t>Хонгорын говийн элс</t>
  </si>
  <si>
    <t>XV-021685</t>
  </si>
  <si>
    <t>Бор азарга-1</t>
  </si>
  <si>
    <t>Баян бурзай</t>
  </si>
  <si>
    <t>Батцэнгэл</t>
  </si>
  <si>
    <t>XV-021686</t>
  </si>
  <si>
    <t>Овгор-1</t>
  </si>
  <si>
    <t>XV-021688</t>
  </si>
  <si>
    <t>XV-021691</t>
  </si>
  <si>
    <t>Орчлон-Ундрах</t>
  </si>
  <si>
    <t>XV-021719</t>
  </si>
  <si>
    <t>Далт</t>
  </si>
  <si>
    <t>Умард оргил</t>
  </si>
  <si>
    <t>XV-021720</t>
  </si>
  <si>
    <t>Эм Жэй Эс гоулд майнинг</t>
  </si>
  <si>
    <t>XV-021722</t>
  </si>
  <si>
    <t>Гонс</t>
  </si>
  <si>
    <t>Би энд Юу майн</t>
  </si>
  <si>
    <t>XV-021723</t>
  </si>
  <si>
    <t>XV-021724</t>
  </si>
  <si>
    <t>Дэлгэрцогт</t>
  </si>
  <si>
    <t>XV-021725</t>
  </si>
  <si>
    <t>Ти Эн Эс Эн Ти</t>
  </si>
  <si>
    <t>Баянтүмэн, Булган, Матад</t>
  </si>
  <si>
    <t>XV-021726</t>
  </si>
  <si>
    <t>Үүдийн жаран</t>
  </si>
  <si>
    <t>ОМ транс</t>
  </si>
  <si>
    <t>XV-021733</t>
  </si>
  <si>
    <t>XV-021735</t>
  </si>
  <si>
    <t>Жаргалантын хоолой</t>
  </si>
  <si>
    <t>XV-021738</t>
  </si>
  <si>
    <t>XV-021740</t>
  </si>
  <si>
    <t>XV-021743</t>
  </si>
  <si>
    <t>XV-021745</t>
  </si>
  <si>
    <t>Их майнт</t>
  </si>
  <si>
    <t>Абсолютпартнерс</t>
  </si>
  <si>
    <t>XV-021746</t>
  </si>
  <si>
    <t>XV-021759</t>
  </si>
  <si>
    <t>Шавагтай уул-1</t>
  </si>
  <si>
    <t>XV-021760</t>
  </si>
  <si>
    <t>XV-021761</t>
  </si>
  <si>
    <t>Халчир өндөр</t>
  </si>
  <si>
    <t>Хүннүресурсес</t>
  </si>
  <si>
    <t>XV-021762</t>
  </si>
  <si>
    <t>Аж гоулд майнинг</t>
  </si>
  <si>
    <t>XV-021763</t>
  </si>
  <si>
    <t>Тамсаг-2</t>
  </si>
  <si>
    <t>Төгсгео</t>
  </si>
  <si>
    <t>XV-021764</t>
  </si>
  <si>
    <t>Бумбат уул</t>
  </si>
  <si>
    <t>Арт майнинг</t>
  </si>
  <si>
    <t>XV-021766</t>
  </si>
  <si>
    <t>XV-021771</t>
  </si>
  <si>
    <t>XV-021773</t>
  </si>
  <si>
    <t>Талын Овоо</t>
  </si>
  <si>
    <t>XV-021775</t>
  </si>
  <si>
    <t>XV-021777</t>
  </si>
  <si>
    <t>XV-021778</t>
  </si>
  <si>
    <t>XV-021779</t>
  </si>
  <si>
    <t>Шавагтай уул-2</t>
  </si>
  <si>
    <t>Мөст, Цэцэг</t>
  </si>
  <si>
    <t>XV-021782</t>
  </si>
  <si>
    <t>Эм Би Инвесто</t>
  </si>
  <si>
    <t>XV-021784</t>
  </si>
  <si>
    <t>Интерконтиненталь минералс</t>
  </si>
  <si>
    <t>XV-021785</t>
  </si>
  <si>
    <t>XV-021788</t>
  </si>
  <si>
    <t>Холбоо</t>
  </si>
  <si>
    <t>XV-021789</t>
  </si>
  <si>
    <t>Оорцог уул</t>
  </si>
  <si>
    <t>Коппер маунтэйнс</t>
  </si>
  <si>
    <t>Баацагаан, Баянцагаан</t>
  </si>
  <si>
    <t>XV-021790</t>
  </si>
  <si>
    <t>XV-021791</t>
  </si>
  <si>
    <t>Ургах шигтгээ ХХК</t>
  </si>
  <si>
    <t>XV-021803</t>
  </si>
  <si>
    <t>Плетора</t>
  </si>
  <si>
    <t>XV-017812</t>
  </si>
  <si>
    <t>XV-021806</t>
  </si>
  <si>
    <t>Аж эксплорейшн</t>
  </si>
  <si>
    <t>XV-021807</t>
  </si>
  <si>
    <t>Ангархай</t>
  </si>
  <si>
    <t>Өлзийт толгой уул</t>
  </si>
  <si>
    <t>XV-021809</t>
  </si>
  <si>
    <t>XV-021811</t>
  </si>
  <si>
    <t>Ар булаг</t>
  </si>
  <si>
    <t>XV-021812</t>
  </si>
  <si>
    <t>Хонгор азарга</t>
  </si>
  <si>
    <t>XV-021813</t>
  </si>
  <si>
    <t>Их уул</t>
  </si>
  <si>
    <t>XV-021814</t>
  </si>
  <si>
    <t>Баянэнгэр</t>
  </si>
  <si>
    <t>Алтан авид</t>
  </si>
  <si>
    <t>XV-021815</t>
  </si>
  <si>
    <t>XV-021817</t>
  </si>
  <si>
    <t>Дэрсэн худаг</t>
  </si>
  <si>
    <t>Говькараван</t>
  </si>
  <si>
    <t>XV-021819</t>
  </si>
  <si>
    <t>Баян бага хайрхан дулаан</t>
  </si>
  <si>
    <t>XV-021821</t>
  </si>
  <si>
    <t>Шүүт</t>
  </si>
  <si>
    <t>XV-021822</t>
  </si>
  <si>
    <t>XV-021823</t>
  </si>
  <si>
    <t>Алтантоонот өргөө</t>
  </si>
  <si>
    <t>XV-021824</t>
  </si>
  <si>
    <t>Хутаг уул</t>
  </si>
  <si>
    <t>Их Сарай ХХК</t>
  </si>
  <si>
    <t>XV-021825</t>
  </si>
  <si>
    <t>Хараатын хэц</t>
  </si>
  <si>
    <t>Цэцэн шийдэл</t>
  </si>
  <si>
    <t>XV-021826</t>
  </si>
  <si>
    <t>Хадат толгой-1</t>
  </si>
  <si>
    <t>XV-021828</t>
  </si>
  <si>
    <t>Хадат толгой</t>
  </si>
  <si>
    <t>Апексгрупп</t>
  </si>
  <si>
    <t>XV-021829</t>
  </si>
  <si>
    <t>Нарт уул</t>
  </si>
  <si>
    <t>XV-021830</t>
  </si>
  <si>
    <t>Агар уул-1</t>
  </si>
  <si>
    <t>Эрдэс байгаль</t>
  </si>
  <si>
    <t>XV-021831</t>
  </si>
  <si>
    <t>XV-021833</t>
  </si>
  <si>
    <t>Хөх чулуут</t>
  </si>
  <si>
    <t>Талын номт</t>
  </si>
  <si>
    <t>XV-021834</t>
  </si>
  <si>
    <t>Зөөд баялаг</t>
  </si>
  <si>
    <t>XV-021843</t>
  </si>
  <si>
    <t>XV-021845</t>
  </si>
  <si>
    <t>Өвөр хөндий</t>
  </si>
  <si>
    <t>Алтайн хар азарга групп</t>
  </si>
  <si>
    <t>XV-021848</t>
  </si>
  <si>
    <t>Ар хаалгат</t>
  </si>
  <si>
    <t>Нико ресурсес</t>
  </si>
  <si>
    <t>XV-021849</t>
  </si>
  <si>
    <t>Хавцал уул</t>
  </si>
  <si>
    <t>Өндөрширээт</t>
  </si>
  <si>
    <t>XV-021850</t>
  </si>
  <si>
    <t>Түшээ гүний буян</t>
  </si>
  <si>
    <t>XV-021852</t>
  </si>
  <si>
    <t>XV-021853</t>
  </si>
  <si>
    <t>Эрдэнэ хадат толгой</t>
  </si>
  <si>
    <t>XV-021854</t>
  </si>
  <si>
    <t>Буржгар дөчийн хурал</t>
  </si>
  <si>
    <t>Голденхилл</t>
  </si>
  <si>
    <t>XV-021855</t>
  </si>
  <si>
    <t>Хиагтын сэрээ</t>
  </si>
  <si>
    <t>XV-021856</t>
  </si>
  <si>
    <t>Ар хаалгат-1</t>
  </si>
  <si>
    <t>XV-021857</t>
  </si>
  <si>
    <t>Хошуу уул</t>
  </si>
  <si>
    <t>Эм Ти Пи Эй Майнинг</t>
  </si>
  <si>
    <t>XV-021860</t>
  </si>
  <si>
    <t>Нүхт</t>
  </si>
  <si>
    <t>Монголиан коппер проспектинг групп</t>
  </si>
  <si>
    <t>Лүн, Угтаалцайдам</t>
  </si>
  <si>
    <t>XV-021863</t>
  </si>
  <si>
    <t>Цагаан толгой-2</t>
  </si>
  <si>
    <t>Их тахилт</t>
  </si>
  <si>
    <t>XV-021865</t>
  </si>
  <si>
    <t>Шар өндөр</t>
  </si>
  <si>
    <t>Блү голд инвестмент</t>
  </si>
  <si>
    <t>XV-021866</t>
  </si>
  <si>
    <t>Нүхт-1</t>
  </si>
  <si>
    <t>Инженер план</t>
  </si>
  <si>
    <t>XV-021870</t>
  </si>
  <si>
    <t>XV-021880</t>
  </si>
  <si>
    <t>Их сэртэн уул</t>
  </si>
  <si>
    <t>XV-021882</t>
  </si>
  <si>
    <t>ММС майнинг</t>
  </si>
  <si>
    <t>XV-021883</t>
  </si>
  <si>
    <t>Бага бэрх</t>
  </si>
  <si>
    <t>XV-021885</t>
  </si>
  <si>
    <t>Доод хөндлөн</t>
  </si>
  <si>
    <t>С сайн</t>
  </si>
  <si>
    <t>XV-021886</t>
  </si>
  <si>
    <t>XV-021887</t>
  </si>
  <si>
    <t>Сант толгой</t>
  </si>
  <si>
    <t>XV-021893</t>
  </si>
  <si>
    <t>XV-021894</t>
  </si>
  <si>
    <t>Чулуут уул</t>
  </si>
  <si>
    <t>XV-021897</t>
  </si>
  <si>
    <t>Битүү салаа</t>
  </si>
  <si>
    <t>Хурын болор дусал</t>
  </si>
  <si>
    <t>XV-021900</t>
  </si>
  <si>
    <t>Хайчийн булаг</t>
  </si>
  <si>
    <t>XV-021902</t>
  </si>
  <si>
    <t>Нумт уул ХХК</t>
  </si>
  <si>
    <t>XV-021908</t>
  </si>
  <si>
    <t>Сүүж</t>
  </si>
  <si>
    <t>Монгол-Алт</t>
  </si>
  <si>
    <t>Гурванзагал, Чойбалсан</t>
  </si>
  <si>
    <t>XV-021916</t>
  </si>
  <si>
    <t>XV-021922</t>
  </si>
  <si>
    <t>Цагаан толгой-1</t>
  </si>
  <si>
    <t>XV-021931</t>
  </si>
  <si>
    <t>XV-021933</t>
  </si>
  <si>
    <t>Баруун матад</t>
  </si>
  <si>
    <t>XV-021934</t>
  </si>
  <si>
    <t>Бор овоо</t>
  </si>
  <si>
    <t>Галакси энержи ресурс</t>
  </si>
  <si>
    <t>XV-021936</t>
  </si>
  <si>
    <t>мандал проспектинг</t>
  </si>
  <si>
    <t>XV-021937</t>
  </si>
  <si>
    <t>XV-021940</t>
  </si>
  <si>
    <t>Улаан ширээ</t>
  </si>
  <si>
    <t>Монголиан Нанфан майнинг инвестмент</t>
  </si>
  <si>
    <t>XV-021941</t>
  </si>
  <si>
    <t>Принрайте</t>
  </si>
  <si>
    <t>XV-021943</t>
  </si>
  <si>
    <t>Аз Эн Эс Ти</t>
  </si>
  <si>
    <t>XV-021944</t>
  </si>
  <si>
    <t>Талын толгой</t>
  </si>
  <si>
    <t>XV-021947</t>
  </si>
  <si>
    <t>XV-021948</t>
  </si>
  <si>
    <t>Зүчи ресурсэс</t>
  </si>
  <si>
    <t>XV-021949</t>
  </si>
  <si>
    <t>Стид майнинг</t>
  </si>
  <si>
    <t>XV-021950</t>
  </si>
  <si>
    <t>Цоорхой</t>
  </si>
  <si>
    <t>ЭТА энжи</t>
  </si>
  <si>
    <t>Тарагт, Хайрхандулаан</t>
  </si>
  <si>
    <t>XV-021951</t>
  </si>
  <si>
    <t>Бараатын булаг</t>
  </si>
  <si>
    <t>XV-021952</t>
  </si>
  <si>
    <t>Сонин хангай-2</t>
  </si>
  <si>
    <t>Зөөлөн дэвсэг уул</t>
  </si>
  <si>
    <t>Аргалант, Баянцогт</t>
  </si>
  <si>
    <t>XV-021955</t>
  </si>
  <si>
    <t>Сод мандал маргад майнинг</t>
  </si>
  <si>
    <t>XV-021958</t>
  </si>
  <si>
    <t>Хөрххөвд</t>
  </si>
  <si>
    <t>XV-021967</t>
  </si>
  <si>
    <t>XV-021973</t>
  </si>
  <si>
    <t>Дү руй зи юуан майнинг</t>
  </si>
  <si>
    <t>XV-021974</t>
  </si>
  <si>
    <t>Хадан</t>
  </si>
  <si>
    <t>XV-021977</t>
  </si>
  <si>
    <t>Өв ундрах уул</t>
  </si>
  <si>
    <t>Баянхайрхан, Сонгино</t>
  </si>
  <si>
    <t>XV-022019</t>
  </si>
  <si>
    <t>Нүүрс хими технологи</t>
  </si>
  <si>
    <t>XV-022020</t>
  </si>
  <si>
    <t>Бухт-3</t>
  </si>
  <si>
    <t>XV-022023</t>
  </si>
  <si>
    <t>Бугат-1</t>
  </si>
  <si>
    <t>Саммит эксплорэйшн</t>
  </si>
  <si>
    <t>Алтанцөгц, Бугат</t>
  </si>
  <si>
    <t>XV-022024</t>
  </si>
  <si>
    <t>Бугат-3</t>
  </si>
  <si>
    <t>XV-022028</t>
  </si>
  <si>
    <t>Мин тун</t>
  </si>
  <si>
    <t>XV-022031</t>
  </si>
  <si>
    <t>XV-022033</t>
  </si>
  <si>
    <t>Цагаан толгой-3</t>
  </si>
  <si>
    <t>XV-022036</t>
  </si>
  <si>
    <t>XV-022038</t>
  </si>
  <si>
    <t>Сайхан дэвцэг</t>
  </si>
  <si>
    <t>XV-022039</t>
  </si>
  <si>
    <t>Дов</t>
  </si>
  <si>
    <t>XV-022040</t>
  </si>
  <si>
    <t>Цагаан-2</t>
  </si>
  <si>
    <t>XV-022042</t>
  </si>
  <si>
    <t>Буман сор од</t>
  </si>
  <si>
    <t>XV-022045</t>
  </si>
  <si>
    <t>Өрмийн овоот</t>
  </si>
  <si>
    <t>XV-022047</t>
  </si>
  <si>
    <t>Баарангийн урд</t>
  </si>
  <si>
    <t>Ларимар</t>
  </si>
  <si>
    <t>XV-022048</t>
  </si>
  <si>
    <t>Шаргын уул</t>
  </si>
  <si>
    <t>Гурвансайхан, Өлзийт, Өндөршил</t>
  </si>
  <si>
    <t>XV-022049</t>
  </si>
  <si>
    <t>XV-021987</t>
  </si>
  <si>
    <t>Хуурай хөндий</t>
  </si>
  <si>
    <t>Эрдэнэс хос хас майнинг</t>
  </si>
  <si>
    <t>XV-021988</t>
  </si>
  <si>
    <t>Нуга</t>
  </si>
  <si>
    <t>XV-021991</t>
  </si>
  <si>
    <t>Хүүш уул</t>
  </si>
  <si>
    <t>XV-021992</t>
  </si>
  <si>
    <t>XV-021993</t>
  </si>
  <si>
    <t>Жаргалант, Сүмбэр</t>
  </si>
  <si>
    <t>XV-021994</t>
  </si>
  <si>
    <t>Бор уул</t>
  </si>
  <si>
    <t>XV-021996</t>
  </si>
  <si>
    <t>Бухт-2</t>
  </si>
  <si>
    <t>XV-021998</t>
  </si>
  <si>
    <t>Могод</t>
  </si>
  <si>
    <t>XV-021999</t>
  </si>
  <si>
    <t>XV-022000</t>
  </si>
  <si>
    <t>Хүрэн толгой-1</t>
  </si>
  <si>
    <t>XV-022002</t>
  </si>
  <si>
    <t>Дэл уул</t>
  </si>
  <si>
    <t>Айрон метал майнинг</t>
  </si>
  <si>
    <t>XV-022003</t>
  </si>
  <si>
    <t>Хад уул</t>
  </si>
  <si>
    <t>XV-022009</t>
  </si>
  <si>
    <t>Булан</t>
  </si>
  <si>
    <t>XV-022010</t>
  </si>
  <si>
    <t>Жэй Зэт Магнетик</t>
  </si>
  <si>
    <t>XV-022011</t>
  </si>
  <si>
    <t>XV-022013</t>
  </si>
  <si>
    <t>Хар гозгор</t>
  </si>
  <si>
    <t>Мапроуд</t>
  </si>
  <si>
    <t>Угтаалцайдам, Цээл</t>
  </si>
  <si>
    <t>XV-022015</t>
  </si>
  <si>
    <t>Яшил</t>
  </si>
  <si>
    <t>XV-022016</t>
  </si>
  <si>
    <t>Дугших уул</t>
  </si>
  <si>
    <t>XV-022018</t>
  </si>
  <si>
    <t>Мөнх хас үүлэн</t>
  </si>
  <si>
    <t>XV-022063</t>
  </si>
  <si>
    <t>Зорко-Эксплорэйшн</t>
  </si>
  <si>
    <t>Бугат, Ногооннуур</t>
  </si>
  <si>
    <t>XV-022064</t>
  </si>
  <si>
    <t>XV-022065</t>
  </si>
  <si>
    <t>Бугат-4</t>
  </si>
  <si>
    <t>XV-022066</t>
  </si>
  <si>
    <t>Ивээх алтай майнинг</t>
  </si>
  <si>
    <t>XV-022069</t>
  </si>
  <si>
    <t>Суваг</t>
  </si>
  <si>
    <t>Элф</t>
  </si>
  <si>
    <t>XV-022070</t>
  </si>
  <si>
    <t>Говь хангай минералс</t>
  </si>
  <si>
    <t>XV-022076</t>
  </si>
  <si>
    <t>Бодьмөр-Интернэшнл</t>
  </si>
  <si>
    <t>XV-022082</t>
  </si>
  <si>
    <t>хонхор ус</t>
  </si>
  <si>
    <t>XV-022083</t>
  </si>
  <si>
    <t>Гучин-Ус</t>
  </si>
  <si>
    <t>XV-022084</t>
  </si>
  <si>
    <t>Алга толгод</t>
  </si>
  <si>
    <t>Инфинити вайд майнинг</t>
  </si>
  <si>
    <t>XV-022085</t>
  </si>
  <si>
    <t>XV-022087</t>
  </si>
  <si>
    <t>Далан ухаа</t>
  </si>
  <si>
    <t>Ундармал хүдэр</t>
  </si>
  <si>
    <t>XV-022088</t>
  </si>
  <si>
    <t>Бага богд</t>
  </si>
  <si>
    <t>XV-022090</t>
  </si>
  <si>
    <t>Өндөр толгой</t>
  </si>
  <si>
    <t>XV-022091</t>
  </si>
  <si>
    <t>Хөх чулуу</t>
  </si>
  <si>
    <t>XV-022101</t>
  </si>
  <si>
    <t>Бүрд</t>
  </si>
  <si>
    <t>Хайрхан Эл Эм Ти</t>
  </si>
  <si>
    <t>XV-022102</t>
  </si>
  <si>
    <t>Азийн хөх тэнгэр групп</t>
  </si>
  <si>
    <t>XV-022115</t>
  </si>
  <si>
    <t>XV-022117</t>
  </si>
  <si>
    <t>Богд уул</t>
  </si>
  <si>
    <t>Эрдэнэс баянбогд</t>
  </si>
  <si>
    <t>XV-022146</t>
  </si>
  <si>
    <t>XV-022158</t>
  </si>
  <si>
    <t>Дэлгэрэх мөнх болор</t>
  </si>
  <si>
    <t>XV-022166</t>
  </si>
  <si>
    <t>Хужир</t>
  </si>
  <si>
    <t>Бугат, Сэлэнгэ, Хангал, Баян-Өндөр</t>
  </si>
  <si>
    <t>XV-022167</t>
  </si>
  <si>
    <t>Хөх асгат</t>
  </si>
  <si>
    <t>XV-022168</t>
  </si>
  <si>
    <t>XV-022169</t>
  </si>
  <si>
    <t>Зөөхийн гол</t>
  </si>
  <si>
    <t>Хангал</t>
  </si>
  <si>
    <t>XV-022170</t>
  </si>
  <si>
    <t>Ундрах</t>
  </si>
  <si>
    <t>Орхон, Баян-Өндөр, Жаргалант</t>
  </si>
  <si>
    <t>XV-022171</t>
  </si>
  <si>
    <t>XV-022173</t>
  </si>
  <si>
    <t>Суврагын толгод</t>
  </si>
  <si>
    <t>Белрутески</t>
  </si>
  <si>
    <t>XV-022174</t>
  </si>
  <si>
    <t>Хурын тойром</t>
  </si>
  <si>
    <t>XV-022176</t>
  </si>
  <si>
    <t>Хар хошуу</t>
  </si>
  <si>
    <t>Мөнгөн нахиа</t>
  </si>
  <si>
    <t>XV-022177</t>
  </si>
  <si>
    <t>Ачит минерал</t>
  </si>
  <si>
    <t>XV-022179</t>
  </si>
  <si>
    <t>Ханан сүүдэрт</t>
  </si>
  <si>
    <t>Эм Си Юу Коул Партнерс</t>
  </si>
  <si>
    <t>XV-022184</t>
  </si>
  <si>
    <t>Хүнхэр нуур</t>
  </si>
  <si>
    <t>Агдам олз</t>
  </si>
  <si>
    <t>XV-022189</t>
  </si>
  <si>
    <t>Сүүл хар овоо</t>
  </si>
  <si>
    <t>Ти эйч би зэт голд</t>
  </si>
  <si>
    <t>XV-022190</t>
  </si>
  <si>
    <t>Хуц уул</t>
  </si>
  <si>
    <t>XV-022192</t>
  </si>
  <si>
    <t>Байшин толгой</t>
  </si>
  <si>
    <t>Корал майнинг инвестмент</t>
  </si>
  <si>
    <t>XV-022194</t>
  </si>
  <si>
    <t>Хоёрын даваа</t>
  </si>
  <si>
    <t>Ордолов</t>
  </si>
  <si>
    <t/>
  </si>
  <si>
    <t>XV-022195</t>
  </si>
  <si>
    <t>Хөх булант хар</t>
  </si>
  <si>
    <t>XV-022197</t>
  </si>
  <si>
    <t>Цөөхний улаан</t>
  </si>
  <si>
    <t>XV-022201</t>
  </si>
  <si>
    <t>Их номгон</t>
  </si>
  <si>
    <t>БАСИС</t>
  </si>
  <si>
    <t>XV-022202</t>
  </si>
  <si>
    <t>Цайдамын хөндий</t>
  </si>
  <si>
    <t>XV-022205</t>
  </si>
  <si>
    <t>Увс дүүрэн арвижих</t>
  </si>
  <si>
    <t>XV-022206</t>
  </si>
  <si>
    <t>Наранбулаг, Өлгий</t>
  </si>
  <si>
    <t>XV-022207</t>
  </si>
  <si>
    <t>Жандай</t>
  </si>
  <si>
    <t>Си Ар Си Эн</t>
  </si>
  <si>
    <t>XV-022208</t>
  </si>
  <si>
    <t>Аргалантын нуруу</t>
  </si>
  <si>
    <t>Арвижих уул уурхайн бирж</t>
  </si>
  <si>
    <t>XV-022209</t>
  </si>
  <si>
    <t>Дөшийн уул</t>
  </si>
  <si>
    <t>Хэндфүл сийд</t>
  </si>
  <si>
    <t>XV-022212</t>
  </si>
  <si>
    <t>Өвөр заваг</t>
  </si>
  <si>
    <t>Ай жи Монголиа эксплорейшн</t>
  </si>
  <si>
    <t>XV-022214</t>
  </si>
  <si>
    <t>Зүүн буянт</t>
  </si>
  <si>
    <t>Галбар орд</t>
  </si>
  <si>
    <t>XV-022215</t>
  </si>
  <si>
    <t>XV-022216</t>
  </si>
  <si>
    <t>Эйтэрнэти скай трейд</t>
  </si>
  <si>
    <t>XV-022218</t>
  </si>
  <si>
    <t>Бадрахын хоолой</t>
  </si>
  <si>
    <t>XV-022219</t>
  </si>
  <si>
    <t>Дорнын үлэмж илч энержи</t>
  </si>
  <si>
    <t>Дорнод, Сүхбаатар</t>
  </si>
  <si>
    <t>Матад, Сүхбаатар</t>
  </si>
  <si>
    <t>XV-022222</t>
  </si>
  <si>
    <t>Ухаш</t>
  </si>
  <si>
    <t>Бүл ресорс майнинг</t>
  </si>
  <si>
    <t>XV-022224</t>
  </si>
  <si>
    <t>Сайхан нуур</t>
  </si>
  <si>
    <t>Өү жи девлопмент майнинг</t>
  </si>
  <si>
    <t>XV-022227</t>
  </si>
  <si>
    <t>Дунд хар</t>
  </si>
  <si>
    <t>Энх төгөл бэх</t>
  </si>
  <si>
    <t>XV-022228</t>
  </si>
  <si>
    <t>Эмгэд толгой</t>
  </si>
  <si>
    <t>XV-022233</t>
  </si>
  <si>
    <t>Цом уул</t>
  </si>
  <si>
    <t>XV-022234</t>
  </si>
  <si>
    <t>XV-022237</t>
  </si>
  <si>
    <t>XV-022238</t>
  </si>
  <si>
    <t>Цул уул</t>
  </si>
  <si>
    <t>XV-022239</t>
  </si>
  <si>
    <t>Бөхөний хөндий</t>
  </si>
  <si>
    <t>Орд талст ресурс</t>
  </si>
  <si>
    <t>XV-022240</t>
  </si>
  <si>
    <t>Бугат, Өлгий, Сагсай</t>
  </si>
  <si>
    <t>XV-022241</t>
  </si>
  <si>
    <t>Бага дархан</t>
  </si>
  <si>
    <t>XV-022242</t>
  </si>
  <si>
    <t>Намир</t>
  </si>
  <si>
    <t>Ардын жанчивлан</t>
  </si>
  <si>
    <t>XV-022244</t>
  </si>
  <si>
    <t>Харганатын шовгор уул</t>
  </si>
  <si>
    <t>Баялаг Эй Эм Ви</t>
  </si>
  <si>
    <t>XV-022246</t>
  </si>
  <si>
    <t>Зэст уул</t>
  </si>
  <si>
    <t>XV-022247</t>
  </si>
  <si>
    <t>Дундговь, Өмнөговь</t>
  </si>
  <si>
    <t>Өлзийт, Хулд, Цогт-Овоо</t>
  </si>
  <si>
    <t>XV-022250</t>
  </si>
  <si>
    <t>Маргад инженеринг</t>
  </si>
  <si>
    <t>XV-022251</t>
  </si>
  <si>
    <t>Мандалговь-1</t>
  </si>
  <si>
    <t>XV-022252</t>
  </si>
  <si>
    <t>Шинэ</t>
  </si>
  <si>
    <t>Эрхэс феррум фактори</t>
  </si>
  <si>
    <t>XV-022254</t>
  </si>
  <si>
    <t>Цагаан нуур</t>
  </si>
  <si>
    <t>XV-022258</t>
  </si>
  <si>
    <t>Хар нуур</t>
  </si>
  <si>
    <t>XV-022260</t>
  </si>
  <si>
    <t>Бэрхийн хөндий</t>
  </si>
  <si>
    <t>Эй Жи золбоот</t>
  </si>
  <si>
    <t>XV-022262</t>
  </si>
  <si>
    <t>Боонгийн овоо</t>
  </si>
  <si>
    <t>XV-022264</t>
  </si>
  <si>
    <t>Буурал уул</t>
  </si>
  <si>
    <t>XV-022265</t>
  </si>
  <si>
    <t>XV-022266</t>
  </si>
  <si>
    <t>Нарст</t>
  </si>
  <si>
    <t>XV-022270</t>
  </si>
  <si>
    <t>Хүрэн толгойн хаг</t>
  </si>
  <si>
    <t>XV-022272</t>
  </si>
  <si>
    <t>Фтор майнинг</t>
  </si>
  <si>
    <t>XV-022277</t>
  </si>
  <si>
    <t>XV-022280</t>
  </si>
  <si>
    <t>Гранд жонш толгод</t>
  </si>
  <si>
    <t>XV-022286</t>
  </si>
  <si>
    <t>Тахилт</t>
  </si>
  <si>
    <t>Цаатант дизайн</t>
  </si>
  <si>
    <t>Хутаг-Өндөр</t>
  </si>
  <si>
    <t>XV-022287</t>
  </si>
  <si>
    <t>Улаан дөрөлж</t>
  </si>
  <si>
    <t>Жи Си Пи</t>
  </si>
  <si>
    <t>Малчин, Хяргас</t>
  </si>
  <si>
    <t>XV-022288</t>
  </si>
  <si>
    <t>Тэрэг-Уул</t>
  </si>
  <si>
    <t>Нүүрс технологи</t>
  </si>
  <si>
    <t>XV-022290</t>
  </si>
  <si>
    <t>Аяга толгой</t>
  </si>
  <si>
    <t>Лиебромотор</t>
  </si>
  <si>
    <t>XV-022291</t>
  </si>
  <si>
    <t>XV-022292</t>
  </si>
  <si>
    <t>Суврагын толгой</t>
  </si>
  <si>
    <t>Чингис аурум минералс</t>
  </si>
  <si>
    <t>XV-022294</t>
  </si>
  <si>
    <t>Завсарын бууц</t>
  </si>
  <si>
    <t>Монголиан Лү Гон Интернэйшнл</t>
  </si>
  <si>
    <t>XV-022295</t>
  </si>
  <si>
    <t>Өнчийн зоо</t>
  </si>
  <si>
    <t>Террасийд</t>
  </si>
  <si>
    <t>XV-022296</t>
  </si>
  <si>
    <t>Бага гол</t>
  </si>
  <si>
    <t>Талын шуурга констракшн</t>
  </si>
  <si>
    <t>XV-022297</t>
  </si>
  <si>
    <t>Худгийн улаан</t>
  </si>
  <si>
    <t>Магнет окто майнинг</t>
  </si>
  <si>
    <t>XV-022298</t>
  </si>
  <si>
    <t>Жавхлантын гол</t>
  </si>
  <si>
    <t>XV-022299</t>
  </si>
  <si>
    <t>Луус</t>
  </si>
  <si>
    <t>XV-022301</t>
  </si>
  <si>
    <t>XV-022302</t>
  </si>
  <si>
    <t>Баян хушууны ус</t>
  </si>
  <si>
    <t>XV-022305</t>
  </si>
  <si>
    <t>Давын хөх</t>
  </si>
  <si>
    <t>XV-022306</t>
  </si>
  <si>
    <t>XV-022307</t>
  </si>
  <si>
    <t>XV-022308</t>
  </si>
  <si>
    <t>Милонит</t>
  </si>
  <si>
    <t>XV-022309</t>
  </si>
  <si>
    <t>Цагаан толгойн худаг</t>
  </si>
  <si>
    <t>XV-022310</t>
  </si>
  <si>
    <t>Хар өндөр</t>
  </si>
  <si>
    <t>XV-022312</t>
  </si>
  <si>
    <t>Их улаан уул</t>
  </si>
  <si>
    <t>Дэлгэр, Тайшир</t>
  </si>
  <si>
    <t>XV-022313</t>
  </si>
  <si>
    <t>Зараа уул</t>
  </si>
  <si>
    <t>XV-022315</t>
  </si>
  <si>
    <t>XV-022316</t>
  </si>
  <si>
    <t>Дарцагт уул</t>
  </si>
  <si>
    <t>XV-022317</t>
  </si>
  <si>
    <t>Шар шороот</t>
  </si>
  <si>
    <t>Очир гоулд</t>
  </si>
  <si>
    <t>Өндөрширээт, Эрдэнэсант</t>
  </si>
  <si>
    <t>XV-022320</t>
  </si>
  <si>
    <t>Бөөн хавтгай</t>
  </si>
  <si>
    <t>Авуурьд мөнх</t>
  </si>
  <si>
    <t>XV-022321</t>
  </si>
  <si>
    <t>Номгон уул</t>
  </si>
  <si>
    <t>XV-022322</t>
  </si>
  <si>
    <t>Зуухын ам</t>
  </si>
  <si>
    <t>Эндо смарт теч</t>
  </si>
  <si>
    <t>XV-022325</t>
  </si>
  <si>
    <t>Сант уул</t>
  </si>
  <si>
    <t>Хульж гоо</t>
  </si>
  <si>
    <t>XV-022327</t>
  </si>
  <si>
    <t>Жавхлант овоо</t>
  </si>
  <si>
    <t>Тайжийн буян</t>
  </si>
  <si>
    <t>XV-022330</t>
  </si>
  <si>
    <t>Шийрийн уул</t>
  </si>
  <si>
    <t>XV-022337</t>
  </si>
  <si>
    <t>Голденвинг</t>
  </si>
  <si>
    <t>XV-022338</t>
  </si>
  <si>
    <t>Хатуу боом</t>
  </si>
  <si>
    <t>XV-022339</t>
  </si>
  <si>
    <t>Хар нуур уул</t>
  </si>
  <si>
    <t>Эн Эн Би Баялаг майнинг</t>
  </si>
  <si>
    <t>XV-022341</t>
  </si>
  <si>
    <t>Номт толгой</t>
  </si>
  <si>
    <t>Степ туркойз</t>
  </si>
  <si>
    <t>XV-022342</t>
  </si>
  <si>
    <t>Цагаантамич</t>
  </si>
  <si>
    <t>XV-022343</t>
  </si>
  <si>
    <t>Цагаан ус</t>
  </si>
  <si>
    <t>XV-022344</t>
  </si>
  <si>
    <t>XV-022348</t>
  </si>
  <si>
    <t>Хөлийн холбоо</t>
  </si>
  <si>
    <t>Ашид мөнхийн хишиг</t>
  </si>
  <si>
    <t>XV-022349</t>
  </si>
  <si>
    <t>Ац уул</t>
  </si>
  <si>
    <t>XV-022351</t>
  </si>
  <si>
    <t>Өлзийт хар уул</t>
  </si>
  <si>
    <t>XV-022353</t>
  </si>
  <si>
    <t>Зээрэн нуур</t>
  </si>
  <si>
    <t>XV-022354</t>
  </si>
  <si>
    <t>Монголын олон улсын үнэт цаас дуудлага худалдааны хөрөнгө оруулалт</t>
  </si>
  <si>
    <t>Орхон, Орхонтуул</t>
  </si>
  <si>
    <t>XV-022355</t>
  </si>
  <si>
    <t>Шивэрийн нарийн</t>
  </si>
  <si>
    <t>Азар мэргэд</t>
  </si>
  <si>
    <t>XV-022356</t>
  </si>
  <si>
    <t>Өлийн овоо</t>
  </si>
  <si>
    <t>Гоулдмэнгоулд</t>
  </si>
  <si>
    <t>XV-022358</t>
  </si>
  <si>
    <t>Товгор уул</t>
  </si>
  <si>
    <t>XV-022360</t>
  </si>
  <si>
    <t>ДБДМ майнинг</t>
  </si>
  <si>
    <t>XV-022366</t>
  </si>
  <si>
    <t>Боржоо уул</t>
  </si>
  <si>
    <t>XV-022367</t>
  </si>
  <si>
    <t>Зоост ус</t>
  </si>
  <si>
    <t>Жэмсон ложистик</t>
  </si>
  <si>
    <t>XV-022368</t>
  </si>
  <si>
    <t>Бүрхтэй өндөр</t>
  </si>
  <si>
    <t>XV-022369</t>
  </si>
  <si>
    <t>Монжин гүүр</t>
  </si>
  <si>
    <t>XV-022370</t>
  </si>
  <si>
    <t>Чоно гол</t>
  </si>
  <si>
    <t>Бөлүнг интернейшнл</t>
  </si>
  <si>
    <t>XV-022373</t>
  </si>
  <si>
    <t>Цагаан шороот</t>
  </si>
  <si>
    <t>Талын хишиг флорит</t>
  </si>
  <si>
    <t>XV-022374</t>
  </si>
  <si>
    <t>Өндөр Цахир</t>
  </si>
  <si>
    <t>XV-022378</t>
  </si>
  <si>
    <t>Ананд</t>
  </si>
  <si>
    <t>Би Ти Би Жи майнинг</t>
  </si>
  <si>
    <t>XV-022380</t>
  </si>
  <si>
    <t>Их мухарт</t>
  </si>
  <si>
    <t>XV-022381</t>
  </si>
  <si>
    <t>Углуу уул</t>
  </si>
  <si>
    <t>Хонгор, Баянгол</t>
  </si>
  <si>
    <t>XV-022382</t>
  </si>
  <si>
    <t>Өрмөгтэй</t>
  </si>
  <si>
    <t>XV-022385</t>
  </si>
  <si>
    <t>Энгэр уул</t>
  </si>
  <si>
    <t>Фосфорит майнинг</t>
  </si>
  <si>
    <t>XV-022387</t>
  </si>
  <si>
    <t>Дэлгэр шанд</t>
  </si>
  <si>
    <t>XV-022390</t>
  </si>
  <si>
    <t>Жаран-2</t>
  </si>
  <si>
    <t>XV-022392</t>
  </si>
  <si>
    <t>Ихбулаг</t>
  </si>
  <si>
    <t>Таван од ресоурс</t>
  </si>
  <si>
    <t>XV-022394</t>
  </si>
  <si>
    <t>Худгийн хэсэг</t>
  </si>
  <si>
    <t>Ти энд Ар майнинг</t>
  </si>
  <si>
    <t>XV-022396</t>
  </si>
  <si>
    <t>Хоолын хяр</t>
  </si>
  <si>
    <t>Шүрт гео</t>
  </si>
  <si>
    <t>XV-022397</t>
  </si>
  <si>
    <t>Байцгарын хар толгой</t>
  </si>
  <si>
    <t>Монгол майнинг</t>
  </si>
  <si>
    <t>XV-022402</t>
  </si>
  <si>
    <t>Сэвүүлийн даваа</t>
  </si>
  <si>
    <t>Пи Жи Эс Жи голд</t>
  </si>
  <si>
    <t>Орхонтуул, Жаргалант</t>
  </si>
  <si>
    <t>XV-022405</t>
  </si>
  <si>
    <t>Бухт худаг</t>
  </si>
  <si>
    <t>Талынхишиг</t>
  </si>
  <si>
    <t>Асгат, Дарьганга, Онгон</t>
  </si>
  <si>
    <t>XV-022412</t>
  </si>
  <si>
    <t>Тесла майнинг</t>
  </si>
  <si>
    <t>XV-022413</t>
  </si>
  <si>
    <t>Цахиурт толгой</t>
  </si>
  <si>
    <t>XV-022414</t>
  </si>
  <si>
    <t>Үзүүр толгой</t>
  </si>
  <si>
    <t>XV-022416</t>
  </si>
  <si>
    <t>Далтын толгой</t>
  </si>
  <si>
    <t>XV-022417</t>
  </si>
  <si>
    <t>Ямаан ус</t>
  </si>
  <si>
    <t>Цахирт гранд майнинг</t>
  </si>
  <si>
    <t>Халиун, Цээл</t>
  </si>
  <si>
    <t>XV-022418</t>
  </si>
  <si>
    <t>Цагаан дөрвөлжин уул</t>
  </si>
  <si>
    <t>XV-022433</t>
  </si>
  <si>
    <t>Шар хулст</t>
  </si>
  <si>
    <t>XV-022434</t>
  </si>
  <si>
    <t>Хойт улаан</t>
  </si>
  <si>
    <t>Грандговь суплай</t>
  </si>
  <si>
    <t>XV-022437</t>
  </si>
  <si>
    <t>XV-022441</t>
  </si>
  <si>
    <t>Нарийн хадат</t>
  </si>
  <si>
    <t>Агшай зоос</t>
  </si>
  <si>
    <t>XV-022444</t>
  </si>
  <si>
    <t>Сондуулт-1</t>
  </si>
  <si>
    <t>XV-022447</t>
  </si>
  <si>
    <t>Хонгилт уул</t>
  </si>
  <si>
    <t>XV-022450</t>
  </si>
  <si>
    <t>XV-022452</t>
  </si>
  <si>
    <t>Лаки гейт</t>
  </si>
  <si>
    <t>XV-022453</t>
  </si>
  <si>
    <t>Гүн овоо</t>
  </si>
  <si>
    <t>Булаг баян групп</t>
  </si>
  <si>
    <t>XV-022460</t>
  </si>
  <si>
    <t>Болор гео</t>
  </si>
  <si>
    <t>XV-022462</t>
  </si>
  <si>
    <t>Шарга босго уул</t>
  </si>
  <si>
    <t>Коппер инвестмент</t>
  </si>
  <si>
    <t>XV-022464</t>
  </si>
  <si>
    <t>Хар нүдэнгийн хоолой</t>
  </si>
  <si>
    <t>XV-022465</t>
  </si>
  <si>
    <t>Үнэт аз</t>
  </si>
  <si>
    <t>Бүрэгхангай, Хишиг-Өндөр</t>
  </si>
  <si>
    <t>XV-022467</t>
  </si>
  <si>
    <t>Баянцогт, Угтаалцайдам</t>
  </si>
  <si>
    <t>XV-022469</t>
  </si>
  <si>
    <t>Баян-Өлгий, Ховд</t>
  </si>
  <si>
    <t>Толбо, Эрдэнэбүрэн</t>
  </si>
  <si>
    <t>XV-022470</t>
  </si>
  <si>
    <t>Бууралын өвөр</t>
  </si>
  <si>
    <t>Итгэлтэй инээмсэглэл</t>
  </si>
  <si>
    <t>XV-022471</t>
  </si>
  <si>
    <t>Мөнх Энх Бүрэн</t>
  </si>
  <si>
    <t>XV-022474</t>
  </si>
  <si>
    <t>XV-022476</t>
  </si>
  <si>
    <t>XV-022477</t>
  </si>
  <si>
    <t>XV-022479</t>
  </si>
  <si>
    <t>Баруун яргайт</t>
  </si>
  <si>
    <t>XV-022481</t>
  </si>
  <si>
    <t>Бэрх уул-2</t>
  </si>
  <si>
    <t>XV-022482</t>
  </si>
  <si>
    <t>Баян-Адрага, Норовлин</t>
  </si>
  <si>
    <t>XV-022484</t>
  </si>
  <si>
    <t>Улиастай</t>
  </si>
  <si>
    <t>Блэйк сэнд минералс</t>
  </si>
  <si>
    <t>XV-022485</t>
  </si>
  <si>
    <t>Хаг нуур</t>
  </si>
  <si>
    <t>Тэрэлж энвори</t>
  </si>
  <si>
    <t>XV-022486</t>
  </si>
  <si>
    <t>Шинэбулаг</t>
  </si>
  <si>
    <t>Лайфкэйр фармаси</t>
  </si>
  <si>
    <t>XV-022487</t>
  </si>
  <si>
    <t>Бугач уул</t>
  </si>
  <si>
    <t>XV-022489</t>
  </si>
  <si>
    <t>Зээр уул</t>
  </si>
  <si>
    <t>XV-022493</t>
  </si>
  <si>
    <t>Цавчирын уул</t>
  </si>
  <si>
    <t>Молор үжин сайхан</t>
  </si>
  <si>
    <t>XV-022494</t>
  </si>
  <si>
    <t>Даравгайн тээг</t>
  </si>
  <si>
    <t>Хан хиллс</t>
  </si>
  <si>
    <t>XV-022495</t>
  </si>
  <si>
    <t>Хушуу худаг</t>
  </si>
  <si>
    <t>Баяндэлгэр, Онгон</t>
  </si>
  <si>
    <t>XV-022496</t>
  </si>
  <si>
    <t>Цахирууд</t>
  </si>
  <si>
    <t>Тост нутаг</t>
  </si>
  <si>
    <t>Баян-Овоо, Өлзийт</t>
  </si>
  <si>
    <t>XV-022498</t>
  </si>
  <si>
    <t>Урт</t>
  </si>
  <si>
    <t>XV-022499</t>
  </si>
  <si>
    <t>Уран хайрхан</t>
  </si>
  <si>
    <t>Эм энтертайнмент</t>
  </si>
  <si>
    <t>XV-022500</t>
  </si>
  <si>
    <t>Сүрлэг хангайн хөгжил</t>
  </si>
  <si>
    <t>XV-022503</t>
  </si>
  <si>
    <t>Баян айраг уул</t>
  </si>
  <si>
    <t>Цахиурт лайне</t>
  </si>
  <si>
    <t>Дөрвөлжин, Завханмандал, Эрдэнэхайрхан</t>
  </si>
  <si>
    <t>XV-022504</t>
  </si>
  <si>
    <t>XV-022509</t>
  </si>
  <si>
    <t>Хажуугийн айраг</t>
  </si>
  <si>
    <t>Эм Си Юу коул майнинг</t>
  </si>
  <si>
    <t>XV-022515</t>
  </si>
  <si>
    <t>Зүүн түнтгэрийн уул</t>
  </si>
  <si>
    <t>XV-022517</t>
  </si>
  <si>
    <t>Лито орд</t>
  </si>
  <si>
    <t>XV-022518</t>
  </si>
  <si>
    <t>XV-022521</t>
  </si>
  <si>
    <t>Цахир-Уул</t>
  </si>
  <si>
    <t>Алдархаан, Яруу</t>
  </si>
  <si>
    <t>XV-022523</t>
  </si>
  <si>
    <t>Өвдөг цав</t>
  </si>
  <si>
    <t>Мөнх-Ачлал</t>
  </si>
  <si>
    <t>XV-022526</t>
  </si>
  <si>
    <t>Савагт уул</t>
  </si>
  <si>
    <t>Дорнын гэгээн од</t>
  </si>
  <si>
    <t>XV-022527</t>
  </si>
  <si>
    <t>Хожгор уул</t>
  </si>
  <si>
    <t>Дрийм саксесс вей пропертиз</t>
  </si>
  <si>
    <t>XV-022528</t>
  </si>
  <si>
    <t>Элст толгой</t>
  </si>
  <si>
    <t>XV-022534</t>
  </si>
  <si>
    <t>Хутаг овоо</t>
  </si>
  <si>
    <t>Люкс минерал</t>
  </si>
  <si>
    <t>Ерөө, Жавхлант</t>
  </si>
  <si>
    <t>XV-022537</t>
  </si>
  <si>
    <t>Бүдүүн хар уул</t>
  </si>
  <si>
    <t>Гранд стоун майнинг</t>
  </si>
  <si>
    <t>XV-022541</t>
  </si>
  <si>
    <t>Хар-Алмандин</t>
  </si>
  <si>
    <t>Завхан, Цагаанхайрхан</t>
  </si>
  <si>
    <t>XV-022542</t>
  </si>
  <si>
    <t>Билүү</t>
  </si>
  <si>
    <t>Сагсай, Улаанхус, Цэнгэл</t>
  </si>
  <si>
    <t>XV-022545</t>
  </si>
  <si>
    <t>Алтан зул тур</t>
  </si>
  <si>
    <t>XV-022546</t>
  </si>
  <si>
    <t>XV-022547</t>
  </si>
  <si>
    <t>Харгаат уул</t>
  </si>
  <si>
    <t>Алташ өнгөт металлс</t>
  </si>
  <si>
    <t>Алтай, Буянт</t>
  </si>
  <si>
    <t>XV-022548</t>
  </si>
  <si>
    <t>Хөлцөөтийн арвин металс</t>
  </si>
  <si>
    <t>XV-022549</t>
  </si>
  <si>
    <t>Хилэнт</t>
  </si>
  <si>
    <t>Эм Би минералс</t>
  </si>
  <si>
    <t>XV-022550</t>
  </si>
  <si>
    <t>Доод хаалгат</t>
  </si>
  <si>
    <t>Евроашиан майнинг контрактор</t>
  </si>
  <si>
    <t>XV-022552</t>
  </si>
  <si>
    <t>Баян-Адрага, Биндэр</t>
  </si>
  <si>
    <t>XV-022554</t>
  </si>
  <si>
    <t>Хавчуугийн даваа</t>
  </si>
  <si>
    <t>Ворлд коппер майнинг</t>
  </si>
  <si>
    <t>XV-022556</t>
  </si>
  <si>
    <t>Бураат уул</t>
  </si>
  <si>
    <t>XV-022557</t>
  </si>
  <si>
    <t>Бумбат хамар</t>
  </si>
  <si>
    <t>XV-022568</t>
  </si>
  <si>
    <t>Хөх овоо</t>
  </si>
  <si>
    <t>XV-022569</t>
  </si>
  <si>
    <t>Голденпийк</t>
  </si>
  <si>
    <t>XV-022570</t>
  </si>
  <si>
    <t>Баруун хан толгой</t>
  </si>
  <si>
    <t>Ноён говийн жинчин</t>
  </si>
  <si>
    <t>XV-022575</t>
  </si>
  <si>
    <t>Бичигт коул майнинг</t>
  </si>
  <si>
    <t>XV-022576</t>
  </si>
  <si>
    <t>Сүүжийн улаан уул</t>
  </si>
  <si>
    <t>Эн Ар Констракшн</t>
  </si>
  <si>
    <t>XV-022577</t>
  </si>
  <si>
    <t>Бургаст хавцгай</t>
  </si>
  <si>
    <t>Содон алхтан</t>
  </si>
  <si>
    <t>XV-022578</t>
  </si>
  <si>
    <t>Баян хайлааст</t>
  </si>
  <si>
    <t>XV-022584</t>
  </si>
  <si>
    <t>Гэзэг хайрхан</t>
  </si>
  <si>
    <t>XV-022585</t>
  </si>
  <si>
    <t>Бүргэд уул</t>
  </si>
  <si>
    <t>Жи моней стар</t>
  </si>
  <si>
    <t>XV-022586</t>
  </si>
  <si>
    <t>Цагаан гол</t>
  </si>
  <si>
    <t>XV-022588</t>
  </si>
  <si>
    <t>Доод өргөн</t>
  </si>
  <si>
    <t>XV-022593</t>
  </si>
  <si>
    <t>Ар зуслан</t>
  </si>
  <si>
    <t>Нон феррос майнинг монголиа</t>
  </si>
  <si>
    <t>XV-022594</t>
  </si>
  <si>
    <t>Баян гол</t>
  </si>
  <si>
    <t>XV-022595</t>
  </si>
  <si>
    <t>Урт худаг</t>
  </si>
  <si>
    <t>Гүүдком</t>
  </si>
  <si>
    <t>XV-022596</t>
  </si>
  <si>
    <t>Тэвшийн хяр</t>
  </si>
  <si>
    <t>Ар дулаан инженеринг</t>
  </si>
  <si>
    <t>XV-022598</t>
  </si>
  <si>
    <t>Бүдүүн толгой</t>
  </si>
  <si>
    <t>Говийн хар хатан</t>
  </si>
  <si>
    <t>XV-022601</t>
  </si>
  <si>
    <t>Си Эй Ай Эл</t>
  </si>
  <si>
    <t>XV-022602</t>
  </si>
  <si>
    <t>Тол булаг</t>
  </si>
  <si>
    <t>XV-022603</t>
  </si>
  <si>
    <t>Чандман</t>
  </si>
  <si>
    <t>Стронг тур</t>
  </si>
  <si>
    <t>XV-022604</t>
  </si>
  <si>
    <t>Нарийн хадат-1</t>
  </si>
  <si>
    <t>Эвт дэлгэр хангай</t>
  </si>
  <si>
    <t>XV-022605</t>
  </si>
  <si>
    <t>XV-022606</t>
  </si>
  <si>
    <t>Дулаан хайрхан</t>
  </si>
  <si>
    <t>XV-022607</t>
  </si>
  <si>
    <t>Тогоо булаг</t>
  </si>
  <si>
    <t>Люкс ресурс</t>
  </si>
  <si>
    <t>XV-022608</t>
  </si>
  <si>
    <t>Цэцэг нуур</t>
  </si>
  <si>
    <t>XV-022609</t>
  </si>
  <si>
    <t>Мойлт</t>
  </si>
  <si>
    <t>XV-022610</t>
  </si>
  <si>
    <t>Уулзварын овоо</t>
  </si>
  <si>
    <t>XV-022612</t>
  </si>
  <si>
    <t>Бага булаг</t>
  </si>
  <si>
    <t>XV-022613</t>
  </si>
  <si>
    <t>Бумбат толгой</t>
  </si>
  <si>
    <t>XV-022615</t>
  </si>
  <si>
    <t>Демон- Инженеринг</t>
  </si>
  <si>
    <t>Зүүнбаян-Улаан, Тарагт</t>
  </si>
  <si>
    <t>XV-022618</t>
  </si>
  <si>
    <t>Бага ямаат</t>
  </si>
  <si>
    <t>XV-022620</t>
  </si>
  <si>
    <t>XV-022622</t>
  </si>
  <si>
    <t>Далтын хүзүүвч</t>
  </si>
  <si>
    <t>XV-022624</t>
  </si>
  <si>
    <t>XV-022631</t>
  </si>
  <si>
    <t>Баруун хайчин гол</t>
  </si>
  <si>
    <t>Баяндун, Баян-Уул</t>
  </si>
  <si>
    <t>XV-022641</t>
  </si>
  <si>
    <t>Үйзэн цагаан овоо</t>
  </si>
  <si>
    <t>Монголиан юань юй интернэйшнл майнинг</t>
  </si>
  <si>
    <t>Алтанширээ, Галшар</t>
  </si>
  <si>
    <t>XV-022644</t>
  </si>
  <si>
    <t>Баян-Адрага, Дадал</t>
  </si>
  <si>
    <t>XV-022650</t>
  </si>
  <si>
    <t>Хөх чулуут уул</t>
  </si>
  <si>
    <t>Алтан наран ресурс</t>
  </si>
  <si>
    <t>XV-022657</t>
  </si>
  <si>
    <t>Баясгалант уул</t>
  </si>
  <si>
    <t>Тоталмаркетинг эйжэнси</t>
  </si>
  <si>
    <t>XV-022688</t>
  </si>
  <si>
    <t>Аранжин ресурсес</t>
  </si>
  <si>
    <t>Наран, Онгон</t>
  </si>
  <si>
    <t>Хавсралт 15В 2023 онд шинээр олгосон тусгай зөвшөөрлүүдийн жагсаалт</t>
  </si>
  <si>
    <t>Сум</t>
  </si>
  <si>
    <t>Мандалын хоолой, Басангийн хоолой</t>
  </si>
  <si>
    <t>Хавсралт 15Г 2023 онд хүчингүй болгосон хайгуулын болон ашиглалтын тусгай зөвшөөрлүүдийн жагсаалт</t>
  </si>
  <si>
    <t>Жагсаалт</t>
  </si>
  <si>
    <t>Нийт хэмжээ (га)</t>
  </si>
  <si>
    <t>Шийдвэрийн огноо</t>
  </si>
  <si>
    <t>Аймаг / хот</t>
  </si>
  <si>
    <t>MV-000223-027-EX</t>
  </si>
  <si>
    <t>Эрдэсналайх</t>
  </si>
  <si>
    <t>MV-010196-020-RN</t>
  </si>
  <si>
    <t>Цорж толгой</t>
  </si>
  <si>
    <t>Өнгөттулга</t>
  </si>
  <si>
    <t>Xоршоо</t>
  </si>
  <si>
    <t>MV-004174-030-RN</t>
  </si>
  <si>
    <t>Өлийн голын адаг</t>
  </si>
  <si>
    <t>Гурван хайрханы асар</t>
  </si>
  <si>
    <t>MV-017316-024-RN</t>
  </si>
  <si>
    <t>MV-002244-020-RN</t>
  </si>
  <si>
    <t>Лхамсүрэнгийн тохой</t>
  </si>
  <si>
    <t>Ти энд Ти юникс</t>
  </si>
  <si>
    <t>MV-004323-018-RN</t>
  </si>
  <si>
    <t>Жугамын ам</t>
  </si>
  <si>
    <t>XV-018648-012-RN</t>
  </si>
  <si>
    <t>Баянхонгор-2</t>
  </si>
  <si>
    <t>XV-014539-018-EX</t>
  </si>
  <si>
    <t>XV-021045-025-EX</t>
  </si>
  <si>
    <t>MV-020565-009-RN</t>
  </si>
  <si>
    <t>Ориент майнинг инвестмент</t>
  </si>
  <si>
    <t>MV-011985-021-RN</t>
  </si>
  <si>
    <t>MV-015496-012-RN</t>
  </si>
  <si>
    <t>XV-020934-008-EX</t>
  </si>
  <si>
    <t>Сэнжит</t>
  </si>
  <si>
    <t>ХӨД</t>
  </si>
  <si>
    <t>XV-017855-007-EX</t>
  </si>
  <si>
    <t>Аз</t>
  </si>
  <si>
    <t>Хэмжээлшгүй-Од</t>
  </si>
  <si>
    <t>XV-020897-009-EX</t>
  </si>
  <si>
    <t>Адуляр ундарга</t>
  </si>
  <si>
    <t>MV-003315-024-RN</t>
  </si>
  <si>
    <t>Таванбаатар</t>
  </si>
  <si>
    <t>XV-020830-010-EX</t>
  </si>
  <si>
    <t>XV-020839-013-EX</t>
  </si>
  <si>
    <t>Олон аарагт</t>
  </si>
  <si>
    <t>Гүрвэлжингоо</t>
  </si>
  <si>
    <t>XV-018243-014-RN</t>
  </si>
  <si>
    <t>Шувуун уул</t>
  </si>
  <si>
    <t>XV-007856-019-RN</t>
  </si>
  <si>
    <t>Гарган толгой</t>
  </si>
  <si>
    <t>Зараяа холдингс</t>
  </si>
  <si>
    <t>XV-021700-005-RN</t>
  </si>
  <si>
    <t>MV-022131-003-RN</t>
  </si>
  <si>
    <t>Хуурхай Сайр</t>
  </si>
  <si>
    <t>Кингдаймонд</t>
  </si>
  <si>
    <t>XV-014660-021-EX</t>
  </si>
  <si>
    <t>XV-022687-002-EX</t>
  </si>
  <si>
    <t>XV-015079-020-EX</t>
  </si>
  <si>
    <t>XV-020201-011-RN</t>
  </si>
  <si>
    <t>MV-022157-017-RN</t>
  </si>
  <si>
    <t>Рашаантын хөндий-1</t>
  </si>
  <si>
    <t>Голдентайга</t>
  </si>
  <si>
    <t>XV-020090-011-RN</t>
  </si>
  <si>
    <t>MV-015598-016-RN</t>
  </si>
  <si>
    <t>XV-015117-017-EX</t>
  </si>
  <si>
    <t>XV-022539-002-EX</t>
  </si>
  <si>
    <t>XV-020917-011-RN</t>
  </si>
  <si>
    <t>Цагаан жалга-5</t>
  </si>
  <si>
    <t>MV-017192-012-IN</t>
  </si>
  <si>
    <t>Ингхө</t>
  </si>
  <si>
    <t>XV-019888-011-RN</t>
  </si>
  <si>
    <t>Хундага</t>
  </si>
  <si>
    <t>Эрдэнэс хянган</t>
  </si>
  <si>
    <t>XV-020378-012-RN</t>
  </si>
  <si>
    <t>XV-021651-006-EX</t>
  </si>
  <si>
    <t>XV-022097-003-EX</t>
  </si>
  <si>
    <t>XV-021932-004-RN</t>
  </si>
  <si>
    <t>Зүүн хар чих уул</t>
  </si>
  <si>
    <t>XV-017847-013-RN</t>
  </si>
  <si>
    <t>XV-017721-009-EX</t>
  </si>
  <si>
    <t>Морганитминералс</t>
  </si>
  <si>
    <t>MV-022103-003-IN</t>
  </si>
  <si>
    <t>Асгатын дархад</t>
  </si>
  <si>
    <t>MV-021959-016-RN</t>
  </si>
  <si>
    <t>Онолтмөнх</t>
  </si>
  <si>
    <t>MV-006854-013-IN</t>
  </si>
  <si>
    <t>Хэрсийн гол</t>
  </si>
  <si>
    <t>Бүүргэнт</t>
  </si>
  <si>
    <t>MV-012373-018-RN</t>
  </si>
  <si>
    <t>MV-021960-004-RN</t>
  </si>
  <si>
    <t>Зүүн авдрант</t>
  </si>
  <si>
    <t>Зөөлөн чулуу</t>
  </si>
  <si>
    <t>XV-019600-011-EX</t>
  </si>
  <si>
    <t>Бурзай</t>
  </si>
  <si>
    <t>MV-017604-011-RN</t>
  </si>
  <si>
    <t>Харганы ам-1</t>
  </si>
  <si>
    <t>Туншан шиандон</t>
  </si>
  <si>
    <t>MV-000283-040-RN</t>
  </si>
  <si>
    <t>Бага наймган</t>
  </si>
  <si>
    <t>MV-013357-020-IN</t>
  </si>
  <si>
    <t>Баянголын дэнж-6</t>
  </si>
  <si>
    <t>XV-020831-011-RN</t>
  </si>
  <si>
    <t>Шар хөндий</t>
  </si>
  <si>
    <t>Деламорекапитал</t>
  </si>
  <si>
    <t>XV-017840-013-RN</t>
  </si>
  <si>
    <t>XV-018440-011-EX</t>
  </si>
  <si>
    <t>XV-018131-010-EX</t>
  </si>
  <si>
    <t>Дунх</t>
  </si>
  <si>
    <t>Хулангоулд</t>
  </si>
  <si>
    <t>MV-017546-007-RN</t>
  </si>
  <si>
    <t>Ачмандал</t>
  </si>
  <si>
    <t>XV-021663-004-EX</t>
  </si>
  <si>
    <t>Эм Юу Си ресорсез</t>
  </si>
  <si>
    <t>XV-011938-019-EX</t>
  </si>
  <si>
    <t>XV-021930-005-RN</t>
  </si>
  <si>
    <t>Ашид мөнх бадрангуй орших</t>
  </si>
  <si>
    <t>XV-021690-004-EX</t>
  </si>
  <si>
    <t>Өвдөг уул</t>
  </si>
  <si>
    <t>XV-021650-005-EX</t>
  </si>
  <si>
    <t>Си Эм Би Си</t>
  </si>
  <si>
    <t>MV-010508-023-RN</t>
  </si>
  <si>
    <t>Шандын нуруу</t>
  </si>
  <si>
    <t>MV-019116-011-RN</t>
  </si>
  <si>
    <t>Их мөрөн шинэ ван</t>
  </si>
  <si>
    <t>XV-021615-019-RN</t>
  </si>
  <si>
    <t>XV-015481-019-EX</t>
  </si>
  <si>
    <t>ДНЦ</t>
  </si>
  <si>
    <t>Хавсралт 15Д 2023 онд шилжүүлсэн ашиглалтын тусгай зөвшөөрлүүдийн жагсаалт</t>
  </si>
  <si>
    <t>Тусгай зөвшөөрлийн дугаар</t>
  </si>
  <si>
    <t xml:space="preserve">Регистрийн дугаар </t>
  </si>
  <si>
    <t>Шинэ эзэмшигч</t>
  </si>
  <si>
    <t>Шинэ эзэмшигчийн регистрийн дугаар</t>
  </si>
  <si>
    <t>Шилжүүлгийн төрөл</t>
  </si>
  <si>
    <t>Хэсэгчлэн</t>
  </si>
  <si>
    <t>Арголд</t>
  </si>
  <si>
    <t>Бүхэлд нь</t>
  </si>
  <si>
    <t>Шанлун</t>
  </si>
  <si>
    <t>Тамсаг алт трейд</t>
  </si>
  <si>
    <t>Өнгөтмаргад</t>
  </si>
  <si>
    <t>Хосбогд</t>
  </si>
  <si>
    <t>Алт /шороо/, мөнгө</t>
  </si>
  <si>
    <t>Эрдэнэс силвер ресурс</t>
  </si>
  <si>
    <t>Дөрвөнхүмүүн</t>
  </si>
  <si>
    <t>Эр Юу Эн Эй майнинг</t>
  </si>
  <si>
    <t>Хавсралт 15Е 2023 онд шилжүүлсэн хайгуулын тусгай зөвшөөрлүүдийн жагсаалт</t>
  </si>
  <si>
    <t>Петро ойл минвеско</t>
  </si>
  <si>
    <t>Прокюб</t>
  </si>
  <si>
    <t>XV-021786</t>
  </si>
  <si>
    <t>Сайхантөмөрт</t>
  </si>
  <si>
    <t>Зенг Менг Да Логистик</t>
  </si>
  <si>
    <t>Магма майнс</t>
  </si>
  <si>
    <t>Баян фү жин</t>
  </si>
  <si>
    <t>Гэгээн лотос</t>
  </si>
  <si>
    <t>Андын харгуй</t>
  </si>
  <si>
    <t>Грандмэп инженеринг</t>
  </si>
  <si>
    <t>Алтан гол консалтинг</t>
  </si>
  <si>
    <t>Ди Жи майнинг солюшинс</t>
  </si>
  <si>
    <t>Соларфалкрам</t>
  </si>
  <si>
    <t>Си Ай Жи</t>
  </si>
  <si>
    <t>Металл эрэл хайгуул</t>
  </si>
  <si>
    <t>Элемент майнинг</t>
  </si>
  <si>
    <t>Жакдоосан</t>
  </si>
  <si>
    <t>Хүнхэрийн хөндий</t>
  </si>
  <si>
    <t>Тэргүүн сервис</t>
  </si>
  <si>
    <t>Талын эрэлчин групп</t>
  </si>
  <si>
    <t>Их очир мандал ресурс проспектинг</t>
  </si>
  <si>
    <t>Их сүү</t>
  </si>
  <si>
    <t>Алаг-Авдар</t>
  </si>
  <si>
    <t>Ордконстракшн</t>
  </si>
  <si>
    <t>Хавсралт 15Ё Түгээмэл тархацтай ашигт малтмалын тусгай зөвшөөрлийн 2023 оны мэдээлэл</t>
  </si>
  <si>
    <t>Хуулийн этгээдийн төрөл</t>
  </si>
  <si>
    <t>XV-82000066</t>
  </si>
  <si>
    <t>Баян боролдой</t>
  </si>
  <si>
    <t>Ямбат сайр</t>
  </si>
  <si>
    <t>хязгаарлагдмал хариуцлагатай компани</t>
  </si>
  <si>
    <t>MV-22000056</t>
  </si>
  <si>
    <t>Бага-Өлгий</t>
  </si>
  <si>
    <t>Уст Дөрвөлж</t>
  </si>
  <si>
    <t>MV-22000057</t>
  </si>
  <si>
    <t>Сэвүүн Уудам тал</t>
  </si>
  <si>
    <t>Хайлааст Үүдэн</t>
  </si>
  <si>
    <t>XV-84000021</t>
  </si>
  <si>
    <t>Жаргалант буд трейд ХХК</t>
  </si>
  <si>
    <t>Хайргат</t>
  </si>
  <si>
    <t>XV-84000024</t>
  </si>
  <si>
    <t>Ховдын тулга</t>
  </si>
  <si>
    <t>Бугат Хайрга</t>
  </si>
  <si>
    <t>MV-83000058</t>
  </si>
  <si>
    <t>Жол</t>
  </si>
  <si>
    <t>Хатуу</t>
  </si>
  <si>
    <t>XV-63000051</t>
  </si>
  <si>
    <t>Евро базальт</t>
  </si>
  <si>
    <t>хүрмэн1</t>
  </si>
  <si>
    <t>XV-63000050</t>
  </si>
  <si>
    <t>хүрмэн2</t>
  </si>
  <si>
    <t>XV-43000268</t>
  </si>
  <si>
    <t>Дэвжих таван хан</t>
  </si>
  <si>
    <t>XV-46000181</t>
  </si>
  <si>
    <t>Комерс линк</t>
  </si>
  <si>
    <t>Дайргат</t>
  </si>
  <si>
    <t>XV-84000034</t>
  </si>
  <si>
    <t>Торгор трейд</t>
  </si>
  <si>
    <t>Хондлойн ар</t>
  </si>
  <si>
    <t>хамтарсан компани</t>
  </si>
  <si>
    <t>XV-48000221</t>
  </si>
  <si>
    <t>Майн альтернатив сольюшн</t>
  </si>
  <si>
    <t>Хүрэн дэл</t>
  </si>
  <si>
    <t>XV-82000088</t>
  </si>
  <si>
    <t>Хабун мандал</t>
  </si>
  <si>
    <t>Хужирт-1</t>
  </si>
  <si>
    <t>MV-43000318</t>
  </si>
  <si>
    <t>Майнкрафт консалтинг</t>
  </si>
  <si>
    <t>XV-41000228</t>
  </si>
  <si>
    <t>Маргад тражу</t>
  </si>
  <si>
    <t>XV-41000189</t>
  </si>
  <si>
    <t>Хан чулуу од плант</t>
  </si>
  <si>
    <t>MV-46000204</t>
  </si>
  <si>
    <t>Богд дэмчиг</t>
  </si>
  <si>
    <t>MV-46000205</t>
  </si>
  <si>
    <t>Дэйзэрт бридж</t>
  </si>
  <si>
    <t>Өндөр хошуу</t>
  </si>
  <si>
    <t>MV-41000385</t>
  </si>
  <si>
    <t>Баянбүрдийн элс</t>
  </si>
  <si>
    <t>Батцагаан</t>
  </si>
  <si>
    <t>XV-43000258</t>
  </si>
  <si>
    <t>Цахирт уулын цагаан эрдэс ХХК</t>
  </si>
  <si>
    <t>XV-43000239</t>
  </si>
  <si>
    <t>Сэртэн худаг</t>
  </si>
  <si>
    <t>хувьцаат компани</t>
  </si>
  <si>
    <t>XV-43000279</t>
  </si>
  <si>
    <t>Зүрхийн чулуу орд</t>
  </si>
  <si>
    <t>ТҮМХИЙ</t>
  </si>
  <si>
    <t>MV-41000386</t>
  </si>
  <si>
    <t>Ган майнинг</t>
  </si>
  <si>
    <t>MV-41000387</t>
  </si>
  <si>
    <t>Ви стоун</t>
  </si>
  <si>
    <t>Архуст, Эрдэнэ</t>
  </si>
  <si>
    <t>Сэнжитийн хөндий</t>
  </si>
  <si>
    <t>XV-83000043</t>
  </si>
  <si>
    <t>Балбал тас</t>
  </si>
  <si>
    <t>MV-43000321</t>
  </si>
  <si>
    <t>ЗУУБ</t>
  </si>
  <si>
    <t>Гурван салаа</t>
  </si>
  <si>
    <t>MV-45000097</t>
  </si>
  <si>
    <t>Даблью Ти Эл Ди</t>
  </si>
  <si>
    <t>MV-61000017</t>
  </si>
  <si>
    <t>Гарпимимус</t>
  </si>
  <si>
    <t>Их залаат уул</t>
  </si>
  <si>
    <t>MV-62000092</t>
  </si>
  <si>
    <t>Зул буян ундрах</t>
  </si>
  <si>
    <t>Их булаг-1</t>
  </si>
  <si>
    <t>MV-44000171</t>
  </si>
  <si>
    <t>Дөрвөн талст эрдэнэ</t>
  </si>
  <si>
    <t>боржин</t>
  </si>
  <si>
    <t>хувь хүн</t>
  </si>
  <si>
    <t>MV-46000232</t>
  </si>
  <si>
    <t>Говь эрдэнэс групп</t>
  </si>
  <si>
    <t>Элгэн элс</t>
  </si>
  <si>
    <t>XV-43000272</t>
  </si>
  <si>
    <t>Хан рояал</t>
  </si>
  <si>
    <t>Баруунбүрэн</t>
  </si>
  <si>
    <t>нарст</t>
  </si>
  <si>
    <t>XV-43000264</t>
  </si>
  <si>
    <t>XV-43000305</t>
  </si>
  <si>
    <t>Арвин үндэс шим</t>
  </si>
  <si>
    <t>Цахиуртын хөндий</t>
  </si>
  <si>
    <t>XV-84000029</t>
  </si>
  <si>
    <t>Тунгалаг буянт</t>
  </si>
  <si>
    <t>XV-41000192</t>
  </si>
  <si>
    <t>Хөх тэнгэрийн цамхаг</t>
  </si>
  <si>
    <t>Ташгай уул</t>
  </si>
  <si>
    <t>MV-45000108</t>
  </si>
  <si>
    <t>XV-44000163</t>
  </si>
  <si>
    <t>Тасган сервис</t>
  </si>
  <si>
    <t>Түшлэг уул</t>
  </si>
  <si>
    <t>MV-84000038</t>
  </si>
  <si>
    <t>MV-44000180</t>
  </si>
  <si>
    <t>Чулуут даваа</t>
  </si>
  <si>
    <t>Сээрийн булаг</t>
  </si>
  <si>
    <t>MV-84000037</t>
  </si>
  <si>
    <t>Буянтстандарт</t>
  </si>
  <si>
    <t>Улаан хавчиг</t>
  </si>
  <si>
    <t>MV-67000051</t>
  </si>
  <si>
    <t>Мөрөн бетон</t>
  </si>
  <si>
    <t>Их Элстэй</t>
  </si>
  <si>
    <t>XV-67000037</t>
  </si>
  <si>
    <t>Хүслэнт бүтээмж</t>
  </si>
  <si>
    <t>Ханжаргалантын ам</t>
  </si>
  <si>
    <t>XV-84000028</t>
  </si>
  <si>
    <t>Адаг усны эх хавцал</t>
  </si>
  <si>
    <t>Хавсралт 15Ж Шалгараагүй аж ахуйн нэгжийн жагсаалт</t>
  </si>
  <si>
    <t>Сонгон шалгаруулалтын дугаар</t>
  </si>
  <si>
    <t>Шалгараагүй аж ахуйн нэгжийн нэр</t>
  </si>
  <si>
    <t>Тайлбар</t>
  </si>
  <si>
    <t>СШ/64001</t>
  </si>
  <si>
    <t>Монгоулд</t>
  </si>
  <si>
    <t>Үнийн санал болон үнэлгээгээр хасагдсан</t>
  </si>
  <si>
    <t>СШ/64002</t>
  </si>
  <si>
    <t xml:space="preserve">Лаки гейт </t>
  </si>
  <si>
    <t>СШ/64012</t>
  </si>
  <si>
    <t>Ди Би Жэй Жи ложистик майнинг</t>
  </si>
  <si>
    <t>СШ/64018</t>
  </si>
  <si>
    <t>СШ/64024</t>
  </si>
  <si>
    <t>Тодлаб солюшн</t>
  </si>
  <si>
    <t>Талын алтан булаг майнинг</t>
  </si>
  <si>
    <t>СШ/64025</t>
  </si>
  <si>
    <t>Интернэйшнл рэйлвэй рөүд транспорт групп</t>
  </si>
  <si>
    <t>Галт хүдэр од</t>
  </si>
  <si>
    <t>Мон агрегат</t>
  </si>
  <si>
    <t>СШ/64027</t>
  </si>
  <si>
    <t>СШ/64029</t>
  </si>
  <si>
    <t>СШ/64030</t>
  </si>
  <si>
    <t>СШ/64031</t>
  </si>
  <si>
    <t>СШ/64032</t>
  </si>
  <si>
    <t>СШ/64048</t>
  </si>
  <si>
    <t xml:space="preserve">Цахиурт лайне </t>
  </si>
  <si>
    <t>Өв онги өгөөж</t>
  </si>
  <si>
    <t>Нэст</t>
  </si>
  <si>
    <t>Түмэн ложистик</t>
  </si>
  <si>
    <t>Эрдэнийн эх хувь</t>
  </si>
  <si>
    <t>СШ/64049</t>
  </si>
  <si>
    <t xml:space="preserve">Сүүлт майнинг </t>
  </si>
  <si>
    <t>СШ/64052</t>
  </si>
  <si>
    <t>Бирюза гео</t>
  </si>
  <si>
    <t xml:space="preserve">Талын шуурга констракшн </t>
  </si>
  <si>
    <t>Квантумметалз</t>
  </si>
  <si>
    <t>СШ/64058</t>
  </si>
  <si>
    <t>СШ/64060</t>
  </si>
  <si>
    <t xml:space="preserve">Критикал эксплорэйшн </t>
  </si>
  <si>
    <t>СШ/64062</t>
  </si>
  <si>
    <t>Шонхор сүмбэр</t>
  </si>
  <si>
    <t>Мозэ</t>
  </si>
  <si>
    <t xml:space="preserve">Цэц маунт майнинг </t>
  </si>
  <si>
    <t>Богд Номгон</t>
  </si>
  <si>
    <t>Луганск</t>
  </si>
  <si>
    <t>СШ/64063</t>
  </si>
  <si>
    <t>Гранд Жи Би</t>
  </si>
  <si>
    <t>Билэгт дарь</t>
  </si>
  <si>
    <t xml:space="preserve">Үнэт аз </t>
  </si>
  <si>
    <t>СШ/64064</t>
  </si>
  <si>
    <t>Монгол газар корпорэйшн</t>
  </si>
  <si>
    <t>СШ/64065</t>
  </si>
  <si>
    <t>СШ/64068</t>
  </si>
  <si>
    <t>Би Си Эйч ресурс</t>
  </si>
  <si>
    <t>СШ/64071</t>
  </si>
  <si>
    <t>СШ/64073</t>
  </si>
  <si>
    <t>Жем-Эксплорэшн</t>
  </si>
  <si>
    <t>СШ/64074</t>
  </si>
  <si>
    <t>СШ/64077</t>
  </si>
  <si>
    <t>СШ/64078</t>
  </si>
  <si>
    <t>СШ/64079</t>
  </si>
  <si>
    <t>Си Ти Ар</t>
  </si>
  <si>
    <t>СШ/64080</t>
  </si>
  <si>
    <t>СШ/64081</t>
  </si>
  <si>
    <t>СШ/64083</t>
  </si>
  <si>
    <t>СШ/64087</t>
  </si>
  <si>
    <t>Голденхаммер</t>
  </si>
  <si>
    <t>Төгспрогресс</t>
  </si>
  <si>
    <t>СШ/64093</t>
  </si>
  <si>
    <t>СШ/64095</t>
  </si>
  <si>
    <t>СШ/64100</t>
  </si>
  <si>
    <t>СШ/64105</t>
  </si>
  <si>
    <t>Монголиан лү гон интернэйшнл</t>
  </si>
  <si>
    <t>СШ/64110</t>
  </si>
  <si>
    <t>СШ/64113</t>
  </si>
  <si>
    <t>СШ/64114</t>
  </si>
  <si>
    <t>Баялаг эрдэнэс хөгжил</t>
  </si>
  <si>
    <t>СШ/64115</t>
  </si>
  <si>
    <t>СШ/64119</t>
  </si>
  <si>
    <t xml:space="preserve">Гиймэл чулуу </t>
  </si>
  <si>
    <t>СШ/64123</t>
  </si>
  <si>
    <t>СШ/64127</t>
  </si>
  <si>
    <t>Тодсүндэрэл</t>
  </si>
  <si>
    <t>СШ/64128</t>
  </si>
  <si>
    <t>СШ/64132</t>
  </si>
  <si>
    <t>СШ/64134</t>
  </si>
  <si>
    <t>СШ/64135</t>
  </si>
  <si>
    <t>СШ/64136</t>
  </si>
  <si>
    <t xml:space="preserve">Өү Жи девлопмент Майнинг </t>
  </si>
  <si>
    <t>СШ/64138</t>
  </si>
  <si>
    <t>Вай Ти Эм Эн</t>
  </si>
  <si>
    <t>СШ/64139</t>
  </si>
  <si>
    <t>СШ/64140</t>
  </si>
  <si>
    <t>Корнелиус</t>
  </si>
  <si>
    <t>Би Ти Ти Си Жи Жи</t>
  </si>
  <si>
    <t>Петро монгол консалтинг</t>
  </si>
  <si>
    <t>СШ/64143</t>
  </si>
  <si>
    <t>Мөрөндриллинг</t>
  </si>
  <si>
    <t>СШ/64145</t>
  </si>
  <si>
    <t>СШ/64146</t>
  </si>
  <si>
    <t>СШ/64147</t>
  </si>
  <si>
    <t>СШ/64148</t>
  </si>
  <si>
    <t>СШ/64150</t>
  </si>
  <si>
    <t>Стар трий блүүм</t>
  </si>
  <si>
    <t>СШ/64152</t>
  </si>
  <si>
    <t>СШ/64155</t>
  </si>
  <si>
    <t>Мөнхийн вулкан</t>
  </si>
  <si>
    <t>СШ/64162</t>
  </si>
  <si>
    <t>Жет</t>
  </si>
  <si>
    <t>СШ/64163</t>
  </si>
  <si>
    <t>СШ/64164</t>
  </si>
  <si>
    <t>СШ/64170</t>
  </si>
  <si>
    <t>Ви Эм Ар</t>
  </si>
  <si>
    <t>СШ/64171</t>
  </si>
  <si>
    <t>СШ/64172</t>
  </si>
  <si>
    <t>СШ/64178</t>
  </si>
  <si>
    <t>СШ/64179</t>
  </si>
  <si>
    <t>Монгол тантал групп</t>
  </si>
  <si>
    <t>СШ/64182</t>
  </si>
  <si>
    <t>СШ/64184</t>
  </si>
  <si>
    <t>Тэмүүн-Оргил</t>
  </si>
  <si>
    <t>СШ/64185</t>
  </si>
  <si>
    <t>Гео-Орон</t>
  </si>
  <si>
    <t>СШ/64190</t>
  </si>
  <si>
    <t>СШ/64196</t>
  </si>
  <si>
    <t xml:space="preserve">Оасис эксплорэйшн </t>
  </si>
  <si>
    <t>СШ/64197</t>
  </si>
  <si>
    <t>СШ/64210</t>
  </si>
  <si>
    <t>Түмэн наст гардэн</t>
  </si>
  <si>
    <t>СШ/64213</t>
  </si>
  <si>
    <t>Арвин майнинг</t>
  </si>
  <si>
    <t>СШ/64214</t>
  </si>
  <si>
    <t>СШ/64217</t>
  </si>
  <si>
    <t>СШ/64218</t>
  </si>
  <si>
    <t>Номадик велнес</t>
  </si>
  <si>
    <t>СШ/64227</t>
  </si>
  <si>
    <t>СШ/64231</t>
  </si>
  <si>
    <t>СШ/64235</t>
  </si>
  <si>
    <t>Юнион форте</t>
  </si>
  <si>
    <t>Норов эрдэм</t>
  </si>
  <si>
    <t>Совинтхайрхан</t>
  </si>
  <si>
    <t>СШ/64236</t>
  </si>
  <si>
    <t>СШ/64241</t>
  </si>
  <si>
    <t>Авидхурх</t>
  </si>
  <si>
    <t>СШ/64242</t>
  </si>
  <si>
    <t>СШ/64243</t>
  </si>
  <si>
    <t>СШ/64244</t>
  </si>
  <si>
    <t>СШ/64245</t>
  </si>
  <si>
    <t>СШ/64246</t>
  </si>
  <si>
    <t>Их алтай майнинг</t>
  </si>
  <si>
    <t>СШ/64247</t>
  </si>
  <si>
    <t>СШ/64257</t>
  </si>
  <si>
    <t>СШ/64261</t>
  </si>
  <si>
    <t>СШ/64262</t>
  </si>
  <si>
    <t>СШ/64266</t>
  </si>
  <si>
    <t>СШ/64267</t>
  </si>
  <si>
    <t>Цахиуртхүдэр</t>
  </si>
  <si>
    <t>СШ/64268</t>
  </si>
  <si>
    <t>СШ/64271</t>
  </si>
  <si>
    <t>СШ/64272</t>
  </si>
  <si>
    <t>СШ/64278</t>
  </si>
  <si>
    <t>СШ/64281</t>
  </si>
  <si>
    <t>СШ/64283</t>
  </si>
  <si>
    <t>СШ/64284</t>
  </si>
  <si>
    <t>Урбан маркет</t>
  </si>
  <si>
    <t>Эс Кей коал</t>
  </si>
  <si>
    <t>СШ/64288</t>
  </si>
  <si>
    <t>СШ/64289</t>
  </si>
  <si>
    <t>СШ/64293</t>
  </si>
  <si>
    <t>Бидний зам</t>
  </si>
  <si>
    <t>АТУ хүдэр</t>
  </si>
  <si>
    <t xml:space="preserve">Бенз моторс </t>
  </si>
  <si>
    <t>СШ/64294</t>
  </si>
  <si>
    <t>Рагнарок Инвестмент</t>
  </si>
  <si>
    <t>СШ/64295</t>
  </si>
  <si>
    <t>СШ/64296</t>
  </si>
  <si>
    <t>СШ/64297</t>
  </si>
  <si>
    <t>Хонгор ресурс</t>
  </si>
  <si>
    <t>СШ/64298</t>
  </si>
  <si>
    <t>Ховор эрдэнэ орд майнинг</t>
  </si>
  <si>
    <t>Си Ар голдифай</t>
  </si>
  <si>
    <t>Нисдэг машин</t>
  </si>
  <si>
    <t>СШ/64299</t>
  </si>
  <si>
    <t>СШ/64300</t>
  </si>
  <si>
    <t>СШ/64315</t>
  </si>
  <si>
    <t>СШ/64320</t>
  </si>
  <si>
    <t>СШ/64321</t>
  </si>
  <si>
    <t>СШ/64324</t>
  </si>
  <si>
    <t>СШ/64325</t>
  </si>
  <si>
    <t>СШ/64326</t>
  </si>
  <si>
    <t>СШ/64328</t>
  </si>
  <si>
    <t>СШ/64333</t>
  </si>
  <si>
    <t>СШ/64337</t>
  </si>
  <si>
    <t xml:space="preserve">Шүрт гео </t>
  </si>
  <si>
    <t>СШ/64338</t>
  </si>
  <si>
    <t>СШ/64340</t>
  </si>
  <si>
    <t>Стардаймонд</t>
  </si>
  <si>
    <t>СШ/64342</t>
  </si>
  <si>
    <t>АУМ алт</t>
  </si>
  <si>
    <t>СШ/64343</t>
  </si>
  <si>
    <t>СШ/64346</t>
  </si>
  <si>
    <t>СШ/64347</t>
  </si>
  <si>
    <t>СШ/64348</t>
  </si>
  <si>
    <t>Цав тулга майнинг</t>
  </si>
  <si>
    <t>Эм Эл секурити</t>
  </si>
  <si>
    <t>Амар импекс</t>
  </si>
  <si>
    <t>Богдсүлд</t>
  </si>
  <si>
    <t>СШ/64351</t>
  </si>
  <si>
    <t>СШ/64353</t>
  </si>
  <si>
    <t>СШ/64354</t>
  </si>
  <si>
    <t>Аглаг хангайн уулс</t>
  </si>
  <si>
    <t>Таван хан энержи</t>
  </si>
  <si>
    <t>СШ/64355</t>
  </si>
  <si>
    <t>СШ/64357</t>
  </si>
  <si>
    <t>Штайн бэрс</t>
  </si>
  <si>
    <t xml:space="preserve">Мээрэн мета металс </t>
  </si>
  <si>
    <t>СШ/64358</t>
  </si>
  <si>
    <t>СШ/64363</t>
  </si>
  <si>
    <t>СШ/64365</t>
  </si>
  <si>
    <t>СШ/64366</t>
  </si>
  <si>
    <t>ХАСХАГ</t>
  </si>
  <si>
    <t>СШ/64376</t>
  </si>
  <si>
    <t>Баян говь минералс майнинг</t>
  </si>
  <si>
    <t>СШ/64377</t>
  </si>
  <si>
    <t>Экспаншион ресурс</t>
  </si>
  <si>
    <t>Инкримэнтум девелопмент</t>
  </si>
  <si>
    <t>СШ/64378</t>
  </si>
  <si>
    <t>Дорнодкоппер</t>
  </si>
  <si>
    <t>СШ/64380</t>
  </si>
  <si>
    <t xml:space="preserve">Туркойз рич ресурс </t>
  </si>
  <si>
    <t>СШ/64381</t>
  </si>
  <si>
    <t>СШ/64384</t>
  </si>
  <si>
    <t>СШ/64388</t>
  </si>
  <si>
    <t>Алтан рио майнинг</t>
  </si>
  <si>
    <t>СШ/64399</t>
  </si>
  <si>
    <t>СШ/64400</t>
  </si>
  <si>
    <t>СШ/64403</t>
  </si>
  <si>
    <t>Инкамкойн</t>
  </si>
  <si>
    <t>СШ/64405</t>
  </si>
  <si>
    <t>Жеопро монголиа</t>
  </si>
  <si>
    <t>СШ/64407</t>
  </si>
  <si>
    <t>СШ/64408</t>
  </si>
  <si>
    <t>Хавсралт 16А 2023 оны нүүрс олборлолтын хэмжээ</t>
  </si>
  <si>
    <t>Аж ахуйн нэгжийн нэр</t>
  </si>
  <si>
    <t>Хэмжих нэгж</t>
  </si>
  <si>
    <t>Олборлолт</t>
  </si>
  <si>
    <t>Аав ээжийн ачлал ХХК</t>
  </si>
  <si>
    <t>мян.тн</t>
  </si>
  <si>
    <t>Азуре коал монгол майнинг ХХК</t>
  </si>
  <si>
    <t>Ай Эс Си Си ХХК</t>
  </si>
  <si>
    <t>Алаг хайрхан чандмань ХХК</t>
  </si>
  <si>
    <t>Алсгрупп ХХК</t>
  </si>
  <si>
    <t>Алсын шар зам ХХК</t>
  </si>
  <si>
    <t>Алтан говь талст майнинг ххк</t>
  </si>
  <si>
    <t>Алтан шар зам ХХК</t>
  </si>
  <si>
    <t>Амуу даймонд транс ХХК</t>
  </si>
  <si>
    <t>Антарис од ложистик ХХК</t>
  </si>
  <si>
    <t>Аполло войд ХХК</t>
  </si>
  <si>
    <t>Арвай Гео орд ХХК</t>
  </si>
  <si>
    <t>Арвижих азын хайрхан ХХК</t>
  </si>
  <si>
    <t>Ас энд ос ХХК</t>
  </si>
  <si>
    <t>Асгат трейд транс</t>
  </si>
  <si>
    <t>Атлантида стар ХХК</t>
  </si>
  <si>
    <t>Ачир ХХК /ГХО/</t>
  </si>
  <si>
    <t>Ашигт малтмал, газрын тосны газар</t>
  </si>
  <si>
    <t>Аячук ХХК</t>
  </si>
  <si>
    <t>Баруун наран газ ХХК</t>
  </si>
  <si>
    <t>Бат анда ялалт холдинг ХХК</t>
  </si>
  <si>
    <t>БАЯНТЭЭГ ХК</t>
  </si>
  <si>
    <t>Баяншувуут ХХК</t>
  </si>
  <si>
    <t>Берил-Эмералд ХХК</t>
  </si>
  <si>
    <t>Би энд Ди амигос ХХК</t>
  </si>
  <si>
    <t>Биконстар ГХО ХХК</t>
  </si>
  <si>
    <t>Блюскай хорс ХХК ГХО</t>
  </si>
  <si>
    <t>Болоржонш ХХК /ГХО/</t>
  </si>
  <si>
    <t>Бөхөдбилэг очир ХХК</t>
  </si>
  <si>
    <t>Булсара сара ХХК</t>
  </si>
  <si>
    <t>БУНМ арвижих ХХК</t>
  </si>
  <si>
    <t>Бүрдмэл Алтай ХХК</t>
  </si>
  <si>
    <t>Вигор трейд ХХК</t>
  </si>
  <si>
    <t>гаалийн ложистик терминал  зэлтэр ХХК /ГХО/</t>
  </si>
  <si>
    <t>Галтмагнай трейд</t>
  </si>
  <si>
    <t>Говийн илч тээвэр ХХК</t>
  </si>
  <si>
    <t>Говийн тэгш хурд ХХК</t>
  </si>
  <si>
    <t>Говийн шандаст хүлэг ХХК /ГХО/</t>
  </si>
  <si>
    <t>Говийн шилтгээн ххк</t>
  </si>
  <si>
    <t>Говь ресурс девелопмент ХХК</t>
  </si>
  <si>
    <t>Говь хасуй ХХК</t>
  </si>
  <si>
    <t>Голден блак даймонд ХХК</t>
  </si>
  <si>
    <t>Голден-Экспресс ХХК</t>
  </si>
  <si>
    <t>Гоулд-Оптивелл ХХК</t>
  </si>
  <si>
    <t>ГУТИ ирээдүй ХХК</t>
  </si>
  <si>
    <t>Дабль лакки</t>
  </si>
  <si>
    <t>Дорнын алтан наран  ХХК</t>
  </si>
  <si>
    <t>Дорнын интернэшнл трейд</t>
  </si>
  <si>
    <t>Дүньли ХХК</t>
  </si>
  <si>
    <t>Дүүбэнхаус ХХК</t>
  </si>
  <si>
    <t>Дэлүүн булаг  ХХК</t>
  </si>
  <si>
    <t>ЕАИ ХХК</t>
  </si>
  <si>
    <t>Евро-Ази бид ХХК</t>
  </si>
  <si>
    <t>Ёл повер</t>
  </si>
  <si>
    <t>Есөн баяр хурд ХХК</t>
  </si>
  <si>
    <t>Жавхлант-Орд ХХК /ГХО/</t>
  </si>
  <si>
    <t>Жинст богд гол ХХК</t>
  </si>
  <si>
    <t>Жинэтворкс ХХК</t>
  </si>
  <si>
    <t>Жон же и хуа ХХК /ГХО/</t>
  </si>
  <si>
    <t>Залуучуудшим</t>
  </si>
  <si>
    <t>Зээрэн гүн ХХК</t>
  </si>
  <si>
    <t>Ивээлт долоон од ХХК /ГХО/</t>
  </si>
  <si>
    <t>Илчитметалл ХХК</t>
  </si>
  <si>
    <t>Иннер монголиа жи юунлай ХХК /ГХО/</t>
  </si>
  <si>
    <t>Итгэл майнинг ХХК</t>
  </si>
  <si>
    <t>Итгэлт зэндмэнь ХХК</t>
  </si>
  <si>
    <t>Их говийн илч ХХК</t>
  </si>
  <si>
    <t>Кинсувон ХХК</t>
  </si>
  <si>
    <t>КЭБД менежмент ХХК</t>
  </si>
  <si>
    <t>Майнд Степп ХХК ХХК</t>
  </si>
  <si>
    <t>Манхад толгодын зам ХХК</t>
  </si>
  <si>
    <t>МБМ транс ХХК</t>
  </si>
  <si>
    <t>Мега майнд маркетерс ХХК</t>
  </si>
  <si>
    <t>Метан газ ресурс ХХК</t>
  </si>
  <si>
    <t>Мон блэйк ХХК</t>
  </si>
  <si>
    <t>Монголиан нан фан майнинг инвестмент ГХО ХХК</t>
  </si>
  <si>
    <t>Монголын алт МАК ХХК</t>
  </si>
  <si>
    <t>МОЭНКО ХХК /ГХО/</t>
  </si>
  <si>
    <t>Мөнх нар од ХХК</t>
  </si>
  <si>
    <t>Нагал хайрхан уулс ХХК</t>
  </si>
  <si>
    <t>Новый мираж ХХК</t>
  </si>
  <si>
    <t>Нутгийн ариун зам</t>
  </si>
  <si>
    <t>Нэксус инженеринг коммуникэшн ХХК</t>
  </si>
  <si>
    <t>Овоо айл  ХХК /ГХО/</t>
  </si>
  <si>
    <t>Оргил цэнэг ХХК</t>
  </si>
  <si>
    <t>Оюут болор эрдэнэс ХХК</t>
  </si>
  <si>
    <t>Өндөрс Си Эс ХХК</t>
  </si>
  <si>
    <t>Өнөмөнх проперти ХХК</t>
  </si>
  <si>
    <t>Өсөх зоос алтан говь ХХК /ГХО/</t>
  </si>
  <si>
    <t>Өсөх эрдэнэт майнинг ХХК</t>
  </si>
  <si>
    <t>Пауэрлэнд ХХК</t>
  </si>
  <si>
    <t>Прайм роу трейд ХХК</t>
  </si>
  <si>
    <t>Реворэн транс ХХК</t>
  </si>
  <si>
    <t>РУНФА ХХК</t>
  </si>
  <si>
    <t>Рэдхилмонголия ХХК</t>
  </si>
  <si>
    <t>Саусгоби сэндс ХХК /ГХО/</t>
  </si>
  <si>
    <t>Си Ти Ар ХХК</t>
  </si>
  <si>
    <t>Скайхайпермаркет ХХК</t>
  </si>
  <si>
    <t>Стандарт алт монгол</t>
  </si>
  <si>
    <t>Стар мондата</t>
  </si>
  <si>
    <t>Сүлд орд ХХК</t>
  </si>
  <si>
    <t>Сэрвэнхаалга ХХК</t>
  </si>
  <si>
    <t>Таван тийш хүргэх зам ХХК</t>
  </si>
  <si>
    <t>Таван толгой түлш ХХК</t>
  </si>
  <si>
    <t>Тавин-эх ХХК</t>
  </si>
  <si>
    <t>Техно перспектив ХХК</t>
  </si>
  <si>
    <t>Тосон говь эрдэм ложистик ХХК</t>
  </si>
  <si>
    <t>Түмэн стийл групп ХХК</t>
  </si>
  <si>
    <t>Тэгш аяны зам ХХК</t>
  </si>
  <si>
    <t>ТЭЗҮ ХХК</t>
  </si>
  <si>
    <t>Тэнгэр алтайн оргил ХХК</t>
  </si>
  <si>
    <t>Умард тээх ХХК /ГХО/</t>
  </si>
  <si>
    <t>Уулс мандал ХХК</t>
  </si>
  <si>
    <t>Фючерсаксэс ХХК</t>
  </si>
  <si>
    <t>Хаан бүргэд гоулд майнинг ХХК /ГХО/</t>
  </si>
  <si>
    <t>Хаанферро ХХК</t>
  </si>
  <si>
    <t>Хан транс ГХО ХХК</t>
  </si>
  <si>
    <t>Хангад-Эксплорэйшн ХХК /ГХО/</t>
  </si>
  <si>
    <t>Ханкапиттал ХХК</t>
  </si>
  <si>
    <t>Хаслуу ХХК</t>
  </si>
  <si>
    <t>Хими, химийн технологийн хүрээлэн Төрийн байгууллага</t>
  </si>
  <si>
    <t>Хитуяа ХХК</t>
  </si>
  <si>
    <t>Хишигтэн арвай ХХК</t>
  </si>
  <si>
    <t>Хубилай хаан инвест ХХК</t>
  </si>
  <si>
    <t>Хуучин андууд ХХК</t>
  </si>
  <si>
    <t>Хүннү КОАЛ</t>
  </si>
  <si>
    <t>Церкон геологи ХХК</t>
  </si>
  <si>
    <t>Цээл буян ХХК</t>
  </si>
  <si>
    <t>Чандмань -Энх трейд ххк</t>
  </si>
  <si>
    <t>Шар тээг уул ХХК</t>
  </si>
  <si>
    <t>Шарын гол ХК</t>
  </si>
  <si>
    <t>Шилмэл ойн жим ХХК</t>
  </si>
  <si>
    <t>ШОРООН ОРД МАЙНИНГ ХХК</t>
  </si>
  <si>
    <t>Штайнколе ХХК</t>
  </si>
  <si>
    <t>Эйр катеринг ХХК ХХК</t>
  </si>
  <si>
    <t>Эм Би Ти Би ХХК</t>
  </si>
  <si>
    <t>Эн Юү Юү Ар Эс ХХК</t>
  </si>
  <si>
    <t>Энх хан глобал ХХК</t>
  </si>
  <si>
    <t>Эрдэнэс Таван толгой ХК</t>
  </si>
  <si>
    <t xml:space="preserve">Эрдэнэт үйлдвэр ТӨҮГ </t>
  </si>
  <si>
    <t>Эс Жи Эс Ай Эм Эм И монголиа ХХК</t>
  </si>
  <si>
    <t>Юни СОРА ХХК</t>
  </si>
  <si>
    <t>Хавсралт 16Б 2023 оны дотоод болон экспортын борлуулалтын хэмжээ, түүний дундаж</t>
  </si>
  <si>
    <t>Үзүүлэлтүүд</t>
  </si>
  <si>
    <t>Бүтээгдэхүүний нэр, төрөл</t>
  </si>
  <si>
    <t>Борлуулсан хэмжээ</t>
  </si>
  <si>
    <t>Тоон утга</t>
  </si>
  <si>
    <t>Дотоодод</t>
  </si>
  <si>
    <t>кг</t>
  </si>
  <si>
    <t>Гадаадад</t>
  </si>
  <si>
    <t>Улаанхас чулуу</t>
  </si>
  <si>
    <t>тн</t>
  </si>
  <si>
    <t>Баян-Айраг Эксплорэйшн</t>
  </si>
  <si>
    <t>Би Ти девелопмет</t>
  </si>
  <si>
    <t>Битумт, үл барьцалдах нүүрс</t>
  </si>
  <si>
    <t>Төмрийн хүдэр</t>
  </si>
  <si>
    <t>Их говь энержи</t>
  </si>
  <si>
    <t>Моэнко</t>
  </si>
  <si>
    <t>Эрчим хүчний нүүрс</t>
  </si>
  <si>
    <t>Коксжих (баяжуулсан)</t>
  </si>
  <si>
    <t>Коксжих (Түүхий)</t>
  </si>
  <si>
    <t>Флотацийн баяжмал ФФ-95</t>
  </si>
  <si>
    <t>Металлургийн баяжмал ФК-75</t>
  </si>
  <si>
    <t>Төмрийн баяжмал Fe-65</t>
  </si>
  <si>
    <t>Төмрийн баяжмал Fe-52</t>
  </si>
  <si>
    <t>Төмрийн хүдэр Fe-32</t>
  </si>
  <si>
    <t>Цайрын баяжмал Zn-50</t>
  </si>
  <si>
    <t>Жоншны баяжмал</t>
  </si>
  <si>
    <t>Жоншны хүдэр</t>
  </si>
  <si>
    <t>Хүрэн нүүрс</t>
  </si>
  <si>
    <t>Наранмандал энтерпрайзэс ХХК</t>
  </si>
  <si>
    <t xml:space="preserve">	68.96</t>
  </si>
  <si>
    <t>Оюутолгой</t>
  </si>
  <si>
    <t>Зэсийн баяжмал</t>
  </si>
  <si>
    <t>Өгөөмөр гавилууд</t>
  </si>
  <si>
    <t>Барилгын чулуу</t>
  </si>
  <si>
    <t>м3</t>
  </si>
  <si>
    <t>0-5 дайрга</t>
  </si>
  <si>
    <t>5-10 дайрга</t>
  </si>
  <si>
    <t>10-20 дайрга</t>
  </si>
  <si>
    <t>Коксжих нүүрс</t>
  </si>
  <si>
    <t xml:space="preserve">	2082.12</t>
  </si>
  <si>
    <t>Коксжих чанаргүй нүүрс</t>
  </si>
  <si>
    <t>Хайлуур жоншны баяжмал</t>
  </si>
  <si>
    <t>Тефисмайнинг</t>
  </si>
  <si>
    <t>Тод-Ундарга</t>
  </si>
  <si>
    <t>Урт дөлт нүүрс</t>
  </si>
  <si>
    <t>Фриендшип ресурсис</t>
  </si>
  <si>
    <t>Хан-Алтай ресурс</t>
  </si>
  <si>
    <t>Хангад Эксплорэйшн</t>
  </si>
  <si>
    <t>Чулуун нүүрс</t>
  </si>
  <si>
    <t>Баяжуулсан коксжихгүй нүүрс</t>
  </si>
  <si>
    <t>Баяжуулсан сул коксжих нүүрс</t>
  </si>
  <si>
    <t>Баяжуулсан коксжих нүүрс</t>
  </si>
  <si>
    <t>Хос хас</t>
  </si>
  <si>
    <t>Алт(шороо)</t>
  </si>
  <si>
    <t xml:space="preserve">	88.22</t>
  </si>
  <si>
    <t>Энх тунх орчлон</t>
  </si>
  <si>
    <t>Эрдэнэс таван толгой</t>
  </si>
  <si>
    <t>Исэлдсэн нүүрс</t>
  </si>
  <si>
    <t>Эрдэнэсмонгол</t>
  </si>
  <si>
    <t>Эрдэнэт үйлдвэр</t>
  </si>
  <si>
    <t>Молибдений баяжмал</t>
  </si>
  <si>
    <t>Хавсралт 17  Санхүүгийн тайландаа аудит хийлгэсэн байдал</t>
  </si>
  <si>
    <t>Санхүүгийн тайлагналын олон улсын стандартыг мөрддөг эсэх</t>
  </si>
  <si>
    <t>Санхүүгийн тайлангууд аудитлагдсан эсэх</t>
  </si>
  <si>
    <t>Аудитын компанийн нэр</t>
  </si>
  <si>
    <t>Тийм</t>
  </si>
  <si>
    <t>Мон ста аудит</t>
  </si>
  <si>
    <t>Дөлгөөнхайрхан аудит ХХК</t>
  </si>
  <si>
    <t>Мишээл-Од аудит ХХК</t>
  </si>
  <si>
    <t>Дөлгөөнхайрхан Уул Аудит ХХК</t>
  </si>
  <si>
    <t>Номгон Аудит ХХК</t>
  </si>
  <si>
    <t>Ниямазон</t>
  </si>
  <si>
    <t>Монста аудит</t>
  </si>
  <si>
    <t>KPMG LLC</t>
  </si>
  <si>
    <t>Үгүй</t>
  </si>
  <si>
    <t>Цэ Бэ консалтинг аудит ХХК</t>
  </si>
  <si>
    <t>Баланс Про Аудит ХХК</t>
  </si>
  <si>
    <t>Улиастай Ван Аудит ХХК</t>
  </si>
  <si>
    <t>Монста аудит ХХК</t>
  </si>
  <si>
    <t>БДО Аудит ХХК - хийгдэж байгаа</t>
  </si>
  <si>
    <t>Севиллиа аудит ХХК</t>
  </si>
  <si>
    <t>СМД аудит ХХК</t>
  </si>
  <si>
    <t>Б энд С аудит ХХК</t>
  </si>
  <si>
    <t>Эвиденс аудит ХХК</t>
  </si>
  <si>
    <t>KPMG-аудит</t>
  </si>
  <si>
    <t>Бодит бүртгэл Аудит ХХК</t>
  </si>
  <si>
    <t>Тэд аудит</t>
  </si>
  <si>
    <t>Баталгаат тооцоолол аудит ХХК</t>
  </si>
  <si>
    <t>Бромор Аудит ХХК</t>
  </si>
  <si>
    <t>Мэдээлэл Аудит ХХК</t>
  </si>
  <si>
    <t>Мандах мотиваци аудит ХХК</t>
  </si>
  <si>
    <t>Kэй Пи Эм Жи Aудит ХХК</t>
  </si>
  <si>
    <t>Нексиа глобал монголиа аудит ХХК</t>
  </si>
  <si>
    <t>BDO,Хүлэгт Хүннү</t>
  </si>
  <si>
    <t xml:space="preserve"> ҮННТ Аудит</t>
  </si>
  <si>
    <t>Эйч Эл Би Монголиа Аудит ХХК</t>
  </si>
  <si>
    <t>Баталгаат Тооцоолол Аудит ХХК</t>
  </si>
  <si>
    <t xml:space="preserve">Монголын үндэсний тайлагнал аудит </t>
  </si>
  <si>
    <t>Хаан консалтинг аудит ххк</t>
  </si>
  <si>
    <t>Кроно дөл</t>
  </si>
  <si>
    <t>Саруул баян аудит ХХК</t>
  </si>
  <si>
    <t>Номуун Бэхи Аудит ХХК</t>
  </si>
  <si>
    <t>Эс Жи Эм Ди Аудит ХХК</t>
  </si>
  <si>
    <t>Монста-Аудит ХХК</t>
  </si>
  <si>
    <t>Мөнгөн Оршдос Аудит ХХК</t>
  </si>
  <si>
    <t>Нексиа Глобал Монголиа Аудит</t>
  </si>
  <si>
    <t>KPMG , BDO audit</t>
  </si>
  <si>
    <t>Уужим Алтай ХХК</t>
  </si>
  <si>
    <t>Баян сагсай аудит</t>
  </si>
  <si>
    <t>Шинэ их тэрбум аудит ХХК</t>
  </si>
  <si>
    <t>Гроуд финанс аудит ХХК</t>
  </si>
  <si>
    <t>Санхүүч аудит</t>
  </si>
  <si>
    <t>Аудит хийгдэж байгаа</t>
  </si>
  <si>
    <t>Баян Ташаагийн Эх ХХК</t>
  </si>
  <si>
    <t>Цахим актив аудит</t>
  </si>
  <si>
    <t>БДО аудит</t>
  </si>
  <si>
    <t>Пи Кэй Эф Аудит ХХК</t>
  </si>
  <si>
    <t>Кэй Пи Эм Жи Аудит ХХК</t>
  </si>
  <si>
    <t>Үндэсний аудитын газар</t>
  </si>
  <si>
    <t>Грант Торнтон Аудит ХХК</t>
  </si>
  <si>
    <t>Хавсралт 18 Төлөөлөн удирдах зөвлөлийн бүрэлдэхүүн</t>
  </si>
  <si>
    <t>ТУЗ гишүүдийн нэрс</t>
  </si>
  <si>
    <t>Төлөөлөл/Засгийн газар</t>
  </si>
  <si>
    <t>Хувь</t>
  </si>
  <si>
    <t>Төлөөлөн удирдах зөвлөл дэх алба</t>
  </si>
  <si>
    <t>Томилсон байгууллага</t>
  </si>
  <si>
    <t>Томилсон ШД</t>
  </si>
  <si>
    <t>Томилсон ш/огноо</t>
  </si>
  <si>
    <t>ТУЗ-д ажиллаж байгаа жил</t>
  </si>
  <si>
    <t>ТУЗ-д ажилласны хувьд авсан
жилийн цалин, урамшуулал
түүнтэй адилтгах орлого,
томилолт
(төгрөг)</t>
  </si>
  <si>
    <t>Улс төрийн нам, эвслийн гишүүн эсэх</t>
  </si>
  <si>
    <t>Улс төрийн нам, эвслийн гишүүнчлэлтэй эсэх</t>
  </si>
  <si>
    <t>Ч.Дондогмаа</t>
  </si>
  <si>
    <t>Төрийн</t>
  </si>
  <si>
    <t>Дарга</t>
  </si>
  <si>
    <t>Хувьцаа эзэмшигчдийн хурал</t>
  </si>
  <si>
    <t>Б.Гэрлээ</t>
  </si>
  <si>
    <t>И.Лувсанцэрэн</t>
  </si>
  <si>
    <t>Д.Эрдэнэбаяр</t>
  </si>
  <si>
    <t>М.Мэндбаяр</t>
  </si>
  <si>
    <t>Д.Санчир</t>
  </si>
  <si>
    <t>Ц.Болдбаатар</t>
  </si>
  <si>
    <t>Хувийн</t>
  </si>
  <si>
    <t>Хараат бус гишүүн</t>
  </si>
  <si>
    <t>Ө.Гэрэлт-Од</t>
  </si>
  <si>
    <t>Б.Чойжил</t>
  </si>
  <si>
    <t>Б.Мөнхзаяа</t>
  </si>
  <si>
    <t>М.Отгонбаяр</t>
  </si>
  <si>
    <t>Д.Чинбат</t>
  </si>
  <si>
    <t>Доржбалын Далайжаргал</t>
  </si>
  <si>
    <t>Мон-Атом ХХК Гүйцэтгэх захирал</t>
  </si>
  <si>
    <t>Мавагийн Чадраабал</t>
  </si>
  <si>
    <t>Цөмийн энергийн комиссийн ажлын алба Цөмийн технологийн бодлогын газрын дарга</t>
  </si>
  <si>
    <t>Ганбаатарын Мөнхсайхан</t>
  </si>
  <si>
    <t>АМГТГ Төрийн захиргааны удирдлагы газрын дарга</t>
  </si>
  <si>
    <t>Olivier THOUMYRE</t>
  </si>
  <si>
    <t>Гадаад</t>
  </si>
  <si>
    <t>Гадаадын компани ААН</t>
  </si>
  <si>
    <t>Pierre-Olivier WEISZ</t>
  </si>
  <si>
    <t>Sandrine BERT</t>
  </si>
  <si>
    <t>Zakariae EL MARZOUKI</t>
  </si>
  <si>
    <t>Eric PLUCHE</t>
  </si>
  <si>
    <t>Eric PACQUET</t>
  </si>
  <si>
    <t>Урангэрэл.Т</t>
  </si>
  <si>
    <t>Орон нутгийн</t>
  </si>
  <si>
    <t>ХЭХ</t>
  </si>
  <si>
    <t>Байлыхүү.Д</t>
  </si>
  <si>
    <t>Түмэндэлгэр.Б</t>
  </si>
  <si>
    <t>ИТХ</t>
  </si>
  <si>
    <t>Батдэлгэр.Л</t>
  </si>
  <si>
    <t>Батдорж.Н</t>
  </si>
  <si>
    <t>ТУЗ</t>
  </si>
  <si>
    <t>Батболд.Ж</t>
  </si>
  <si>
    <t>Нэргүй.Н</t>
  </si>
  <si>
    <t>Төмөрхуяг.Н</t>
  </si>
  <si>
    <t>Должинсоргогдог</t>
  </si>
  <si>
    <t>Алтаншагай.М</t>
  </si>
  <si>
    <t>ИХТ</t>
  </si>
  <si>
    <t>Дэйрдрэ Лингенфэлдер</t>
  </si>
  <si>
    <t>Оюу Толгой Нидерландс Би.Ви</t>
  </si>
  <si>
    <t>Стив Тибоу</t>
  </si>
  <si>
    <t>Сүхбаатарын Мөнхсүх</t>
  </si>
  <si>
    <t>Элиас Скафидас</t>
  </si>
  <si>
    <t>Крейг Стегман</t>
  </si>
  <si>
    <t>Энхбаатарын Баясгалан</t>
  </si>
  <si>
    <t>Эрдэнэс Оюу Толгой ХХК</t>
  </si>
  <si>
    <t>Жамбалдоржийн Тана</t>
  </si>
  <si>
    <t>Намсрайн Цэрэнбат</t>
  </si>
  <si>
    <t>Галсангийн Батсүх</t>
  </si>
  <si>
    <t>ЭНГЭЭ ЖАВЗАНПАГМА</t>
  </si>
  <si>
    <t>БЭХОЧИР БАТБААСАН</t>
  </si>
  <si>
    <t>Д.Ихбаяр</t>
  </si>
  <si>
    <t>0000-00-00</t>
  </si>
  <si>
    <t>И.Баатархүү</t>
  </si>
  <si>
    <t>Эрдэнэс Таван толгой</t>
  </si>
  <si>
    <t>Батричингийн Бат-Эрдэнэ</t>
  </si>
  <si>
    <t>1 жил</t>
  </si>
  <si>
    <t>Хишигдоржийн Баасанхүү</t>
  </si>
  <si>
    <t>Бавуугйин Пүрэвсүрэн</t>
  </si>
  <si>
    <t>Авсайн Мөнхбат</t>
  </si>
  <si>
    <t>Мэлсчогийн Мэндбаяр</t>
  </si>
  <si>
    <t>Төлөөлөн удирдах зөвлөлийн хурал</t>
  </si>
  <si>
    <t>Ургамалын Бямбасүрэн</t>
  </si>
  <si>
    <t>Доржнамжилын Болор</t>
  </si>
  <si>
    <t>Ш.Мөнхцэрэн</t>
  </si>
  <si>
    <t>1,6</t>
  </si>
  <si>
    <t>Б.Цэнгэл</t>
  </si>
  <si>
    <t>Ч.Чимидсүрэн</t>
  </si>
  <si>
    <t>Б.Ерөн-Өлзий</t>
  </si>
  <si>
    <t>Б.Анар</t>
  </si>
  <si>
    <t>Ж.Ганбаатар</t>
  </si>
  <si>
    <t>0,6</t>
  </si>
  <si>
    <t>Д.Нацагдорж</t>
  </si>
  <si>
    <t>4,3</t>
  </si>
  <si>
    <t>Т.Оргодол</t>
  </si>
  <si>
    <t>Д.Гэрэлмаа</t>
  </si>
  <si>
    <t>Н.Энхцэцэг</t>
  </si>
  <si>
    <t>Э.Батболд</t>
  </si>
  <si>
    <t>Хавсралт 19А Хувьцаа эзэмшигчдийн мэдээлэл</t>
  </si>
  <si>
    <t>Бенефициар эзэмшигчийн нэр</t>
  </si>
  <si>
    <t>Хувьцааны тоо</t>
  </si>
  <si>
    <t>Эзэмшлийн хувь</t>
  </si>
  <si>
    <t>Шууд саналын эрхийн хувь</t>
  </si>
  <si>
    <t>Шууд бус саналын эрхийн хувь</t>
  </si>
  <si>
    <t>Чойжамц Оюунгэрэл</t>
  </si>
  <si>
    <t>М.Өлзийбат</t>
  </si>
  <si>
    <t>Базар Хулан</t>
  </si>
  <si>
    <t>Батжаргал Тэнгис</t>
  </si>
  <si>
    <t>Ишхүү Баатарзоригт</t>
  </si>
  <si>
    <t>Lee Hok Bun</t>
  </si>
  <si>
    <t>Ma Si Qin</t>
  </si>
  <si>
    <t>Хүрэлбаатар Туяа</t>
  </si>
  <si>
    <t>Б.Эрдэнэцэцэг</t>
  </si>
  <si>
    <t>Ч.Энхтайван</t>
  </si>
  <si>
    <t>Li Zhao</t>
  </si>
  <si>
    <t>Chen Wu</t>
  </si>
  <si>
    <t>Дэжид Баянбат</t>
  </si>
  <si>
    <t>Баянбат Цэнгүүн</t>
  </si>
  <si>
    <t>Liu Tao</t>
  </si>
  <si>
    <t>Раднаабазар Өнөрцэцэг</t>
  </si>
  <si>
    <t>МАК ХХК</t>
  </si>
  <si>
    <t>Б.Нямтайшир</t>
  </si>
  <si>
    <t>Б.Хулан</t>
  </si>
  <si>
    <t>Хөвсгөл аймгийн ИТХ</t>
  </si>
  <si>
    <t>Б. Далай</t>
  </si>
  <si>
    <t>Х.Энхсайхан</t>
  </si>
  <si>
    <t>Нармандах Мөнхнасан</t>
  </si>
  <si>
    <t>Шинэбаяр Мягмарсүрэн</t>
  </si>
  <si>
    <t>Шинэбаяр Бямбасүрэн</t>
  </si>
  <si>
    <t>Б.БАЛДОРЖ</t>
  </si>
  <si>
    <t>М.Хашбаатар</t>
  </si>
  <si>
    <t>Чойжамц Чинбат</t>
  </si>
  <si>
    <t>Төмөрхүрээ Төрмөнх</t>
  </si>
  <si>
    <t>Б.Балдорж</t>
  </si>
  <si>
    <t>Сүхбаатар Оюундарь</t>
  </si>
  <si>
    <t>Пүрэвдорж Ганболд</t>
  </si>
  <si>
    <t>Сүхбат Энхтулга</t>
  </si>
  <si>
    <t>Долгорсүрэнгийн Баасанжаргал</t>
  </si>
  <si>
    <t>Ш.Буяндэлгэр</t>
  </si>
  <si>
    <t>Г.Хишигсүрэн</t>
  </si>
  <si>
    <t>Huang Yongjie</t>
  </si>
  <si>
    <t>Жамбалжамц овогтой Оджаргал</t>
  </si>
  <si>
    <t>WANG YIDA</t>
  </si>
  <si>
    <t>ZHANG YIZHI</t>
  </si>
  <si>
    <t>Агула</t>
  </si>
  <si>
    <t>Matthew Crawford</t>
  </si>
  <si>
    <t>Tao Yuan</t>
  </si>
  <si>
    <t>Д.Ганбат</t>
  </si>
  <si>
    <t>Д.Жаргалсайхан</t>
  </si>
  <si>
    <t>Lo Lin Shing, Simon</t>
  </si>
  <si>
    <t>Хавсралт 19Б. Ашиг хүртэгч эзэд (хувь хүн)</t>
  </si>
  <si>
    <t>Үндэс угсаа</t>
  </si>
  <si>
    <t>Бенефициар эзэмшигчийн иргэншил</t>
  </si>
  <si>
    <t>Бенефициар эзэмшигчийн оршин суух улс</t>
  </si>
  <si>
    <t>Улс төрд нөлөө бүхий этгээд мөн эсэх</t>
  </si>
  <si>
    <t>Энэ компанид удирдах албан тушаал хашдаг эсэх</t>
  </si>
  <si>
    <t>Халх</t>
  </si>
  <si>
    <t>Монгол</t>
  </si>
  <si>
    <t>Хятад</t>
  </si>
  <si>
    <t>Япон</t>
  </si>
  <si>
    <t>Д.Баясгалан</t>
  </si>
  <si>
    <t>Баяд</t>
  </si>
  <si>
    <t>монгол</t>
  </si>
  <si>
    <t>Хонг Конг</t>
  </si>
  <si>
    <t>Andrew Stewart</t>
  </si>
  <si>
    <t>Австрали</t>
  </si>
  <si>
    <t>Shao Yang Shen</t>
  </si>
  <si>
    <t>Шюй Жинь Шөн</t>
  </si>
  <si>
    <t>Хан</t>
  </si>
  <si>
    <t>Wang Yida</t>
  </si>
  <si>
    <t>Zhang Yizhi</t>
  </si>
  <si>
    <t>Сингапур</t>
  </si>
  <si>
    <t>Г.Ёндон</t>
  </si>
  <si>
    <t>Хавсралт 19В. Бенефициар өмчлөгчид (хуулийн этгээд)</t>
  </si>
  <si>
    <t>Бүртгэлтэй хөрөнгийн бирж</t>
  </si>
  <si>
    <t>Бүртгэлтэй улс</t>
  </si>
  <si>
    <t>Бүртгэлтэй оффисын хаяг</t>
  </si>
  <si>
    <t>Аж ахуйн нэгжийн хаяг, утас</t>
  </si>
  <si>
    <t>Монгол Улс</t>
  </si>
  <si>
    <t>Улаанбаатар хот Чингэлтэй дүүрэг 1-р хороо Эрдэнэс Монгол ХХК байр</t>
  </si>
  <si>
    <t>Эрдэнэс Монгол ХХК</t>
  </si>
  <si>
    <t>Улаанбаатар хот 15160, Чингэлтэй дүүрэг, 1-р хороо, Бага тойруу</t>
  </si>
  <si>
    <t>Орано СА</t>
  </si>
  <si>
    <t>Франц</t>
  </si>
  <si>
    <t>Le Prisme, 125 Avenue de Paris 92320, Chatillon, France</t>
  </si>
  <si>
    <t>Арева Монгол ХХК</t>
  </si>
  <si>
    <t>Улаанбаатар хот, Сүхбаатар дүүрэг, 1-р хороо, Жамъян гүний гудамж-</t>
  </si>
  <si>
    <t>Мон-Атом ХХК</t>
  </si>
  <si>
    <t>Улаанбаатар хот, Чингэлтэй дүүрэг, 1-р хороо, Жигжиджавын гудамж-6</t>
  </si>
  <si>
    <t>Монголын хөрөнгийн бирж</t>
  </si>
  <si>
    <t>Сүхбаатар дүүрэг 8-р хороо централ тауер 12 давхар</t>
  </si>
  <si>
    <t>The Stock Exchange of Hong Kong</t>
  </si>
  <si>
    <t>Bermuda</t>
  </si>
  <si>
    <t>Claredon House, 2 Church street, Hamilton HM11, Bermuda</t>
  </si>
  <si>
    <t>-</t>
  </si>
  <si>
    <t>Наранмандал экспертайзес ХХК</t>
  </si>
  <si>
    <t>Байхгүй</t>
  </si>
  <si>
    <t xml:space="preserve">104 Амвой Гудамж, </t>
  </si>
  <si>
    <t xml:space="preserve">976-77773232 </t>
  </si>
  <si>
    <t>1. London Stock Exchange</t>
  </si>
  <si>
    <t>ИБУИНВУ</t>
  </si>
  <si>
    <t>Сэйнт Жеймсын талбай-6, SW1Y4AD, Лондон хот, ИБУИНВУ.</t>
  </si>
  <si>
    <t>+44 20 7781 2000</t>
  </si>
  <si>
    <t>2. Australian Securities Exchange</t>
  </si>
  <si>
    <t>Exchange Centre 20 Bridge St, Sydney, NSW, 2000</t>
  </si>
  <si>
    <t>+61 2 9338 0000</t>
  </si>
  <si>
    <t>3. NYSE</t>
  </si>
  <si>
    <t>АНУ</t>
  </si>
  <si>
    <t>11 Wall St, New York, NY 10005, USA</t>
  </si>
  <si>
    <t>+1 212 896 2830</t>
  </si>
  <si>
    <t>Торонто хөрөнгийн бирж</t>
  </si>
  <si>
    <t>Канад</t>
  </si>
  <si>
    <t>20th Floor, 250 Howe Street, Vancouver, B.C., V6C 3R8</t>
  </si>
  <si>
    <t>1-604-762-6783</t>
  </si>
  <si>
    <t>Хонконгийн хөрөнгийн бирж</t>
  </si>
  <si>
    <t>БНХАУ</t>
  </si>
  <si>
    <t>20st Floor, 250 Howe Street, Vancouver, B.C., V6C 3R8</t>
  </si>
  <si>
    <t>БНСУ</t>
  </si>
  <si>
    <t>010-9796-0075</t>
  </si>
  <si>
    <t>010-97960075</t>
  </si>
  <si>
    <t>Монгол улс</t>
  </si>
  <si>
    <t>Хан-Уул дүүрэг</t>
  </si>
  <si>
    <t>ХУД 15 хороо Махатма Ганди гудамж эм эс эн бьюлдинг 602 тоот</t>
  </si>
  <si>
    <t>99111848 80951111</t>
  </si>
  <si>
    <t>Сейшэлийн арлуудын бүгд найрамдах улс</t>
  </si>
  <si>
    <t>P.O.Box 1239, Offshore Incorporations Centre, Victoria, Mahe, Republic of Seychelles</t>
  </si>
  <si>
    <t>Вэйдү/ Хонг Конг/ ХК</t>
  </si>
  <si>
    <t>Хонг Конг Цим Ша Цүй ӨүШэн центер 10 давхар 1023 тоот</t>
  </si>
  <si>
    <t>УБЕГ</t>
  </si>
  <si>
    <t>СБД 3-р хороо 5-р хороолол Номуун хотхон 37-152</t>
  </si>
  <si>
    <t>БНХАУ Хонконг</t>
  </si>
  <si>
    <t>Хонг Конг, Ковлүүн, Яау Тонг, 2 Сзе Шан гудамж, Яау Тонг Үйлдвэрийн барилга, 3-р байр, 6 давхар, В тоот</t>
  </si>
  <si>
    <t>Сүхбаатарын талбай-3, Улаанбаатар 15160, Монгол улс</t>
  </si>
  <si>
    <t>(+976)-11-313747</t>
  </si>
  <si>
    <t>Торонтогийн хөрөнгийн бирж</t>
  </si>
  <si>
    <t>Metropolitan Place, 99 Wyse Road, Dartmouth, Nova Scotia Canada, B3S4S5</t>
  </si>
  <si>
    <t>1-902-423-6419</t>
  </si>
  <si>
    <t>Улаанбаатар хотын хөгжлийн корпораци</t>
  </si>
  <si>
    <t>Улаанбаатар хот Чингэлтэй дүүрэг 1-р хороо Жигжиджавын гуудамж Хангарди ордон 904 тоот</t>
  </si>
  <si>
    <t>7777-0002</t>
  </si>
  <si>
    <t>The Stock Exchange of Hong Kong Limited</t>
  </si>
  <si>
    <t>8/F, Two Exchange Square, 8 Connaught Place, Central, Hong Kong</t>
  </si>
  <si>
    <t>Хавсралт 19Г. Ногдол ашиг</t>
  </si>
  <si>
    <t>Хувьцаа эзэмшигчийн нэр</t>
  </si>
  <si>
    <t>Тайлант онд зарласан ногдол ашиг</t>
  </si>
  <si>
    <t>Тайлант онд олгосон нийт ногдол ашиг</t>
  </si>
  <si>
    <t>Өмнөх оны цэвэр ашгаас</t>
  </si>
  <si>
    <t>Тайлант оны цэвэр ашгаас</t>
  </si>
  <si>
    <t xml:space="preserve">Хавсралт 20 Орон нутгийн засаг захиргааны байгууллагуудтай хийсэн гэрээний мэдээлэл  </t>
  </si>
  <si>
    <t>Аймаг / Нийслэл</t>
  </si>
  <si>
    <t>Сум / Дүүрэг</t>
  </si>
  <si>
    <t>Гэрээ байгуулсан огноо</t>
  </si>
  <si>
    <t>Гэрээний эхлэх огноо</t>
  </si>
  <si>
    <t>Гэрээний дуусах огноо</t>
  </si>
  <si>
    <t>Гэрээний зорилго, агуулга</t>
  </si>
  <si>
    <t>Нутгийн удирдлагын талаас (Албан тушаал)</t>
  </si>
  <si>
    <t>Нутгийн удирдлагын талаас (Овог, нэр)</t>
  </si>
  <si>
    <t>ААНБ-ын талаас (Албан тушаал)</t>
  </si>
  <si>
    <t>ААНБ-ын талаас (Овог, нэр)</t>
  </si>
  <si>
    <t>ХAХ  гишүүдийн тоо (Нутгийн удирдлага)</t>
  </si>
  <si>
    <t>ХAХ  гишүүдийн тоо (ААНБ)</t>
  </si>
  <si>
    <t>ХAХ  гишүүдийн тоо (ИНБ, Иргэд)</t>
  </si>
  <si>
    <t>Сонсох ажиллагааны огноо</t>
  </si>
  <si>
    <t>Сонсох ажиллагааны оролцогчдын тоо</t>
  </si>
  <si>
    <t>Гэрээг ил тод болгосон цахим хуудасны холбоос</t>
  </si>
  <si>
    <t>Гэрээний хүрээнд байгуулсан хөрөнгө оруулалт</t>
  </si>
  <si>
    <t>Гэрээг үнэлсэн эсэх</t>
  </si>
  <si>
    <t>Дорнод Баянтүмэн</t>
  </si>
  <si>
    <t>БО-ыг хамгаалах</t>
  </si>
  <si>
    <t>Баягаль хамгаалагч</t>
  </si>
  <si>
    <t>М.Алтанцэцэг</t>
  </si>
  <si>
    <t>геофизикч</t>
  </si>
  <si>
    <t>Л.Анхбаяр</t>
  </si>
  <si>
    <t>Гурвантэс сумын ЗДТГ</t>
  </si>
  <si>
    <t>Гурвантэс сумын засаг дарга</t>
  </si>
  <si>
    <t>Ц.Сумъяа</t>
  </si>
  <si>
    <t>Баатарван транс ХХК-ийн захирал</t>
  </si>
  <si>
    <t>И.Баатарзоригт</t>
  </si>
  <si>
    <t>Багануур дүүрэг Оёдолчдын холбоо</t>
  </si>
  <si>
    <t>Уурхай ашиглах</t>
  </si>
  <si>
    <t>Жижиг дунд үйлдвэрийг дэмжих газар</t>
  </si>
  <si>
    <t>Н.Эрдэнэбаатар</t>
  </si>
  <si>
    <t>Захирал</t>
  </si>
  <si>
    <t>С.Дагвасүрэн</t>
  </si>
  <si>
    <t>www.tender.gov.mn , https://shilendans.gov.mn/</t>
  </si>
  <si>
    <t>Дорноговь Улаанбадрах</t>
  </si>
  <si>
    <t>Дэд бүтцийг хөгжүүлэх</t>
  </si>
  <si>
    <t>Г.Ганбүрэн</t>
  </si>
  <si>
    <t>Гүйцэтгэх захирал</t>
  </si>
  <si>
    <t>Марк Мелеард</t>
  </si>
  <si>
    <t>http://www.badrakhenergy.com/EN/communities.html</t>
  </si>
  <si>
    <t>Дорноговь Сайншанд</t>
  </si>
  <si>
    <t>Ажлын байр нэмэгдүүлэх</t>
  </si>
  <si>
    <t>Багийн ЗД</t>
  </si>
  <si>
    <t>Ч.Бадамлянхуа</t>
  </si>
  <si>
    <t>Завхан аймгийн Дөрвөлжин сумын нутгийн захиргаа</t>
  </si>
  <si>
    <t>Сумын Засаг дарга</t>
  </si>
  <si>
    <t>Ч.Батдөл</t>
  </si>
  <si>
    <t>Питер Томпсон</t>
  </si>
  <si>
    <t>https://www.iltodgeree.mn/contract/780/view</t>
  </si>
  <si>
    <t>Дундговь аймгийн ЗДТГ</t>
  </si>
  <si>
    <t>Ц.Мөнхбат</t>
  </si>
  <si>
    <t>Б..Отгонбаатар</t>
  </si>
  <si>
    <t>Сэлэнгэ аймаг, Баянгол сум</t>
  </si>
  <si>
    <t>Р.Батжаргал</t>
  </si>
  <si>
    <t>Д.Цэрэнбадам</t>
  </si>
  <si>
    <t>Сэлэнгэ аймгийн Мандал сум</t>
  </si>
  <si>
    <t>Э.Дөлгөөн</t>
  </si>
  <si>
    <t>Төв аймгийн Борнуур сум</t>
  </si>
  <si>
    <t>Н.Ундрахбилэг</t>
  </si>
  <si>
    <t>Хэнтий аймаг ЗДТГ</t>
  </si>
  <si>
    <t>Засаг Дарга</t>
  </si>
  <si>
    <t>Ц.Идэрбат</t>
  </si>
  <si>
    <t>Э.Батсайхан</t>
  </si>
  <si>
    <t>www.khentii.gov.mn</t>
  </si>
  <si>
    <t>Гурвантэс сумын Засаг Даргын Тамгийн Газар</t>
  </si>
  <si>
    <t>Г.Гангаамаа</t>
  </si>
  <si>
    <t>Mengheqilu</t>
  </si>
  <si>
    <t>0000-01-01</t>
  </si>
  <si>
    <t>Дорноговь аймгийн, Газрын харилцаа барилга, хот байгуулалтын газар</t>
  </si>
  <si>
    <t>Суурь судалгаа мониторингийн асуудал хариуцсан мэргэжилтэн</t>
  </si>
  <si>
    <t>О.Оюунцэцэг</t>
  </si>
  <si>
    <t>О.Болор-Эрдэнэ</t>
  </si>
  <si>
    <t>egazar.mn</t>
  </si>
  <si>
    <t>ДГА-ийн Хатанбулаг сумын ЗДТГ</t>
  </si>
  <si>
    <t>ЗДТГ-н дарга</t>
  </si>
  <si>
    <t>Т.Цэцэгсүрэн</t>
  </si>
  <si>
    <t>О.Сэлэнгэ</t>
  </si>
  <si>
    <t>Сайншанд дахь Гаалийн газар</t>
  </si>
  <si>
    <t>Гаалийн газрын дарга</t>
  </si>
  <si>
    <t>А.Оргил</t>
  </si>
  <si>
    <t>Дэд захирал</t>
  </si>
  <si>
    <t>Б.Болдбаатар</t>
  </si>
  <si>
    <t>ДГА-н Мандах сумын ЗДТГ</t>
  </si>
  <si>
    <t>ЗДТГ-ын дарга</t>
  </si>
  <si>
    <t>Ц.Сосор</t>
  </si>
  <si>
    <t>А.Дөлгөөн</t>
  </si>
  <si>
    <t>ДГА-н ЕБС 1 дүгээр сургууль</t>
  </si>
  <si>
    <t>ДГА-н ЕБС 1 дүгээр сургуулийн захирал</t>
  </si>
  <si>
    <t>Г.Ганбаатар</t>
  </si>
  <si>
    <t>ДГА-н Хатанбулаг сумын Эрүүл мэндийн төв</t>
  </si>
  <si>
    <t>ЭМТ-ийн даргын үүргийг түр орлон гүйцэтгэгч</t>
  </si>
  <si>
    <t>А.Ахерке</t>
  </si>
  <si>
    <t>Өмнөговь аймгийн Мандал-Овоо сум</t>
  </si>
  <si>
    <t>Мандал-Овоо сумын ИТХ-ын дарга Мандал-Овоо сумын Засаг дарга Мандал-Овоо сумын Баянхошуу багийн Засаг дарга</t>
  </si>
  <si>
    <t>Ц.Санжаа Э.Мөнхбаяр Б.Санчжил</t>
  </si>
  <si>
    <t>Гүйцэтгэх захирал Үйл ажиллагаа хариуцсан захирал</t>
  </si>
  <si>
    <t>Г.Дашдэндэв Б.Хангай</t>
  </si>
  <si>
    <t>Өмнөговь аймаг</t>
  </si>
  <si>
    <t>Өмнөговь аймгийн Засаг дарга Өмнөговь аймгийн Засаг даргын орлогч</t>
  </si>
  <si>
    <t>Р.Сэддорж Ц.Дэнээдорж</t>
  </si>
  <si>
    <t>Төв аймгийн Баянцагаан сум</t>
  </si>
  <si>
    <t>Д. Хүрэлбаатар</t>
  </si>
  <si>
    <t>Ерөнхий захирал</t>
  </si>
  <si>
    <t>Төв аймаг Заамар сум</t>
  </si>
  <si>
    <t>ИТХ-ын дарга</t>
  </si>
  <si>
    <t>Б.Самбуу</t>
  </si>
  <si>
    <t>Гүйцэтгэх Захирал</t>
  </si>
  <si>
    <t>С.Энхтуяа</t>
  </si>
  <si>
    <t>2021.11.26</t>
  </si>
  <si>
    <t>2022.01.01</t>
  </si>
  <si>
    <t>2024.12.31</t>
  </si>
  <si>
    <t>Ховд аймгийн Засаг дарга, Ховд аймгийн Дарви сумын засаг дарга</t>
  </si>
  <si>
    <t>Б. Дүгэржав, О. Ганцоож</t>
  </si>
  <si>
    <t>МоЭнКо ХХК-ийн дэд Захирал, Олон нийттэй харрилцах албаны дарга</t>
  </si>
  <si>
    <t>Ж. Оюунчимэг, Ж. Гөлгөө</t>
  </si>
  <si>
    <t>2024.02.07</t>
  </si>
  <si>
    <t>2023.07.17</t>
  </si>
  <si>
    <t>2024.07.17</t>
  </si>
  <si>
    <t>Говь-Алтай аймгийн Алтай сумын Засаг дарга</t>
  </si>
  <si>
    <t>Н. Батбаяр</t>
  </si>
  <si>
    <t>МоЭнКо ХХК-ийн дэд Захирал</t>
  </si>
  <si>
    <t>Ж. Оюунчимэг</t>
  </si>
  <si>
    <t>0000.00.00</t>
  </si>
  <si>
    <t>АЗДТГ</t>
  </si>
  <si>
    <t>Аймгийн засаг дарга</t>
  </si>
  <si>
    <t>М.Бадамсүрэн</t>
  </si>
  <si>
    <t>Ш.Мягмарсүрэн</t>
  </si>
  <si>
    <t>Баянхонгор аймаг ЗДТГ</t>
  </si>
  <si>
    <t>Аймгийн орон нутгийг хөгжүүлэх</t>
  </si>
  <si>
    <t>Хууль эрхзүйн хэлтсийн дарга, Баянхонгор аймгийн засаг дарга</t>
  </si>
  <si>
    <t>Д. Сарангарав, Д. Мөнхсайхан</t>
  </si>
  <si>
    <t>Ерөнхий захирал, Гүйцэтгэх захирал</t>
  </si>
  <si>
    <t>Б. Заантогтох, Майкл Фишер</t>
  </si>
  <si>
    <t>Өмнөговь аймаг, мөн аймгийн Ханбогд сум,</t>
  </si>
  <si>
    <t>Өмнөговь аймгийн ИТХ-ийн дарга, Засаг дарга, Ханбогд сумын ИТХ-ийн дарга, Засаг дарга,</t>
  </si>
  <si>
    <t>Лхачингийн Батчулуун, Бадамгаравын Бадраа, Хургаагийн Нэхийт, Таванжингийн Буян-Өлзий</t>
  </si>
  <si>
    <t>Оюу толгой ХХК-ийн Ерөнхийлэгч бөгөөд Гүйцэтгэх ерөнхий захирал</t>
  </si>
  <si>
    <t>Эндрью Вүдлей</t>
  </si>
  <si>
    <t>http://ot.mn/гэрээнүүд/?eoi</t>
  </si>
  <si>
    <t>Булган аймаг, Бүрэгхангай сумын ЗГТГ</t>
  </si>
  <si>
    <t>Сумын засаг дарга</t>
  </si>
  <si>
    <t>М.Бадам</t>
  </si>
  <si>
    <t>Т.Төрмөнх</t>
  </si>
  <si>
    <t>Өмнөговь аймаг, Гурвантэс сум</t>
  </si>
  <si>
    <t>Өмнө говь аймгийн засаг дарга Засаг дарга, Гурван тэс сумын засаг дарга</t>
  </si>
  <si>
    <t>Р.Сэддорж, Г.Гангамаа</t>
  </si>
  <si>
    <t>Уурхайн орлогч дарга</t>
  </si>
  <si>
    <t>А.Баянбулаг</t>
  </si>
  <si>
    <t>Дорноговь аймгийн Хөвсгөл сумын засаг дарга</t>
  </si>
  <si>
    <t>Байгаль орчны асуудал хариуцсан мэргэжилтэн</t>
  </si>
  <si>
    <t>Б.Азжаргал</t>
  </si>
  <si>
    <t>Г.Гантулга</t>
  </si>
  <si>
    <t>Ховд аймаг ЗДТГ</t>
  </si>
  <si>
    <t>Д.Дүгэржав</t>
  </si>
  <si>
    <t>Д.Чанцал</t>
  </si>
  <si>
    <t>Рингроуд ХХК</t>
  </si>
  <si>
    <t>Төв аймгийн Заамар сумын засаг дарга</t>
  </si>
  <si>
    <t>Л.Амгаланбаяр</t>
  </si>
  <si>
    <t>Төв аймаг заамар сум</t>
  </si>
  <si>
    <t>Дорноговь аймгийн засаг даргын тамгын газар</t>
  </si>
  <si>
    <t>Дорноговь аймгийн Даланжаргалан сумын засаг дарга</t>
  </si>
  <si>
    <t>Д.Бэхбат</t>
  </si>
  <si>
    <t>Уурхайн дарга</t>
  </si>
  <si>
    <t>Б.Ихбаяр</t>
  </si>
  <si>
    <t>Дорноговь аймгийн засаг даргын тамгын газрын цахим хуудас</t>
  </si>
  <si>
    <t>Хэнтий Баян овоо</t>
  </si>
  <si>
    <t>Бүрэгнхангай сум</t>
  </si>
  <si>
    <t>Б.Дөлгөөн</t>
  </si>
  <si>
    <t>Өмнөговь аймгийн Засаг Дарга, Өмнөговь аймгийн Ноён сумын Засаг Дарга</t>
  </si>
  <si>
    <t>Өмнөговь аймгийн Ноён сумын Засаг Дарга</t>
  </si>
  <si>
    <t>О.Насанбуян</t>
  </si>
  <si>
    <t>Дун Шиан Руи</t>
  </si>
  <si>
    <t>Дундговь аймаг баянжаргалан сум аргатай 2-р баг засаг дарга</t>
  </si>
  <si>
    <t>Засаг дагра</t>
  </si>
  <si>
    <t>Э.Дашдамба</t>
  </si>
  <si>
    <t>А.Элбэгсайхан</t>
  </si>
  <si>
    <t>Говьсүмбэр аймгийн засаг дарга</t>
  </si>
  <si>
    <t>Г.Батсуурь</t>
  </si>
  <si>
    <t>Дундговь аймгийн засаг дарга</t>
  </si>
  <si>
    <t>Байгаль орчны мэргэжилтэн</t>
  </si>
  <si>
    <t>Ч.Дэлгэржаргал</t>
  </si>
  <si>
    <t>Өмнөговь Ноён сум</t>
  </si>
  <si>
    <t>ӨГ аймгийн засаг дарга</t>
  </si>
  <si>
    <t>Р.Сэддорж</t>
  </si>
  <si>
    <t>Маттью Крауфорд</t>
  </si>
  <si>
    <t>Ил тод гэрээ (iltodgeree.mn)</t>
  </si>
  <si>
    <t>Сүхбаатар аймгийн ЗДТГазар</t>
  </si>
  <si>
    <t>М.Идэрбат</t>
  </si>
  <si>
    <t>С.Батхүү</t>
  </si>
  <si>
    <t>Төв аймаг Цээл сум</t>
  </si>
  <si>
    <t>засаг даргын орлогч</t>
  </si>
  <si>
    <t>В.Оюунбаатар</t>
  </si>
  <si>
    <t>гүйцэтгэх захирал</t>
  </si>
  <si>
    <t>Г.Баяржаргал</t>
  </si>
  <si>
    <t>засаг дарга</t>
  </si>
  <si>
    <t>Шарын гол сум</t>
  </si>
  <si>
    <t>Б.Лхамсүрэн</t>
  </si>
  <si>
    <t>Шарын гол ХК-ийн Гүйцэтгэх захирал</t>
  </si>
  <si>
    <t>Б.Мэндсайхан</t>
  </si>
  <si>
    <t>Завханмандал сумын Засаг даргын тамгын газар</t>
  </si>
  <si>
    <t>Н.Бямбадорж</t>
  </si>
  <si>
    <t>Гүйцэтгэх захиарал</t>
  </si>
  <si>
    <t>Г.Золбаяр</t>
  </si>
  <si>
    <t>https://gmis.mrpam.gov.mn/#/com/4002/93364/false/44/69/0/2023</t>
  </si>
  <si>
    <t>Өмнөговь аймгийн Ханбогд сумын Засаг даргын тамгын газар</t>
  </si>
  <si>
    <t>Ханбогд сумын Засаг даргын Тамгын газрын дарга</t>
  </si>
  <si>
    <t>О.Намжилмаа</t>
  </si>
  <si>
    <t>Энержи Ресурс ХХК-ийн ерөнхийлөгч Д.Энхбат, Орон нутгийн харилцаа хариуцсан захирал Б.Баярбилэг</t>
  </si>
  <si>
    <t>Д.Энхбат, Б.Баярбилэг</t>
  </si>
  <si>
    <t>Өмнөговь аймгийн Цогтцэций сумын Засаг даргын тамгын газар</t>
  </si>
  <si>
    <t>Цогтцэций сумын Засаг даргын орлогч Л.Өзийнэмэх, Цогтцэций сумын Засаг даргын Тамгын газрын даргын албан үүргийн түр орл</t>
  </si>
  <si>
    <t>Л.Өлзийнэмэх, Э.Отгонжаргал</t>
  </si>
  <si>
    <t>Г.Батцэнгэл, Ц.Баасандорж, Б.Баярбилэг</t>
  </si>
  <si>
    <t>Өмнөговь аймгийн Засаг даргын тамгын газар</t>
  </si>
  <si>
    <t>Засаг Даргын Тамгын газрын дарга</t>
  </si>
  <si>
    <t>Ц.Амартөгс</t>
  </si>
  <si>
    <t>Энержи Ресурс ХХК-ийн Үйл ажиллагаа хариуцсан дэд ерөнхийлөгч Ц.Баасандорж, Орон нутгийн харилцаа хариуцсан захирал Б.Баярбилэг</t>
  </si>
  <si>
    <t>Ц.Баасандорж, Б.Баярбилэг</t>
  </si>
  <si>
    <t>Гашуунсухайт дахь гаалийн газар</t>
  </si>
  <si>
    <t>Гашуунсухайт дахь гаалийн газрын гаалийн газрын даргын албан үүргийг түр орлон гүйцэтгэгч</t>
  </si>
  <si>
    <t>Л.Ганбаяр</t>
  </si>
  <si>
    <t>Энержи Ресурс ХХК-ийн дэд ерөнхийлөгч</t>
  </si>
  <si>
    <t>Т.Түвшинбаяр</t>
  </si>
  <si>
    <t>Өмнөговь аймгийн Стандарт, хэмжил зүйн хэлтэс</t>
  </si>
  <si>
    <t>Хэмжүүрийн улсын шалгагч</t>
  </si>
  <si>
    <t>М.Охинбор</t>
  </si>
  <si>
    <t>Тээвэр, логистик хариуцсан захирал</t>
  </si>
  <si>
    <t>Ц.Даваасүрэн</t>
  </si>
  <si>
    <t>Галба-Өөш-Долоодын говийн сав газрын захиргаа</t>
  </si>
  <si>
    <t>Галба- Өөш- Долоодын говийн сав газрын захиргааны Усны барилга байгууламж, үйлдвэр, хөдөө аж ахуйн ус ашиглалтын асуудал</t>
  </si>
  <si>
    <t>Э.Жанчивдорж</t>
  </si>
  <si>
    <t>Энержи Ресурс ХХК-ийн дэд бүтцийн албаны дарга, Дэд бүтцийн албаны менежер</t>
  </si>
  <si>
    <t>Ч.Баярсайхан, Д.Сүхбаатар</t>
  </si>
  <si>
    <t>Энержи Ресурс ХХК-ийн дэд бүтцийн албаны дарга</t>
  </si>
  <si>
    <t>Ч.Баярсайхан</t>
  </si>
  <si>
    <t>Гашуун сухайт дахь гаалийн газрын дарга</t>
  </si>
  <si>
    <t>Энержи Ресурс ХХК-ийн Дэд ерөнхийлөгч</t>
  </si>
  <si>
    <t>Цогтцэций сумын засаг даргын тамгын газар</t>
  </si>
  <si>
    <t>Энержи Ресурс ХХК</t>
  </si>
  <si>
    <t>Өмнөговь аймгийн Цогтцэций суманд байрлах орон нутгийн өмчийн</t>
  </si>
  <si>
    <t>Цогцолборын эрхлэгч</t>
  </si>
  <si>
    <t>Ш.Гантуяа</t>
  </si>
  <si>
    <t>Энержи Ресурс ХХК-ийн гүйцэтгэх захирал</t>
  </si>
  <si>
    <t>Г.Батцэнгэл</t>
  </si>
  <si>
    <t>Өмнөговь аймгийн Ханбогд сумын Газрын алба</t>
  </si>
  <si>
    <t>Ханбогд сумын газрын даамал</t>
  </si>
  <si>
    <t>Номинзул</t>
  </si>
  <si>
    <t>Өмнөговь аймгийн Даланзадгад сумын засаг даргын тамгын газар</t>
  </si>
  <si>
    <t>А.Ганзуузай</t>
  </si>
  <si>
    <t>Ханбогд сумын ЗДТГ-ын Уул уурхай- Ус хариуцсан байгаль хамгаалагч</t>
  </si>
  <si>
    <t>О.Ангараг</t>
  </si>
  <si>
    <t>Энержи Ресурс ХХК-ийн Дэд бүтцийн албаны дарга</t>
  </si>
  <si>
    <t>Д.Сүхбаатар</t>
  </si>
  <si>
    <t>Өмнөговь аймгийн Цогтцэций сумын Ерөнхий боловсролын 2-р сургууль УТҮГ</t>
  </si>
  <si>
    <t>Ерөнхий боловсролын 2-р сургуулийн захирал</t>
  </si>
  <si>
    <t>Б.Ганжаргал</t>
  </si>
  <si>
    <t>Ухаа Худаг Ус Хангамж ХХК-ийн ерөнхийлөгч</t>
  </si>
  <si>
    <t>Л.Оюунбат</t>
  </si>
  <si>
    <t>Баянхонгор аймгийн ЗДТГ</t>
  </si>
  <si>
    <t>ХБТХОХ-ийн дарга</t>
  </si>
  <si>
    <t>Т.Хишигбаатар</t>
  </si>
  <si>
    <t>А.Билгүүн</t>
  </si>
  <si>
    <t>Баянхонгор аймгийн Баян-Өндөр сум</t>
  </si>
  <si>
    <t>Баян-Өндөр сумын Засаг дарга</t>
  </si>
  <si>
    <t>Б.Идэрмөнх</t>
  </si>
  <si>
    <t>Баянхонгор аймгийн Засаг дарга</t>
  </si>
  <si>
    <t>Д.Мөнхсайхан</t>
  </si>
  <si>
    <t>Петер Акерли</t>
  </si>
  <si>
    <t>Баянхонгор аймгийн Шинэжинст сум</t>
  </si>
  <si>
    <t>Шинэжинст сумын Засаг дарга</t>
  </si>
  <si>
    <t>Б.Бат-Эрдэнэ</t>
  </si>
  <si>
    <t>Өмнөговь аймгийн ЗДТГ</t>
  </si>
  <si>
    <t>Өмнөговь аймгийн уул уурхай байгаль орчин дэд бүтцийн асуудал хариуцсан засаг даргын орлогч</t>
  </si>
  <si>
    <t>Н.Энхбат</t>
  </si>
  <si>
    <t>Захиргаа удирдлагын газрын дарга</t>
  </si>
  <si>
    <t>Н.Анун</t>
  </si>
  <si>
    <t>https://ett.mn/mn/news/single/5236</t>
  </si>
  <si>
    <t>Орхон аймгийн ЗДТГ</t>
  </si>
  <si>
    <t>Орхон аймгийн ИТХ-ын дарга, ЗД-ын орлогч, ЗДТГ-ын дарга, ХОХБХ-ийн дарга, Хууль эрх зүйн хэлтсийн дарга, Санхүү төрийн с</t>
  </si>
  <si>
    <t>С.Батжаргал, Д.Мөнхбат, М.Түвшинжаргал, Д.Соёлчхүү, С.Даваадорж, М.Мөнхбаяр, Н.Бямбацэцэг</t>
  </si>
  <si>
    <t>ЭҮТӨҮГ-ын ерөнхий захирал, ерөнхий инженер, Санхүү эдийн засаг хариуцсан орлогч, Хамтын ажиллагаа, нийгмийн асуудал хариуцсан орлогч, Хөгжлийн асуудал хариуцсан орлргч, Хуулийн хэлтсийн дарга, Нийгмийн харилцааны хэлтсийн дарга</t>
  </si>
  <si>
    <t>Х.Бадамсүрэн, Т.Батмөнх, Д,Үүрийнтуяа, Ц.Бат-Энх, Х.Болдбаатар, Д.Өнөбат</t>
  </si>
  <si>
    <t>мэдээлсэн</t>
  </si>
  <si>
    <t>Булган аймгийн ЗДТГ</t>
  </si>
  <si>
    <t>Булган аймгийн ЗД, ИТХ-ын дарга, ЗД-ын орлогч, ЗДТГ-ын дарга, ХОХБХ-ийн дарга, Хууль эрх зүйн хэлтсийн дарга, Санхүү төр</t>
  </si>
  <si>
    <t>Б.Ариун-Эрдэнэ, Д.Эрдэнэбат, Д.Жаргалсайхан, Д.Буманбаяр, Б.Одхүү, Д.Батцогт, Д.Оюунбилэг</t>
  </si>
  <si>
    <t>Говь-Алтай аймаг Алтай сум</t>
  </si>
  <si>
    <t>Д.Эрдэнэжаргал</t>
  </si>
  <si>
    <t>Ерөнхий менежер</t>
  </si>
  <si>
    <t>Занг Зэжүн</t>
  </si>
  <si>
    <t>Хавсралт 21 Төслийн түвшний мэдээлэл</t>
  </si>
  <si>
    <t>Төслийн нэр</t>
  </si>
  <si>
    <t>Төслийн гэрээний огноо</t>
  </si>
  <si>
    <t>ТЭЗҮ, ЭБМЗ-ийн дүгнэлтийн огноо</t>
  </si>
  <si>
    <t>ТЭЗҮ, ЭБМЗ-ийн дүгнэлтийн дугаар</t>
  </si>
  <si>
    <t>Ашиглах хугацаа (жил)</t>
  </si>
  <si>
    <t>ТЭЗҮ-д тусгагдсан нийт хөрөнгө оруулалт (мян.төгрөг)</t>
  </si>
  <si>
    <t>Хөрөнгө оруулалтын нийт гүйцэтгэл (мян.төгрөг)</t>
  </si>
  <si>
    <t>Тайлант оны төлөвлөсөн хөрөнгө оруулалт (мян.төгрөг)</t>
  </si>
  <si>
    <t>Тайлант оны хөрөнгө оруулалтын гүйцэтгэл (мян.төгрөг)</t>
  </si>
  <si>
    <t>ТЭЗҮ-д тусгагдсан жилийн хүчин чадал (тн)</t>
  </si>
  <si>
    <t>Төсөл эхэлснээс хойших гаргасан бүтээгдэхүүний хэмжээ (тн)</t>
  </si>
  <si>
    <t>Тайлант онд гаргасан бүтээгдэхүүний хэмжээ (тн)</t>
  </si>
  <si>
    <t>Ирэх онд гаргах бүтээгдэхүүний хэмжээ (тн)</t>
  </si>
  <si>
    <t>Галтын амны дээд хэсэг</t>
  </si>
  <si>
    <t>Т/16-15-08</t>
  </si>
  <si>
    <t>Таяннуур</t>
  </si>
  <si>
    <t>н/79 , н/80</t>
  </si>
  <si>
    <t>Т/21-11-16</t>
  </si>
  <si>
    <t>т/22-07-15</t>
  </si>
  <si>
    <t>т/18-01-04</t>
  </si>
  <si>
    <t>Т/23-04-08</t>
  </si>
  <si>
    <t>Зөөвч-Овоо төсөл</t>
  </si>
  <si>
    <t>CTP 04/15</t>
  </si>
  <si>
    <t>Т/23-16-02</t>
  </si>
  <si>
    <t>Т/23-02-09</t>
  </si>
  <si>
    <t>Т/22-08-05</t>
  </si>
  <si>
    <t>Уртын булаг, Уртын хөндийн алтны шороон ордыг ил аргаар ашиглах техник эдийн засгийн үндэслэл</t>
  </si>
  <si>
    <t>т/18-06-08</t>
  </si>
  <si>
    <t>Өмнөговь аймгийн Гурвантэс сумын нутагт орших MV-016952 тоот ашиглалтын тусгай зөвшөөрөлтэй Зангат-Уулын чулуун нүүрсний ордыг ил аргаар ашиглах төслийн техник-эдийн засгийн үндэслэлийн тодотгол-2</t>
  </si>
  <si>
    <t>Т/21-03-13</t>
  </si>
  <si>
    <t>Мандах нуурын уурхай</t>
  </si>
  <si>
    <t>T/23-21-07</t>
  </si>
  <si>
    <t>Шар хоолой шавар</t>
  </si>
  <si>
    <t>хх-0203</t>
  </si>
  <si>
    <t>Хоримт худаг</t>
  </si>
  <si>
    <t>Т/18-13-03</t>
  </si>
  <si>
    <t>хх-08-07</t>
  </si>
  <si>
    <t>T/23-12-01</t>
  </si>
  <si>
    <t>Чулуут Цагаан Дэлийн хайлуур жоншны баяжуулах үйлдвэр</t>
  </si>
  <si>
    <t>T/20-13-05</t>
  </si>
  <si>
    <t>А/33</t>
  </si>
  <si>
    <t>Монцемент Билдинг Материалс ХХК</t>
  </si>
  <si>
    <t>T/21-10-08</t>
  </si>
  <si>
    <t>T/16-15-04</t>
  </si>
  <si>
    <t>Баянхонгор аймгийн Баян-Овоо сумын нутагт орших Цагаан цахир уулын алтны ордын I, II болон X хүдрийн биетийг далд аргаар ашиглах, хүдрийг гравитацигидрометаллургийн аргаар баяжуулах техник эдийн засгийн үндэслэлийн тодотгол-3</t>
  </si>
  <si>
    <t>Т/22-03-06</t>
  </si>
  <si>
    <t>T/19-01-08</t>
  </si>
  <si>
    <t>CTP-10/14</t>
  </si>
  <si>
    <t>Туулын зүүн дэнж 1-3</t>
  </si>
  <si>
    <t>Т/20-10-13</t>
  </si>
  <si>
    <t>22-01-03</t>
  </si>
  <si>
    <t>T/18-09-13</t>
  </si>
  <si>
    <t>Талбулаг-1</t>
  </si>
  <si>
    <t>Онги5 Богд4 Т1</t>
  </si>
  <si>
    <t>ХХ-05-01/01</t>
  </si>
  <si>
    <t>Т/74</t>
  </si>
  <si>
    <t>Ар наймганы алтны шороон ордын өмнөд хэсэг, Бага наймганы хөндийн адаг хэсгийг ил аргаар ашиглах төсөл</t>
  </si>
  <si>
    <t>Т/22-04-12</t>
  </si>
  <si>
    <t>Т-20-09-15</t>
  </si>
  <si>
    <t>Нарантолгой</t>
  </si>
  <si>
    <t>T/21-09-07</t>
  </si>
  <si>
    <t>Т/20-04-14</t>
  </si>
  <si>
    <t>Т/23-04-05</t>
  </si>
  <si>
    <t>"Баруун наран"-ийн чулуун нүүрсний орд</t>
  </si>
  <si>
    <t>Т/06</t>
  </si>
  <si>
    <t xml:space="preserve">	1,377,430</t>
  </si>
  <si>
    <t>Дожир ордны үр дүнгийн тайлан</t>
  </si>
  <si>
    <t xml:space="preserve">	2022-09-15</t>
  </si>
  <si>
    <t>Т/22-09-03</t>
  </si>
  <si>
    <t xml:space="preserve">	2013-04-01</t>
  </si>
  <si>
    <t>13-14-06</t>
  </si>
  <si>
    <t>Нүүрст Хотгор,Хотгор өргөтгөл</t>
  </si>
  <si>
    <t>Т/18-03-03</t>
  </si>
  <si>
    <t>Баруун буянт</t>
  </si>
  <si>
    <t>Т/21-16-02</t>
  </si>
  <si>
    <t>Бүдүүн Ухаагийн хайлуур жоншны ордыг далд аргар ашиглах төсөл</t>
  </si>
  <si>
    <t>Т/19-07-06</t>
  </si>
  <si>
    <t>Баруун Ноён Уул</t>
  </si>
  <si>
    <t>23-09-07</t>
  </si>
  <si>
    <t>XV-022521 / Цахир уул</t>
  </si>
  <si>
    <t>XV-022218 / Бадрахын хоолой</t>
  </si>
  <si>
    <t>XV-022266 / Нарст</t>
  </si>
  <si>
    <t>XV-022305 / Давын хөх</t>
  </si>
  <si>
    <t>XV-022306 / Булган</t>
  </si>
  <si>
    <t>XV-022504 / Алаг уул</t>
  </si>
  <si>
    <t>Цагаан түнг</t>
  </si>
  <si>
    <t>T/20-11-09</t>
  </si>
  <si>
    <t>Бөөрөлжүүтийн талын хүрэн нүүрсний ил уурхай</t>
  </si>
  <si>
    <t>Т/20-12-12</t>
  </si>
  <si>
    <t>Т/21-11-14</t>
  </si>
  <si>
    <t xml:space="preserve">	141,120,000</t>
  </si>
  <si>
    <t>"Шивээ-Овоо" ХК</t>
  </si>
  <si>
    <t>СТР/19-01-02</t>
  </si>
  <si>
    <t>Т/21-10-07</t>
  </si>
  <si>
    <t>"Ухаа худаг"-ийн коксжих чулуун нүүрсний орд</t>
  </si>
  <si>
    <t>Т/81</t>
  </si>
  <si>
    <t>T/21-10-09</t>
  </si>
  <si>
    <t>Баянхөндий</t>
  </si>
  <si>
    <t>T/19-17-09</t>
  </si>
  <si>
    <t>Эрдэнэс Тавантолгойн эрчим хүчний нүүрснээс эцсийн бүтээгдэхүүн гарган авах туршилтын үйлдвэрийн төсөл</t>
  </si>
  <si>
    <t>БҮ-2023-007</t>
  </si>
  <si>
    <t>Өмнөговь аймгийн Цогтцэций сумын нутагт орших Тавантолгой чулуун нүүрсний бүлэг ордын ил уурхайн хөрс, нүүрс тээвэрт авто конвейерийн хосолсон тээвэр бүхий мөчлөг урсгал технологи нэвтрүүлэх төсөл</t>
  </si>
  <si>
    <t xml:space="preserve">	СТР/23-05-01</t>
  </si>
  <si>
    <t>Загийн усны хоолойн гүний усны ордоос ТАвантолгой уурхай хүртэл ус татах шугам хоолойн төсөл</t>
  </si>
  <si>
    <t>№1137/2019</t>
  </si>
  <si>
    <t xml:space="preserve">	118,284,942.264</t>
  </si>
  <si>
    <t>Тавантолгой-Гашуунсухайт болон Тавантолгой-Зүүнбаян чиглэлийн төмөр замуудыг холбох төмөр замын төсөл</t>
  </si>
  <si>
    <t>Эрчим хүчний нүүрснээс эцсийн бүтээгдэхүүн гарган авах туршилтын үйлдвэрийн төсөл</t>
  </si>
  <si>
    <t xml:space="preserve">	2019-01-15</t>
  </si>
  <si>
    <t>Хавсралт 22 Компаниудын ирүүлсэн нөхөн сэргээлтийн мэдээлэл</t>
  </si>
  <si>
    <t>Уурхайн эдэлбэр газар /га/</t>
  </si>
  <si>
    <t>Эвдэрсэн газрын хэмжээ /га/</t>
  </si>
  <si>
    <t>Нөхөн сэргээлт хийсэн талбайн хэмжээ</t>
  </si>
  <si>
    <t>Дотоод овоолгоор нөхөн сэргээлт хийсэн талбайн хэмжээ /м3/</t>
  </si>
  <si>
    <t>Дүйцүүлэн нөхөн сэргээлт хийсэн талбай /га/</t>
  </si>
  <si>
    <t>Байгаль хамгаалах нөхөн сэргээлтийн баталгааны тусгай дансанд байршуулсан мөнгөн хөрөнгийн хэмжээ ₮</t>
  </si>
  <si>
    <t>Тусгай дансанд байршуулсан мөнгөн хөрөнгөөс нөхөн сэргээлтэд зарцуулсан дүн ₮</t>
  </si>
  <si>
    <t>Бүгд</t>
  </si>
  <si>
    <t>Техникийн нөхөн сэргээлт хийсэн талбайн хэмжээ</t>
  </si>
  <si>
    <t>Биологийн нөхөн сэргээлт хийсэн талбайн хэмжээ</t>
  </si>
  <si>
    <t>Төлөвлөгөө талбай /га/</t>
  </si>
  <si>
    <t>Гүйцэтгэл талбай /га/</t>
  </si>
  <si>
    <t>Төлөвлөгөө үнийн дүн /төг/</t>
  </si>
  <si>
    <t>Гүйцэтгэл үнийн дүн /төг/</t>
  </si>
  <si>
    <t>Гүйцэтгэл талбай /м3/</t>
  </si>
  <si>
    <t>35,160,00</t>
  </si>
  <si>
    <t>Хавсралт 23A Нэгтгэлд хамрагдсан компаниудын ОҮИТБС-д оролцооны үнэлгээ</t>
  </si>
  <si>
    <t>Хангалттай</t>
  </si>
  <si>
    <t>Хангалтгүй</t>
  </si>
  <si>
    <t>Холбоо барих мэдээлэл олдоогүй</t>
  </si>
  <si>
    <t>Татгалзсан</t>
  </si>
  <si>
    <t xml:space="preserve"> </t>
  </si>
  <si>
    <t>Хавсралт 23Б ЗГ, Төрийн байгууллагуудын  ОҮИТБС-д оролцооны үнэлгээ</t>
  </si>
  <si>
    <t>Байгууллагын нэр</t>
  </si>
  <si>
    <t>Хангалтгүй үнэлгээ өгсөн шалтгаан</t>
  </si>
  <si>
    <t>Байгал орчин, уур амьсгалын өөрчлөлтийн яам</t>
  </si>
  <si>
    <t>Зам тээвэр хөгжлийн яам</t>
  </si>
  <si>
    <t>Төрийн өмчийн бодлого зохицуулалтын газар</t>
  </si>
  <si>
    <t>Татварын ерөнхий газар</t>
  </si>
  <si>
    <t>Хавсралт 24А Ашигласан усны мэдээлэл</t>
  </si>
  <si>
    <t>Усны дүгнэлт гаргасан огноо</t>
  </si>
  <si>
    <t>Гэрээнд заасан ашиглах усны хэмжээ (метр куб)</t>
  </si>
  <si>
    <t>Ашигласан нийт усны хэмжээ (метр куб)</t>
  </si>
  <si>
    <t>Ашигласан гадаргын усны хэмжээ (метр куб)</t>
  </si>
  <si>
    <t>Ашигласан газрын доорх усны хэмжээ (метр куб)</t>
  </si>
  <si>
    <t>Гэрээнд зааснаас дутуу ашигласан усны хэмжээ (м3)</t>
  </si>
  <si>
    <t>Ус ашигласны төлбөр (сая.төгрөг)</t>
  </si>
  <si>
    <t>Ус бохирдуулсны төлбөр (сая.төгрөг)</t>
  </si>
  <si>
    <t>Саарал ус ашигласан эсэх</t>
  </si>
  <si>
    <t>Саарал ус буюу ахуйн хэрэглээнээс үүссэн бохир усыг дахин ашигласан бол хэмжээ (метр куб)</t>
  </si>
  <si>
    <t>Усны төлбөрөөс чөлөөлөгдсөн эсэх</t>
  </si>
  <si>
    <t>Хавсралт 24б ЗГ-т төлсөн ус ашигласны төлбөр (компаниудаар)</t>
  </si>
  <si>
    <t xml:space="preserve">Хавсралт 25 Хог хаягдлын мэдээлэл </t>
  </si>
  <si>
    <t>Хог хаягдлын төлбөр (төгрөг)</t>
  </si>
  <si>
    <t>Үйлдвэрээс гарсан хог хаягдлын хэмжээ (тонн)</t>
  </si>
  <si>
    <t>Устгасан хог хаягдлын хэмжээ</t>
  </si>
  <si>
    <t xml:space="preserve">	Мэргэжлийн ААНБ-д шилжүүлсэн хог хаягдлын хэмжээ (тонн)</t>
  </si>
  <si>
    <t>Энгийн</t>
  </si>
  <si>
    <t>Аюултай</t>
  </si>
  <si>
    <t>Бvгд</t>
  </si>
  <si>
    <t>Ландфилл булшилсан</t>
  </si>
  <si>
    <t>Шатаасан</t>
  </si>
  <si>
    <t>Химийн болон физикийн аргаар</t>
  </si>
  <si>
    <t>Хавсралт 26А Ашигласан эрчим хүч, ган бөмбөлөг</t>
  </si>
  <si>
    <t>Ханган нийлүүлэгч ААНБ-ын нэр</t>
  </si>
  <si>
    <t>Гэрээний хугацаа</t>
  </si>
  <si>
    <t>Ган бөмбөлөг</t>
  </si>
  <si>
    <t>Эрчим хүч</t>
  </si>
  <si>
    <t>Эхлэх</t>
  </si>
  <si>
    <t>Дуусах</t>
  </si>
  <si>
    <t>Орон нутгаас авсан (тонн)</t>
  </si>
  <si>
    <t>Бусад аймаг, хотоос авсан (тонн)</t>
  </si>
  <si>
    <t>Импортоор авсан (тонн)</t>
  </si>
  <si>
    <t>Нийт үнийн дүн (мян.төгрөг)</t>
  </si>
  <si>
    <t>Бүс нутгаас авсан (мян.төгрөг)</t>
  </si>
  <si>
    <t>Төвийн эрчим хүчний системээс (мян.төгрөг)</t>
  </si>
  <si>
    <t>Импортоор авсан (мян.төгрөг)</t>
  </si>
  <si>
    <t>ДСЦТС</t>
  </si>
  <si>
    <t>Алтай Улиастайн эрчим хүсний систем ТӨХК</t>
  </si>
  <si>
    <t>БЗӨБЦТС</t>
  </si>
  <si>
    <t>Багануур зүүн өмнөд бүсийн цахилгаан түгээх сүлжээ</t>
  </si>
  <si>
    <t>Дархан Сэлэнгийн Цахилгаан Түгээх Сүлжээ ТӨХК</t>
  </si>
  <si>
    <t>JINAN SINAI CASTING &amp; FORGING</t>
  </si>
  <si>
    <t>GOLDPRO NEW MATERIALS CO.,LTD</t>
  </si>
  <si>
    <t>ZHANGQIU TAITOU SPECIAL STEEL</t>
  </si>
  <si>
    <t>Сэц энх стар ХХК</t>
  </si>
  <si>
    <t>Энгүүн оргил ХХК</t>
  </si>
  <si>
    <t>Хөвсгөл эрчим хүч</t>
  </si>
  <si>
    <t>Хул консалтинг групп ХХК</t>
  </si>
  <si>
    <t>БЗӨБЦТС ТӨХК</t>
  </si>
  <si>
    <t>ДАРХАН СЭЛЭНГИЙН ЦАХИЛГААН ТҮГЭЭХ СҮЛЖЭЭ</t>
  </si>
  <si>
    <t>УБ Цахилгаан түгээх сүлжээ</t>
  </si>
  <si>
    <t>Баруун бүс ЭХС</t>
  </si>
  <si>
    <t>ДБЭХС ТӨХК</t>
  </si>
  <si>
    <t>Диншин цутгамал индастриал</t>
  </si>
  <si>
    <t>Пийс Стийл групп</t>
  </si>
  <si>
    <t>Дотоодын ханган нийлүүлэгч</t>
  </si>
  <si>
    <t>Дотоодын 2 ханган нийлүүлэгч</t>
  </si>
  <si>
    <t>Гадаадын ханган нийлүүлэгч</t>
  </si>
  <si>
    <t>ӨБЦТС-Өмнөговь</t>
  </si>
  <si>
    <t>Нарийн сухайт эрчим ХХК</t>
  </si>
  <si>
    <t>ДСЦТС ТӨХК</t>
  </si>
  <si>
    <t>Улаанбаатар цахилгаан түгээх сүлжээ ТӨХК</t>
  </si>
  <si>
    <t>ГАН ХҮДРИЙН ХҮРД ХХК</t>
  </si>
  <si>
    <t>Ховд ЦТС</t>
  </si>
  <si>
    <t>ДСЦТС ХК</t>
  </si>
  <si>
    <t>ДСЦТСүлжээ ХК</t>
  </si>
  <si>
    <t>дархан</t>
  </si>
  <si>
    <t>Багануур зүүн өмнөд бүсийн цахилгаан түгээх сүлжээ ТӨХК</t>
  </si>
  <si>
    <t>Алтай - Улиастай ЭХС</t>
  </si>
  <si>
    <t>М Си Эс Интернэйшнл ХХК - Ухаа Худагийн ЦС</t>
  </si>
  <si>
    <t>ДСТЦС ХХК</t>
  </si>
  <si>
    <t>УБТЗ ХНН Чойр</t>
  </si>
  <si>
    <t>ЦДҮС ТӨХК</t>
  </si>
  <si>
    <t>диншин цутгамал индастриал</t>
  </si>
  <si>
    <t>АУЭХС ТӨХК завхан салбар</t>
  </si>
  <si>
    <t>ӨБЦТС ТӨХК</t>
  </si>
  <si>
    <t>220/110/35/6кВ “Чойр” дэд станцын өргөтгөл шинэчлэлийн ажил</t>
  </si>
  <si>
    <t>БЗӨБЦТСтанц</t>
  </si>
  <si>
    <t>Эм Эн Жи стийл ХХК</t>
  </si>
  <si>
    <t>Хаард стийл ХХК</t>
  </si>
  <si>
    <t>Металл индустриал ХХК</t>
  </si>
  <si>
    <t>Баяннексус ХХК</t>
  </si>
  <si>
    <t>Энгүүн-Оргил ХХК</t>
  </si>
  <si>
    <t>Goldpro new materials tehnology Co Ltd</t>
  </si>
  <si>
    <t>Jinan daming new materials technology Co Ltd</t>
  </si>
  <si>
    <t>Jinan Huafu Forging Joint-Stock Co Ltd</t>
  </si>
  <si>
    <t>Jining Dekai Machinery Co Ltd</t>
  </si>
  <si>
    <t>Shandong Huamin steel Ball Joint-stock Co Ltd</t>
  </si>
  <si>
    <t>Shandong Mote New Material Technology Co Ltd</t>
  </si>
  <si>
    <t>Shandong zhaojin grinding media Co Ltd</t>
  </si>
  <si>
    <t>Хавсралт 26Б Ашигласан эрдэс түүхий эдийн худалдан авалт, түлш шатахууны хэмжээ</t>
  </si>
  <si>
    <t>Эрдэс түүхий эдийн худалдан авалт</t>
  </si>
  <si>
    <t>Түлш, шатахууны хэмжээ</t>
  </si>
  <si>
    <t>Эрдэс түүхий эдийн нэр</t>
  </si>
  <si>
    <t>Дизель</t>
  </si>
  <si>
    <t>Бензин</t>
  </si>
  <si>
    <t>Бусад, аймаг хотоос авсан (тонн)</t>
  </si>
  <si>
    <t>Тод петролиум ххк</t>
  </si>
  <si>
    <t>Маргад петролиум ХХ</t>
  </si>
  <si>
    <t>ОБЕГазар</t>
  </si>
  <si>
    <t>Содон ойл ХХК</t>
  </si>
  <si>
    <t>Шунхлай трейдинг ХХК</t>
  </si>
  <si>
    <t>Сод монгол ХХК</t>
  </si>
  <si>
    <t>НИК ХХК</t>
  </si>
  <si>
    <t>Веллком</t>
  </si>
  <si>
    <t>Шунхлай</t>
  </si>
  <si>
    <t>НИК</t>
  </si>
  <si>
    <t>Петростар</t>
  </si>
  <si>
    <t>Монсуль</t>
  </si>
  <si>
    <t>НИК ХК</t>
  </si>
  <si>
    <t>Эрхэт түнш ХХК</t>
  </si>
  <si>
    <t>Нью Энержи стар ХХК</t>
  </si>
  <si>
    <t>Либраэнержи ХХК</t>
  </si>
  <si>
    <t>Тод Петролиум ХХК</t>
  </si>
  <si>
    <t>Ти энд ти петролиум ХХК</t>
  </si>
  <si>
    <t>Траклимитед ХХК</t>
  </si>
  <si>
    <t>Сод Монгол групп ХХК</t>
  </si>
  <si>
    <t>Эхлэл Ургац ххк</t>
  </si>
  <si>
    <t>гөлтгөнө</t>
  </si>
  <si>
    <t>Эн Пи петролиум ХХК</t>
  </si>
  <si>
    <t>Шунхлай ХХК</t>
  </si>
  <si>
    <t>МТ Баянзүрх ХХК</t>
  </si>
  <si>
    <t>Шунхлай говь</t>
  </si>
  <si>
    <t>Гранд восток Монголиа</t>
  </si>
  <si>
    <t>Либра Энержи ХХК</t>
  </si>
  <si>
    <t>Ник ХХК</t>
  </si>
  <si>
    <t>Гэрээгүй</t>
  </si>
  <si>
    <t>Рысжан ХХК</t>
  </si>
  <si>
    <t>Чинсэцэн ХХК</t>
  </si>
  <si>
    <t>Хүлэг Гранд ХХК</t>
  </si>
  <si>
    <t>Хонгор Жаст ХХК</t>
  </si>
  <si>
    <t>Дотоодын 2-н ААН</t>
  </si>
  <si>
    <t>Дотоодын 3-н ААН</t>
  </si>
  <si>
    <t>Дотоодын 1-н ААН</t>
  </si>
  <si>
    <t>Тод петролиум ХХК</t>
  </si>
  <si>
    <t>Веллком ХХК</t>
  </si>
  <si>
    <t>Сити ойл ХХК</t>
  </si>
  <si>
    <t>Интернэйшнл Петролиум сервис ХХК</t>
  </si>
  <si>
    <t>Эн Пи Петролиум ХХК</t>
  </si>
  <si>
    <t>Монсуль ХХК</t>
  </si>
  <si>
    <t>Синержи ойл ХХК</t>
  </si>
  <si>
    <t>Ди би ойл ХХК</t>
  </si>
  <si>
    <t>Эс жи шивээ хүрэн депо ХХК</t>
  </si>
  <si>
    <t>Мон сино транс ХХК</t>
  </si>
  <si>
    <t>бусад</t>
  </si>
  <si>
    <t>БОЛОР ОЮУН ЖОНШ</t>
  </si>
  <si>
    <t>ХҮДЭР</t>
  </si>
  <si>
    <t>ТОТЕМ ТРЭЙД ХХК</t>
  </si>
  <si>
    <t>ТҮШИГ ИНТЩРНЭШНЛ ХХК</t>
  </si>
  <si>
    <t>ХӨХ ЖОНШ ХХК</t>
  </si>
  <si>
    <t>ДЭВЖИН ДЭЛГЭРЭХ ОД ЗБН</t>
  </si>
  <si>
    <t>МОНФАЙНЕНС ХХК</t>
  </si>
  <si>
    <t>БИ ТИ ДЕВЕЛОПМЭНТ ХХК</t>
  </si>
  <si>
    <t>ИЕЛЛОУ ТОПАЗ</t>
  </si>
  <si>
    <t>ЭХИЙН СҮҮН ХИШИГ</t>
  </si>
  <si>
    <t>АНУ МИНЕРАЛС МАЙНИНГ</t>
  </si>
  <si>
    <t>ТҮШИГТ ЭЭЛ ХХК</t>
  </si>
  <si>
    <t>Тод петролиум</t>
  </si>
  <si>
    <t>Барло ворлд монголиа</t>
  </si>
  <si>
    <t>Сэлбэг бараа материал</t>
  </si>
  <si>
    <t>Тансвест ХХК</t>
  </si>
  <si>
    <t>Аодэ</t>
  </si>
  <si>
    <t>Дизель түлш</t>
  </si>
  <si>
    <t>Тэнүүн өлзий ХХК</t>
  </si>
  <si>
    <t>Хишигт Эрдэс ХХК 3</t>
  </si>
  <si>
    <t>Цуй хан ХХК</t>
  </si>
  <si>
    <t>хүдэр</t>
  </si>
  <si>
    <t>Шунхлай трейдинг</t>
  </si>
  <si>
    <t>Говь оюу уул</t>
  </si>
  <si>
    <t>Ди би ойл</t>
  </si>
  <si>
    <t>Их голын говь</t>
  </si>
  <si>
    <t>Эн пи петролиум</t>
  </si>
  <si>
    <t>Ялгуун лайм ХХК</t>
  </si>
  <si>
    <t>Шохой</t>
  </si>
  <si>
    <t>Тулгатшийр ХХК</t>
  </si>
  <si>
    <t>шохой</t>
  </si>
  <si>
    <t>Фонте Энержи саплай</t>
  </si>
  <si>
    <t>Собу Петро” ХХК</t>
  </si>
  <si>
    <t>Петровис ХХК</t>
  </si>
  <si>
    <t>Ти энд Ти Петролиум ХХК</t>
  </si>
  <si>
    <t>Түлш</t>
  </si>
  <si>
    <t>Юнайтед бест ойл ХХК</t>
  </si>
  <si>
    <t>Стандарт энерж энд ойл ХХК</t>
  </si>
  <si>
    <t>Ундарга увс</t>
  </si>
  <si>
    <t>НИК сүхбаатар</t>
  </si>
  <si>
    <t>Өлзийт ойл Грийн жоб Отгон мижгээн</t>
  </si>
  <si>
    <t>Ник</t>
  </si>
  <si>
    <t>собу петро ХХК</t>
  </si>
  <si>
    <t>Шунхлай петролиум ХХК</t>
  </si>
  <si>
    <t>Тэс Петролиум ХХК</t>
  </si>
  <si>
    <t>Фонте энержи саплай ХХК</t>
  </si>
  <si>
    <t>Зуун найман ойл ХХК</t>
  </si>
  <si>
    <t>Сод монгол групп</t>
  </si>
  <si>
    <t>Шунхлай петролиум</t>
  </si>
  <si>
    <t>Майнинг эксплорэйшн энд дриллинг ХХК</t>
  </si>
  <si>
    <t>Магнай Трэйд ХХК</t>
  </si>
  <si>
    <t>Хавсралт 26В Ашигласан хүнсний бүтээгдэхүүний мэдээлэл (мах, сүү, сүүн бүтээгдэхүүн)</t>
  </si>
  <si>
    <t>Мах, махан бүтээгдэхүүүн</t>
  </si>
  <si>
    <t>Сүү, сүүн бүтээгдэхүүн</t>
  </si>
  <si>
    <t>Биет хэмжээ (тонн)</t>
  </si>
  <si>
    <t>Үнийн дүн (мян.төгрөг)</t>
  </si>
  <si>
    <t>Орон нутгаас авсан</t>
  </si>
  <si>
    <t>Бусад, аймаг хотоос авсан</t>
  </si>
  <si>
    <t>Импортоор авсан</t>
  </si>
  <si>
    <t>Номин трейд</t>
  </si>
  <si>
    <t>Адэн сервис монголиа ХХК</t>
  </si>
  <si>
    <t>Хувь хүн</t>
  </si>
  <si>
    <t>Гомбо</t>
  </si>
  <si>
    <t>Намуун мандах заяа</t>
  </si>
  <si>
    <t>Хар хорин</t>
  </si>
  <si>
    <t>Рашаант сэнж ххк</t>
  </si>
  <si>
    <t>Найнги хүнс</t>
  </si>
  <si>
    <t>Одхүү</t>
  </si>
  <si>
    <t>Баялаг тайхар ХХК</t>
  </si>
  <si>
    <t>Ц.Отгонбаяр</t>
  </si>
  <si>
    <t>Бодь агуйт ХХК</t>
  </si>
  <si>
    <t>Ирмүүнчандмань ХХК</t>
  </si>
  <si>
    <t>Цогтцаст Алтай ХХК</t>
  </si>
  <si>
    <t>Номин</t>
  </si>
  <si>
    <t>Заамар сумын малчид</t>
  </si>
  <si>
    <t>Хүчит Шонхор зах</t>
  </si>
  <si>
    <t>Вакейшн ХХК</t>
  </si>
  <si>
    <t>Теэммате ХХК</t>
  </si>
  <si>
    <t>говийн их тэмээт</t>
  </si>
  <si>
    <t>Хувийн хэвшлийн дэлгүүр</t>
  </si>
  <si>
    <t>Стандарт Мах ХХК</t>
  </si>
  <si>
    <t>Агро Нэгтгэл Трейд ХХК</t>
  </si>
  <si>
    <t>Сүү ХК</t>
  </si>
  <si>
    <t>Траст Трейд ХХК</t>
  </si>
  <si>
    <t>Агмарко ХХК</t>
  </si>
  <si>
    <t>ХАНГЭ ХХК</t>
  </si>
  <si>
    <t>Баялаг тахиа</t>
  </si>
  <si>
    <t>Мама мияа ХХК</t>
  </si>
  <si>
    <t>АПУ дэйри ХХК</t>
  </si>
  <si>
    <t>Дэлгэрмаа</t>
  </si>
  <si>
    <t>Үржих таван эрдэнэ</t>
  </si>
  <si>
    <t>Эрдэнэ мах маркет ХХК</t>
  </si>
  <si>
    <t>Танан фүүдс ХХК</t>
  </si>
  <si>
    <t>Баяжуулагч-Одод ХХК</t>
  </si>
  <si>
    <t>Булган аймгийн Хангал сумын малчин Болгиогийн Буриад</t>
  </si>
  <si>
    <t>Булган аймгийн Хангал сумын малчин А.Чүлтэмжамц</t>
  </si>
  <si>
    <t>Булган аймгийн Хангал сумын малчин Ж.Батсайхан</t>
  </si>
  <si>
    <t>Булган аймгийн Хангал сумын малчин П.Замдаа</t>
  </si>
  <si>
    <t>Булган аймгийн Хангал сумын малчин Б.Мөнхбат</t>
  </si>
  <si>
    <t>Эрдэнэт хаан сүү ХХК</t>
  </si>
  <si>
    <t>Хавсралт 26Г Ашигласан хүнсний ногоо, жимс, бусад бүтээгдэхүүний мэдээлэл</t>
  </si>
  <si>
    <t xml:space="preserve">Хүнсний ногоо, жимс	</t>
  </si>
  <si>
    <t>Хүнсний бусад бүтээгдэхүүн</t>
  </si>
  <si>
    <t>Элит буудай</t>
  </si>
  <si>
    <t>Арвин катеринг ХХК</t>
  </si>
  <si>
    <t>Буянт говийн наран ХХК</t>
  </si>
  <si>
    <t>Буйнт говийн наран ХХК</t>
  </si>
  <si>
    <t>Эрдэнэ энх трейд</t>
  </si>
  <si>
    <t>Хурговь</t>
  </si>
  <si>
    <t>Гэзэгт</t>
  </si>
  <si>
    <t>ДСБНТ</t>
  </si>
  <si>
    <t>Скайхайпермаркет</t>
  </si>
  <si>
    <t>Милл Хаус ХХК</t>
  </si>
  <si>
    <t>Хүнсний зах</t>
  </si>
  <si>
    <t>Хийморь зул</t>
  </si>
  <si>
    <t>Агь Ордос</t>
  </si>
  <si>
    <t>Тэвхэн бусад</t>
  </si>
  <si>
    <t>Огрганик монгол ургац ХХК</t>
  </si>
  <si>
    <t>Наманама</t>
  </si>
  <si>
    <t>Ж.Баясгалан</t>
  </si>
  <si>
    <t>Содон амтлаг хүнс ХХК</t>
  </si>
  <si>
    <t>Бусад нэг удаагийн харилцагч</t>
  </si>
  <si>
    <t>Анхсаран ХХК</t>
  </si>
  <si>
    <t>Ховд өнөр ХХК</t>
  </si>
  <si>
    <t>Хаан хүнс</t>
  </si>
  <si>
    <t>Бямбасүрэн</t>
  </si>
  <si>
    <t>Сарангэрэл Хар хорин зах</t>
  </si>
  <si>
    <t>Мөнх-арвижих ПЕБС ХХК</t>
  </si>
  <si>
    <t>хүчит шонхор ххк</t>
  </si>
  <si>
    <t>дэнжийн 1000</t>
  </si>
  <si>
    <t>Хархорин худалдааны төв</t>
  </si>
  <si>
    <t>Эрдэнэ-Энх Трейд ХХК</t>
  </si>
  <si>
    <t>Говь өртөө ХХК</t>
  </si>
  <si>
    <t>Энх Нэүрит ХХК</t>
  </si>
  <si>
    <t>Чулуун загаст ХХК</t>
  </si>
  <si>
    <t>Хамаа гол ХХК</t>
  </si>
  <si>
    <t>Улаанбаатар гурил ХХК</t>
  </si>
  <si>
    <t>Их Цагаан Богд ХХК</t>
  </si>
  <si>
    <t>Стандарт хүнс ХХК</t>
  </si>
  <si>
    <t>Баясгалант бат-Очир ХХК</t>
  </si>
  <si>
    <t>БЛГЯ хоршоо</t>
  </si>
  <si>
    <t>Орхон аймгийн Жаргалант сумын иргэн Б.Баттулга</t>
  </si>
  <si>
    <t>Орхон аймгийн Жаргалант сумын иргэн Д.Доржпагам</t>
  </si>
  <si>
    <t>Орхон аймгийн Жаргалант сумын иргэн Ё.Отгонхишиг</t>
  </si>
  <si>
    <t>Үрт-Ундрам ХХК</t>
  </si>
  <si>
    <t>Хан хөхийн эрчим</t>
  </si>
  <si>
    <t>Азиякомплект</t>
  </si>
  <si>
    <t>Куку агро ХХК</t>
  </si>
  <si>
    <t>ХНЯ ХХК</t>
  </si>
  <si>
    <t>Эй Би Юу ХХК</t>
  </si>
  <si>
    <t>Хавсралт 26Д Ашигласан хөдөлмөрийн аюулгүй байдал, эрүүл ахуйн бүтээгдэхүүний мэдээлэл</t>
  </si>
  <si>
    <t>ХАБЭА-н бүтээгдэхүүн (мян.төгрөг)</t>
  </si>
  <si>
    <t>Бусад бараа бүтээгдэхүүн (мян.төгрөг)</t>
  </si>
  <si>
    <t>Ажлын хувцас</t>
  </si>
  <si>
    <t>Бусад бүтээгдэхүүн</t>
  </si>
  <si>
    <t>Содон нар ХХК</t>
  </si>
  <si>
    <t>Сондор Алтан утас</t>
  </si>
  <si>
    <t>АЛЬФА БРИДЖ САПЛАЙ ХХК</t>
  </si>
  <si>
    <t>АЛТАН САПСОН ХХК</t>
  </si>
  <si>
    <t>Бэст шүес ХХК</t>
  </si>
  <si>
    <t>Бриллианс клиник ХХК</t>
  </si>
  <si>
    <t>Эрчим гал ХХК</t>
  </si>
  <si>
    <t>Эн жи Эм Эй ХХК</t>
  </si>
  <si>
    <t>Их газрын чулуу ХХК</t>
  </si>
  <si>
    <t>Шүрэн сүхэхэй эрхэс ХХК</t>
  </si>
  <si>
    <t>Баялаг өөдөс ХХК</t>
  </si>
  <si>
    <t>Эвт есөн трейд ХХК</t>
  </si>
  <si>
    <t>МЦЖ ХХК</t>
  </si>
  <si>
    <t>Жинчин гранд ХХК</t>
  </si>
  <si>
    <t>Ихэр түнхэл</t>
  </si>
  <si>
    <t>Мино кидс -6143474</t>
  </si>
  <si>
    <t>Пролифик -5328756</t>
  </si>
  <si>
    <t>Их бөхөөн тау ХХК</t>
  </si>
  <si>
    <t>Рүүстэр монголиа ХХК</t>
  </si>
  <si>
    <t>Аянчин Аутфиттерс ХХК</t>
  </si>
  <si>
    <t>Тайгын хийц ХХК</t>
  </si>
  <si>
    <t>СИЛПРО ХӨДӨЛМӨР ХАМГААЛАЛ ХХК</t>
  </si>
  <si>
    <t>Health Safety Consulting &amp; Train</t>
  </si>
  <si>
    <t>Эргэлийн зоо трейд ХХК</t>
  </si>
  <si>
    <t>Бат сежү ХХК</t>
  </si>
  <si>
    <t>МСМ групп ХХК</t>
  </si>
  <si>
    <t>Вэлд Олл ХХК</t>
  </si>
  <si>
    <t>Сэйфти ХХК</t>
  </si>
  <si>
    <t>Ньюремеди ХХК</t>
  </si>
  <si>
    <t>Youfriend Jili Trade TechService</t>
  </si>
  <si>
    <t>MOTOPOMP LLC</t>
  </si>
  <si>
    <t>Майнспек ХХК</t>
  </si>
  <si>
    <t>Силпро хөдөлмөр хамгаалал ХХК</t>
  </si>
  <si>
    <t>Зах</t>
  </si>
  <si>
    <t>Эгшиглэнт төгөлдөр дизайн ХХК</t>
  </si>
  <si>
    <t>Силпро хөдөомөр хамгаалал</t>
  </si>
  <si>
    <t>Хөгжих говийн гэрэл</t>
  </si>
  <si>
    <t>Говьзулганай</t>
  </si>
  <si>
    <t>Ганиша</t>
  </si>
  <si>
    <t>Далайн оюу сувд трейд</t>
  </si>
  <si>
    <t>Сэйфти хэйнд</t>
  </si>
  <si>
    <t>ХАБЭА-н хувцас хэрэгсэл</t>
  </si>
  <si>
    <t>Дамэн ХХК</t>
  </si>
  <si>
    <t>Пи Пи Пи Эм Жи Эл ХХК</t>
  </si>
  <si>
    <t>Тайгын шим ХХК</t>
  </si>
  <si>
    <t>Евро ази сервис ХХК</t>
  </si>
  <si>
    <t>Мега сэлбэг ХХК</t>
  </si>
  <si>
    <t>Хүүгийн гутал ХХК</t>
  </si>
  <si>
    <t>Монгол хусны чага ХХК</t>
  </si>
  <si>
    <t>Эй уан констракшн дизайн ХХК</t>
  </si>
  <si>
    <t>Наран Туул</t>
  </si>
  <si>
    <t>ЦЭЦЭН МӨНХ КОНСТРАКШН ХХК</t>
  </si>
  <si>
    <t>Стандарт Эко Маск ХХК</t>
  </si>
  <si>
    <t>ХАБЭА-н бараа бүтээгдэхүүн/ Орон нутаг</t>
  </si>
  <si>
    <t>ХАБЭА-н бараа бүтээгдэхүүн /Бусад аймаг, хот</t>
  </si>
  <si>
    <t>ХАБЭА-н бараа бүтээгдэхүүн, ажлын хувцас/ Орон нутаг</t>
  </si>
  <si>
    <t>Бусад бараа бүтээгдэхүүн, ажил үйлчилгээ Орон нутаг</t>
  </si>
  <si>
    <t>Бусад бараа бүтээгдэхүүн, ажил үйлчилгээ /Бусад аймаг, хот</t>
  </si>
  <si>
    <t>Бусад бараа бүтээгдэхүүн, ажил үйлчилгээ /Импорт</t>
  </si>
  <si>
    <t>Бусад ажил үйлчилгээ Орон нутаг</t>
  </si>
  <si>
    <t>Бөөний бааз</t>
  </si>
  <si>
    <t>Дотоодын 6-н ААН</t>
  </si>
  <si>
    <t>Гадаадын 6-н ААН</t>
  </si>
  <si>
    <t>Өлзийт мөнх овоо ХХК</t>
  </si>
  <si>
    <t>Төв харнууд ХХК</t>
  </si>
  <si>
    <t>Рокрүүстер монголиа ХХК</t>
  </si>
  <si>
    <t>Далайн оюу сувд трейд ХХК</t>
  </si>
  <si>
    <t>Амин уул ХХК</t>
  </si>
  <si>
    <t>Өмнө говь эм хангамж ХХК</t>
  </si>
  <si>
    <t>SHANDIIN JIGUUR LLC</t>
  </si>
  <si>
    <t>CSP LLC</t>
  </si>
  <si>
    <t>Health and solution LLC</t>
  </si>
  <si>
    <t>Khokh Monkh Service LLC</t>
  </si>
  <si>
    <t>Tsogt Bayan Uul LLC</t>
  </si>
  <si>
    <t>Domogt Nutag Tour LLC</t>
  </si>
  <si>
    <t>Tuuchee Jiguur Trans LLC</t>
  </si>
  <si>
    <t>Inner Mongolia Southgobi Energy co.LTD</t>
  </si>
  <si>
    <t>Мандал даатгал ХХК</t>
  </si>
  <si>
    <t>Ayanchin outfitters LLC</t>
  </si>
  <si>
    <t>EVT ESUN TRADE LLC</t>
  </si>
  <si>
    <t>Rockrooster LLC</t>
  </si>
  <si>
    <t>GOBI ZULGANAI LLC</t>
  </si>
  <si>
    <t>БОР ӨНДӨР</t>
  </si>
  <si>
    <t>Буянт Үйлийн Шим ХХК</t>
  </si>
  <si>
    <t>Уран Нум ХХК</t>
  </si>
  <si>
    <t>зах дэлгүүр</t>
  </si>
  <si>
    <t>Амин уул ХХк</t>
  </si>
  <si>
    <t>Биг грийн фокус ХХК</t>
  </si>
  <si>
    <t>Ворлд смарт ХХК</t>
  </si>
  <si>
    <t>Алтайзаяа ХХК</t>
  </si>
  <si>
    <t>эрээн хот</t>
  </si>
  <si>
    <t>safay LLC</t>
  </si>
  <si>
    <t>100 айл</t>
  </si>
  <si>
    <t>Тайгын хийц болон бусад</t>
  </si>
  <si>
    <t>Улаан эрэг ХХК</t>
  </si>
  <si>
    <t>Говийн Өэлүн</t>
  </si>
  <si>
    <t>Дөрвөн бэрх шүтээн ХХК</t>
  </si>
  <si>
    <t>CYLPRO SAFETY LLC</t>
  </si>
  <si>
    <t>Зул цэций урлан ХХК</t>
  </si>
  <si>
    <t>Agudam</t>
  </si>
  <si>
    <t>Ayanchin Outfitters</t>
  </si>
  <si>
    <t>OI PARTNERS LLC</t>
  </si>
  <si>
    <t>Хос Арт</t>
  </si>
  <si>
    <t>Alpha Development</t>
  </si>
  <si>
    <t>CATD</t>
  </si>
  <si>
    <t>KDK</t>
  </si>
  <si>
    <t>Mongolmask Erdenet LLC</t>
  </si>
  <si>
    <t>Techno Arch</t>
  </si>
  <si>
    <t>Sondor gereltuuleg LLC</t>
  </si>
  <si>
    <t>Mongolian Star Melchers</t>
  </si>
  <si>
    <t>Хурлаг ХХК</t>
  </si>
  <si>
    <t>Аянчин аутфиттерс</t>
  </si>
  <si>
    <t>Гранд Мед эмнэлэг</t>
  </si>
  <si>
    <t>Дөрвөн бэрх шүтээн</t>
  </si>
  <si>
    <t>Эйч Эс Си Ти</t>
  </si>
  <si>
    <t>М Си Эс Проперти ХХК</t>
  </si>
  <si>
    <t>Можа Байк</t>
  </si>
  <si>
    <t>Нанопланет</t>
  </si>
  <si>
    <t>Нью Ремеди</t>
  </si>
  <si>
    <t>Сондор гэрэлтүүлэг</t>
  </si>
  <si>
    <t>Висаж</t>
  </si>
  <si>
    <t>Фалкон Дриллинг Монголиа</t>
  </si>
  <si>
    <t>Топспаре Парт ХХК</t>
  </si>
  <si>
    <t>Өнөр баян хайрхан ХХК</t>
  </si>
  <si>
    <t>Бест шүес ХХК</t>
  </si>
  <si>
    <t>Батсежү ХХК</t>
  </si>
  <si>
    <t>Дамен ХХК</t>
  </si>
  <si>
    <t>Классик звани ХХК</t>
  </si>
  <si>
    <t>Оргихын булаг ХХК</t>
  </si>
  <si>
    <t>Бороодойн шил ХХК</t>
  </si>
  <si>
    <t>Гэрэлт үр ХХК</t>
  </si>
  <si>
    <t>Ранчо ХХК</t>
  </si>
  <si>
    <t>Үлэмж цэцэн ХХК</t>
  </si>
  <si>
    <t>Баруун бүс ХХК</t>
  </si>
  <si>
    <t>Витафит-инвест ХХК</t>
  </si>
  <si>
    <t>Брайт пойнт ХХК</t>
  </si>
  <si>
    <t>Рок рүүстер Монгол ХХК</t>
  </si>
  <si>
    <t>Хавсралт 27 Туслан гүйцэтгэгчийн мэдээлэл</t>
  </si>
  <si>
    <t>Оператор, туслан гүйцэтгэгч ААНБ-ын нэр</t>
  </si>
  <si>
    <t xml:space="preserve">	Уурхай байрших</t>
  </si>
  <si>
    <t>Гэрээний төлбөрийн дүн</t>
  </si>
  <si>
    <t>Үзүүлж буй үйлчилгээ</t>
  </si>
  <si>
    <t>Ажиллагчдын тоо</t>
  </si>
  <si>
    <t xml:space="preserve">Гадаад  </t>
  </si>
  <si>
    <t xml:space="preserve">Дотоод  </t>
  </si>
  <si>
    <t>Бат-Одос ХХК</t>
  </si>
  <si>
    <t>Хөрс хуулалт</t>
  </si>
  <si>
    <t>Пүүл ресурс ХХК</t>
  </si>
  <si>
    <t>Глобал партнерс</t>
  </si>
  <si>
    <t>ШНАШЛ ХХК</t>
  </si>
  <si>
    <t>Энбо Тайж Транс</t>
  </si>
  <si>
    <t>Зам засвар</t>
  </si>
  <si>
    <t>ЭС ПИ ЭМ ХХК</t>
  </si>
  <si>
    <t xml:space="preserve">Монголиан бүүстер </t>
  </si>
  <si>
    <t>Би Жи Си дефенс</t>
  </si>
  <si>
    <t>Риволюшн Девелопмент Азиа</t>
  </si>
  <si>
    <t>Мөнх үндэс прогресс ХХК</t>
  </si>
  <si>
    <t>Пи Эс Пи ХХК</t>
  </si>
  <si>
    <t>Мөнх тэтгэгч хүч ХХК</t>
  </si>
  <si>
    <t>Баялаг энержи ресурс ХХК</t>
  </si>
  <si>
    <t>Кэй  Эй Групп</t>
  </si>
  <si>
    <t>Монтай Эрдэнэ</t>
  </si>
  <si>
    <t>Нормаунт ХХК</t>
  </si>
  <si>
    <t>Хишигт эрдэс ХХК</t>
  </si>
  <si>
    <t>СТСЕ МОН</t>
  </si>
  <si>
    <t>Ар асгалт уул</t>
  </si>
  <si>
    <t>Хун Шин Вэй Иэ ХХК</t>
  </si>
  <si>
    <t>Актуалмайнинг</t>
  </si>
  <si>
    <t>Хонхор бүрэн трак</t>
  </si>
  <si>
    <t>Ашид шандас</t>
  </si>
  <si>
    <t>Би Эм Эйч</t>
  </si>
  <si>
    <t>Сидар ХХК</t>
  </si>
  <si>
    <t>Эс Жи Коул Майнинг ХХК</t>
  </si>
  <si>
    <t>Юу Эй Ар Пи ХХК</t>
  </si>
  <si>
    <t>Пазур баласт</t>
  </si>
  <si>
    <t>Дрийм эга баласт</t>
  </si>
  <si>
    <t>Төв бум ХХК</t>
  </si>
  <si>
    <t>Девелопментбрейн ХХК</t>
  </si>
  <si>
    <t>ГЕТ ПЛАС ХХК</t>
  </si>
  <si>
    <t>МОНКАРОТАЖ ХХК</t>
  </si>
  <si>
    <t>СПЕЙШЛ МАЙНИНГ СЕРВИС ХХК</t>
  </si>
  <si>
    <t>ИЛД БАМБАЙ СЕРВИС ХХК</t>
  </si>
  <si>
    <t>ТЭС ТРАНС ХХК</t>
  </si>
  <si>
    <t>ХИШИГ МАЙНИНГ ХХК</t>
  </si>
  <si>
    <t>ЭЛГЭН ХХК</t>
  </si>
  <si>
    <t>ХИШИГ АРВИН ИНДУСТРИАЛ ХХК</t>
  </si>
  <si>
    <t>БАЯНСОЁН ЗААН ХХК</t>
  </si>
  <si>
    <t>МОНРУД ХХК</t>
  </si>
  <si>
    <t>ТЕРА ЭКСПРЕСС ХХК</t>
  </si>
  <si>
    <t>ЗАСАГТ ХАН ПАРТНЕРС ХХК</t>
  </si>
  <si>
    <t>МОНГОЛЫН ПРОЦЕССИНГ ТЕХНОЛОГИ ХХК</t>
  </si>
  <si>
    <t>ГҮҮД ДРИЛЛИНГ ХХК</t>
  </si>
  <si>
    <t>ЮНИВЕРСАЛ ДРИЛЛИНГ ХХК</t>
  </si>
  <si>
    <t>ВИ ЭМ СИ ЭСТЭЙТ ХХК</t>
  </si>
  <si>
    <t>Мастер майнинг сервис ХХК</t>
  </si>
  <si>
    <t>Ти ам эн ти индустриал ХХК</t>
  </si>
  <si>
    <t>Эрхэт түнш</t>
  </si>
  <si>
    <t>Элст Ухаа</t>
  </si>
  <si>
    <t>Нэвтрэгчид</t>
  </si>
  <si>
    <t>Вертекс майнинг партнер</t>
  </si>
  <si>
    <t>Эрч майнинг ХХК</t>
  </si>
  <si>
    <t>МЕРА Сервис ХХК</t>
  </si>
  <si>
    <t>СТОКБЛАСТ ХХК</t>
  </si>
  <si>
    <t>ДиВатеринг Сольюшинс ХХК</t>
  </si>
  <si>
    <t>ГЭТ ПЛАС ХХК</t>
  </si>
  <si>
    <t>ГОЛДЕН ТЕК РЕСУРС ХХК</t>
  </si>
  <si>
    <t>ЖЕНЕСИС КЭЙМП ХХК</t>
  </si>
  <si>
    <t>ЛИБРА ЭНЕРЖИ ХХК</t>
  </si>
  <si>
    <t>ЗАСАГТХАН ПАРТНЕРС ХХК</t>
  </si>
  <si>
    <t>Фалкон дриллинг ХХК</t>
  </si>
  <si>
    <t>Эс Жи Эс- АЙ ЭМ И МОНГОЛИА ХХК</t>
  </si>
  <si>
    <t>Мон Рок MP ХХК</t>
  </si>
  <si>
    <t>Охь Ус ХХК</t>
  </si>
  <si>
    <t>Геомандал секьюрити ХХК</t>
  </si>
  <si>
    <t>Монруд ХХК</t>
  </si>
  <si>
    <t>Залаагийн тээвэрчид</t>
  </si>
  <si>
    <t>М-Армор ХХК</t>
  </si>
  <si>
    <t>Мөнхболд жигүүр ХХК</t>
  </si>
  <si>
    <t>Ти Эн Түншлэл</t>
  </si>
  <si>
    <t>Үндэсний уурхайчид түншлэл</t>
  </si>
  <si>
    <t>Үндэсний Оператор түншлэл</t>
  </si>
  <si>
    <t>Овоот Толгой Ресурсес</t>
  </si>
  <si>
    <t>Кэй Эй Майнинг</t>
  </si>
  <si>
    <t>Кэй Эй Рентал Сервис</t>
  </si>
  <si>
    <t>Баруун баянгийн ширээ</t>
  </si>
  <si>
    <t>Пүүл ресурс</t>
  </si>
  <si>
    <t>Баян би би транс</t>
  </si>
  <si>
    <t>Элхэн нутаг тамир ХХК</t>
  </si>
  <si>
    <t>Критек ХХК</t>
  </si>
  <si>
    <t>Хавсралт 28 ТӨААН-үүдийн шилэн дансны мэдээлэл</t>
  </si>
  <si>
    <t>БАЙГУУЛЛАГЫН ТӨРӨЛ</t>
  </si>
  <si>
    <t>Төрийн болон ОНӨОААН</t>
  </si>
  <si>
    <t>Дарханы төмөрлөгийн үйлдвэр ТӨХК</t>
  </si>
  <si>
    <t>Тавантолгой</t>
  </si>
  <si>
    <t>Ерөнхий ангилал</t>
  </si>
  <si>
    <t>Шилэн дансанд байршуулбал зохих мэдээлэл</t>
  </si>
  <si>
    <t>Байршуулах давтамж</t>
  </si>
  <si>
    <t>Шилэн дансны тухай хуулийн мэдээлэл байршуулах хугацаа</t>
  </si>
  <si>
    <t xml:space="preserve">Мэдээллээ хугацаандаа байршуулсан </t>
  </si>
  <si>
    <t>Тоо</t>
  </si>
  <si>
    <t xml:space="preserve">Мэдээллээ хугацаа хоцроож байршуулсан </t>
  </si>
  <si>
    <t>Мэдээллийг хугацаандаа байршуулаагүй</t>
  </si>
  <si>
    <t>Төсөв гүйцэтгэл</t>
  </si>
  <si>
    <t xml:space="preserve">Дараа жилийн төсвийн төсөл </t>
  </si>
  <si>
    <t>Бүтэн жилээр</t>
  </si>
  <si>
    <t>Хугацаа хэтрүүлж байршуулсан</t>
  </si>
  <si>
    <t>Байршуулсан</t>
  </si>
  <si>
    <t>Байршуулаагүй</t>
  </si>
  <si>
    <t xml:space="preserve">Төсвийн байгууллагын батлагдсан төсөв, гүйцэтгэл, хэтрэлт хэмнэлтийн шалтгаан тайлбарын хамт </t>
  </si>
  <si>
    <t>Хагас жилээр</t>
  </si>
  <si>
    <t>Хугацаа хэтрүүлсэн 1, хугацаандаа оруулсан 1</t>
  </si>
  <si>
    <t>Хугацаа хэтрүүлж байршуулсан 2</t>
  </si>
  <si>
    <t>Хугацаандаа байршуулсан 2</t>
  </si>
  <si>
    <t>Байршуулсан 2</t>
  </si>
  <si>
    <t>Улирал бүр  /4-с 4/</t>
  </si>
  <si>
    <t>Хугацаа хэтрүүлсэн 2, хугацаандаа оруулсан 2</t>
  </si>
  <si>
    <t>Хугацаа хэтрүүлсэн 1, хугацаандаа оруулсан 3</t>
  </si>
  <si>
    <t>Хугацаа хэтрүүлж байршуулсан 3, хугацаандаа байршуулсан 1</t>
  </si>
  <si>
    <t>Хугацаа хэтрүүлж байршуулсан 3, хугацаандаа оруулсан 1</t>
  </si>
  <si>
    <t>Хугацаандаа байршуулсан 4</t>
  </si>
  <si>
    <t>Хугацаа хэтэрсэн 3, хугацаандаа оруулсан 1</t>
  </si>
  <si>
    <t>Байршуулсан 4</t>
  </si>
  <si>
    <t>Сар бүр /12-с 12/</t>
  </si>
  <si>
    <t>Хугацаа хэтрүүлсэн 3, хугацаандаа оруулсан 9</t>
  </si>
  <si>
    <t>Хугацаандаа оруулсан 11, хугацаа хэтэрсэн 1</t>
  </si>
  <si>
    <t>Хугацаа хэтэрсэн 5, хугацаандаа оруулсан 7</t>
  </si>
  <si>
    <t>Хугацаандаа байршуулсан 12</t>
  </si>
  <si>
    <t>Хугацаа хэтэрсэн 8, хугацаандаа оруулсан 4</t>
  </si>
  <si>
    <t>Байршуулсан 12</t>
  </si>
  <si>
    <t xml:space="preserve">Тухайн жилийн төсөвт орсон нэмэлт, өөрчлөлт </t>
  </si>
  <si>
    <t>Тухай бүр</t>
  </si>
  <si>
    <t xml:space="preserve">Хандив, тусламжийн хэмжээ, түүний зарцуулалтын тайлан </t>
  </si>
  <si>
    <t xml:space="preserve">Цалингийн зардлаас бусад таван сая төгрөгөөс дээш үнийн дүн бүхий орлого, зарлагын мөнгөн гүйлгээ </t>
  </si>
  <si>
    <t xml:space="preserve">Санхүүгийн тайлан </t>
  </si>
  <si>
    <t>Хугацаа хэтэрч байршуулсан</t>
  </si>
  <si>
    <t xml:space="preserve">Санхүүгийн тайланд хийсэн аудитын дүгнэлт </t>
  </si>
  <si>
    <t xml:space="preserve">Байгууллагын батлагдсан төсөв </t>
  </si>
  <si>
    <t>Мэдээлэл оруулаагүй</t>
  </si>
  <si>
    <t>Хөрөнгө оруулалт, тендер худалдан авалт</t>
  </si>
  <si>
    <t>Худалдан авах ажиллагааны төлөвлөгөө</t>
  </si>
  <si>
    <t xml:space="preserve">Хөрөнгийн зардал, хөрөнгө оруулалтын төсөл, арга хэмжээний төлөвлөгөө, гүйцэтгэл, концессын зүйлийн жагсаалт, гүйцэтгэл </t>
  </si>
  <si>
    <t>Сар бүр /12-12/</t>
  </si>
  <si>
    <t>Хугацаандаа оруулсан 8, хугацаа хэтэрсэн 3, хугацаа хэтэрч зассан 1</t>
  </si>
  <si>
    <t xml:space="preserve">Хөрөнгийн болон урсгал зардалд тусгагдсан арга хэмжээний тендерийн ерөнхий мэдээлэл </t>
  </si>
  <si>
    <t xml:space="preserve">Таван сая төгрөгөөс дээш үнийн дүн бүхий худалдан авсан бараа, ажил үйлчилгээний нэр, санхүүжилтийн хэмжээ, нийлүүлэгчийн нэр, хаяг </t>
  </si>
  <si>
    <t>Мэдээлэл оруулах хугацаа болсон</t>
  </si>
  <si>
    <t xml:space="preserve">Худалдан авах ажиллагааны тайлан </t>
  </si>
  <si>
    <t xml:space="preserve">Нийтийн албанд нийтийн болон хувийн ашиг сонирхлыг зохицуулах, ашиг сонирхлын зөрчлөөс урьдчилан сэргийлэх тухай хуулийн 8, 9 дүгээр зүйлд заасан мэдэгдэл </t>
  </si>
  <si>
    <t xml:space="preserve">Бонд, зээл, өрийн бичиг, баталгаа, түүнтэй адилтгах санхүүгийн бусад хэрэгсэл, төр хувийн хэвшлийн түншлэлийн гэрээ, концесс, төсөв, өмч, хөрөнгө, мөнгө зарцуулах, өр, авлага үүсгэсэн аливаа шийдвэр </t>
  </si>
  <si>
    <t xml:space="preserve">Аудитын тайлан, дүгнэлт, зөвлөмжийн мөрөөр авч хэрэгжүүлсэн арга хэмжээний тайлан </t>
  </si>
  <si>
    <t xml:space="preserve">Тухайн байгууллагын хууль тогтоомжийн дагуу төвлөрүүлэх төлбөр, хураамж, зохицуулалтын үйлчилгээний хөлсний хэмжээнд орсон өөрчлөлт </t>
  </si>
  <si>
    <t xml:space="preserve">Байгууллагын батлагдсан орон тоонд орсон өөрчлөлт </t>
  </si>
  <si>
    <t xml:space="preserve">Худалдан авах ажиллагаанд хийсэн аудитын тайлан, дүгнэлт болон бусад хяналт шалгалтын дүн </t>
  </si>
  <si>
    <t>Хавсралт 29 Төрийн Өмчит Аж Ахуйн Нэгжүүдийн зээлийн мэдээлэл</t>
  </si>
  <si>
    <t>Зээлийн төрөл</t>
  </si>
  <si>
    <t>Зээлдүүлэгч</t>
  </si>
  <si>
    <t>Овог, нэр</t>
  </si>
  <si>
    <t>Гэрээний дүн (сая.төгрөг)</t>
  </si>
  <si>
    <t>Зээл олгосон огноо</t>
  </si>
  <si>
    <t>Зээлийн хүү</t>
  </si>
  <si>
    <t>Зээлийн зориулалт</t>
  </si>
  <si>
    <t>Хөнгөлөлт, чөлөөлөлт эдлэх эсэх</t>
  </si>
  <si>
    <t>Зээл</t>
  </si>
  <si>
    <t>Дэлхийн банк</t>
  </si>
  <si>
    <t>Н.Мэргэнбаатар</t>
  </si>
  <si>
    <t>Техник, технологи сайжруулах</t>
  </si>
  <si>
    <t>Японы ОУХАБанк</t>
  </si>
  <si>
    <t>Эрдэнэс товон толгой</t>
  </si>
  <si>
    <t>Э.Номинчулуун</t>
  </si>
  <si>
    <t>Хас банк</t>
  </si>
  <si>
    <t>Хаан,иГоломт банк</t>
  </si>
  <si>
    <t>Гүйцэтгэх захирлын үүрэг гүйцэтгэгч</t>
  </si>
  <si>
    <t>Д.Түвшинжаргал</t>
  </si>
  <si>
    <t>Голомт банк</t>
  </si>
  <si>
    <t>П.Ганболд</t>
  </si>
  <si>
    <t>Азийн хөгжлийн банк</t>
  </si>
  <si>
    <t>Хавсралт 30 Нөөцийн мэдээлэл</t>
  </si>
  <si>
    <t>Компаний нэр</t>
  </si>
  <si>
    <t>Нөөцийн үнэлэгээ (мян.төг)</t>
  </si>
  <si>
    <t>Анхны нөөцийн хэмжээ (тонн)</t>
  </si>
  <si>
    <t>Хавсралт 31 Нөлөөллийн бүсийн мэдээлэл</t>
  </si>
  <si>
    <t>Нөлөөллийн бүсийн радиус /км/</t>
  </si>
  <si>
    <t>Нөлөөллийн бүсийн талбай /га/</t>
  </si>
  <si>
    <t>НБ-д байрших хүн амын тоо</t>
  </si>
  <si>
    <t>НБ-д байрших  өрхийн тоо</t>
  </si>
  <si>
    <t>НБ-д байрших малын тоо</t>
  </si>
  <si>
    <t>НБ-д байрших өвөлжөө, хаваржааны т</t>
  </si>
  <si>
    <t>НБ-д байрших сум, суурин газрын тоо</t>
  </si>
  <si>
    <t>Говь-Алтай аймаг, Цээл сум</t>
  </si>
  <si>
    <t>Булган Бүрэгхангай</t>
  </si>
  <si>
    <t>ЗДТГ</t>
  </si>
  <si>
    <t>Багануур дүүрэг</t>
  </si>
  <si>
    <t>Дорноговь аймаг Айраг сум Сайн ус багн</t>
  </si>
  <si>
    <t>Дундговь аймаг Баянжаргалан сум</t>
  </si>
  <si>
    <t>Дорноговь, Даланжаргалан</t>
  </si>
  <si>
    <t>Сэлэнгэ, Мандал сум</t>
  </si>
  <si>
    <t>Сэлэнгэ, Баянгол сум</t>
  </si>
  <si>
    <t>Төв аймаг, Борнуур сум</t>
  </si>
  <si>
    <t>Норовлин сум</t>
  </si>
  <si>
    <t>ӨМА Гурвантэс сум</t>
  </si>
  <si>
    <t>Дорноговь аймаг, Мандах сум</t>
  </si>
  <si>
    <t>Хөвсгөл цэцэрлэг 7-р баг</t>
  </si>
  <si>
    <t>Булган аймаг Бүрэгхангай сум, Төв аймаг Заамар сум</t>
  </si>
  <si>
    <t>Дорноговь аймаг Өргөн сум</t>
  </si>
  <si>
    <t>Ховд аймаг Дарви сум</t>
  </si>
  <si>
    <t>Ховд аймаг Цэцэг сум</t>
  </si>
  <si>
    <t>Дорнод Хэрлэн сум 8-р баг</t>
  </si>
  <si>
    <t>Дорнод аймаг, Хэрлэн сум, 8-р баг</t>
  </si>
  <si>
    <t>Баянхонгор , Баян-Овоо, Мандалхайрхан сум</t>
  </si>
  <si>
    <t>Өмнөговь аймаг, Ханбогд сум. Оюу толгой төслийн талбай</t>
  </si>
  <si>
    <t>Өмнөговь, Гурвантэс</t>
  </si>
  <si>
    <t>Өмнөговь, Ноён</t>
  </si>
  <si>
    <t>Өмнөговь, Сэврэй</t>
  </si>
  <si>
    <t>Өмнөговь, Баяндалай</t>
  </si>
  <si>
    <t>Дорноговь,Хөвсгөл сум,Жавхлант баг, дадын хар толгой-2</t>
  </si>
  <si>
    <t>Сүхбаатар сум</t>
  </si>
  <si>
    <t>Ховд аймаг Дарви</t>
  </si>
  <si>
    <t>Дорноговь аймаг Мандах сум</t>
  </si>
  <si>
    <t>Төв аймгийн Жаргалант сумын Нарантолгой</t>
  </si>
  <si>
    <t>Өмнөговь аймгийн Цогтцэций сум /Ухаа худаг уурхай/</t>
  </si>
  <si>
    <t>Өмнөговь аймгийн Ханхонгор сум /Баруун наран уурхай/</t>
  </si>
  <si>
    <t>Хэнтийн Баян овоо</t>
  </si>
  <si>
    <t>Дундговь баянжаргалан сум</t>
  </si>
  <si>
    <t>Завхан аймаг Завханмандал сум</t>
  </si>
  <si>
    <t>Баянхонгор аймгийн Шинэжинст сумын Уртын гол 2-р баг</t>
  </si>
  <si>
    <t>Говьсүмбэр, Шивээ-говь</t>
  </si>
  <si>
    <t>УБ, Багануур дүүрэг</t>
  </si>
  <si>
    <t>Говь-Алтай аймаг, Алтай сум</t>
  </si>
  <si>
    <t>Хавсралт 32 Баяжуулах үйлдвэр эрхлэгч ААН Байгууллагуудын ашигласан химийн бодисын мэдээлэл</t>
  </si>
  <si>
    <t>Химийн бодисын төрөл</t>
  </si>
  <si>
    <t>Химийн бодисын нэр</t>
  </si>
  <si>
    <t>Оны эхний үлдэгдэл</t>
  </si>
  <si>
    <t>Импортоор (кг)</t>
  </si>
  <si>
    <t>Дотоодоос (кг)</t>
  </si>
  <si>
    <t>Тайлант онд хэрэглэсэн (кг)</t>
  </si>
  <si>
    <t>Оны эцсийн үлдэгдэл (кг)</t>
  </si>
  <si>
    <t>Өөрсдөө устгасан (кг)</t>
  </si>
  <si>
    <t>Мэргэжлийн ААНБ-д шилжүүлсэн хог хаягдал</t>
  </si>
  <si>
    <t>Экспортолсон (кг)</t>
  </si>
  <si>
    <t>Химийн хорт бодис</t>
  </si>
  <si>
    <t>Молибдат аммонни</t>
  </si>
  <si>
    <t>Гидразин</t>
  </si>
  <si>
    <t>Бура</t>
  </si>
  <si>
    <t>Сульфосалицийн хүчил</t>
  </si>
  <si>
    <t>Магнийн исэл</t>
  </si>
  <si>
    <t>Аскорбины хүчил</t>
  </si>
  <si>
    <t>Бари хлорид</t>
  </si>
  <si>
    <t>Натрийн суурь</t>
  </si>
  <si>
    <t>Ацетат</t>
  </si>
  <si>
    <t>KNO3</t>
  </si>
  <si>
    <t>Азотын хүчил</t>
  </si>
  <si>
    <t>Давсны хүчил</t>
  </si>
  <si>
    <t>Технкийн сода</t>
  </si>
  <si>
    <t>Химийн сода</t>
  </si>
  <si>
    <t>Трилон</t>
  </si>
  <si>
    <t>аммиак</t>
  </si>
  <si>
    <t>Аммонийн хлорид</t>
  </si>
  <si>
    <t>Натрийн борат</t>
  </si>
  <si>
    <t>Хүхрийн хүчил</t>
  </si>
  <si>
    <t>Химийн аюултай бодис</t>
  </si>
  <si>
    <t>Sulfuric acid 93%</t>
  </si>
  <si>
    <t>Ammonia water 25%</t>
  </si>
  <si>
    <t>Ion-exchange resin Purolite PFA600</t>
  </si>
  <si>
    <t>Натрийн метабисульфит</t>
  </si>
  <si>
    <t>Зэсийн сульфат</t>
  </si>
  <si>
    <t>Төмрийн сульфат</t>
  </si>
  <si>
    <t>Натрийн шүлт</t>
  </si>
  <si>
    <t>Флокулянт</t>
  </si>
  <si>
    <t>Натрийн цианид</t>
  </si>
  <si>
    <t>Антисклант</t>
  </si>
  <si>
    <t>бензойны хүчил</t>
  </si>
  <si>
    <t>Натрийн карбонат</t>
  </si>
  <si>
    <t>калийн гидроксид</t>
  </si>
  <si>
    <t>Этиленгликоль</t>
  </si>
  <si>
    <t>шингэн шил</t>
  </si>
  <si>
    <t>тосон хүчил</t>
  </si>
  <si>
    <t>Шингэн шил</t>
  </si>
  <si>
    <t>Техникийн тосны хүчил</t>
  </si>
  <si>
    <t>Полиакриалмид</t>
  </si>
  <si>
    <t>Ган Бөмбөлөг</t>
  </si>
  <si>
    <t>Перхлорэтилен Perchloroethylene</t>
  </si>
  <si>
    <t>Бензойны хүчил Benzoic acid</t>
  </si>
  <si>
    <t>Антрацит Antracite</t>
  </si>
  <si>
    <t>Натрийн гидроксид Sodium hydroxide</t>
  </si>
  <si>
    <t>Калийн нитрат Potassium nitrate</t>
  </si>
  <si>
    <t>Азотын хүчил Nitric acid</t>
  </si>
  <si>
    <t>Бромокрисол ногоон индикатор Bromocresol green indicator</t>
  </si>
  <si>
    <t>Натрийн фторид Sodium fluoride</t>
  </si>
  <si>
    <t>Цагаан спирит White spirit</t>
  </si>
  <si>
    <t>Этилийн спирт Ethanol</t>
  </si>
  <si>
    <t>Лимоны хүчил (талст) Crystalline citric acid</t>
  </si>
  <si>
    <t>Хлорт цайр Zinc chloride</t>
  </si>
  <si>
    <t>Магнийн перхлорат Magnesium perchlorate</t>
  </si>
  <si>
    <t>Тринатрийн цитрат Trisodium citrate</t>
  </si>
  <si>
    <t>Шингэн азот</t>
  </si>
  <si>
    <t>Изопропил этил тиокарбамат</t>
  </si>
  <si>
    <t>Флотацийн цуглуулагч урвалж 3422</t>
  </si>
  <si>
    <t>Өнгөт шугам хоолойн зэврэлийг удаашруулагч усны урвалж</t>
  </si>
  <si>
    <t>Флотацийн цуглуулагч урвалж</t>
  </si>
  <si>
    <t>Өтгөрүүлэгч</t>
  </si>
  <si>
    <t>Полиакриламид</t>
  </si>
  <si>
    <t>ШИНГЭН ШИЛ</t>
  </si>
  <si>
    <t>ТОСОН ХҮЧИЛ</t>
  </si>
  <si>
    <t>ТЕХНИКИЙН СОД</t>
  </si>
  <si>
    <t>Натрийн цианид (NaCN)</t>
  </si>
  <si>
    <t>Азотын хүчил (HNO3)</t>
  </si>
  <si>
    <t>Давсны хүчил (HCl)</t>
  </si>
  <si>
    <t>Натрийн гидроксид (NaOH)</t>
  </si>
  <si>
    <t>Натрийн карбонат (Na2CO3)</t>
  </si>
  <si>
    <t>Натрийн тетраборат (Na2B4O7)</t>
  </si>
  <si>
    <t>Натрийн хлорид (NaCl)</t>
  </si>
  <si>
    <t>Антискалант MDC220</t>
  </si>
  <si>
    <t>Сульфамины хүчил (NH2SO3H)</t>
  </si>
  <si>
    <t>Цахиурын давхар исэл (SIO2)</t>
  </si>
  <si>
    <t>Натрийн гидроксид</t>
  </si>
  <si>
    <t>Кальцийн гипохлорид</t>
  </si>
  <si>
    <t>Ацетон</t>
  </si>
  <si>
    <t>Фосфорын хүчил</t>
  </si>
  <si>
    <t>Устөрөгчийн хэт исэл</t>
  </si>
  <si>
    <t>P-dimethyl aminobenzalr-hodanine</t>
  </si>
  <si>
    <t>Хурган чихний хүчил</t>
  </si>
  <si>
    <t>олейны хүчил</t>
  </si>
  <si>
    <t>натри карбанат</t>
  </si>
  <si>
    <t>хорт бодисууд</t>
  </si>
  <si>
    <t>аюултай бодисууд</t>
  </si>
  <si>
    <t>Калийн иод</t>
  </si>
  <si>
    <t>калийн бромид</t>
  </si>
  <si>
    <t>Бензойны хүчил</t>
  </si>
  <si>
    <t>цууны хүчил</t>
  </si>
  <si>
    <t>Вольфрамын оксид</t>
  </si>
  <si>
    <t>Кальцийн сульфат</t>
  </si>
  <si>
    <t>Натрийн сульфат</t>
  </si>
  <si>
    <t>Магнийн перхлорат</t>
  </si>
  <si>
    <t>Барийн хлорид</t>
  </si>
  <si>
    <t>Мөсөн цууны хүчил</t>
  </si>
  <si>
    <t>Мөнгөний нитрат</t>
  </si>
  <si>
    <t>Аммиакийн уусмал</t>
  </si>
  <si>
    <t>Устөрөгчийн пероксид</t>
  </si>
  <si>
    <t>Хүхэрийн хүчил</t>
  </si>
  <si>
    <t>Хромын (VI) оксид</t>
  </si>
  <si>
    <t>Вольфромын исэл</t>
  </si>
  <si>
    <t>Калийн иодид</t>
  </si>
  <si>
    <t>Калийн бромид</t>
  </si>
  <si>
    <t>Силикогель</t>
  </si>
  <si>
    <t>Сахароз</t>
  </si>
  <si>
    <t>PH Стандарт уусмал</t>
  </si>
  <si>
    <t>Лакмоид</t>
  </si>
  <si>
    <t>Метилийн улаан</t>
  </si>
  <si>
    <t>Метилийн цэнхэр</t>
  </si>
  <si>
    <t>Фенолфталеин</t>
  </si>
  <si>
    <t>Кобальт хлорид</t>
  </si>
  <si>
    <t>Хөөсрүүлэгч</t>
  </si>
  <si>
    <t>Коагулянт</t>
  </si>
  <si>
    <t>Магнетит</t>
  </si>
  <si>
    <t>Вольфрамын исэл</t>
  </si>
  <si>
    <t>Аммиак</t>
  </si>
  <si>
    <t>Хүхэрт натри</t>
  </si>
  <si>
    <t>Баяжуулалтын хөөсрүүлэгч урвалж МИБК</t>
  </si>
  <si>
    <t>Баяжуулалтын цуглуулагч урвалж ВК-901В</t>
  </si>
  <si>
    <t>Баяжуулалтын цуглуулагч урвалж IPETC</t>
  </si>
  <si>
    <t>Налко 71661</t>
  </si>
  <si>
    <t>Aero-3302 урвалж</t>
  </si>
  <si>
    <t>Aero MX 5152</t>
  </si>
  <si>
    <t>Aerofroth+70</t>
  </si>
  <si>
    <t>Эмульгатор СПАН 80 для ВВ</t>
  </si>
  <si>
    <t>Аммиакийн шүү /Ammonium nitrate/</t>
  </si>
  <si>
    <t>Магнийн хлорид /Magnesium chloride/</t>
  </si>
  <si>
    <t>Мочевин /carbamide/</t>
  </si>
  <si>
    <t>Натрийн нитрат /Sodium nitrate/</t>
  </si>
  <si>
    <t>Парафин /Parafin/</t>
  </si>
  <si>
    <t>Тиомочевин /Tiocarbamide/</t>
  </si>
  <si>
    <t>Давирхай /Hydroxybenzene X202B, X102, askuran 381/</t>
  </si>
  <si>
    <t>Салгагч бодис /ECOPART 56 /L//</t>
  </si>
  <si>
    <t>Тусгаарлагч бодис /ECOPART LP89/</t>
  </si>
  <si>
    <t>Хатууруулагч /HARTER GS-10, HARTER GS-II, HARTER RAPID 03/</t>
  </si>
  <si>
    <t>Хатууруулагч Катализатор /KATAJYSATOR 700/</t>
  </si>
  <si>
    <t>Хэвний будаг /VELVACOAT ST 801, ST 702/</t>
  </si>
  <si>
    <t>Цэвэрлэгч бодис /ZIP CLEAN 800/</t>
  </si>
  <si>
    <t>Этилийн спирт /Ethanol technical grade/</t>
  </si>
  <si>
    <t>Цавуу /Adhesive remaclave solution UN 1133, PR-500-S-1, PR-S-500-2, .../</t>
  </si>
  <si>
    <t>Техникийн сода</t>
  </si>
  <si>
    <t>Техникийн давс</t>
  </si>
  <si>
    <t>Антиаксилант МДС-220</t>
  </si>
  <si>
    <t>Зэврэлтийг бууруулагч бодис /BL 1001 M/</t>
  </si>
  <si>
    <t>Хаг хусам арилгагч угаалгын нунтаг /BL 606/</t>
  </si>
  <si>
    <t>Аммонийн гидроксид /Ammonium hydroxide/</t>
  </si>
  <si>
    <t>Трилон-Б /Ethylenediaminetetraacetic acid/</t>
  </si>
  <si>
    <t>Лимоны хүчил /Citric Acid/</t>
  </si>
  <si>
    <t>Натрийн фосфат /Trisodium phosphate/</t>
  </si>
  <si>
    <t>Сольвент /Solvent/</t>
  </si>
  <si>
    <t>Хлорамин Б /Chloramine B/</t>
  </si>
  <si>
    <t>Азотын хүчил /Nitric acid/</t>
  </si>
  <si>
    <t>Хавсралт 33 Дэд бүтцэд оруулсан хөрөнгө оруулалт болон бартерын гэрээ</t>
  </si>
  <si>
    <t>100 сая төгрөгөөс дээш хөрөнгө оруулалт</t>
  </si>
  <si>
    <t>Хугацаа (Эхлэх)</t>
  </si>
  <si>
    <t>Хугацаа (Дуусах)</t>
  </si>
  <si>
    <t>Хугацаа (Үргэлжилсэн хугацаа)</t>
  </si>
  <si>
    <t>Хөрөнгө оруулалтын төрөл</t>
  </si>
  <si>
    <t>Нийт хөрөнгө оруулалт /төгрөг/</t>
  </si>
  <si>
    <t>Гэрээний гол нөхцөл</t>
  </si>
  <si>
    <t>Оролцогч талууд</t>
  </si>
  <si>
    <t>Хүлээн авагч тал</t>
  </si>
  <si>
    <t>Засгийн газрын дэнчин байгаа эсэх</t>
  </si>
  <si>
    <t>Бодит үнэ цэнэ</t>
  </si>
  <si>
    <t>Улиастай сумын төв талбайн тохижилтын ажил</t>
  </si>
  <si>
    <t>2 жил</t>
  </si>
  <si>
    <t>Дотоод эх үүсвэр</t>
  </si>
  <si>
    <t>Нийгмийн хариуцлага</t>
  </si>
  <si>
    <t>Баян айраг эксплорэйшн ХХК, Завхан аймгийн ЗДТГ, Дэлгэрэх төгс хийц ХХК</t>
  </si>
  <si>
    <t>Завхан аймгийн ЗДТГ</t>
  </si>
  <si>
    <t xml:space="preserve">1,065,420,000	</t>
  </si>
  <si>
    <t xml:space="preserve">Дөрвөлжин сумын 730м авто замын шороон далан, явган замын суурийн ажил	</t>
  </si>
  <si>
    <t>1 сар</t>
  </si>
  <si>
    <t>Дөрвөлжин сумтай байгуулсан Хамтын ажиллагааны гэрээний дагуу</t>
  </si>
  <si>
    <t>Баян айраг эксплорэйшн ХХК, Дөрвөлжин сумын ЗДТГ, Мотор сервис ХХК</t>
  </si>
  <si>
    <t>Дөрвөлжин сумын ЗДТГ</t>
  </si>
  <si>
    <t>Борнуур сум Спорт цогцолбор</t>
  </si>
  <si>
    <t>3 жил</t>
  </si>
  <si>
    <t>ЕБСургуулийн дэргэд</t>
  </si>
  <si>
    <t xml:space="preserve">Борнуур сумын ЗДТГ болон Ихэр Алмаз ХХК	</t>
  </si>
  <si>
    <t>ЕБС</t>
  </si>
  <si>
    <t>ДБ УБКБҮ - Авто Зам</t>
  </si>
  <si>
    <t>6 жил</t>
  </si>
  <si>
    <t>Авто зам</t>
  </si>
  <si>
    <t>МБМ ХХК</t>
  </si>
  <si>
    <t>Цахилгааны шугам</t>
  </si>
  <si>
    <t>Усны нацос</t>
  </si>
  <si>
    <t>52 айлын Орон сууц - Гурвантэс суманд</t>
  </si>
  <si>
    <t>7 жил</t>
  </si>
  <si>
    <t>Очир Өргөө Апартмент ХХК</t>
  </si>
  <si>
    <t>Шивээхүрэн боомтын терминал-Хамтарсан хөрөнгө оруулалт</t>
  </si>
  <si>
    <t>Шивээхүрэн Терминал ХХК</t>
  </si>
  <si>
    <t>Шивээхүрэн боомтын төмөр зам-Хамтарсан хөрөнгө оруулалт</t>
  </si>
  <si>
    <t>1 жил 4 сар</t>
  </si>
  <si>
    <t>Нарийн Сухайтын Төмөр Зам ХХК</t>
  </si>
  <si>
    <t>МУ засгийн газар</t>
  </si>
  <si>
    <t>Тусгай гарц ашиглах хамтран ажиллах гэрээ</t>
  </si>
  <si>
    <t>6 жил 10 сар</t>
  </si>
  <si>
    <t>МонЭнко ХХК</t>
  </si>
  <si>
    <t>ХХЕГ-ын Хилийн 0130-р анги, Булган дахь гаалийн газар</t>
  </si>
  <si>
    <t>Дэд бүтэц</t>
  </si>
  <si>
    <t>Авто замын ажил</t>
  </si>
  <si>
    <t>Төв аймгийн Заамар сумын засаг даргын тамгын газар</t>
  </si>
  <si>
    <t>Сайжруулсан шороон зам</t>
  </si>
  <si>
    <t>Таван толгой-Манлай-Ханги боомтын авто замыг барьж ашиглах</t>
  </si>
  <si>
    <t>Ар асгат уул</t>
  </si>
  <si>
    <t>Уурын зуухны барилгын зураг төсөл, барилга угсралтын ажил</t>
  </si>
  <si>
    <t>18 сар</t>
  </si>
  <si>
    <t>Түлхүүр гардуулах</t>
  </si>
  <si>
    <t>Эрдэнэс Тавантолгой ХК</t>
  </si>
  <si>
    <t>Ослын үед ашиглагдах автомат сэлгэн залгагчтай дизель цахилгаан үүсгүүр нийлүүлэх, угсралтын ажил</t>
  </si>
  <si>
    <t>6 сар</t>
  </si>
  <si>
    <t>Бараа нийлүүлэх</t>
  </si>
  <si>
    <t>Өмнөговь аймгийн Цогтцэций сумын төвийн хөгжлийн ерөнхий төлөвлөгөөг боловсруулах ажил​</t>
  </si>
  <si>
    <t>Ажил гүйцэтгэх гэрээ</t>
  </si>
  <si>
    <t>Цанхи хотхонд зөөврийн сууц нийлүүлэх</t>
  </si>
  <si>
    <t>11 сар</t>
  </si>
  <si>
    <t>Цэвэр усны худгийн байгууламжийн угсралтын ажил</t>
  </si>
  <si>
    <t>15 сар</t>
  </si>
  <si>
    <t>Уурхайн ажилчдын хотхоны барилга байгууламжийн ажлыг гүйцэтгэж ашиглалтад оруулах</t>
  </si>
  <si>
    <t>30 сар</t>
  </si>
  <si>
    <t>Уурхайн захиргааны барилга угсралтын ажил</t>
  </si>
  <si>
    <t xml:space="preserve">Цэвэрлэх байгууламжийг барилга байгууламжийн ажил	</t>
  </si>
  <si>
    <t>28 сар</t>
  </si>
  <si>
    <t xml:space="preserve">Үйлдвэр технологийн паркийн гадна цахилгаан хангамжийн зураг төсөв, барилга угсралтын ажил /түлхүүр гардуулах нөхцөлтэй/Үйлдвэр технологийн паркийн гадна цахилгаан хангамжийн зураг төсөв, барилга угсралтын ажил /түлхүүр гардуулах нөхцөлтэй/	</t>
  </si>
  <si>
    <t>21 сар</t>
  </si>
  <si>
    <t>Барууннарангийн автозамын уулзвараас уурхайн хотхон хүртэлх, 13.5км автозамын хэсэгчилсэн гэрэлтүүлгийн зураг төсөл, барилга угсралтын ажил</t>
  </si>
  <si>
    <t>12 сар</t>
  </si>
  <si>
    <t>Ухаахудаг-Гашуунсухайт чиглэлийн хатуу хучилттай 8.2км автозамын гэрэлтүүлгийн ажлын зураг төсөл, барилга угсралтын ажил</t>
  </si>
  <si>
    <t xml:space="preserve">	2022-09-23</t>
  </si>
  <si>
    <t>9 сар</t>
  </si>
  <si>
    <t xml:space="preserve"> Смарт Контрол</t>
  </si>
  <si>
    <t xml:space="preserve">Цагаан-Овоо багийн өрхүүд шилжин суурьшихад шаардлагатай цахилгаан хангамжийн угсралтын ажил	</t>
  </si>
  <si>
    <t>5 сар</t>
  </si>
  <si>
    <t>Үйлдвэр технологийн паркийн гадна цахилгаан хангамжийн барилга угсралтын ажилд захиалагчийн хяналт тавих зөвлөх үйлчилгээ</t>
  </si>
  <si>
    <t>Зөвлөх үйлчилгээ</t>
  </si>
  <si>
    <t>“Өмнөговь аймгийн Цогтцэций сумын төвийг Шинэ суурьшлын бүстэй холбох 2,92км хатуу хучилттай авто замын барилгын ажилд байнгын хяналт тавих зөвлөх үйлчилгээ</t>
  </si>
  <si>
    <t>14 сар</t>
  </si>
  <si>
    <t>“Өмнөговь аймгийн Цогтцэций сумын төвийг Шинэ суурьшлын бүстэй холбох 2,92км хатуу хучилттай авто замын барилга угсралтын ажил</t>
  </si>
  <si>
    <t>17 сар</t>
  </si>
  <si>
    <t>Салбар уурхайд сендвич хийцтэй байр барих барилга угсралтын ажил гүйцэтгэх гэрээ</t>
  </si>
  <si>
    <t>Нүнжиг ХХК</t>
  </si>
  <si>
    <t>Газрын тос дамжуулах хоолойн төсөл</t>
  </si>
  <si>
    <t>15 жил</t>
  </si>
  <si>
    <t xml:space="preserve">	1,189,790,000,000</t>
  </si>
  <si>
    <t>Эргэн төлөгдөх</t>
  </si>
  <si>
    <t>Тавантолгой-Гашуунсухайт чиглэлийн төмөр замын төсөл</t>
  </si>
  <si>
    <t>5 жил</t>
  </si>
  <si>
    <t>4 жил</t>
  </si>
  <si>
    <t>Эргэн төлөгдөх, түлхүүр гардуулах</t>
  </si>
  <si>
    <t>Тавантолгой нүүрс ачих логистикийн төвийн төсөл</t>
  </si>
  <si>
    <t>Загийн усны хоолойн төсөл</t>
  </si>
  <si>
    <t>Тавантолгой дулааны цахилгаан станц төсөл</t>
  </si>
  <si>
    <t>Хувьцаанд хөрвөх хөрөнгө оруулалт</t>
  </si>
  <si>
    <t>Тавантолгой-Зүүнбаян чиглэлийн төмөр замын төсөл</t>
  </si>
  <si>
    <t>24 жил</t>
  </si>
  <si>
    <t>Нүүрс баяжуулах үйлдвэрийн төсөл</t>
  </si>
  <si>
    <t>Эрдэнэт-Хялганат чиглэлийн 53.6 км авто замын өргөтгөл, засвар шинэтгэлийн ажил</t>
  </si>
  <si>
    <t>1.6 жил</t>
  </si>
  <si>
    <t>МУ-ын ЗГ-ын 2020-2024 оны мөрийн хөтөлбөрт тусгагдсаны дагуу хийсэн замын өргөтгөл, засвар шинэтгэлийн ажил</t>
  </si>
  <si>
    <t>Хурдны зам ХХК, Замын битум ХХК</t>
  </si>
  <si>
    <t>Уурхайчин 3 төсөл /Эко 400 хорооллын доторх ИШС зам талбайн тохижилт</t>
  </si>
  <si>
    <t>5.3 жил</t>
  </si>
  <si>
    <t xml:space="preserve">	41,826,000,000</t>
  </si>
  <si>
    <t>Нийгмийн хариуцлагын хүрээнд хэрэгжүүлсэн ажил</t>
  </si>
  <si>
    <t>Люксвууд ХХК</t>
  </si>
  <si>
    <t>Уурхайчин-2.3</t>
  </si>
  <si>
    <t>2.6 жил</t>
  </si>
  <si>
    <t>Тавинлан ХХК</t>
  </si>
  <si>
    <t>Хавсралт 34 Ашигт алтмалын олборлолт, үйлдвэрлэл, борлуулалтын мэдээлэл (Борлуулалтын мэдээлэл)</t>
  </si>
  <si>
    <t>Бүтээгдэхүүний нэр</t>
  </si>
  <si>
    <t>Код  (БҮНА)</t>
  </si>
  <si>
    <t>Тоо хэмжээ</t>
  </si>
  <si>
    <t>Олборлосон үнийн дүн (мян.төгрөг)</t>
  </si>
  <si>
    <t>Өөртөө хэрэглэсэн</t>
  </si>
  <si>
    <t>Борлуулалтын биет хэмжээ</t>
  </si>
  <si>
    <t>Борлуулалтын үнийн дүн (мян.төгрөг)</t>
  </si>
  <si>
    <t>Оны эцсийн үлдэгдэл</t>
  </si>
  <si>
    <t>гр</t>
  </si>
  <si>
    <t xml:space="preserve">	217,670.00</t>
  </si>
  <si>
    <t xml:space="preserve">	19,080.20</t>
  </si>
  <si>
    <t>Төмрийн хүдрийн баяжмал</t>
  </si>
  <si>
    <t xml:space="preserve">	26011120</t>
  </si>
  <si>
    <t xml:space="preserve">	18,287,000,000.00</t>
  </si>
  <si>
    <t xml:space="preserve">18,973,100,000.00	</t>
  </si>
  <si>
    <t xml:space="preserve">4,648.50	</t>
  </si>
  <si>
    <t>Уран болон төмрийн хүдэр, тэдгээрийн баяжмал</t>
  </si>
  <si>
    <t xml:space="preserve">2,790,000.00	</t>
  </si>
  <si>
    <t xml:space="preserve">	25292130</t>
  </si>
  <si>
    <t xml:space="preserve">4,200.00	</t>
  </si>
  <si>
    <t xml:space="preserve">	1,411.50</t>
  </si>
  <si>
    <t xml:space="preserve">27011239	</t>
  </si>
  <si>
    <t xml:space="preserve">34,908,100.00	</t>
  </si>
  <si>
    <t xml:space="preserve">33,254,200.00	</t>
  </si>
  <si>
    <t xml:space="preserve">	63,212.70</t>
  </si>
  <si>
    <t xml:space="preserve">	271,484.00</t>
  </si>
  <si>
    <t xml:space="preserve">4,038,680.00	</t>
  </si>
  <si>
    <t xml:space="preserve">236,547.00	</t>
  </si>
  <si>
    <t xml:space="preserve">	26010110</t>
  </si>
  <si>
    <t xml:space="preserve">	2,359,780.00	</t>
  </si>
  <si>
    <t xml:space="preserve"> 	1,345,770.00	</t>
  </si>
  <si>
    <t xml:space="preserve"> 185,852,000.00	</t>
  </si>
  <si>
    <t xml:space="preserve">	429,230.00</t>
  </si>
  <si>
    <t xml:space="preserve">	2,093,730.00</t>
  </si>
  <si>
    <t xml:space="preserve">2,093,730.00	</t>
  </si>
  <si>
    <t xml:space="preserve">456,002,000.00	</t>
  </si>
  <si>
    <t xml:space="preserve">9,258.17	</t>
  </si>
  <si>
    <t xml:space="preserve">1,995,330.00	</t>
  </si>
  <si>
    <t xml:space="preserve">1,072.74	</t>
  </si>
  <si>
    <t xml:space="preserve">	594,491.00</t>
  </si>
  <si>
    <t xml:space="preserve">	377.00</t>
  </si>
  <si>
    <t xml:space="preserve">	48.00</t>
  </si>
  <si>
    <t xml:space="preserve">	7,213.60</t>
  </si>
  <si>
    <t xml:space="preserve">	90,000.00</t>
  </si>
  <si>
    <t xml:space="preserve">	5,464,550.00</t>
  </si>
  <si>
    <t xml:space="preserve">	437,975,000.00	</t>
  </si>
  <si>
    <t xml:space="preserve">	151.00</t>
  </si>
  <si>
    <t xml:space="preserve">	115,191.00</t>
  </si>
  <si>
    <t xml:space="preserve">	1,414.00</t>
  </si>
  <si>
    <t xml:space="preserve">	8,949,600.00</t>
  </si>
  <si>
    <t xml:space="preserve">	3,341.70</t>
  </si>
  <si>
    <t xml:space="preserve">	17,326,400.00</t>
  </si>
  <si>
    <t xml:space="preserve">	20,302,700.00</t>
  </si>
  <si>
    <t xml:space="preserve">	230,463.00</t>
  </si>
  <si>
    <t xml:space="preserve">	608,365.00</t>
  </si>
  <si>
    <t>Коксжих (түүхий)</t>
  </si>
  <si>
    <t xml:space="preserve">	1485.49</t>
  </si>
  <si>
    <t xml:space="preserve"> 	270210201000</t>
  </si>
  <si>
    <t xml:space="preserve">	3,609,340.00</t>
  </si>
  <si>
    <t>Наранмандал энтерпрайзес ХХК</t>
  </si>
  <si>
    <t xml:space="preserve">	105,900.00</t>
  </si>
  <si>
    <t>20-32 дайрга</t>
  </si>
  <si>
    <t>20-42 дайрга</t>
  </si>
  <si>
    <t xml:space="preserve">	289,555,000.00</t>
  </si>
  <si>
    <t>97-1101003</t>
  </si>
  <si>
    <t>99-1101004</t>
  </si>
  <si>
    <t xml:space="preserve">	1,229,480.00	</t>
  </si>
  <si>
    <t>76-1101002</t>
  </si>
  <si>
    <t xml:space="preserve">	337238000.00</t>
  </si>
  <si>
    <t xml:space="preserve">	138,020.00</t>
  </si>
  <si>
    <t xml:space="preserve">	30,864,800,000.00</t>
  </si>
  <si>
    <t xml:space="preserve">	27011913</t>
  </si>
  <si>
    <t xml:space="preserve">	474,831.00</t>
  </si>
  <si>
    <t xml:space="preserve">	265,389,000.00</t>
  </si>
  <si>
    <t xml:space="preserve">	1,227,890.00</t>
  </si>
  <si>
    <t xml:space="preserve">	507,387.00</t>
  </si>
  <si>
    <t xml:space="preserve">	2,471,080.00</t>
  </si>
  <si>
    <t xml:space="preserve">	107,913,000.00</t>
  </si>
  <si>
    <t xml:space="preserve">	101,169.00</t>
  </si>
  <si>
    <t xml:space="preserve">	63,795.20</t>
  </si>
  <si>
    <t xml:space="preserve">	686,272.00</t>
  </si>
  <si>
    <t xml:space="preserve">	80012200</t>
  </si>
  <si>
    <t xml:space="preserve">	248,255,000.00</t>
  </si>
  <si>
    <t xml:space="preserve">	9,585.30</t>
  </si>
  <si>
    <t>Алт (шороо)</t>
  </si>
  <si>
    <t xml:space="preserve">	36,598.50</t>
  </si>
  <si>
    <t xml:space="preserve">	700,130.00</t>
  </si>
  <si>
    <t xml:space="preserve">	209,233.00</t>
  </si>
  <si>
    <t xml:space="preserve">	822,329.00</t>
  </si>
  <si>
    <t>Цайрын баяжмал</t>
  </si>
  <si>
    <t xml:space="preserve">	85.77</t>
  </si>
  <si>
    <t xml:space="preserve">	0.19</t>
  </si>
  <si>
    <t xml:space="preserve">	3,412,880.00</t>
  </si>
  <si>
    <t xml:space="preserve">	30,000.00</t>
  </si>
  <si>
    <t xml:space="preserve">	30,000.00	</t>
  </si>
  <si>
    <t xml:space="preserve">	95,080,700.00</t>
  </si>
  <si>
    <t xml:space="preserve">	12,119.10</t>
  </si>
  <si>
    <t>Баяжуулсан дунд зэрэг үнстэй хагас хатуу коксжих нүүрс</t>
  </si>
  <si>
    <t xml:space="preserve">	5,106.44</t>
  </si>
  <si>
    <t xml:space="preserve">	28,052,200.00</t>
  </si>
  <si>
    <t xml:space="preserve">	3,506,560.00</t>
  </si>
  <si>
    <t xml:space="preserve">	1,251,020.00</t>
  </si>
  <si>
    <t xml:space="preserve">	599,607.00</t>
  </si>
  <si>
    <t xml:space="preserve">	3,501,140,000,000.00</t>
  </si>
  <si>
    <t xml:space="preserve">	6,404,670.00</t>
  </si>
  <si>
    <t xml:space="preserve">	5,643.76</t>
  </si>
  <si>
    <t>Хавсралт 35 Төрийн болон орон нутгийн өмчийн ААН-үүдийн тээврийн төлбөр</t>
  </si>
  <si>
    <t>Тээвэрлүүлсэн ашигт малтмалын хэмжээ</t>
  </si>
  <si>
    <t>Нийт төлсөн тээврийн төлбөр /төгрөг/</t>
  </si>
  <si>
    <t>Сонгон шалгаруулалтын хэлбэр</t>
  </si>
  <si>
    <t>Тээврийн орлогыг хүлээн авсан ААН</t>
  </si>
  <si>
    <t>Тээврийн чиглэл</t>
  </si>
  <si>
    <t>ШХАА</t>
  </si>
  <si>
    <t>Улаанбаатар Төмөр зам</t>
  </si>
  <si>
    <t>Дотоод</t>
  </si>
  <si>
    <t>Уурхайн амнаас</t>
  </si>
  <si>
    <t>Улаанбаатар төмөр зам</t>
  </si>
  <si>
    <t>Экспорт</t>
  </si>
  <si>
    <t>Тендэр</t>
  </si>
  <si>
    <t xml:space="preserve">Бадрах энержи </t>
  </si>
  <si>
    <t>Аз транс ХХК</t>
  </si>
  <si>
    <t>Аз Хур Трэйвэл ХХК</t>
  </si>
  <si>
    <t>Аранзал-Алаг ХХК</t>
  </si>
  <si>
    <t>Баялаг Ложистик Транс ХХК</t>
  </si>
  <si>
    <t>Буян Өлзий Хур Транс ХХК</t>
  </si>
  <si>
    <t>Глобалгүүр Транс ХХК</t>
  </si>
  <si>
    <t>Жи Би Эс Ти ХХК</t>
  </si>
  <si>
    <t>Дэлгэрэхцагаан Овоо ХХК</t>
  </si>
  <si>
    <t>Их Даваа Уул ХХК</t>
  </si>
  <si>
    <t>Транзит Жем ХХК</t>
  </si>
  <si>
    <t>Формон Транспорт ХХК</t>
  </si>
  <si>
    <t>Азын Хишиг Дэлгэрэх ХХК</t>
  </si>
  <si>
    <t>Батсээр Ханбогд ХХК</t>
  </si>
  <si>
    <t>Баян Нуур Хөсөг ХХК</t>
  </si>
  <si>
    <t>Баянтранс ХХК</t>
  </si>
  <si>
    <t>Баянхангайн зам ХХК</t>
  </si>
  <si>
    <t>Бодь Ложистик ХХК</t>
  </si>
  <si>
    <t>Булган гол транс ХХК</t>
  </si>
  <si>
    <t>Гуо Хуй Олон Улсын Тээвэр ХХК</t>
  </si>
  <si>
    <t>Гэрэлтдөл Транс ХХК</t>
  </si>
  <si>
    <t>Минжит Булган Транс ХХК</t>
  </si>
  <si>
    <t>Мэнкай Транс ХХК</t>
  </si>
  <si>
    <t>Мянган Бээрийн Цацраг ХХК</t>
  </si>
  <si>
    <t>Оба Транс ХХК</t>
  </si>
  <si>
    <t>Өвөр гэгээ транс ХХК</t>
  </si>
  <si>
    <t>Сошиал Финанс ХХК</t>
  </si>
  <si>
    <t>Тэгш Ингүүн Транс ХХК</t>
  </si>
  <si>
    <t>Тэнгэр Анд Тэнгис ХХК</t>
  </si>
  <si>
    <t>Тэрэлж Транс ХХК</t>
  </si>
  <si>
    <t>төг</t>
  </si>
  <si>
    <t>Хаппи Өлзийт Зам ХХК</t>
  </si>
  <si>
    <t>Хонгорбээс транс ХХК</t>
  </si>
  <si>
    <t>Чамбайзам ХХК</t>
  </si>
  <si>
    <t>Шоргоолжин Тээвэр ХХК</t>
  </si>
  <si>
    <t>Эзэн сан хур ХХК</t>
  </si>
  <si>
    <t>Экспресс Ттт ХХК</t>
  </si>
  <si>
    <t>Арвай Минералс ХХК</t>
  </si>
  <si>
    <t>Баян Өгий Зэгст ХХК</t>
  </si>
  <si>
    <t>Мөнгөн Хүлэг Сервис ХХК</t>
  </si>
  <si>
    <t>Хааншоргоолж ХХК</t>
  </si>
  <si>
    <t>Ээлийн Цагаан Харгуй ХХК</t>
  </si>
  <si>
    <t>Завхан Транс Нэгдэл ХХК</t>
  </si>
  <si>
    <t>Ивээл Сар Транс ХХК</t>
  </si>
  <si>
    <t>Икс Эм Си ХХК</t>
  </si>
  <si>
    <t>Их аяны жолоо ХХК</t>
  </si>
  <si>
    <t>Кирвэй ХХК</t>
  </si>
  <si>
    <t>Мтс Трейд ХХК</t>
  </si>
  <si>
    <t>Мэйжик Транзит ХХК</t>
  </si>
  <si>
    <t>Мэндтранс ХХК</t>
  </si>
  <si>
    <t>Ти Си Таймс ХХК</t>
  </si>
  <si>
    <t>Тэнгис-Охь ХХК</t>
  </si>
  <si>
    <t>Урад Тээвэр ХХК</t>
  </si>
  <si>
    <t>Хөвсгөл Ирээдүйн Зам ХХК</t>
  </si>
  <si>
    <t>Цогт Цэций Шанх Транс ХХК</t>
  </si>
  <si>
    <t>Цэвэг Зайсан ХХК</t>
  </si>
  <si>
    <t>Цэций цагаан лус транс ХХК</t>
  </si>
  <si>
    <t>Шанхын хэц ХХК</t>
  </si>
  <si>
    <t>Эм Би Эс Транс ХХК</t>
  </si>
  <si>
    <t>Эм Эн Эн Ти ХХК</t>
  </si>
  <si>
    <t>Абдм Арвижих ХХК</t>
  </si>
  <si>
    <t>Алтаннууц ХХК</t>
  </si>
  <si>
    <t>Голден Фрейт ХХК</t>
  </si>
  <si>
    <t>Тост Транс ХХК</t>
  </si>
  <si>
    <t>Хайрхан Талын Хөндий ХХК</t>
  </si>
  <si>
    <t>Шижир Гэгээ ХХК</t>
  </si>
  <si>
    <t xml:space="preserve">  -</t>
  </si>
  <si>
    <t>Жонш,хүдэр</t>
  </si>
  <si>
    <t>Чулуунцар</t>
  </si>
  <si>
    <t>Сэлбэг</t>
  </si>
  <si>
    <t>Миний нутгийн зам ХХК</t>
  </si>
  <si>
    <t>Баатрын жинчид транс ХХК</t>
  </si>
  <si>
    <t>Жинстийн жинчид транс ХХК</t>
  </si>
  <si>
    <t>Мину Эйс транс ХХК</t>
  </si>
  <si>
    <t>Мөнхтаван эрдэнэ ХХК</t>
  </si>
  <si>
    <t>МС Мандуул ХХК</t>
  </si>
  <si>
    <t>Мянган Цогт ХХК</t>
  </si>
  <si>
    <t>Топаз Лэнд ХХК</t>
  </si>
  <si>
    <t>Тэнгэрлэг нутаг ХХК</t>
  </si>
  <si>
    <t>Хас Баян ХХК</t>
  </si>
  <si>
    <t>Этуна Сүлд Транс ХКК</t>
  </si>
  <si>
    <t>БАЯН ЗААН ЭНЕРЖИ ГХО-ТТАЙ ХХК</t>
  </si>
  <si>
    <t>нүүрс</t>
  </si>
  <si>
    <t>Дөлгөөнцэнд ххк</t>
  </si>
  <si>
    <t>ШИНЭ ШУЛУУН ЗАМ ХХК</t>
  </si>
  <si>
    <t>Би би энд би ложистик ххк</t>
  </si>
  <si>
    <t>ДИ ЭН ЭЙЧ СЕРВИС ХХК</t>
  </si>
  <si>
    <t>ЖИ ЮНИВЭРС МОТОРС ХХК</t>
  </si>
  <si>
    <t>Ийст форест ХХК</t>
  </si>
  <si>
    <t>САКА ТРАНС ХХК</t>
  </si>
  <si>
    <t>ЖИНЗЭНГ ХХК</t>
  </si>
  <si>
    <t>УМХ ХХК</t>
  </si>
  <si>
    <t>Чинхуа транс ХХК</t>
  </si>
  <si>
    <t>Баян Ундрага ложистик ХХК</t>
  </si>
  <si>
    <t>Мянган бээрийн цацраг ХХК</t>
  </si>
  <si>
    <t>Глобал монголиа көүл энержи ХХК</t>
  </si>
  <si>
    <t>ОБА ТРАНС ХХК</t>
  </si>
  <si>
    <t>Хишиг сайхан ундрах ХХК</t>
  </si>
  <si>
    <t>ЭМ БИ ЛОЖИСТИКС ХХК</t>
  </si>
  <si>
    <t>Хосхаш оюу ХХК</t>
  </si>
  <si>
    <t>Твин транс экспрэсс ххк</t>
  </si>
  <si>
    <t>ЦЭХЭ ЕРӨН ХХК</t>
  </si>
  <si>
    <t>Тера Экспресс ХХК</t>
  </si>
  <si>
    <t>НАБАЗ ХХК</t>
  </si>
  <si>
    <t>АЙФРОНТИЕР ХХК</t>
  </si>
  <si>
    <t>Дагалай шарга наян найм транс</t>
  </si>
  <si>
    <t>ЗУНМЕН ХХК</t>
  </si>
  <si>
    <t>Тэргүүн Сервис ХХК</t>
  </si>
  <si>
    <t>МЭНГ ГҮ ГУО ГЭ ЭР ИНТЕРНЕЙШЛ ЭНЭРЖИ ТРЕЙД ХХК</t>
  </si>
  <si>
    <t>Өмнөд Үйлс ХХК</t>
  </si>
  <si>
    <t>Ханжаргалант Уул ХХК</t>
  </si>
  <si>
    <t>Ган Мишээл Транс ХХК</t>
  </si>
  <si>
    <t>Жуньшиншанмо ХХК</t>
  </si>
  <si>
    <t>МАНДАЛ НОМУУН ХААН ХХК</t>
  </si>
  <si>
    <t>МЭНГ ГҮ ХОНГТОЙ ГХО-ТТАЙ ХХК</t>
  </si>
  <si>
    <t>НАРАН ОЙЛ ХХК</t>
  </si>
  <si>
    <t>ТЭЛМЭН ТӨГӨЛ ИХ ХХК</t>
  </si>
  <si>
    <t>Берун ложистикс ХХК</t>
  </si>
  <si>
    <t>ХАР АЛТ ДРИЛЛИНГ ХХК</t>
  </si>
  <si>
    <t>МЭНД ТАНАН ЗАМ ГХО-ТТАЙ ХХК</t>
  </si>
  <si>
    <t>Хавсралт 36 Иргэдэд ил тод болгосон гэрээний жагсаалт</t>
  </si>
  <si>
    <t>Гэрээний нэр</t>
  </si>
  <si>
    <t>Эрдсийн төрөл</t>
  </si>
  <si>
    <t>Гэрээний төрөл</t>
  </si>
  <si>
    <t>Аймаг / Сум</t>
  </si>
  <si>
    <t>Гэрээ байгуулсан төрийн байгууллага</t>
  </si>
  <si>
    <t>Хэнтий аймгийн Галшар сумын ЗДТГ, Нордвинд ХХК-ийн хооронд байгуулсан Газар ашиглуулах гэрээ</t>
  </si>
  <si>
    <t>Газар ашиглах тухай гэрээ</t>
  </si>
  <si>
    <t>Хэнтий Галшир</t>
  </si>
  <si>
    <t>2011-11-17</t>
  </si>
  <si>
    <t>Хэнтий аймгийн Галшар сумын ЗДТГ</t>
  </si>
  <si>
    <t>Булган аймаг Бүрэгхангай сумын ЗДТГ, Монполимет ХХК-ийн хооронд байгуулсан нийгмийн хариуцлагын гэрээ</t>
  </si>
  <si>
    <t>Орон нутагтай хамтран ажиллах гэрээ</t>
  </si>
  <si>
    <t>2016-04-13</t>
  </si>
  <si>
    <t>Булган аймаг Бүрэгхангай сумын ЗДТГ</t>
  </si>
  <si>
    <t>Гадаадын иргэн, гадаадын хөрөнгө оруулалттай аж ахуйн нэгж байгууллагад газар ашиглуулах гэрээ</t>
  </si>
  <si>
    <t>Алт;Мөнгө</t>
  </si>
  <si>
    <t>Завхан Эрдэнэхайрхан</t>
  </si>
  <si>
    <t>2014-03-28</t>
  </si>
  <si>
    <t>Завхан аймгийн Эрдэнэхайрхан сумын засаг даргын тамгын газар</t>
  </si>
  <si>
    <t>Баян-Айраг Экплорейшн ХХК</t>
  </si>
  <si>
    <t>Завхан Дөрвөлжин</t>
  </si>
  <si>
    <t>2014-10-02</t>
  </si>
  <si>
    <t>Завхан аймгийн Дөрвөлжин сумын Засаг даргын тамгын газар</t>
  </si>
  <si>
    <t>Монгол Улсын Засгийн Газар болон Нэйшнл Трейдинг Энд Транспорт Групп ХХК-ийн хооронд байгуулсан концессын гэрээ</t>
  </si>
  <si>
    <t>Тодорхойгүй</t>
  </si>
  <si>
    <t>Концессийн гэрээ</t>
  </si>
  <si>
    <t>Улаанбаатар Сонгинохайрхан</t>
  </si>
  <si>
    <t>2015-04-10</t>
  </si>
  <si>
    <t>Засгийн газрын хэрэгжүүлэгч агентлаг Хөрөнгө оруулалтын газар</t>
  </si>
  <si>
    <t>Нэйшнл Трейдинг Энд Транспорт Групп ХХК</t>
  </si>
  <si>
    <t>Дундговь аймаг болон Говь шоо ХХК-ийн хооронд байгуулсан хамтран ажиллах гэрээ</t>
  </si>
  <si>
    <t>Дундговь Мандалговь</t>
  </si>
  <si>
    <t>2017-12-21</t>
  </si>
  <si>
    <t>Говь шоо ХХК</t>
  </si>
  <si>
    <t>Төрийн өмчийн бодлого, зохицуулалтын газар болон Нортерн рэйлвэйс ХХК-ийн хооронд байгуулсан концессын гэрээ</t>
  </si>
  <si>
    <t>Улаанбаатар Чингэлтэй</t>
  </si>
  <si>
    <t>2015-08-20</t>
  </si>
  <si>
    <t>Монгол Улсын Засгийн Газар</t>
  </si>
  <si>
    <t>Нортерн рэйлвэйс ХХК</t>
  </si>
  <si>
    <t>Өмнөговь аймгийн Байгаль орчин, аялал жуулчлалын газар болон Хангад Эксплорэйшн ХХК-ийн хооронд байгуулсан ус ашиглуулах гэрээ</t>
  </si>
  <si>
    <t>Ус ашиглах тухай гэрээ</t>
  </si>
  <si>
    <t>Өмнөговь Даланзадгад</t>
  </si>
  <si>
    <t>2017-09-29</t>
  </si>
  <si>
    <t>Өмнөговь аймгийн Байгаль орчин, аялал жуулчлалын газар</t>
  </si>
  <si>
    <t>Хангад Эксплорайшн ХХК</t>
  </si>
  <si>
    <t>Өвөрхангай аймгийн Уянга сум болон Онолт Мөнх ХХК-ийн хамтран ажиллах гэрээ</t>
  </si>
  <si>
    <t>Өвөрхангай Уянга</t>
  </si>
  <si>
    <t>2017-07-01</t>
  </si>
  <si>
    <t>Өвөрхангай аймгийн Уянга сумын ЗДТГ</t>
  </si>
  <si>
    <t>Онолт Мөнх ХХК</t>
  </si>
  <si>
    <t>Сүхбаатар аймаг болон Цайрт минерал ХХК-ийн хооронд байгуулсан хамтран ажиллах гэрээ</t>
  </si>
  <si>
    <t>Барилгын Материал;Цайр</t>
  </si>
  <si>
    <t>Сүхбаатар Сүхбаатар</t>
  </si>
  <si>
    <t>2017-04-19</t>
  </si>
  <si>
    <t>Сүхбаатар аймгийн ЗДТГ</t>
  </si>
  <si>
    <t>Цайрт минерал ХХК</t>
  </si>
  <si>
    <t>Булган аймаг болон Өгөөж баян хангай ХХК-ийн хооронд байгуулсан хамтран ажиллах гэрээ</t>
  </si>
  <si>
    <t>2017-05-03</t>
  </si>
  <si>
    <t>Өгөөж баян хангай ХХК</t>
  </si>
  <si>
    <t>Увс аймгийн Бөхмөрөн сумын ЗДТГ болон Эрчим Баян-Өлгий ХК-ийн хооронд байгуулсан хамтран ажиллах гэрээ</t>
  </si>
  <si>
    <t>Увс Бөхмөрөн</t>
  </si>
  <si>
    <t>2017-01-06</t>
  </si>
  <si>
    <t>Увс аймгийн Бөхмөрөн сумын ЗДТГ</t>
  </si>
  <si>
    <t>Эрчим Баян-Өлгий ХК</t>
  </si>
  <si>
    <t>Хэнтий аймгийн Ус, цаг уур орчны шинжилгээний алба болон Дацан трейд ХХК-ийн хооронд байгуулсан хамтран ажиллах гэрээ</t>
  </si>
  <si>
    <t>Хэнтий Хэрлэн</t>
  </si>
  <si>
    <t>2016-07-01</t>
  </si>
  <si>
    <t>Хэнтий аймгийн Ус, Цаг уур орчны шинжилгээний алба</t>
  </si>
  <si>
    <t>Дацан трейд ХХК</t>
  </si>
  <si>
    <t>Өмнөговь аймаг, Алтайн өвөр говийн сав захиргаа болон Чинхуа-мак-нарийн сухайт ХХК-ийн хооронд байгуулсан ус ашиглах гэрээ</t>
  </si>
  <si>
    <t>2017-04-03</t>
  </si>
  <si>
    <t>Алтайн Өвөр говийн сав газрын захиргаа</t>
  </si>
  <si>
    <t>Чинхуа Мак Нарийн Сухайт ХХК</t>
  </si>
  <si>
    <t>Сэлэнгэ аймгийн ЗДТГ болон Бороо-Гоулд ХХК-ний хооронд байгуулсан ус ашиглуулах гэрээ</t>
  </si>
  <si>
    <t>Сэлэнгэ Сүхбаатар</t>
  </si>
  <si>
    <t>2017-06-23</t>
  </si>
  <si>
    <t>Сэлэнгэ аймгийн Байгаль орчин, аялал жуулчлалын газар</t>
  </si>
  <si>
    <t>Бороо Гоулд ХХК</t>
  </si>
  <si>
    <t>Туул голын сав газрын захиргаа болон Илт гоулд ХХК-ийн хооронд байгуулсан ус ашиглуулах гэрээ 11</t>
  </si>
  <si>
    <t>Улаанбаатар Баянгол</t>
  </si>
  <si>
    <t>2017-05-17</t>
  </si>
  <si>
    <t>Туул голын сав газрын захиргаа</t>
  </si>
  <si>
    <t>Илт Гоулд ХХК</t>
  </si>
  <si>
    <t>Туул голын сав газрын захиргааны ус ашиглалтыг зохицуулах алба болон Алтандорнод Монгол ХХК, Плантинум ланд ХХК-ийн хооронд байгуулсан ус ашиглах гэрээ</t>
  </si>
  <si>
    <t>2017-07-18</t>
  </si>
  <si>
    <t>Платинум Ланд ХХК</t>
  </si>
  <si>
    <t>Туул голын сав газрын захиргаа болон ГБНБ ХХК-ийн хооронд байгуулсан ус ашиглах гэрээ</t>
  </si>
  <si>
    <t>2017-05-15</t>
  </si>
  <si>
    <t>ГБНБ ХХК</t>
  </si>
  <si>
    <t>Төв аймгийн Баянцагаан сум болон Монголчёх метал ХХК-ийн хооронд байгуулсан ус ашиглах гэрээ</t>
  </si>
  <si>
    <t>Төв Баянцагаан</t>
  </si>
  <si>
    <t>2016-11-15</t>
  </si>
  <si>
    <t>Баянцагаан сумын ЗДТГ</t>
  </si>
  <si>
    <t>Монголчёх метал ХХК</t>
  </si>
  <si>
    <t>Хүйсийн говь, Цэцэг нурын сав газрын захиргаа болон МОЭНКО ХХК-ийн хооронд байгуулсан ус ашиглах гэрээ</t>
  </si>
  <si>
    <t>Ховд Дарви</t>
  </si>
  <si>
    <t>2017-06-19</t>
  </si>
  <si>
    <t>Хүйсийн говь, Цэцэг нуурын сав газрын захиргаа</t>
  </si>
  <si>
    <t>МоЭнКо ХХК</t>
  </si>
  <si>
    <t>Говь-Алтай аймгийн Цээл сум болон Алтайн хүдэр ХХК-ийн хооронд байгуулсан газар ашиглуулах гэрээ 00016</t>
  </si>
  <si>
    <t>Говь-Алтай Цээл</t>
  </si>
  <si>
    <t>2012-02-04</t>
  </si>
  <si>
    <t>Говь-Алтай аймгийн ЗДТГ</t>
  </si>
  <si>
    <t>Алтайн Хүдэр ХХК</t>
  </si>
  <si>
    <t>Говь-Алтай аймгийн Цээл сум болон Алтайн хүдэр ХХК-ийн хооронд байгуулсан газар ашиглуулах гэрээ 0389</t>
  </si>
  <si>
    <t>2016-12-28</t>
  </si>
  <si>
    <t>Говь-Алтай аймгийн Цээл сум болон Алтайн хүдэр ХХК-ийн хооронд байгуулсан газар ашиглуулах гэрээ/00007/38-16</t>
  </si>
  <si>
    <t>2016-05-10</t>
  </si>
  <si>
    <t>Говь-Алтай аймгийн Цээл сумын ЗДТГ</t>
  </si>
  <si>
    <t>Дорноговь аймгийн Өргөн сум болон Шидэт-Од ХХК-ийн хооронд байгуулсан газар ашиглуулах гэрээ</t>
  </si>
  <si>
    <t>Дорноговь Өргөн</t>
  </si>
  <si>
    <t>2010-06-17</t>
  </si>
  <si>
    <t>Дорноговь аймгийн Өргөн сумын ЗДТГ</t>
  </si>
  <si>
    <t>Шидэт-Од ХХК</t>
  </si>
  <si>
    <t>Дорноговь аймгийн Айраг сум болон Дунфалунма-ХХК-ийн хооронд байгуулсан газар ашиглуулах гэрээ</t>
  </si>
  <si>
    <t>Дорноговь Айраг</t>
  </si>
  <si>
    <t>2017-09-04</t>
  </si>
  <si>
    <t>Дорноговь аймгийн Айраг сумын ЗДТГ</t>
  </si>
  <si>
    <t>Дунфалунма ХХК</t>
  </si>
  <si>
    <t>Дорноговь аймгийн Айраг сум болон Хөх жонш ХХК-ийн хооронд байгуулсан газар ашиглуулах гэрээ</t>
  </si>
  <si>
    <t>Хөх жонш ХХК</t>
  </si>
  <si>
    <t>Төв аймгийн Заамар сум болон Бумбат ХХК-ийн хооронд байгуулсан газар ашиглах гэрээ 4 га</t>
  </si>
  <si>
    <t>Төв Заамар</t>
  </si>
  <si>
    <t>2017-01-31</t>
  </si>
  <si>
    <t>Төв аймгийн Заамар сумын ЗДТГ</t>
  </si>
  <si>
    <t>Бумбат ХХК</t>
  </si>
  <si>
    <t>Төв аймгийн Заамар сум болон Уул заамар ХХК-ийн хооронд байгуулсан газар ашиглах гэрээ 802.19 га</t>
  </si>
  <si>
    <t>2017-02-10</t>
  </si>
  <si>
    <t>Уулс заамар ХХК</t>
  </si>
  <si>
    <t>Төв аймгийн Заамар сум болон Нью хаппи ХХК-ийн хооронд байгуулсан газар ашиглах гэрээ</t>
  </si>
  <si>
    <t>2017-03-25</t>
  </si>
  <si>
    <t>Нью Хаппи ХХК</t>
  </si>
  <si>
    <t>Төв аймгийн Заамар сум болон Алтан Заамар ХХК-ийн хооронд байгуулсан газар ашиглах гэрээ</t>
  </si>
  <si>
    <t>2017-03-24</t>
  </si>
  <si>
    <t>Алтан Заамар ХХК</t>
  </si>
  <si>
    <t>Төв аймгийн Заамар сум болон Баянгол эко заамар ХХК-ийн хооронд байгуулсан газар ашиглах гэрээ</t>
  </si>
  <si>
    <t>Баянгол Эко Заамар ХХК</t>
  </si>
  <si>
    <t>Төв аймгийн Заамар сум болон Алтандорнод Монгол ХХК-ийн хооронд байгуулсан газар ашиглах гэрээ 115.94 га</t>
  </si>
  <si>
    <t>Алтандорнод Монгол ХХК</t>
  </si>
  <si>
    <t>Төв аймгийн Заамар сум болон Сонор трейд ХХК-ийн хооронд байгуулсан газар ашиглах гэрээ</t>
  </si>
  <si>
    <t>Сонор трейд ХХК</t>
  </si>
  <si>
    <t>Төв аймгийн Заамар сум болон Алтандорнод Монгол ХХК-ийн хооронд байгуулсан газар ашиглах гэрээ 8.96 га</t>
  </si>
  <si>
    <t>Төв аймгийн Сэргэлэн сум болон Үүртгоулд ХХК-ийн хооронд байгуулсан газар ашиглах гэрээ</t>
  </si>
  <si>
    <t>Төв Сэргэлэн</t>
  </si>
  <si>
    <t>2017-06-24</t>
  </si>
  <si>
    <t>Төв аймгийн Сэргэлэн сумын ЗДТГ</t>
  </si>
  <si>
    <t>Үүрт Гоулд ХХК</t>
  </si>
  <si>
    <t>Төв аймгийн Заамар сум болон Алтандорнод Монгол ХХК-ийн хооронд байгуулсан газар ашиглах гэрээ 530.12 га</t>
  </si>
  <si>
    <t>Төв аймгийн Заамар сум болон Алтандорнод Монгол ХХК-ийн хооронд байгуулсан газар ашиглах гэрээ 9.2 га</t>
  </si>
  <si>
    <t>Говь-Алтай аймгийн Чандмань сум болон Гоби Коул анд Энержи ХХК-ийн хооронд байгуулсан газар ашиглах гэ/ээ 1/2</t>
  </si>
  <si>
    <t>Говь-Алтай Чандмана</t>
  </si>
  <si>
    <t>2011-07-20</t>
  </si>
  <si>
    <t>Говь-Алтай аймгийн Чандмань сумын ЗДТГ</t>
  </si>
  <si>
    <t>Гоби Коул энд Энержи ХХК</t>
  </si>
  <si>
    <t>Ховд аймгийн Дарви сум болон МоЭнКо ХХК-ийн хооронд байгуулсан газар ашиглах гэрээ 176.55 га</t>
  </si>
  <si>
    <t>2016-11-02</t>
  </si>
  <si>
    <t>Ховд аймгийн Дарви сумын ЗДТГ</t>
  </si>
  <si>
    <t>БОАЖЯ, АМГТГ, МХЕГ, Өвөрхангай аймаг болон Баярсгоулд ХХК-ийн хооронд байгуулсан нөхөн сэргээх үйл ажиллагааны гэрээ</t>
  </si>
  <si>
    <t>Гол мөрний урсац бүрэлдэх эх, усны сан бүхий газрын хамгаалалтын бүс, ойн сан бүхий газ  арт ашигт малтмал хайх, ашиглахыг хориглох тухай хуулийн дагуу хийгдэх гэрээ</t>
  </si>
  <si>
    <t>2016-09-23</t>
  </si>
  <si>
    <t>Байгаль орчин, ногоон хөгжил, аялал жуулчлалын яам</t>
  </si>
  <si>
    <t>Баярсгоулд ХХК</t>
  </si>
  <si>
    <t>БОАЖЯ, АМГ, МХЕГ, Дархан-Уул аймаг болон Гуравт ХХК-ийн хооронд байгуулсан нөхөн сэргээх үйл ажиллагааны гэрээ</t>
  </si>
  <si>
    <t>Дархан-Уул Шарын гол</t>
  </si>
  <si>
    <t>2017-04-18</t>
  </si>
  <si>
    <t>Гуравт ХХК</t>
  </si>
  <si>
    <t>Төхөм X урд талбайд газрын тосны хайгуул, ашиглалтын үйл ажиллагаа эрхлэх талаар Ашигт малтмал, газрын тосны газар болон Монголын алт ХХК хооронд шинэчлэн байгуулсан бүтээгдэхүүн хуваах гэрээ</t>
  </si>
  <si>
    <t>Газрын Тос</t>
  </si>
  <si>
    <t>Бүтээгдэхүүн хуваах гэрээ</t>
  </si>
  <si>
    <t>Өмнөговь Цогтцэций</t>
  </si>
  <si>
    <t>2017-06-16</t>
  </si>
  <si>
    <t>Газрын тосны хайгуулын Богд-IV талбайн талаар Газрын тосны газар болон "Сентрал Азиан Петролеум корпорэйшн лимитэд" компанийн хооронд байгуулах бүтээгдэхүүн хуваах гэрээ</t>
  </si>
  <si>
    <t>Говь-Алтай Бигэр</t>
  </si>
  <si>
    <t>2009-07-08</t>
  </si>
  <si>
    <t>Газрын тосны газар</t>
  </si>
  <si>
    <t>Сентрал Азиан Петролеум Корпорэйшн Лимитэд</t>
  </si>
  <si>
    <t>Газрын тосны хайгуулын Дарьганга-XXIV талбайн талаар Газрын тосны газар, "Апекспро Инвестмэнт Лимитэд"-ийн хооронд байгуулсан бүтээгдэхүүн хуваах гэрээ</t>
  </si>
  <si>
    <t>Сүхбаатар Наран</t>
  </si>
  <si>
    <t>2010-12-17</t>
  </si>
  <si>
    <t>Апекспро инвестмэнт лимитэд</t>
  </si>
  <si>
    <t>Газрын тосны Онги-V талбайн талаар Газрын тосны газар болон Сентрал Азиан Петролеум корпорэйшн лимитэд компанийн хооронд байгуулах бүтээгдэхүүн хуваах гэрээ</t>
  </si>
  <si>
    <t>Дундговь Сайхан-Овоо</t>
  </si>
  <si>
    <t>Монгол Улсын Засгийн газар болон "Эрдэнэс цагаан суварга" ХХК, "Монголын алт" (МАК) ХХК-ийн хооронд байгуулсан Цагаан суварга төслийн хөрөнгө оруулалтын гэрээ</t>
  </si>
  <si>
    <t>Хөрөнгө өруулалтын гэрээ</t>
  </si>
  <si>
    <t>Дорноговь Мандах</t>
  </si>
  <si>
    <t>2015-10-13</t>
  </si>
  <si>
    <t>Засгийн газар</t>
  </si>
  <si>
    <t>Эрдэнэс цагаан суварга ХХК;Монголын алт ХХК</t>
  </si>
  <si>
    <t>Stability agreement (Tsairt mineral)</t>
  </si>
  <si>
    <t>Тогтвортой байдлын гэрээ</t>
  </si>
  <si>
    <t>2019-04-15</t>
  </si>
  <si>
    <t>Ашиглалтын өмнөх үйл ажиллагааны тухай гэрээ [Вояжерголд ХХК]</t>
  </si>
  <si>
    <t>Зэс;Алт</t>
  </si>
  <si>
    <t>Ашиглалтын өмнөх гэрээ</t>
  </si>
  <si>
    <t>Өмнөговь Ноён</t>
  </si>
  <si>
    <t>2014-06-27</t>
  </si>
  <si>
    <t>Ашигт малтмалын газар</t>
  </si>
  <si>
    <t>Вояжерголд ХХК</t>
  </si>
  <si>
    <t>Ашиглалтын өмнөх үйл ажиллагааны тухай гэрээ [Олон овоот гоулд ХХК]</t>
  </si>
  <si>
    <t>Хайлуур Жонш</t>
  </si>
  <si>
    <t>Өмнөговь Мандал-Овоо</t>
  </si>
  <si>
    <t>2003-05-15</t>
  </si>
  <si>
    <t>Олон овоот гоулд ХХК</t>
  </si>
  <si>
    <t>Ашиглалтын өмнөх үйл ажиллагааны тухай гэрээ [Нью Венчурс ХХК]</t>
  </si>
  <si>
    <t>Мөсөн Шүү</t>
  </si>
  <si>
    <t>2013-11-26</t>
  </si>
  <si>
    <t>Нью Венчурс ХХК</t>
  </si>
  <si>
    <t>Ашиглалтын өмнөх үйл ажиллагааны тухай гэрээ [Монголросцветмет ХХК]</t>
  </si>
  <si>
    <t>Увс Наранбулаг</t>
  </si>
  <si>
    <t>2012-05-30</t>
  </si>
  <si>
    <t>Монголросцветмет ХХК</t>
  </si>
  <si>
    <t>Ашиглалтын өмнөх үйл ажиллагааны тухай гэрээ [Тэнгэрийн гэгээн тал ХХК]</t>
  </si>
  <si>
    <t>Дундговь Эрдэнэдалай</t>
  </si>
  <si>
    <t>2014-05-30</t>
  </si>
  <si>
    <t>Тэнгэрийн гэгээн тал ХХК</t>
  </si>
  <si>
    <t>Ашиглалтын өмнөх үйл ажиллагааны тухай гэрээ [Ричфлюорит ХХК]</t>
  </si>
  <si>
    <t>Хэнтий Баян-Овоо</t>
  </si>
  <si>
    <t>2013-07-03</t>
  </si>
  <si>
    <t>Ричфлюорит ХХК</t>
  </si>
  <si>
    <t>Ашиглалтын өмнөх үйл ажиллагааны тухай гэрээ [Цайрт минерал ХХК]</t>
  </si>
  <si>
    <t>Барилгын Чулуу</t>
  </si>
  <si>
    <t>2014-06-23</t>
  </si>
  <si>
    <t>Ашиглалтын өмнөх үйл ажиллагааны тухай гэрээ [Чинбөлай ХХК]</t>
  </si>
  <si>
    <t>Шаварлаг шороо;Тоосго</t>
  </si>
  <si>
    <t>Өмнөговь Гурвантэс</t>
  </si>
  <si>
    <t>2012-06-22</t>
  </si>
  <si>
    <t>Чинбөлай</t>
  </si>
  <si>
    <t>Нийгмийн хариуцлагын гэрээ [Төв аймгийн Заамар сум - "Баянгол Эко Заамар" ХХК]</t>
  </si>
  <si>
    <t>2018-03-12</t>
  </si>
  <si>
    <t>Төв аймгийн Заамар сум</t>
  </si>
  <si>
    <t>Ашиглалтын өмнөх үйл ажиллагааны тухай гэрээ [Эрдэнэт үйлдвэр ХХК]</t>
  </si>
  <si>
    <t>Элс Хайрга</t>
  </si>
  <si>
    <t>Орхон Жаргалант</t>
  </si>
  <si>
    <t>2013-02-02</t>
  </si>
  <si>
    <t>Эрдэнэт үйлдвэр ХХК</t>
  </si>
  <si>
    <t>Улсын төсвийн хайгуулын ажилд гарсан зардлыг нөхөн төлөх тухай гэрээ ["Өрмөн уул" ХХК]</t>
  </si>
  <si>
    <t>Улсын төсвийн хөрөнгөөр хийсэн хайгуулын ажлын зардлын нөхөн төлбөрийн гэрээ</t>
  </si>
  <si>
    <t>2015-08-26</t>
  </si>
  <si>
    <t>Өрмөн Уул ХХК</t>
  </si>
  <si>
    <t>Улсын төсвөөс хайгуулын ажилд гарсан зардлыг нөхөн төлөх тухай гэрээ ["Антрацит" ХХК]</t>
  </si>
  <si>
    <t>2016-05-27</t>
  </si>
  <si>
    <t>Антрацит ХХК</t>
  </si>
  <si>
    <t>Улсын төсвөөс хайгуулын ажилд гарсан зардлыг нөхөн төлөх тухай гэрээ ["Гокбулган-Уул" ХХК]</t>
  </si>
  <si>
    <t>2016-06-17</t>
  </si>
  <si>
    <t>"Гокбулган-Уул" ХХК</t>
  </si>
  <si>
    <t>Улсын төсвөөс хайгуулын ажилд гарсан зардлыг нөхөн төлөх тухай гэрээ ["Хунт өгөөж" ХХК ]</t>
  </si>
  <si>
    <t>Сүхбаатар Мөнххаан</t>
  </si>
  <si>
    <t>2016-03-16</t>
  </si>
  <si>
    <t>ашигт малтмалын газар</t>
  </si>
  <si>
    <t>Улсын төсвөөс хайгуулын ажилд гарсан зардлыг нөхөн төлөх тухай гэрээ ["АУМ-Алт" ХХК]</t>
  </si>
  <si>
    <t>2017-06-13</t>
  </si>
  <si>
    <t>Ашигт малтмал, газрын тосны газар;Ашигт малтмал, газрын тосны газар;Ашигт малтмал, газрын тосны газар</t>
  </si>
  <si>
    <t>АУМ-алт ХХК</t>
  </si>
  <si>
    <t>Улсын төсвөөс хайгуулын ажилд гарсан зардлыг нөхөн төлөх тухай гэрээ [Гурвантамга ХХК]</t>
  </si>
  <si>
    <t>2017-02-24</t>
  </si>
  <si>
    <t>Гурвантамга ХХК</t>
  </si>
  <si>
    <t>Улсын төсвөөс хайгуулын ажилд гарсан зардлыг нөхөн төлөх тухай гэрээ ["Засаг чандмань майнз" ХХК]</t>
  </si>
  <si>
    <t>Төмрийн Хүдэр</t>
  </si>
  <si>
    <t>Дорноговь Дэлгэрэх</t>
  </si>
  <si>
    <t>2017-05-05</t>
  </si>
  <si>
    <t>Засаг чандмань майнз ХХК</t>
  </si>
  <si>
    <t>Улсын төсвийн хайгуулын ажилд гарсан зардлыг нөхөн төлөх тухай гэрээ ["Очир Ундраа" ХХК]</t>
  </si>
  <si>
    <t>Дархан-Уул Хонгор</t>
  </si>
  <si>
    <t>2017-03-10</t>
  </si>
  <si>
    <t>Очир Ундраа ХХК</t>
  </si>
  <si>
    <t>Улсын төсвөөс хайгуулын ажилд гарсан зардлыг нөхөн төлөх тухай гэрээ ["Хотгор" ХХК]</t>
  </si>
  <si>
    <t>2017-12-28</t>
  </si>
  <si>
    <t>Улсын төсвөөс хайгуулын ажилд гарсан зардлыг нөхөн төлөх тухай гэрээ ["Сонгоулд" ХХК]</t>
  </si>
  <si>
    <t>Сэлэнгэ Мандал</t>
  </si>
  <si>
    <t>2017-12-25</t>
  </si>
  <si>
    <t>Сонгоулд ХХК</t>
  </si>
  <si>
    <t>Улсын төсвөөс хайгуулын ажилд гарсан зардлыг нөхөн төлөх тухай гэрээ ["Эко Алт" ХХК]</t>
  </si>
  <si>
    <t>Ашигт малтмал, газрын тосны газар;Ашигт малтмал, газрын тосны газар;Ашигт малтмал, газрын тосны дарга</t>
  </si>
  <si>
    <t>Эко Алт ХХК</t>
  </si>
  <si>
    <t>Улсын төсвөөс хайгуулын ажилд гарсан зардлыг нөхөн төлөх тухай гэрээ ["Эрдэнэ дорно" ХХК]</t>
  </si>
  <si>
    <t>2017-07-25</t>
  </si>
  <si>
    <t>Эрдэнэ дорно ХХК</t>
  </si>
  <si>
    <t>Дорноговь аймгийн Улаанбадрах сум болон Аревамайнз ХХК-ийн хооронд байгуулсан газар ашиглах тухай гэрээ</t>
  </si>
  <si>
    <t>2016-11-11</t>
  </si>
  <si>
    <t>Дорноговь аймгийн Улаанбадрах сумын ЗДТГ</t>
  </si>
  <si>
    <t>Арева майнз ХХК</t>
  </si>
  <si>
    <t>Хөвсгөл аймаг болон Далай гоулд ХХК-ийн хооронд байгуулсан хамтран ажиллах гэрээ</t>
  </si>
  <si>
    <t>Түгээмэл тархацтай ашигт малтмал</t>
  </si>
  <si>
    <t>Хөвсгөл Мөрөн</t>
  </si>
  <si>
    <t>2017-01-23</t>
  </si>
  <si>
    <t>Хөвсгөл аймгийн ЗДТГ</t>
  </si>
  <si>
    <t>Далай гоулд ХХК</t>
  </si>
  <si>
    <t>Төв аймгийн Лүн сум болон Авдархайрхан ТӨҮГ-ийн хооронд байгуулсан хамтран ажиллах гэрээ</t>
  </si>
  <si>
    <t>Боржин;Түгээмэл тархацтай ашигт малтмал</t>
  </si>
  <si>
    <t>Төв Лүн</t>
  </si>
  <si>
    <t>Лүн сумын ЗДТГ</t>
  </si>
  <si>
    <t>Авдархайрхан ТӨҮГ</t>
  </si>
  <si>
    <t>Орхон аймаг болон Үйлс констракшн ХХК-ийн хооронд байгуулсан газар ашиглах гэрээ</t>
  </si>
  <si>
    <t>Барилгын Материал;Түгээмэл тархацтай ашигт малтмал</t>
  </si>
  <si>
    <t>Орхон Орхон</t>
  </si>
  <si>
    <t>2013-02-24</t>
  </si>
  <si>
    <t>Орхон аймгийн ГХБХБГазар</t>
  </si>
  <si>
    <t>Үйлс Констракшн ХХК</t>
  </si>
  <si>
    <t>Орхон аймаг болон Чингэл бөөнцагаан ХХК-ийн хооронд байгуулсан газар ашиглах гэрээ</t>
  </si>
  <si>
    <t>2015-12-09</t>
  </si>
  <si>
    <t>Чингэлбөөнцагаан ХХК</t>
  </si>
  <si>
    <t>Байгаль орчныг хамгаалах, уурхай ашиглах, үйлдвэр байгуулахтай холбогдсон дэд бүтцийг хөгжүүлэх, ажлын байр нэмэгдүүлэх тухай гэрээ</t>
  </si>
  <si>
    <t>2019-03-30</t>
  </si>
  <si>
    <t>Жотойн Бажуна ХХК</t>
  </si>
  <si>
    <t>алт</t>
  </si>
  <si>
    <t>2019-03-29</t>
  </si>
  <si>
    <t>Заамаргоулд ХХК</t>
  </si>
  <si>
    <t>Байгаль орчныг хамгаалах, уурхай ашиглах үйлдвэр байгуулахтай холбогдсон дэд бүтцийг хөгжүүлэх, ажлын байр нэмэгдүүлэх</t>
  </si>
  <si>
    <t>Дорнод Хэрлэн</t>
  </si>
  <si>
    <t>2019-04-08</t>
  </si>
  <si>
    <t>Аймаг, сумын Засаг даргын Тамгын газар</t>
  </si>
  <si>
    <t>Сүхжин</t>
  </si>
  <si>
    <t>ГБНБ ХХК-ийн Нийгмийн хариуцлагын гэрээ</t>
  </si>
  <si>
    <t>2019-05-16</t>
  </si>
  <si>
    <t>Булган аймгийн Бүрэгхангай сумын ЗДТГ</t>
  </si>
  <si>
    <t>Шижир-Алт ХХК-ийн нийгмийн хариуцлагын гэрээ</t>
  </si>
  <si>
    <t>Мөнхбат</t>
  </si>
  <si>
    <t>Норд вест минералс ХХК-ийн Нийгмийн хариуцлагын гэрээ</t>
  </si>
  <si>
    <t>Wan Choi Lin</t>
  </si>
  <si>
    <t>Ус ашиглах гэрээ</t>
  </si>
  <si>
    <t>2019-07-29</t>
  </si>
  <si>
    <t>Онги-Таац голын сав газрын захиргаа</t>
  </si>
  <si>
    <t>АУМ Алт ХХК</t>
  </si>
  <si>
    <t>Хамтран ажиллах гэрээ</t>
  </si>
  <si>
    <t>Хүрэн Нүүрс</t>
  </si>
  <si>
    <t>Сүхбаатар Асгат</t>
  </si>
  <si>
    <t>2019-04-04</t>
  </si>
  <si>
    <t>Сүхбаатар аймгийн ЗДТГ, Сүхбаатар сумын ЗДТГ, Асгат сумын ЗДТГ</t>
  </si>
  <si>
    <t>Дорнын чулуулаг ХХК</t>
  </si>
  <si>
    <t>Дундговь Гурвансайхан</t>
  </si>
  <si>
    <t>2018-06-25</t>
  </si>
  <si>
    <t>Үнэн бэх ХХК</t>
  </si>
  <si>
    <t>2019-12-25</t>
  </si>
  <si>
    <t>Хамтран ажиллах гэрээ-Төгс майнинг ХХК</t>
  </si>
  <si>
    <t>2019-03-31</t>
  </si>
  <si>
    <t>Заамар нутгийн хөгжлийг дэмжих сан НҮСан</t>
  </si>
  <si>
    <t>Төгс майнинг ХХК</t>
  </si>
  <si>
    <t>Ус ашиглах гэрэээ</t>
  </si>
  <si>
    <t>Завхан Завханмандал</t>
  </si>
  <si>
    <t>2019-11-14</t>
  </si>
  <si>
    <t>Хяргас нуур-Завхан голын сав газрын захиргаа</t>
  </si>
  <si>
    <t>Ховд аймгийн Дарви сум болон МоЭнКо ХХК-ийн хооронд байгуулсан газар ашиглах гэрээ 1296.31 га</t>
  </si>
  <si>
    <t>Бичил уурхайгаар ашигт малтмал олборлох тухай гэрээ</t>
  </si>
  <si>
    <t>Artisanal mining agreement</t>
  </si>
  <si>
    <t>Хэнтий Баян-Адрага</t>
  </si>
  <si>
    <t>2020-02-14</t>
  </si>
  <si>
    <t>Хэнтий аймгийн Баян-Адарга сумын Засаг дарга</t>
  </si>
  <si>
    <t>Арвин эрдэнэ уулс нөхөрлөл</t>
  </si>
  <si>
    <t>Сэлэнгэ Баянгол</t>
  </si>
  <si>
    <t>2018-05-22</t>
  </si>
  <si>
    <t>Сэлэнгэ аймгийн Баянгол сумын Засаг дарга</t>
  </si>
  <si>
    <t>Баян намсрайхан нөхөрлөл</t>
  </si>
  <si>
    <t>2018-06-15</t>
  </si>
  <si>
    <t>Баян хөгжил хараа нөхөрлөл</t>
  </si>
  <si>
    <t>Бичил уурхайгаар ашигт малтмал олборлох гэрээ</t>
  </si>
  <si>
    <t>Өвөрхангай Хайрхандулаан</t>
  </si>
  <si>
    <t>2018-06-29</t>
  </si>
  <si>
    <t>Өвөрхангай аймгийн Хайрхан дулаан сумын Засаг дарга</t>
  </si>
  <si>
    <t>Буян нөхөрлөл</t>
  </si>
  <si>
    <t>2018-11-20</t>
  </si>
  <si>
    <t>Хэнтий аймгийн Хэрлэн сумын Засаг дарга</t>
  </si>
  <si>
    <t>Дөл хайрханы хишиг нөхөрлөл</t>
  </si>
  <si>
    <t>Жавхлан бэрх нөхөрлөл</t>
  </si>
  <si>
    <t>Бичил уурхайгаар ашигт малтмал олборлох  тухай гэрээ</t>
  </si>
  <si>
    <t>Өвөрхангай Нарийнтээл</t>
  </si>
  <si>
    <t>2018-05-10</t>
  </si>
  <si>
    <t>Өвөрхангай аймгийн Нарийнтээл сумын Засаг дарга</t>
  </si>
  <si>
    <t>Зүлэгт нөхөрлөл</t>
  </si>
  <si>
    <t>2017-09-01</t>
  </si>
  <si>
    <t>Их булаг нөхөрлөл</t>
  </si>
  <si>
    <t>2018-08-22</t>
  </si>
  <si>
    <t>Нүнжигт Баянгол нөхөрлөл</t>
  </si>
  <si>
    <t>Бичил уурхайн нөхөрлөлтэй байгуулах гэрээ</t>
  </si>
  <si>
    <t>2017-06-02</t>
  </si>
  <si>
    <t>Булган аймаг Бүрэгхангай сумын Засаг дарга Н.Эрхэмбаяр</t>
  </si>
  <si>
    <t>Наран-Эрдэнэ нөхөрлөл</t>
  </si>
  <si>
    <t>Хэнтий Батноров</t>
  </si>
  <si>
    <t>2018-11-12</t>
  </si>
  <si>
    <t>Хэнтий аймгийн Батноров сумын Засаг дарга</t>
  </si>
  <si>
    <t>Саранхаяа нөхөрлөл</t>
  </si>
  <si>
    <t>2019-01-09</t>
  </si>
  <si>
    <t>Хайрхан баялаг жонш нөхөрлөл</t>
  </si>
  <si>
    <t>2018-09-25</t>
  </si>
  <si>
    <t>Хангай өгөөж дэнж нөхөрлөл</t>
  </si>
  <si>
    <t>2018-04-23</t>
  </si>
  <si>
    <t>Дархан-Уул аймгийн Шарын гол сумын Засаг дарга</t>
  </si>
  <si>
    <t>Эвсэг ардууд нөхөрлөл</t>
  </si>
  <si>
    <t>Эрд мөнх нөхөрлөл</t>
  </si>
  <si>
    <t>Бичил уурхайгаар ашигт малтмал олборлох нөхөрлөлийн ахлагч нартай байгуулсан гэрээ</t>
  </si>
  <si>
    <t>Дундговь Луус</t>
  </si>
  <si>
    <t>2018-12-27</t>
  </si>
  <si>
    <t>Дундговь аймгийн Луус сумын Засаг дарга</t>
  </si>
  <si>
    <t>Арвин буян цогц дүүрэн нөхөрлөл</t>
  </si>
  <si>
    <t>2018-07-24</t>
  </si>
  <si>
    <t>Булган аймгийн Бүрэгхангай сумын Засаг дарга</t>
  </si>
  <si>
    <t>Баяжих тэмүүлэл бүрэг нөхөрлөл</t>
  </si>
  <si>
    <t>Өвөрхангай Баруунбаян-Улаан</t>
  </si>
  <si>
    <t>2018-07-19</t>
  </si>
  <si>
    <t>Баруунбаян-Улаан сумын Засаг дарга Д.Баатарчулуун</t>
  </si>
  <si>
    <t>Баян айраг нөхөрлөлийн ахлагч П.Даваа</t>
  </si>
  <si>
    <t>Бичил уурхайгаар ашигт малтмал олборлох тухай гэрээ Баян ундарга арвижих</t>
  </si>
  <si>
    <t>2018-04-17</t>
  </si>
  <si>
    <t>Дархан Хонгор сумын Засаг дарга Т.Атархишиг</t>
  </si>
  <si>
    <t>Баян ундарга арвижих нөхөрлөл</t>
  </si>
  <si>
    <t>2018-08-13</t>
  </si>
  <si>
    <t>Өвөрхангай аймгийн Баруунбаян-Улаан сумын</t>
  </si>
  <si>
    <t>Баян-таац нөхөрлөл</t>
  </si>
  <si>
    <t>Эрлийн ажил гүйцэтгэх гэрээ, Тэмүүжин металс ХХК</t>
  </si>
  <si>
    <t>Нүүрсний давхаргын метан хий</t>
  </si>
  <si>
    <t>Газрын тосны эрлийн гэрээ</t>
  </si>
  <si>
    <t>2018-10-29</t>
  </si>
  <si>
    <t>Тэмүүжин металс ХХК</t>
  </si>
  <si>
    <t>Бичил уурхайгаар ашигт малтмал олборлох тухай гэрээ Газрын өгөөж</t>
  </si>
  <si>
    <t>Дундговь Хулд</t>
  </si>
  <si>
    <t>2018-07-23</t>
  </si>
  <si>
    <t>Дундговь аймгийн Хулд сумын ЗДТГ</t>
  </si>
  <si>
    <t>Газрын өгөөж</t>
  </si>
  <si>
    <t>Иргэн хуулийн этгээдэд газар ашиглуулах гэрээ</t>
  </si>
  <si>
    <t>2016-05-16</t>
  </si>
  <si>
    <t>Дорноговь аймгийн Дэлгэрэх сумын ЗДТГ</t>
  </si>
  <si>
    <t>2018-07-04</t>
  </si>
  <si>
    <t>Олон овоо</t>
  </si>
  <si>
    <t>жонш</t>
  </si>
  <si>
    <t>2018-07-17</t>
  </si>
  <si>
    <t>Дундговь аймгийн Хулд сумын Засаг дарга</t>
  </si>
  <si>
    <t>Түмэн хишиг</t>
  </si>
  <si>
    <t>2018-05-08</t>
  </si>
  <si>
    <t>Дархан-Уул аймгийн Шарын гол сумын ЗДТГ</t>
  </si>
  <si>
    <t>Шарын гол илч</t>
  </si>
  <si>
    <t>Сэлэнгэ Ерөө</t>
  </si>
  <si>
    <t>2018-09-06</t>
  </si>
  <si>
    <t>Сэлэнгэ аймгийн Ерөө сумын Засаг дарга М.Ганбаатар</t>
  </si>
  <si>
    <t>Ерөө хамтын хүч нөхөрлөл нөхөрлөл</t>
  </si>
  <si>
    <t>2018-09-07</t>
  </si>
  <si>
    <t>Янзаган төгөл нөхөрлөл</t>
  </si>
  <si>
    <t>2018-09-12</t>
  </si>
  <si>
    <t>Хишиг үйлст Ерөө нөхөрлөл</t>
  </si>
  <si>
    <t>Ашиглалтын тусгай зөвшөөрөл бүхий талбайгаас бичил уурхайгаар ашигт малтмал олборлох гурвалсан гэрээ</t>
  </si>
  <si>
    <t>Улаанбаатар Налайх</t>
  </si>
  <si>
    <t>2018-10-10</t>
  </si>
  <si>
    <t>Налайх дүүргийн Засаг дарга Ч.Раднаабазар</t>
  </si>
  <si>
    <t>Нартхайрхан нөхөрлөл;Нартхайрхан ХХК</t>
  </si>
  <si>
    <t>Эрлийн ажил гүйцэтгэх гэрээ, Зэ честнат фанд Монголиа ХХК, Матад</t>
  </si>
  <si>
    <t>Дорнод Матад</t>
  </si>
  <si>
    <t>2019-01-18</t>
  </si>
  <si>
    <t>Зэ Чэстснат Фанд Монголиа ХХК</t>
  </si>
  <si>
    <t>Эрлийн ажил гүйцэтгэх гэрээ, Софтрок ХХК</t>
  </si>
  <si>
    <t>Дорнод Чулуун хороот,Дорнод Гурванзагал,Дорнод Чойбалсан</t>
  </si>
  <si>
    <t>2018-09-17</t>
  </si>
  <si>
    <t>Софтрок ХХК</t>
  </si>
  <si>
    <t>Эрлийн ажил гүйцэтгэх гэрээ, Юу жи Эс ХХК</t>
  </si>
  <si>
    <t>нүүрсний давхаргын метан хий</t>
  </si>
  <si>
    <t>Улаанбаатар Налайх,Улаанбаатар Багахангай,Төв Баян,Төв Баяндэлгэр,Төв Баянжаргалан,Төв Эрдэнэ,Төв Сэргэлэн,Төв Баянцагаан,Төв Архуст,Хэнтий Цэнхэрмандал,Хэнтий Хэрлэн</t>
  </si>
  <si>
    <t>2018-06-19</t>
  </si>
  <si>
    <t>Юу жи Эс ХХК</t>
  </si>
  <si>
    <t>Бичил уурхайгаар ашигт малтмал олборлох тухай гэрээ, Сэлэнгэ эрдэнэ вангийн хошуу</t>
  </si>
  <si>
    <t>2018-09-10</t>
  </si>
  <si>
    <t>Сэлэнгэ эрдэнэ вангийн хошуу нөхөрлөл</t>
  </si>
  <si>
    <t>Бичил уурхайгаар ашигт  малтмал олборлох гэрээ</t>
  </si>
  <si>
    <t>2018-02-27</t>
  </si>
  <si>
    <t>Дорноговь аймгийн Айраг сумын Засаг даргын үүрэг гүйцэтгэгч Л.Мөнхжаргал</t>
  </si>
  <si>
    <t>Айраг шинэ цагийн залуус нөхөрлөл</t>
  </si>
  <si>
    <t>2018-09-18</t>
  </si>
  <si>
    <t>Ерөө байгалийн өгөөж нөхөрлөл</t>
  </si>
  <si>
    <t>Улсын төсвөөс хайгуулын ажилд гарсан зардлыг нөхөн төлөх тухай гэрээ ["Голден хаммер" ХХК]</t>
  </si>
  <si>
    <t>Архангай Цэнхэр</t>
  </si>
  <si>
    <t>2017-10-16</t>
  </si>
  <si>
    <t>Голден хаммер ХХК</t>
  </si>
  <si>
    <t>БОНХАЖЯ, АМГ, МХЕГ, Архангай  аймаг болон БМНС ХХК-ийн хооронд байгуулсан нөхөн сэргээх үйл ажиллагааны гэрээ</t>
  </si>
  <si>
    <t>2016-07-18</t>
  </si>
  <si>
    <t>БМНС ХХК</t>
  </si>
  <si>
    <t>Байгаль орчныг хамгаалах, уурхай ашиглах, үйлдвэр байгуулахтай холбогдсон дэд бүтцийг хөгжүүлэх, ажлын  байрыг нэмэгдүүлэх тухай гэрээ</t>
  </si>
  <si>
    <t>Баян-Өлгий Цэнгэл</t>
  </si>
  <si>
    <t>2017-03-01</t>
  </si>
  <si>
    <t>Баян-Өлгий аймгийн Цэнгэл сумын Засаг дарга Х.Мейрамбек</t>
  </si>
  <si>
    <t>СС Монголиа ХХК</t>
  </si>
  <si>
    <t>БОАЖЯ, АМГТГ, МХЕГ, Баянхонгор аймаг болон Одод Гоулд ХХК-ийн хооронд байгуулсан нөхөн сэргээх үйл ажиллагааны гэрээ 12/2017</t>
  </si>
  <si>
    <t>Гол мөрний урсац бүрэлдэх эх, усны сан бүхий газрын хамгаалалтын бүс, ойн сан бүхий газарт ашигт малтмал хайх, ашиглахыг хориглох тухай хуулийн дагуу хийгдэх гэрээ</t>
  </si>
  <si>
    <t>Баянхонгор Бөмбөгөр</t>
  </si>
  <si>
    <t>2017-09-13</t>
  </si>
  <si>
    <t>Байгаль орчин, аялал жуулчлалын яам</t>
  </si>
  <si>
    <t>Одод Гоулд ХХК</t>
  </si>
  <si>
    <t>Баянхонгор аймгийн ЗДТГ болон Ти Энд Ти Юникс ХХК-ийн хооронд байгуулсан хамтран ажиллах гэрээ</t>
  </si>
  <si>
    <t>2017-05-25</t>
  </si>
  <si>
    <t>Баянхонгор аймгийн ЗДТГ, Бөмбөгөр сумын ЗД</t>
  </si>
  <si>
    <t>Ти Энд Ти Юникс ХХК</t>
  </si>
  <si>
    <t>2018-07-20</t>
  </si>
  <si>
    <t>Булган аймаг Бүрэгхангай сумын Засаг дарга</t>
  </si>
  <si>
    <t>Энх баян ундарга</t>
  </si>
  <si>
    <t>Өзөөд бумбат нөхөрлөл</t>
  </si>
  <si>
    <t>Дэлгэрэх баян өгөөж нөхөрлөл</t>
  </si>
  <si>
    <t>2017-08-10</t>
  </si>
  <si>
    <t>Цагаан эрэг нөхөрлөл</t>
  </si>
  <si>
    <t>2018-05-14</t>
  </si>
  <si>
    <t>Бүрэг дархан гоулд нөхөрлөл</t>
  </si>
  <si>
    <t>Бичил уурхайгаар ашигт малтмал олборлох тухай гэрээ-Суварга Хайрханы хишиг</t>
  </si>
  <si>
    <t>2019-01-14</t>
  </si>
  <si>
    <t>Суварга хайрханы хишиг</t>
  </si>
  <si>
    <t>Бичил уурхайгаар ашигт малтмал олборлох тухай гэрээ-Хулдын хувь хишиг</t>
  </si>
  <si>
    <t>2019-07-20</t>
  </si>
  <si>
    <t>Хулдын хувь хишиг</t>
  </si>
  <si>
    <t>2020-04-03</t>
  </si>
  <si>
    <t>Төв аймгийн Засаг дарга Л.Амгаланбаяр;Төв аймгийн Засаг даргын Тамгын газар</t>
  </si>
  <si>
    <t>Монголросцветмет ТӨҮГ-ийн харьяа Шижир алт ХХК</t>
  </si>
  <si>
    <t>Бичил уурхайгаар ашигт малтмал олборлох тухай гэрээ-Энх сайхан жоншт нөхөрлөл</t>
  </si>
  <si>
    <t>2019-02-11</t>
  </si>
  <si>
    <t>Хэнтий аймгийн Баян-Адарга засаг дарга</t>
  </si>
  <si>
    <t>Энхсайхан жоншт нөхөрлөл</t>
  </si>
  <si>
    <t>Бичил уурхайгаар ашигт малтмал олборлох тухай гэрээ-Наран элгэн</t>
  </si>
  <si>
    <t>Дорноговь Эрдэнэ</t>
  </si>
  <si>
    <t>2019-03-01</t>
  </si>
  <si>
    <t>Дорноговь аймгийн Эрдэнэ сумын Засаг дарга</t>
  </si>
  <si>
    <t>Наран элгэн</t>
  </si>
  <si>
    <t>Бичил уурхайгаар ашигт малтмал олборлох тухай гэрээ-Улс нөхөд нөхөрлөл</t>
  </si>
  <si>
    <t>Хэнтий Норовлин</t>
  </si>
  <si>
    <t>Хэнтий аймгийн Норовлин сумын Засаг дарга</t>
  </si>
  <si>
    <t>Улс нөхөд нөхөрлөл</t>
  </si>
  <si>
    <t>Бичил уурхайгаар ашигт малтмал олборлох  тухай гэрээ-Идэрмэг өсөх нөхөрлөл</t>
  </si>
  <si>
    <t>2019-01-16</t>
  </si>
  <si>
    <t>Идэрмэг өсөх нөхөрлөл</t>
  </si>
  <si>
    <t>Бичил уурхайгаар ашигт малтмал олборлох тухай гэрээ-Бэрх жоншит толгой нөхөрлөл</t>
  </si>
  <si>
    <t>Бэрх жоншит толгой нөхөрлөл</t>
  </si>
  <si>
    <t>Бичил уурхайгаар ашигт малтмал олборлох тухай гэрээ-Бэрх өгөөж нөхөрлөл</t>
  </si>
  <si>
    <t>Бэрх өгөөж нөхөрлөл</t>
  </si>
  <si>
    <t>Бичил уурхайгаар ашигт малтмал олборлох тухай  гэрээ-Баялаг ямаат нөхөрлөл</t>
  </si>
  <si>
    <t>2019-01-22</t>
  </si>
  <si>
    <t>Баялаг ямаат нөхөрлөл</t>
  </si>
  <si>
    <t>Дундговь Баянжаргалан</t>
  </si>
  <si>
    <t>2019-08-01</t>
  </si>
  <si>
    <t>Дундговь аймгийн ЗДТГ, Баянжаргалан сумын ЗДТГ</t>
  </si>
  <si>
    <t>Монголрос цветмет ТӨҮГ</t>
  </si>
  <si>
    <t>2019-05-23</t>
  </si>
  <si>
    <t>Аргатай ХХК</t>
  </si>
  <si>
    <t>2019-05-31</t>
  </si>
  <si>
    <t>Дундговь аймгийн ЗДТГ, Гурвансайхан сумын ЗДТГ</t>
  </si>
  <si>
    <t>Мирайфлюорит ХХК</t>
  </si>
  <si>
    <t>Дундговь Говь-Угтаал</t>
  </si>
  <si>
    <t>2019-05-03</t>
  </si>
  <si>
    <t>Дундговь аймгийн ЗДТГ, Говь-Угтаал сумын ЗДТГ</t>
  </si>
  <si>
    <t>Хан хас трейд ХХК</t>
  </si>
  <si>
    <t>Холимог Металл</t>
  </si>
  <si>
    <t>Сүхбаатар Уулбаян</t>
  </si>
  <si>
    <t>2019-04-19</t>
  </si>
  <si>
    <t>Сүхбаатар аймгийн ЗДТГ, Уулбаян сумын ЗДТГ</t>
  </si>
  <si>
    <t>Шинэ уужим орд ХХК</t>
  </si>
  <si>
    <t>Хүрэн Нүүрс;Гөлтгөнө</t>
  </si>
  <si>
    <t>Дундговь Баянжаргалан,Дундговь Дэлгэрхангай</t>
  </si>
  <si>
    <t>Дундговь аймгийн ЗДТГ, Баянжаргалан сумын ЗДТГ, Дэлгэрхангай сумын ЗДТГ</t>
  </si>
  <si>
    <t>Монголын алт (МАК) ХХК</t>
  </si>
  <si>
    <t>2019-03-26</t>
  </si>
  <si>
    <t>Сүхбаатар аймгийн ЗДТГ, Сүхбаатар сумын ЗДТГ</t>
  </si>
  <si>
    <t>Премиум көүл</t>
  </si>
  <si>
    <t>Тэнгэрийн хорвоонжиг ХХК-ийн Нийгмийн хариуцлагын гэрээ</t>
  </si>
  <si>
    <t>2020-05-15</t>
  </si>
  <si>
    <t>Бүрэгхангай сумын Засаг даргын Тамгын газар</t>
  </si>
  <si>
    <t>Тэнгэрийн хорвоонжиг</t>
  </si>
  <si>
    <t>Өгөөж баянхангай ХХК-ийн Нийгмийн хариуцлагын гэрээ</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</si>
  <si>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</si>
  <si>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Булган Булган</t>
  </si>
  <si>
    <t>2021-06-05</t>
  </si>
  <si>
    <t>2018-04-30</t>
  </si>
  <si>
    <t>Дархан Хонгор сумын Засаг дарга</t>
  </si>
  <si>
    <t>Хонгорын алтаргана</t>
  </si>
  <si>
    <t>2019-05-27</t>
  </si>
  <si>
    <t>Увс аймгийн Наранбулаг сумын ЗДТГ</t>
  </si>
  <si>
    <t>Эй Эл Жи Ти ХХК</t>
  </si>
  <si>
    <t>Дорнод аймгийн Булган сум болон Дорнын хүдэр ХХК-ийн хооронд байгуулсан орон нутагтай хамтран ажиллах гэрээ</t>
  </si>
  <si>
    <t>Дорнод Булган</t>
  </si>
  <si>
    <t>2017-09-08</t>
  </si>
  <si>
    <t>Дорнод аймгийн Булган сумын ЗДТГ</t>
  </si>
  <si>
    <t>Дорнын хүдэр ХХК</t>
  </si>
  <si>
    <t>Байгаль орчныг хамгаалах, уурхай ашиглах, үйлдвэр байгуулахтай холбогдсон дэд бүтцийг хөгжүүлэх ажлын байр нэмэгдүүлэх тухай хамтын ажиллагааын гэрээ</t>
  </si>
  <si>
    <t>Өгөөж баянхангай</t>
  </si>
  <si>
    <t>"Эрчим Баян-Өлгий ХК" Хамтран ажиллах гэрээ 2019 он</t>
  </si>
  <si>
    <t>2019-03-03</t>
  </si>
  <si>
    <t>Нийслэлийн өмчийн харилцааны газар, Ихэр гурван цохио ХХК-ийн хооронд байгуулсан Газар ашиглах гэрээ</t>
  </si>
  <si>
    <t>Барилгын Материал</t>
  </si>
  <si>
    <t>Улаанбаатар Сүхбаатар</t>
  </si>
  <si>
    <t>2015-04-20</t>
  </si>
  <si>
    <t>Нийслэлийн өмчийн харилцааны газар</t>
  </si>
  <si>
    <t>Ихэр Гурван Цохио</t>
  </si>
  <si>
    <t>Газрын тосны хайгуулын Цагаан элс - XIII талбайн талаар Газрын тосны газар, "DWM петролеум AG"-ийн хооронд байгуулсан бүтээгдэхүүн хуваах гэрээ</t>
  </si>
  <si>
    <t>2009-04-21</t>
  </si>
  <si>
    <t>DWM петролеум AG</t>
  </si>
  <si>
    <t>Нийгмийн хариуцлагын талаар хамтран ажиллах гэрээ</t>
  </si>
  <si>
    <t>2021-05-13</t>
  </si>
  <si>
    <t>Бага таян ХХК</t>
  </si>
  <si>
    <t>Ашиглалтын өмнөх үйл ажиллагааны тухай гэрээ [Агм майнинг ХХК]</t>
  </si>
  <si>
    <t>Зэс;Цайр</t>
  </si>
  <si>
    <t>2013-08-27</t>
  </si>
  <si>
    <t>Агм майнинг ХХК</t>
  </si>
  <si>
    <t>Сайхан сумын Засаг даргын Тамгын газар, Уул уурхайн аж ахуй нэгжийн хооронд байгуулсан нийгмийн хариуцлагын гэрээ</t>
  </si>
  <si>
    <t>Сэлэнгэ Сайхан</t>
  </si>
  <si>
    <t>2021-11-17</t>
  </si>
  <si>
    <t>Сэлэнгэ аймгийн Сайхан сумын Засаг даргын Тамгын газар</t>
  </si>
  <si>
    <t>"Түмэнзул энержи" ХХК</t>
  </si>
  <si>
    <t>2021-05-03</t>
  </si>
  <si>
    <t>Хатантүшиг трейд ХХК</t>
  </si>
  <si>
    <t>2021-07-29</t>
  </si>
  <si>
    <t>Хаац эрдэс ХХК</t>
  </si>
  <si>
    <t>Ус ашиглуулах гэрээ</t>
  </si>
  <si>
    <t>Ховд Үенч</t>
  </si>
  <si>
    <t>2020-01-15</t>
  </si>
  <si>
    <t>Ховд аймгийн Байгаль орчин, аялал жуулчлалын газар</t>
  </si>
  <si>
    <t>Нийгмийн хариуцлагын гэрээ</t>
  </si>
  <si>
    <t>2021-05-14</t>
  </si>
  <si>
    <t>НДЗТГ</t>
  </si>
  <si>
    <t>БАЙГАЛЬ ОРЧНЫГ ХАМГААЛАХ, УУРХАЙ АШИГЛАХ, ҮЙЛДВЭР БАЙГУУЛАХТАЙ ХОЛБОГДСОН ДЭД БҮТЦИЙГ ХӨГЖҮҮЛЭХ, АЖЛЫН БАЙР НЭМЭГДҮҮЛЭХЭД ХАМТРАН АЖИЛЛАХ ГЭРЭЭ</t>
  </si>
  <si>
    <t>Говь-Алтай Есөнбулаг</t>
  </si>
  <si>
    <t>2021-10-01</t>
  </si>
  <si>
    <t>ГОВЬ-АЛТАЙ АЙМГИЙН ЗДТГ,</t>
  </si>
  <si>
    <t>БОЛДГЯНТБОЛД ХХК</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</si>
  <si>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</si>
  <si>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Хамтран ажиллах гэрээ- МАК Цемент ХХК</t>
  </si>
  <si>
    <t>Цемент</t>
  </si>
  <si>
    <t>Дорноговь Даланжаргалан</t>
  </si>
  <si>
    <t>2021-07-30</t>
  </si>
  <si>
    <t>Дорноговь аймаг, Даланжаргалан сумын ЗДТГ</t>
  </si>
  <si>
    <t>МАК цемент ХХК</t>
  </si>
  <si>
    <t>"Эй ЭЛ Жи Ти ХХК" 2017 оны хамтран ажиллах гэрээ</t>
  </si>
  <si>
    <t>2017-05-08</t>
  </si>
  <si>
    <t>БОАЖЯ, АМГТГ, МХЕГ, Сэлэнгэ аймаг болон Ганбаттулга ХХК-ын хооронд байгуулсан нөхөн сэргээх үйл ажиллагааны гэрээ</t>
  </si>
  <si>
    <t>Усны сан бүхий газрын энгийн хамгаалалттай бүсэд олборлолт явуулж эхэлсэн, тусгай зөвшөөрөл  бүхий талбайд холбогдох арга хэмжээ авах, нөхөн сэргээх үйл ажиллагааны гэрээ</t>
  </si>
  <si>
    <t>2018-04-19</t>
  </si>
  <si>
    <t>БОАЖЯ-ны ХБОБНУГ-ын дарга;АМГТГ-ын УУҮТХ-ийн дарга;Сэлэнгэ аймгийн засаг дарга;МХЕГ-ын ГУУХХ-ийн дарга</t>
  </si>
  <si>
    <t>Ганбаттулга ХХК</t>
  </si>
  <si>
    <t>БОНХАЖЯ, Баянхонгор аймаг, АМГ, МХЕГ, Жамп ХХК-ийн MV-020399 тоот тусгай зөвшөөрлийн талбайд холбогдох арга хэмжээ авах, нөхөн сэргээх үйл ажиллагааны гэрээ</t>
  </si>
  <si>
    <t>Тусгай зөвшөөрлийн талбайд холбогдох арга хэмжээ авах, нөхөн сэргээх үйл ажиллагааны гэрээ</t>
  </si>
  <si>
    <t>Баянхонгор Жаргалант</t>
  </si>
  <si>
    <t>2018-05-29</t>
  </si>
  <si>
    <t>БОАЖЯ;АМГ;Баянхонгор аймгийн ЗДТГ;МХЕГ</t>
  </si>
  <si>
    <t>Жамп ХХК</t>
  </si>
  <si>
    <t>БОАЖЯ, АМГ,МХЕГ, Сэлэнгэ аймаг болон Бейсикметал майнинг ХХК-ын хооронд байгуулсан нөхөн сэргээх үйл ажиллагааны гэрээ</t>
  </si>
  <si>
    <t>Сэлэнгэ Хүдэр</t>
  </si>
  <si>
    <t>2018-06-18</t>
  </si>
  <si>
    <t>БОАЖЯ;АМГТГ;Сэлэнгэ аймгийн ЗДТГ;МХЕГ</t>
  </si>
  <si>
    <t>Бейсикметал майнинг ХХК</t>
  </si>
  <si>
    <t>БОАЖЯ, АМГТГ,МХЕГ, Сэлэнгэ аймаг болон Хонгорын орд ХХК-ын хооронд байгуулсан нөхөн сэргээх үйл ажиллагааны гэрээ</t>
  </si>
  <si>
    <t>2022-12-25</t>
  </si>
  <si>
    <t>БОАЖЯ;АМГТГ;МХЕГ;Сэлэнгэ аймгийн ЗДТГ</t>
  </si>
  <si>
    <t>Хонгорын орд ХХК</t>
  </si>
  <si>
    <t>БОАЖЯ, АМГТГ, МХЕГ, Архангай аймаг болон Алтайголд  ХХК-ийн MV-012470 тоот тусгай зөвшөөрлийн талбайд холбогдох арга хэмжээ авах, нөхөн сэргээх үйл ажиллагааны гэрээ</t>
  </si>
  <si>
    <t>Олборлолт явуулж эхэлсэн тусгай зөвшөөрөл бүхий талбайд холбогдох арга хэмжээ авах, нөхөн сэргээх үйл ажиллагааны гэрээ</t>
  </si>
  <si>
    <t>2019-06-17</t>
  </si>
  <si>
    <t>БОАЖЯ;АМГТГ;МХЕГ;Архангай аймгийн ЗДТГ</t>
  </si>
  <si>
    <t>Алтайголд ХХК</t>
  </si>
  <si>
    <t>БОАЖЯ, АМГТГ, МХЕГ, Дархан-Уул аймаг болон Бичигт хад майнинг ХХК-ийн MV-014989 тоот тусгай зөвшөөрлийн талбайд холбогдох арга хэмжээ авах, нөхөн сэргээх үйл ажиллагааны гэрээ</t>
  </si>
  <si>
    <t>2020-05-06</t>
  </si>
  <si>
    <t>БОАЖЯ;АМГТГ;МХЕГ;Дархан-Уул аймгийн ЗДТГ</t>
  </si>
  <si>
    <t>Бичигт хад майнинг ХХК</t>
  </si>
  <si>
    <t>ОРХОН АЙМАГ,”ЭРДМИН” ХХК-ИЙН 2022 ОНЫ  ХАМТЫН АЖИЛЛАГААНЫ ТӨЛӨВЛӨГӨӨ</t>
  </si>
  <si>
    <t>Орхон аймаг ,”ЭРДМИН” ХХК-ийн 2022 оны хамтын ажиллагааны төлөвлөгөө</t>
  </si>
  <si>
    <t>2022-06-09</t>
  </si>
  <si>
    <t>Орхон аймгийн Засаг даргын Тамгын газар</t>
  </si>
  <si>
    <t>ОРХОН АЙМАГ "ЭРДМИН" ХХК</t>
  </si>
  <si>
    <t>Шаварлаг шороо</t>
  </si>
  <si>
    <t>Говь-Алтай Бугат</t>
  </si>
  <si>
    <t>2022-04-11</t>
  </si>
  <si>
    <t>Хамтын ажиллагааны гэрээ</t>
  </si>
  <si>
    <t>2022-03-28</t>
  </si>
  <si>
    <t>Сүхбаатар Түмэнцогт</t>
  </si>
  <si>
    <t>2022-06-30</t>
  </si>
  <si>
    <t>Сүхбаатар аймгийн ЗДТГ, Түмэнцогт сумын ЗДТГ</t>
  </si>
  <si>
    <t>Эф Жи Пи Эм ХХК</t>
  </si>
  <si>
    <t>Эрдэнэс Таван Толгой ХК, Таван Толгой Төмөр Зам ХХК  болон Бодь Интернэшнл ХХК нарын хооронд байгуулсан Богдхан төмөр замын туннел болон эстакадан гүүрний зураг төсөл, худалдан авалт, барилгын ажлын санхүүжилтын гэрээ</t>
  </si>
  <si>
    <t>ТӨК-ийн худалдан авах гэрээ</t>
  </si>
  <si>
    <t>2022-06-27</t>
  </si>
  <si>
    <t>Эрдэнэс Таван Толгой ХК</t>
  </si>
  <si>
    <t>Тавантолгой төмөр зам ХХК, Бодь интернэшнл ХХК</t>
  </si>
  <si>
    <t>"Загийн усны хоолой" гүний усны ордоос "Эрдэнэс Тавантолгой" ХК-ийн нүүрсний уурхай хүртэлх ус хангамжийн шугам хоолойн барилга угсралтын Ажил гүйцэтгэх гэрээ - 2</t>
  </si>
  <si>
    <t>Бүтээн байгуулалтын гэрээ</t>
  </si>
  <si>
    <t>2022-01-28</t>
  </si>
  <si>
    <t>Эрдэнэс-Тавантолгой ХК</t>
  </si>
  <si>
    <t>"Эс Энд Эи Трейд" ХХК;Бридж Констракшн ХХК</t>
  </si>
  <si>
    <t>ОРХОН АЙМАГ, “ЭРДЭНЭТ ҮЙЛДВЭР” ТӨҮГ-ЫН  2023 ОНЫ ХАМТЫН АЖИЛЛАГААНЫ ТӨЛӨВЛӨГӨӨ</t>
  </si>
  <si>
    <t>2023-06-21</t>
  </si>
  <si>
    <t>"Эрдэнэт үйлдвэр" ТӨҮГ</t>
  </si>
  <si>
    <t>Орон нутгийн хамтын ажиллагааны гэрээ 2023-8</t>
  </si>
  <si>
    <t>Сүхбаатар Эрдэнэцагаан</t>
  </si>
  <si>
    <t>2023-05-09</t>
  </si>
  <si>
    <t>Сүхбаатар аймгийн ЗДТГ, Эрдэнэцагаан сумын ЗДТГ</t>
  </si>
  <si>
    <t>Бадмаараг хаш ХХК</t>
  </si>
  <si>
    <t>Баянхонгор Баянхонгор</t>
  </si>
  <si>
    <t>2023-06-01</t>
  </si>
  <si>
    <t>Монголболгаргео ХХК</t>
  </si>
  <si>
    <t>Орон нутгийн хамтын ажиллагааны гэрээ 2023-15</t>
  </si>
  <si>
    <t>2023-07-21</t>
  </si>
  <si>
    <t>БАЙГАЛЬ ОРЧНЫГ ХАМГААЛАХ, УУРХАЙ АШИГЛАХ, ҮЙЛДВЭР БАЙГУУЛАХТАЙ ХОЛБОГДСОН ДЭД БҮТЦИЙГ ХӨГЖҮҮЛЭХ, АЖЛЫН БАЙР НЭМЭГДҮҮЛЭХ, ХАНДИВ, ТУСЛАМЖ ӨГӨХ ЧИГЛЭЛЭЭР ХАМТРАН АЖИЛЛАХ ГЭРЭЭ</t>
  </si>
  <si>
    <t>Орд ашиглах гэрээ</t>
  </si>
  <si>
    <t>2023-06-23</t>
  </si>
  <si>
    <t>Дундговь аймгийн Засаг даргын тамгын газар,Баянжаргалан сумын даргын тамгын газар</t>
  </si>
  <si>
    <t>Ган-Илч ХХК</t>
  </si>
  <si>
    <t>Дундговь Дэлгэрхангай</t>
  </si>
  <si>
    <t>2023-09-20</t>
  </si>
  <si>
    <t>Дундговь аймгийн Засаг даргын тамгын газар, Дэлгэрхангай сумын даргын тамгын газар</t>
  </si>
  <si>
    <t>Эхлэл ургац энержи ХХК</t>
  </si>
  <si>
    <t>Чандмань Уулын хишиг  ХХК-ий 2023 оны хамтын ажиллагааны гэрээ</t>
  </si>
  <si>
    <t>Бетон зуурмаг</t>
  </si>
  <si>
    <t>Увс Улаангом</t>
  </si>
  <si>
    <t>2023-07-07</t>
  </si>
  <si>
    <t>Увс аймгийн Улаангом сумын ЗДТГ</t>
  </si>
  <si>
    <t>Чандмань Уулын Хишиг</t>
  </si>
  <si>
    <t>Сэлэнгэ Орхонтуул</t>
  </si>
  <si>
    <t>2023-06-07</t>
  </si>
  <si>
    <t>Сэлэнгэ аймаг ЗДТГ</t>
  </si>
  <si>
    <t>Адексмайнинг ХХК</t>
  </si>
  <si>
    <t>ус ашиглах гэрээ</t>
  </si>
  <si>
    <t>СХД ЗДТГазар</t>
  </si>
  <si>
    <t>Монфрукт ХХК</t>
  </si>
  <si>
    <t>Тоосго</t>
  </si>
  <si>
    <t>2023-04-17</t>
  </si>
  <si>
    <t>Эм Эл Ти престиж ХХК</t>
  </si>
  <si>
    <t>Бичил уурхайн гэрээ</t>
  </si>
  <si>
    <t>Увс Тариалан</t>
  </si>
  <si>
    <t>2023-01-16</t>
  </si>
  <si>
    <t>Увс аймгийн Тариалан  сумын ЗДТГ</t>
  </si>
  <si>
    <t>Газар шим нөхөрлөл</t>
  </si>
  <si>
    <t>2023-01-19</t>
  </si>
  <si>
    <t>Увс аймгийн Тариалан сумын ЗДТГ</t>
  </si>
  <si>
    <t>Улаан Уул мандал нөхөрлөл</t>
  </si>
  <si>
    <t>Алтайн хишиг нөхөрлөл</t>
  </si>
  <si>
    <t>Орон нутгийн хамтын ажиллагааны гэрээ 2023-14</t>
  </si>
  <si>
    <t>2023-09-15</t>
  </si>
  <si>
    <t>ОРХОН АЙМАГ, “АЧИТ-ИХТ” ХХК-ИЙН  2024 ОНЫ ХАМТЫН АЖИЛЛАГААНЫ ТӨЛӨВЛӨГӨӨ</t>
  </si>
  <si>
    <t>Гэрээний хавсралт</t>
  </si>
  <si>
    <t>2024-03-05</t>
  </si>
  <si>
    <t>АЧИТ ИХТ ХХК</t>
  </si>
  <si>
    <t>2022-11-25</t>
  </si>
  <si>
    <t>Монголын бичил уурхайн нэгдсэн дээвэр холбоо</t>
  </si>
  <si>
    <t>Хан хүлэг ресурс</t>
  </si>
  <si>
    <t>Бишрэлт сайхан</t>
  </si>
  <si>
    <t>Модун содун цамхаг</t>
  </si>
  <si>
    <t>Ээлт говийн сор</t>
  </si>
  <si>
    <t>2023-06-28</t>
  </si>
  <si>
    <t>Шинэ айраг залуус</t>
  </si>
  <si>
    <t>Хишиг алтай</t>
  </si>
  <si>
    <t>СЭБА ундарга</t>
  </si>
  <si>
    <t>Баянсөрт</t>
  </si>
  <si>
    <t>Баян-Өлгий Толбо</t>
  </si>
  <si>
    <t>2023-09-19</t>
  </si>
  <si>
    <t>Кенжедара алтан түлхүүр</t>
  </si>
  <si>
    <t>2023-04-12</t>
  </si>
  <si>
    <t>Цалгайн хишиг арвижих</t>
  </si>
  <si>
    <t>2023-09-13</t>
  </si>
  <si>
    <t>Сазан бүрэг хангай гоулд</t>
  </si>
  <si>
    <t>2023-12-25</t>
  </si>
  <si>
    <t>Дөлгөөн өргөн говь</t>
  </si>
  <si>
    <t>Дорноговь Хатанбулаг</t>
  </si>
  <si>
    <t>2023-11-24</t>
  </si>
  <si>
    <t>Манхан хүрмэн уул</t>
  </si>
  <si>
    <t>2023-01-08</t>
  </si>
  <si>
    <t>Галдан бошигт</t>
  </si>
  <si>
    <t>Баянтэс</t>
  </si>
  <si>
    <t>Чандмань уул ундарга</t>
  </si>
  <si>
    <t>Хархираан баялаг ундарга</t>
  </si>
  <si>
    <t>2023-09-25</t>
  </si>
  <si>
    <t>Баялаг хавцал</t>
  </si>
  <si>
    <t>Эвсэг хавцал</t>
  </si>
  <si>
    <t>Баянхонгор Баян-Овоо</t>
  </si>
  <si>
    <t>2023-02-01</t>
  </si>
  <si>
    <t>Бадархундага</t>
  </si>
  <si>
    <t>Нутгийн хишиг</t>
  </si>
  <si>
    <t>2023-02-20</t>
  </si>
  <si>
    <t>Норовлин оргил жонш</t>
  </si>
  <si>
    <t>Эрдэнэцахир</t>
  </si>
  <si>
    <t>2023-03-07</t>
  </si>
  <si>
    <t>Хөлийн баялаг</t>
  </si>
  <si>
    <t>Хэнтий Дархан</t>
  </si>
  <si>
    <t>2023-03-29</t>
  </si>
  <si>
    <t>Баян булаг бор хужир</t>
  </si>
  <si>
    <t>2024-03-01</t>
  </si>
  <si>
    <t>Батноров баялаг жонш</t>
  </si>
  <si>
    <t>Монгол Улсын Засгийн газар болон Айвенхоу Майнз Монголия Инк ХХК, Айвенхоу Майнз Лимитед, Рио Тинто Интернэшнл Холдингс Лимитед компани хооронд байгуулсан хөрөнгө оруулалтын гэрээ</t>
  </si>
  <si>
    <t>Зэс;Алт;Молибден;Мөнгө</t>
  </si>
  <si>
    <t>Өмнөговь Ханбогд</t>
  </si>
  <si>
    <t>2009-10-06</t>
  </si>
  <si>
    <t>Монгол Улсын Засгийн газар</t>
  </si>
  <si>
    <t>Оюу Толгой ХХК</t>
  </si>
  <si>
    <t>Дундговь аймаг ЗДТГ, Жи Пи Эф ХХК -ийн хооронд байгуулсан "Зүүн" ордын ашиглалтын өмнөх үйл ажиллагааны гэрээ</t>
  </si>
  <si>
    <t>2014-12-05</t>
  </si>
  <si>
    <t>Жи  Пи  Эф</t>
  </si>
  <si>
    <t>Орхон аймгийн Жаргалант сумын ИТХ-ын дарга, Засаг дарга түүний тамгын газар Зунрун ХХК-ны захирал, Монгол талаа хариуцсан холбогдох ажилтан нарын хамтран ажиллах гэрээ</t>
  </si>
  <si>
    <t>2013-06-20</t>
  </si>
  <si>
    <t>Орхон аймгийн ИТХ, ЗДТГ</t>
  </si>
  <si>
    <t>Булган аймгийн Бүрэгхангай сумын ЗДТГ, Төсөлч ХХК-ийн хооронд байгуулсан нийгмийн хариуцлагын гэрээ</t>
  </si>
  <si>
    <t>Говьсүмбэр аймгийн Шивээговь сум болон Шивээ-овоо ХК-ийн хооронд байгуулсан хамтран ажиллах гэрээ</t>
  </si>
  <si>
    <t>Говьсүмбэр Шивээговь</t>
  </si>
  <si>
    <t>2017-12-15</t>
  </si>
  <si>
    <t>Шивээговь сумын Эрүүл мэндийн төв</t>
  </si>
  <si>
    <t>Шивээ-Овоо ХК</t>
  </si>
  <si>
    <t>Булган аймгийн ЗДТГ болон Хамтын эх булаг ХХК-ийн хооронд байгуулсан хамтран ажиллах гэрээ</t>
  </si>
  <si>
    <t>2017-07-26</t>
  </si>
  <si>
    <t>Хамтын эх булаг ХХК</t>
  </si>
  <si>
    <t>Галба-Өөш, Долоодын говийн сав газрын захиргаа болон Тавантолгой ХК-ийн хооронд байгуулсан ус ашиглах гэрээ</t>
  </si>
  <si>
    <t>2017-07-17</t>
  </si>
  <si>
    <t>Галба-Өөш, Долоодын говийн сав газрын захиргаа</t>
  </si>
  <si>
    <t>Говьсүмбэр аймгийн Шивээговь сум болон Шивээ-овоо ХК-ийн хооронд байгуулсан ус ашиглах гэрээ</t>
  </si>
  <si>
    <t>2017-09-26</t>
  </si>
  <si>
    <t>Умард говийн гүвээт Хархын дундад тагын сав газрын захиргаа</t>
  </si>
  <si>
    <t>Дундговь аймаг болон Тайшэн Девелопмент ХХК-ийн хооронд байгуулсан хамтран ажиллах гэрээ</t>
  </si>
  <si>
    <t>2017-05-26</t>
  </si>
  <si>
    <t>Тайшэн Девелопмент ХХК</t>
  </si>
  <si>
    <t>Дорнод аймгийн Цагаан-Овоо сум болон СТЕП Гоулд ХХК-ын хооронд байгуулсан орон нутгийн хөгжлийг дэмжих, ажлын байрыг нэмэгдүүлэх тухай гэрээ</t>
  </si>
  <si>
    <t>Дорнод Цагаан-Овоо</t>
  </si>
  <si>
    <t>2017-10-25</t>
  </si>
  <si>
    <t>Дорнод аймгийн Цагаан-Овоо сумын ЗДТГ</t>
  </si>
  <si>
    <t>Степ Гоулд ХХК</t>
  </si>
  <si>
    <t>Булган аймаг болон ГБНБ ХХК-ийн хооронд байгуулсан хамтран ажиллах гэрээ</t>
  </si>
  <si>
    <t>Шивээговь сумын Шивээ-Овоо ХК болон Шивээ Сервис ХХК-ийн хооронд байгуулсан хамтран ажиллах гэрээ</t>
  </si>
  <si>
    <t>2017-11-22</t>
  </si>
  <si>
    <t>Шивээ Сервис ХХК</t>
  </si>
  <si>
    <t>Туул голын сав газрын захиргаа болон Илт гоулд ХХК-ийн хооронд байгуулсан ус ашиглуулах гэрээ 30</t>
  </si>
  <si>
    <t>2017-06-30</t>
  </si>
  <si>
    <t>Туул голын сав захиргааны дарга</t>
  </si>
  <si>
    <t>Туул голын сав газрын захиргаа болон Илт гоулд ХХК-ийн хооронд байгуулсан ус ашиглуулах гэрээ</t>
  </si>
  <si>
    <t>Өмнөговь аймаг, Алтайн өвөр говийн сав захиргаа болон Өсөх зоос ХХК-ийн хооронд байгуулсан ус ашиглах гэрээ</t>
  </si>
  <si>
    <t>2017-04-17</t>
  </si>
  <si>
    <t>Өсөх зоос ХХК</t>
  </si>
  <si>
    <t>Туул голын сав газрын захиргааны ус ашиглалтыг зохицуулах алба болон Баянгол эко заамар ХХК-ийн хооронд байгуулсан ус ашиглах гэрээ</t>
  </si>
  <si>
    <t>2017-06-06</t>
  </si>
  <si>
    <t>Байгаль орчин аялал жуулчлалын газар болон Хартарвагатай ХХК-ийн хооронд байгуулсан ус ашиглах гэрээ</t>
  </si>
  <si>
    <t>Нүүрс;Алт</t>
  </si>
  <si>
    <t>Байгаль орчин аялал жуулчлалын газар</t>
  </si>
  <si>
    <t>Хартарвагатай ХХК</t>
  </si>
  <si>
    <t>Туул голын сав газрын захиргаа болон Өгөөж Баян Хангай ХХК-ийн хооронд байгуулсан ус ашиглах гэрээ</t>
  </si>
  <si>
    <t>2017-05-23</t>
  </si>
  <si>
    <t>Хэрлэн голын сав газрын захиргаа болон Дацантрейд ХХК-ийн хооронд байгуулсан ус ашиглах гэрээ</t>
  </si>
  <si>
    <t>Хэнтий Чингис хаан</t>
  </si>
  <si>
    <t>2016-06-21</t>
  </si>
  <si>
    <t>Хэрлэн голын сав газрын захиргаа</t>
  </si>
  <si>
    <t>Говь-Алтай аймгийн Цээл сум болон Алтайн хүдэр ХХК-ийн хооронд байгуулсан газар ашиглуулах гэрээ 00010</t>
  </si>
  <si>
    <t>2016-09-19</t>
  </si>
  <si>
    <t>Говь-Алтай аймгийн Цээл сум болон Алтайн хүдэр ХХК-ийн хооронд байгуулсан газар ашиглуулах гэрээ 00014</t>
  </si>
  <si>
    <t>Дорноговь аймгийн Өргөн сум болон Цагаанговь ХХК-ийн хооронд байгуулсан газар ашиглуулах гэрээ</t>
  </si>
  <si>
    <t>2017-01-18</t>
  </si>
  <si>
    <t>Дорноговь аймгийн ЗДТГ</t>
  </si>
  <si>
    <t>Цагаан говь ХХК</t>
  </si>
  <si>
    <t>Дорноговь аймгийн Өргөн сум болон Бэст-Орд ХХК-ийн хооронд байгуулсан газар эзэмшүүлэх гэрээ</t>
  </si>
  <si>
    <t>2010-11-24</t>
  </si>
  <si>
    <t>Бэст-Орд ХХК</t>
  </si>
  <si>
    <t>Дорноговь аймгийн Айраг сум болон Айваору ХХК-ийн хооронд байгуулсан газар ашиглуулах гэрээ</t>
  </si>
  <si>
    <t>2015-03-16</t>
  </si>
  <si>
    <t>Айваору ХХК</t>
  </si>
  <si>
    <t>Дорноговь сумын Айраг сум болон Хэрлэн-импекс-ХХК-ийн хооронд байгуулсан газар ашиглуулах гэрээ</t>
  </si>
  <si>
    <t>2017-08-02</t>
  </si>
  <si>
    <t>Хэрлэн импекс ХХК</t>
  </si>
  <si>
    <t>Орхон аймаг болон Номун гранд ХХК-ийн хооронд байгуулсан газар ашиглах гэрээ</t>
  </si>
  <si>
    <t>2015-09-30</t>
  </si>
  <si>
    <t>Номун гранд ХХК</t>
  </si>
  <si>
    <t>Дорноговь аймгийн Айраг сум болон Лотус-дай-уул ХХК-ийн хооронд байгуулсан газар ашиглуулах гэрээ</t>
  </si>
  <si>
    <t>2015-06-29</t>
  </si>
  <si>
    <t>Лотус Дай Уул ХХК</t>
  </si>
  <si>
    <t>Төв аймгийн Заамар сум болон Бумбат ХХК-ийн хооронд байгуулсан газар ашиглах гэрээ 46.13 га</t>
  </si>
  <si>
    <t>Төв аймгийн Заамар сум болон Монгол майнинг Энд эксплорэйшнХХК-ийн хооронд байгуулсан газар ашиглах гэрээ</t>
  </si>
  <si>
    <t>Монгол Майнинг Энд Эксплорэйшн ХХК</t>
  </si>
  <si>
    <t>Төв аймгийн Заамар сум болон Антрацит ХХК-ийн хооронд байгуулсан газар ашиглах гэрээ</t>
  </si>
  <si>
    <t>Төв аймгийн Заамар сум болон Мондулаан трейд ХХК-ийн хооронд байгуулсан газар ашиглах гэрээ</t>
  </si>
  <si>
    <t>Мондулаан трейд ХХК</t>
  </si>
  <si>
    <t>Төв аймгийн Заамар сум болон Монголросцветмет ХХК-ийн хооронд байгуулсан газар ашиглах гэрээ</t>
  </si>
  <si>
    <t>2017-08-22</t>
  </si>
  <si>
    <t>Төв аймгийн Заамар сум болон Эс Би Эр ХХК-ийн хооронд байгуулсан газар ашиглах гэрээ</t>
  </si>
  <si>
    <t>Эс Би Эр ХХК</t>
  </si>
  <si>
    <t>Төв аймгийн Заамар сум болон Алтандорнод Монгол ХХК-ийн хооронд байгуулсан газар ашиглах гэрээ 451.71 га</t>
  </si>
  <si>
    <t>Төв аймгийн Сэргэлэн сум болон Хүдэр Эрдэнэ ХХК-ийн хооронд байгуулсан газар ашиглах гэрээ</t>
  </si>
  <si>
    <t>2017-02-08</t>
  </si>
  <si>
    <t>Хүдэр Эрдэнэ ХХК</t>
  </si>
  <si>
    <t>Сэлэнгэ аймгийн Мандал сум болон Бороо гоулд ХХК-ийн хооронд байгуулсан газар ашиглах гэрээ</t>
  </si>
  <si>
    <t>2017-01-11</t>
  </si>
  <si>
    <t>Сэлэнгэ аймгийн Мандал сумын ЗДТГ</t>
  </si>
  <si>
    <t>Төв аймгийн Баян-Өнжүүл сум болон  Yao Xue Zuan нарын хооронд байгуулсан газар ашиглах гэрээ</t>
  </si>
  <si>
    <t>Төв Баян-Өнжүүл</t>
  </si>
  <si>
    <t>2017-01-17</t>
  </si>
  <si>
    <t>Төв аймгийн Баян-Өнжүүл сумын ЗДТГ</t>
  </si>
  <si>
    <t>Yao Xue Zuan</t>
  </si>
  <si>
    <t>Төв аймгийн Заамар сум болон Алтандорнод Монгол ХХК-ийн хооронд байгуулсан газар ашиглах гэрээ 369.47 га</t>
  </si>
  <si>
    <t>Төв аймгийн Заамар сум болон Алтандорнод Монгол ХХК-ийн хооронд байгуулсан газар ашиглах гэрээ 64.04 га</t>
  </si>
  <si>
    <t>БОНХАЖЯ, АМГ, МХЕГ,Дорнод аймаг болон Хөөсгөл ХХК-ийн хооронд байгуулсан нөхөн сэргээх үйл ажиллагааны гэрээ</t>
  </si>
  <si>
    <t>Дорнод Баяндун</t>
  </si>
  <si>
    <t>2016-06-22</t>
  </si>
  <si>
    <t>Хөөсгөл ХХК</t>
  </si>
  <si>
    <t>Ховд аймгийн Дарви сум болон МоЭнКо ХХК-ийн хооронд байгуулсан газар ашиглах гэрээ 54 га</t>
  </si>
  <si>
    <t>2009-12-02</t>
  </si>
  <si>
    <t>Ховд аймгийн Дарви сум болон МоЭнКо ХХК-ийн хооронд байгуулсан газар ашиглах гэрээ 39 га</t>
  </si>
  <si>
    <t>БОНХАЖЯ, АМГ, МХЕГ, Сэлэнгэ аймаг болон Морьтхангай ХХК-ийн хооронд байгуулсан нөхөн сэргээх үйл ажиллагааны гэрээ</t>
  </si>
  <si>
    <t>2016-07-29</t>
  </si>
  <si>
    <t>Морьтхангай ХХК</t>
  </si>
  <si>
    <t>Газрын тосны хайгуулын Галба-XI талбайн талаар Газрын тосны газар, "Зон хэн юу тиан" ХХК-ийн хооронд байгуулсан бүтээгдэхүүн хуваах гэрээ</t>
  </si>
  <si>
    <t>2009-04-27</t>
  </si>
  <si>
    <t>Зон хэн юу тиан ХХК</t>
  </si>
  <si>
    <t>Газрын тосны хайгуулын Сулинхээр XXIII талбайн талаар Газрын тосны газар, "Шунхлай энержи" ХХК-ийн хооронд байгуулсан бүтээгдэхүүн хуваах гэрээ</t>
  </si>
  <si>
    <t>2009-07-22</t>
  </si>
  <si>
    <t>Шунхлай Энержи ХХК</t>
  </si>
  <si>
    <t>Матад-XX талбайд Петро матад ХХК болон Газрын тосны газар хооронд байгуулсан бүтээгдэхүүн хуваах гэрээ</t>
  </si>
  <si>
    <t>2006-05-16</t>
  </si>
  <si>
    <t>Петро Матад ХХК</t>
  </si>
  <si>
    <t>Газрын тосны хайгуулын Цайдам - XXVI талбайн талаар Газрын тосны газар, "Сансарын геологи хайгуул" ХХК-ийн хооронд байгуулсан бүтээгдэхүүн хуваах гэрээ</t>
  </si>
  <si>
    <t>Хэнтий Дэлгэрхаан</t>
  </si>
  <si>
    <t>2009-07-10</t>
  </si>
  <si>
    <t>Сансарын геологи хайгуул ХХК</t>
  </si>
  <si>
    <t>Agreement to amend stability agreement [Boroo gold]</t>
  </si>
  <si>
    <t>2005-05-09</t>
  </si>
  <si>
    <t>Шохойн Чулуу</t>
  </si>
  <si>
    <t>2013-07-23</t>
  </si>
  <si>
    <t>Ашиглалтын өмнөх үйл ажиллагааны тухай гэрээ [Өгөөмөрбаян хайрхан ХХК]</t>
  </si>
  <si>
    <t>Вольфрам/Гянтболд</t>
  </si>
  <si>
    <t>2014-09-05</t>
  </si>
  <si>
    <t>Өгөөмөрбаян хайрхан ХХК</t>
  </si>
  <si>
    <t>Ашиглалтын өмнөх үйл ажиллагааны тухай гэрээ [Фрийгүүд эрин ХХК]</t>
  </si>
  <si>
    <t>Дорноговь Сайхандулаан</t>
  </si>
  <si>
    <t>2012-05-08</t>
  </si>
  <si>
    <t>Фрийгүүд Эрин ХХК</t>
  </si>
  <si>
    <t>Ашиглалтын өмнөх үйл ажиллагааны тухай гэрээ [Эж балей ХХК]</t>
  </si>
  <si>
    <t>Дорнод Дашбалбар</t>
  </si>
  <si>
    <t>2013-10-17</t>
  </si>
  <si>
    <t>Эж балей ХХК</t>
  </si>
  <si>
    <t>Ашиглалтын өмнөх үйл ажиллагааны тухай гэрээ [Цэцэнс майнинг энд энержи ХХК]</t>
  </si>
  <si>
    <t>2013-11-17</t>
  </si>
  <si>
    <t>Орон нутагтай хамтран ажиллах гэрээ [Өмнөговь аймгийн Гурвантэс сум - "Жавхлант орд" ХХК]</t>
  </si>
  <si>
    <t>2015-11-24</t>
  </si>
  <si>
    <t>Өмнөговь аймгийн Гурвантэс сум</t>
  </si>
  <si>
    <t>Жавхлант орд ХХК</t>
  </si>
  <si>
    <t>Галт Уулын Шарга</t>
  </si>
  <si>
    <t>Булган Орхон</t>
  </si>
  <si>
    <t>2013-09-02</t>
  </si>
  <si>
    <t>Улсын төсвийн хайгуулын ажилд гарсан зардлыг нөхөн төлөх тухай гэрээ ["Сигмабетта" ХХК]</t>
  </si>
  <si>
    <t>Улаанбаатар Хан-Уул</t>
  </si>
  <si>
    <t>2015-03-09</t>
  </si>
  <si>
    <t>Сигмабетта ХХК</t>
  </si>
  <si>
    <t>Улсын төсвөөс хайгуулын ажилд гарсан зардлыг нөхөн төлөх тухай гэрээ [Богда холдинг ХХК]</t>
  </si>
  <si>
    <t>Богда Холдинг ХХК</t>
  </si>
  <si>
    <t>Улсын төсвөөс хайгуулын ажилд гарсан зардлыг нөхөн төлөх тухай гэрээ ["Ди Жи Ти энд Эм" ХХК]</t>
  </si>
  <si>
    <t>Ди Жи Ти энд Эм ХХК</t>
  </si>
  <si>
    <t>Улсын төсвөөс хайгуулын ажилд гарсан зардлыг нөхөн төлөх тухай гэрээ ["Шижир гоулд" ХХК]</t>
  </si>
  <si>
    <t>2016-05-04</t>
  </si>
  <si>
    <t>Шижир гоулд ХХК</t>
  </si>
  <si>
    <t>Улсын төсвөөс хайгуулын ажилд гарсан зардлыг нөхөн төлөх тухай гэрээ ["Баян хурай" ХХК]</t>
  </si>
  <si>
    <t>Төв Баян</t>
  </si>
  <si>
    <t>Баян хурай ХХК</t>
  </si>
  <si>
    <t>Улсын төсвөөс хайгуулын ажилд гарсан зардлыг нөхөн төлөх тухай гэрээ ["Гутайн даваа" ХХК]</t>
  </si>
  <si>
    <t>Хэнтий Батширээт</t>
  </si>
  <si>
    <t>Гутайн даваа ХХК</t>
  </si>
  <si>
    <t>Улсын төсвөөс хайгуулын ажилд гарсан зардлыг нөхөн төлөх гэрээ ["Гуравт" ХХК]</t>
  </si>
  <si>
    <t>2017-12-26</t>
  </si>
  <si>
    <t>Ашиг малтмал, газрын тосны газар;Ашигт малтмал, газрын тосны газар;Ашигт малтмал, газрын тосны газар</t>
  </si>
  <si>
    <t>Улсын төсвөөс хайгуулын ажилд гарсан зардлыг нөхөн төлөх тухай гэрээ ["Зэст өндөр" ХХК]</t>
  </si>
  <si>
    <t>Дорнод Халх гол</t>
  </si>
  <si>
    <t>Зэст өндөр ХХК</t>
  </si>
  <si>
    <t>Улсын төсвөөс хайгуулын ажилд гарсан зардлыг нөхөн төлөх тухай гэрээ ["Пентатерра" ХХК]</t>
  </si>
  <si>
    <t>2017-08-11</t>
  </si>
  <si>
    <t>Пентатерра ХХК</t>
  </si>
  <si>
    <t>Улсын төсвөөс хайгуулын ажилд гарсан зардлыг нөхөн төлөх тухай гэрээ ["Тээлийн шонхор" ХХК]</t>
  </si>
  <si>
    <t>2017-12-14</t>
  </si>
  <si>
    <t>Тээлийн шонхор ХХК</t>
  </si>
  <si>
    <t>Улсын төсвөөс хайгуулын ажилд гарсан зардлыг нөхөн төлөх тухай ["Тод Ундрага" ХХК]</t>
  </si>
  <si>
    <t>Тод Ундрага ХХК</t>
  </si>
  <si>
    <t>Улсын төсвөөс хайгуулын ажилд гарсан зардлыг нөхөн төлөх тухай гэрээ ["Хөх шугам" ХХК]</t>
  </si>
  <si>
    <t>Төв Алтанбулаг</t>
  </si>
  <si>
    <t>2017-11-14</t>
  </si>
  <si>
    <t>Хөх шугам ХХК</t>
  </si>
  <si>
    <t>Улсын төсвөөс хайгуулын ажилд гарсан зардлыг нөхөн төлөх тухай гэрээ ["Э-Транс" ХХК]</t>
  </si>
  <si>
    <t>Э-Транс ХХК</t>
  </si>
  <si>
    <t>Хэнтий аймгийн Цэнхэрмандал сум болон Эй Эйч Жи Металс ХХК-ийн хооронд байгуулсан хамтран ажиллах гэрээ</t>
  </si>
  <si>
    <t>Төмөр;Тугалга;Гянтболд</t>
  </si>
  <si>
    <t>Хэнтий Цэнхэрмандал</t>
  </si>
  <si>
    <t>2014-08-13</t>
  </si>
  <si>
    <t>Хэнтий аймгийн Цэнхэрмандал сумын ЗДТГ</t>
  </si>
  <si>
    <t>Эй Эйч Жи Металс ХХК</t>
  </si>
  <si>
    <t>Төв аймгийн Баян-Өнжүүл сум болон Баян нүүрстэй ХХК-ийн хооронд байгуулсан хамтран ажиллах гэрээ</t>
  </si>
  <si>
    <t>2017-10-01</t>
  </si>
  <si>
    <t>Баян нүүрстэй ХХК</t>
  </si>
  <si>
    <t>Хараа Ерөө сав газрын захиргаа болон Монвольфрам ХХК-ийн хооронд байгуулсан ус ашиглах гэрээ</t>
  </si>
  <si>
    <t>Дархан-Уул Дархан</t>
  </si>
  <si>
    <t>2017-03-31</t>
  </si>
  <si>
    <t>Хараа Ерөө голын сав газрын захиргаа</t>
  </si>
  <si>
    <t>Монвольфрам ХХК</t>
  </si>
  <si>
    <t>БОАЖЯ, АМГТГ, МХЕГ, Сэлэнгэ аймаг болон Даланбулаг трейд ХХК-ийн хооронд байгуулсан нөхөн сэргээх үйл ажиллагааны гэрээ</t>
  </si>
  <si>
    <t>Даланбулаг трейд ХХК</t>
  </si>
  <si>
    <t>Орхон аймаг болон Эрдэнэт үйлдвэр ХХК-ийн хооронд байгуулсан газар ашиглах гэрээ</t>
  </si>
  <si>
    <t>Барилгын Материал;Шавар;Зэс;Молибден;Түгээмэл тархацтай ашигт малтмал</t>
  </si>
  <si>
    <t>2010-05-05</t>
  </si>
  <si>
    <t>Орхон аймгийн Газрын алба</t>
  </si>
  <si>
    <t>Төрийн өмчийн бодлого, зохицуулалтын газар болон Кью Эс Си ХХК-ийн хооронд байгуулсан концессын гэрээ</t>
  </si>
  <si>
    <t>Төмрийн Хүдэр;Төмрийн баяжмал</t>
  </si>
  <si>
    <t>2014-04-04</t>
  </si>
  <si>
    <t>Монгол Улсын Эдийн Засгийн Хөгжлийн Яам</t>
  </si>
  <si>
    <t>Кью Эс Си ХХК</t>
  </si>
  <si>
    <t>Цариг шонхор ХХК</t>
  </si>
  <si>
    <t>Монполимет ХХК-ийн Нийгмийн хариуцлагын гэрээ</t>
  </si>
  <si>
    <t>Өмнөговь Даланзадгад,Өмнөговь Гурвантэс</t>
  </si>
  <si>
    <t>2019-05-22</t>
  </si>
  <si>
    <t>Өмнөговь аймгийн Засаг даргын Тамгын газар;Өмнөговь аймгийн Гурвантэс сум</t>
  </si>
  <si>
    <t>Платинумланд ХХК-ийн нийгмийн хариуцлагын гэрээ</t>
  </si>
  <si>
    <t>Төрмөнх</t>
  </si>
  <si>
    <t>Агаар, ус, хөрсний шинжилгээ хийх гэрээ</t>
  </si>
  <si>
    <t>Үйлчилгээний гэрээ</t>
  </si>
  <si>
    <t>2019-06-12</t>
  </si>
  <si>
    <t>Өвөрхангай аймгийн Ус цаг уур, орчны шинжилгээний алба</t>
  </si>
  <si>
    <t>Өгөөмөр-Өргөө ХХК</t>
  </si>
  <si>
    <t>Тэргүүн майнинг ХХК-ийн нийгмийн хариуцлагын гэрээ</t>
  </si>
  <si>
    <t>2019-08-20</t>
  </si>
  <si>
    <t>Батмөнх</t>
  </si>
  <si>
    <t>Хамтран ажиллах гэрээ-Монгол майнинг энд эксплорэйшн ХХК</t>
  </si>
  <si>
    <t>Бичил уурхайгаар ашигт малтмал олборлох тухай гэрээ, Шаварлаг хөрс</t>
  </si>
  <si>
    <t>Сэлэнгэ аймгийн Ерөө сумын ЗДТГ</t>
  </si>
  <si>
    <t>Шаварлаг хөрс нөхөрлөл</t>
  </si>
  <si>
    <t>Сүхбаатар Түвшинширээ</t>
  </si>
  <si>
    <t>2019-06-28</t>
  </si>
  <si>
    <t>Сүхбаатар аймгийн ЗДТГ, Түвшинширээ ЗДТГ</t>
  </si>
  <si>
    <t>Эбнэ ХХК</t>
  </si>
  <si>
    <t>Төмөр;Төмрийн Хүдэр</t>
  </si>
  <si>
    <t>Каскайд майнинг</t>
  </si>
  <si>
    <t>Хасдаваа ХХК</t>
  </si>
  <si>
    <t>Дундговь аймгийн ЗДТГ, Дэлгэрхангай сумын ЗДТГ</t>
  </si>
  <si>
    <t>Эрдэнэгипс ХХК</t>
  </si>
  <si>
    <t>2018-06-27</t>
  </si>
  <si>
    <t>Дро Аурум ХХК</t>
  </si>
  <si>
    <t>2019-06-11</t>
  </si>
  <si>
    <t>2015-04-21</t>
  </si>
  <si>
    <t>Өмнөговь аймгийн ИТХ;Өмнөговь аймгийн Засаг дарга;Өмнөговь аймгийн Ханбогд сумын Засаг дарга;Өмнөговь аймгийн Ханбогд сумын ИТХ</t>
  </si>
  <si>
    <t>2018-09-20</t>
  </si>
  <si>
    <t>Баян овоо түшиг нөхөрлөл</t>
  </si>
  <si>
    <t>2016-08-18</t>
  </si>
  <si>
    <t>Өвөрхангай Нарийнтээл сумын Засаг дарга</t>
  </si>
  <si>
    <t>Баянтээг нөхөрлөл</t>
  </si>
  <si>
    <t>Баянхангай нөхөрлөл</t>
  </si>
  <si>
    <t>Буянт малз оргил нөхөрлөл</t>
  </si>
  <si>
    <t>2018-06-28</t>
  </si>
  <si>
    <t>Дулаан хайрхан нөхөрлөл</t>
  </si>
  <si>
    <t>2017-05-10</t>
  </si>
  <si>
    <t>2017-09-20</t>
  </si>
  <si>
    <t>Их баялаг нөхөрлөл</t>
  </si>
  <si>
    <t>Манд нөхөрлөл</t>
  </si>
  <si>
    <t>Нямууд голд нөхөрлөл</t>
  </si>
  <si>
    <t>2017-08-14</t>
  </si>
  <si>
    <t>Хайрхан нөхөрлөл</t>
  </si>
  <si>
    <t>Бичил уурхайн нөхөрлөлтэй байгуулсан гэрээ</t>
  </si>
  <si>
    <t>Хангай нөхөрлөл</t>
  </si>
  <si>
    <t>2016-08-16</t>
  </si>
  <si>
    <t>Эрдэнийн ундарга нөхөрлөл</t>
  </si>
  <si>
    <t>Дархан-Уул аймгийн Шарын гол сумын Засаг дарга Д.Амарсанаа</t>
  </si>
  <si>
    <t>Анхууш сант нөхөрлөл</t>
  </si>
  <si>
    <t>2018-07-16</t>
  </si>
  <si>
    <t>Дундговь аймгийн Хулд сумын Засаг дарга У.Зоригтбаатар</t>
  </si>
  <si>
    <t>Арвин нөхөрлөл</t>
  </si>
  <si>
    <t>Эрлийн ажил гүйцэтгэх гэрээ,Тэлмэн ресурс</t>
  </si>
  <si>
    <t>2019-01-21</t>
  </si>
  <si>
    <t>Тэлмэн Ресурс ХХК</t>
  </si>
  <si>
    <t>Эрлийн ажил гүйцэтгэх гэрээ, Фронтиер Петролеум ХХК</t>
  </si>
  <si>
    <t>2018-06-07</t>
  </si>
  <si>
    <t>Фронтиер Петролеум ХХК</t>
  </si>
  <si>
    <t>2018-10-23</t>
  </si>
  <si>
    <t>Бум Эрдэнэ нөхөрлөл</t>
  </si>
  <si>
    <t>2018-01-01</t>
  </si>
  <si>
    <t>Дундговь аймгийн ЗДТГ, Баянжаргалан сумын Засаг дарга</t>
  </si>
  <si>
    <t>Дэлгэрэх нөхөрлөл</t>
  </si>
  <si>
    <t>2018-03-27</t>
  </si>
  <si>
    <t>Дорноговь аймгийн Айраг сумын Засаг дарга</t>
  </si>
  <si>
    <t>Нөхөрлөлийн ахлагч Амарсанаа</t>
  </si>
  <si>
    <t>2018-08-27</t>
  </si>
  <si>
    <t>Сэлэнгэ аймгийн Баянгол сумын ЗДТГ</t>
  </si>
  <si>
    <t>Тариатын ам</t>
  </si>
  <si>
    <t>Хамтын хүч нөхөрлөл</t>
  </si>
  <si>
    <t>Дорнод аймгийн Баяндун сумын ЗДТГ</t>
  </si>
  <si>
    <t>Түшиг баян түмэн</t>
  </si>
  <si>
    <t>2018-03-23</t>
  </si>
  <si>
    <t>Хулд Орд</t>
  </si>
  <si>
    <t>2018-05-28</t>
  </si>
  <si>
    <t>Шарын голын илч өвөлжөө</t>
  </si>
  <si>
    <t>Улаанбаатар Багахангай</t>
  </si>
  <si>
    <t>2016-06-07</t>
  </si>
  <si>
    <t>Багахангай дүүргийн засаг дарга С.Эрдэнэбаяр</t>
  </si>
  <si>
    <t>Тунамал Ерөө нөхөрлөл</t>
  </si>
  <si>
    <t>Ерөө өгөөмөр хайрхан</t>
  </si>
  <si>
    <t>2018-09-11</t>
  </si>
  <si>
    <t>Ага Ерөө нөхөрлөл</t>
  </si>
  <si>
    <t>Хамтдаа нөхөрлөл;Сүмбэр худаг ХХК</t>
  </si>
  <si>
    <t>Сүмбэр худаг ХХК;Берекэ нөхөрлөл</t>
  </si>
  <si>
    <t>Эрлийн ажил гүйцэтгэх гэрээ, Зэ честнат фанд Монголиа ХХК</t>
  </si>
  <si>
    <t>Зэ Чэстнат Фанд Монголиа ХХК</t>
  </si>
  <si>
    <t>2017-06-07</t>
  </si>
  <si>
    <t>Хайрханы алтан буудай нөхөрлөл</t>
  </si>
  <si>
    <t>Эрлийн ажил гүйцэтгэх гэрээ, Юу Жи Эс ХХК</t>
  </si>
  <si>
    <t>Шатдаг Занар</t>
  </si>
  <si>
    <t>Улаанбаатар Налайх,Улаанбаатар Багахангай,Төв Баяндэлгэр,Төв Эрдэнэ,Төв Баян,Төв Баянжаргалан,Төв Баянцагаан,Төв Сэргэлэн,Төв Архуст,Хэнтий Хэрлэн,Хэнтий Цэнхэрмандал</t>
  </si>
  <si>
    <t>2018-08-16</t>
  </si>
  <si>
    <t>Ашиглалтын өмнөх үйл ажиллагааны тухай гэрээ [Сагсай минерал ресурс ХХК]</t>
  </si>
  <si>
    <t>Баян-Өлгий Алтай</t>
  </si>
  <si>
    <t>2013-05-01</t>
  </si>
  <si>
    <t>Сагсай минерал ресурс ХХК</t>
  </si>
  <si>
    <t>Ашиглалтын өмнөх үйл ажиллагааны тухай гэрээ [Геомин ХХК]</t>
  </si>
  <si>
    <t>Баян-Өлгий Сагсай,Баян-Өлгий Улаан хус</t>
  </si>
  <si>
    <t>2012-02-16</t>
  </si>
  <si>
    <t>Геомин ХХК</t>
  </si>
  <si>
    <t>БОАЖЯ, АМГТГ, МХЕГ, Баянхонгор аймаг болон Одод Гоулд ХХК-ийн хооронд байгуулсан нөхөн сэргээх үйл ажиллагааны гэрээ 13/2017</t>
  </si>
  <si>
    <t>БОАЖЯ, АМГТГ, МХЕГ, Баянхонгор аймаг болон Одод Гоулд ХХК-ийн хооронд байгуулсан нөхөн сэргээх үйл ажиллагааны гэрээ 15/2017</t>
  </si>
  <si>
    <t>Баянхонгор аймаг болон Ай Эн Ди ХХК-ийн хооронд байгуулсан хамтран ажиллах гэрээ</t>
  </si>
  <si>
    <t>Ай Эн Ди ХХК</t>
  </si>
  <si>
    <t>2018-05-11</t>
  </si>
  <si>
    <t>Цагаан эрэг хас ус</t>
  </si>
  <si>
    <t>2018-07-06</t>
  </si>
  <si>
    <t>Бүрэг ундрах заяа нөхөрлөл</t>
  </si>
  <si>
    <t>Бичил уурхайгаар ашигт малтмал олборлох тухай гэрээ- Эрдэнэ Хун Уул</t>
  </si>
  <si>
    <t>Эрдэнэ хун уул нөхөрлөл</t>
  </si>
  <si>
    <t>Бичил уурхайгаар ашигт малтмал олборлох тухай гэрээ-Эргор</t>
  </si>
  <si>
    <t>2019-03-13</t>
  </si>
  <si>
    <t>Хэнтий аймгийн Бор-Өндөр сумын ЗДТГ</t>
  </si>
  <si>
    <t>Эргор</t>
  </si>
  <si>
    <t>Бичил уурхайгаар ашигт малтмал олборлох тухай гэрээ-Хунхат уулын говь</t>
  </si>
  <si>
    <t>Хунхат уулын говь</t>
  </si>
  <si>
    <t>Бичил уурхайгаар ашигт малтмал олборлох тухай гэрээ-Олон ус</t>
  </si>
  <si>
    <t>Олон ус</t>
  </si>
  <si>
    <t>2020-04-06</t>
  </si>
  <si>
    <t>Төв аймгийн Сэргэлэн сумын Засаг дарга;Төв аймгийн ЗДТГ</t>
  </si>
  <si>
    <t>Бичил уурхайгаар ашигт малтмал олборлох гэрээ-Аргалын уулын эрдэнэс нөхөрлөл</t>
  </si>
  <si>
    <t>Аргалын уулын эрдэнэс нөхөрлөл</t>
  </si>
  <si>
    <t>Бичил уурхайгаар ашигт малтмал олборлох тухай гэрээ-Нарны эргэлт</t>
  </si>
  <si>
    <t>2019-03-06</t>
  </si>
  <si>
    <t>нарны эргэлт</t>
  </si>
  <si>
    <t>Бичил уурхайгаар ашигт малтмал олборлох тухай гэрээ-Чимидийн жонш нөхөрлөл</t>
  </si>
  <si>
    <t>Чимидийн жонш нөхөрлөл</t>
  </si>
  <si>
    <t>Бичил уурхайгаар ашигт малтмал олборлох  тухай гэрээ-Элбэгбаян-Эрдэнэс нөхөрлөл</t>
  </si>
  <si>
    <t>2019-01-07</t>
  </si>
  <si>
    <t>Элбэгбаян-Эрдэнэс нөхөрлөл</t>
  </si>
  <si>
    <t>Бичил уурхайгаар ашигт малтмал олборлох тухай гэрээ-Норовлин Андууд нөхөрлөл</t>
  </si>
  <si>
    <t>Норовлин Андууд нөхөрлөл</t>
  </si>
  <si>
    <t>Бичил уурхайгаар ашигт малтмал олборлох тухай гэрээ-Сэнжит бураат нөхөрлөл</t>
  </si>
  <si>
    <t>Сэнжит бураат нөхөрлөл</t>
  </si>
  <si>
    <t>Бичил уурхайгаар ашигт малтмал олборлох тухай гэрээ-Бэрх хайрхан нөхөрлөл</t>
  </si>
  <si>
    <t>Бэрх хайрхан нөхөрлөл</t>
  </si>
  <si>
    <t>Бичил уурхайгаар ашигт малтмал олборлох тухай гэрээ-Жоншит орд нөхөрлөл</t>
  </si>
  <si>
    <t>Жоншит орд нөхөрлөл</t>
  </si>
  <si>
    <t>Бичил уурхайгаар ашигт малтмал олборлох тухай гэрээ-Ашид дэлгэрэх эрдэнэс нөхөрлөл</t>
  </si>
  <si>
    <t>2019-02-14</t>
  </si>
  <si>
    <t>Ашид дэлгэрэх эрдэнэс нөхөрлөл</t>
  </si>
  <si>
    <t>2019-04-27</t>
  </si>
  <si>
    <t>Дун уянга</t>
  </si>
  <si>
    <t>2019-10-15</t>
  </si>
  <si>
    <t>Хамтран ажиллах гэрээ-Эрд хул ХХК</t>
  </si>
  <si>
    <t>Эрд Хул ХХК</t>
  </si>
  <si>
    <t>2019-07-10</t>
  </si>
  <si>
    <t>Тайшин девелопмент ХХК</t>
  </si>
  <si>
    <t>2019-05-06</t>
  </si>
  <si>
    <t>Бүрдэл майнинг ХХК-ийн Нийгмийн хариуцлагын гэрээ</t>
  </si>
  <si>
    <t>Бүрэгхангай сумын Засаг даргын Тамгын газар;</t>
  </si>
  <si>
    <t>Алтан гол эксплорэйшн</t>
  </si>
  <si>
    <t>Завхан аймгийн Ургамал сумаас "Түүчээ тэрэг"  ХХК-тай байгуулах хамтын ажиллагааны гэрээ</t>
  </si>
  <si>
    <t>Завхан Ургамал</t>
  </si>
  <si>
    <t>2021-10-22</t>
  </si>
  <si>
    <t>Завхан аймгийн Ургамал сумын Засаг даргын тамгын газар</t>
  </si>
  <si>
    <t>Түүчээ тэрэг ХХК</t>
  </si>
  <si>
    <t>Ус ашиглах гэрээ 2017 он "Эрчим Баян-Өлгий ХК"</t>
  </si>
  <si>
    <t>Иргэн, хуулийн этгээдэд газар эзэмшүүлэх гэрээ Эрдэнэт ТӨҮГ</t>
  </si>
  <si>
    <t>2020-06-11</t>
  </si>
  <si>
    <t>Орхон аймгийн Газрын харилцаа, барилга, хот байгуулалтын газар</t>
  </si>
  <si>
    <t>ус</t>
  </si>
  <si>
    <t>2021-05-19</t>
  </si>
  <si>
    <t>Булган аймгийн Дашинчилэн сумын ЗДТГ, Болор оргил майнинг ХХК-ийн хооронд байгуулсан нийгмийн хариуцлагын чиглэлээр хамтран ажиллах гэрээ</t>
  </si>
  <si>
    <t>Булган Дашинчилэн</t>
  </si>
  <si>
    <t>2016-03-28</t>
  </si>
  <si>
    <t>Булган аймгийн Дашинчилэн сумын ЗДТГ</t>
  </si>
  <si>
    <t>Болор Оргил майнинг</t>
  </si>
  <si>
    <t>Ус ашиглах гэрээ Очир төв ХХК</t>
  </si>
  <si>
    <t>2021-08-31</t>
  </si>
  <si>
    <t>Орхон аймаг, Баян-Өндөр сум</t>
  </si>
  <si>
    <t>Очир төв ХХК</t>
  </si>
  <si>
    <t>2021-07-25</t>
  </si>
  <si>
    <t>ИӨОТ ХХК</t>
  </si>
  <si>
    <t>Бичил уурхайгаар ашигт малтмал олборлох</t>
  </si>
  <si>
    <t>Ховд Алтай</t>
  </si>
  <si>
    <t>2021-10-18</t>
  </si>
  <si>
    <t>Ховд аймгийн Алтай сумын Засаг дарга</t>
  </si>
  <si>
    <t>Алтайн говь цонж</t>
  </si>
  <si>
    <t>Байгаль орчныг хамгаалах, дэд бүтцийг хөгжүүлэх, ажлын байр нэмэгдүүлэхэд хамтран ажиллах гэрээ</t>
  </si>
  <si>
    <t>Сэлэнгэ Түшиг</t>
  </si>
  <si>
    <t>2021-01-25</t>
  </si>
  <si>
    <t>Сэлэнгэ аймаг Түшиг сумын Засаг даргын Тамгын газар</t>
  </si>
  <si>
    <t>Шар нарст ХХК</t>
  </si>
  <si>
    <t>Даланжаргалан сумын Засаг дарга</t>
  </si>
  <si>
    <t>2021-11-03</t>
  </si>
  <si>
    <t>Күнлүн ХХК</t>
  </si>
  <si>
    <t>Ус бохирдуулсны төлбөрийн гэрээ</t>
  </si>
  <si>
    <t>2021-05-10</t>
  </si>
  <si>
    <t>Үенч Бодонч Булган голын сав газрын захиргаа</t>
  </si>
  <si>
    <t>Хамтран ажиллах гэрээ- Эм Жи Эл Гео Хүдэр ХХК</t>
  </si>
  <si>
    <t>2021-10-13</t>
  </si>
  <si>
    <t>Дорноговь аймгийн Сайншанд сумын ЗДТГ</t>
  </si>
  <si>
    <t>Эм Жи Эл Гео Хүдэр ХХК</t>
  </si>
  <si>
    <t>БОАЖЯ, АМГТГ,МХЕГ, Сэлэнгэ аймаг болон Толгойтын гол ХХК-ын хооронд байгуулсан нөхөн сэргээх үйл ажиллагааны гэрээ</t>
  </si>
  <si>
    <t>2018-03-09</t>
  </si>
  <si>
    <t>БОАЖЯ, АМГ,МХЕГ, Сэлэнгэ аймгийн ЗДТГ</t>
  </si>
  <si>
    <t>Толгойтын гол ХХК</t>
  </si>
  <si>
    <t>БОАЖЯ, АМГТГ,МХЕГ, Сэлэнгэ аймаг болон Инфинити спейс ХХК-ын хооронд байгуулсан нөхөн сэргээх үйл ажиллагааны гэрээ</t>
  </si>
  <si>
    <t>БОАЖЯ;АМГТГ;Сэлэнгэ аймаг ЗДТГ;МХЕГ</t>
  </si>
  <si>
    <t>Инфинити спейс ХХК</t>
  </si>
  <si>
    <t>БОАЖЯ, АМГТГ, МХЕГ, Төв, Булган  аймаг болон Баянгол эко заамар ХХК-ын хооронд байгуулсан нөхөн сэргээх үйл ажиллагааны гэрээ</t>
  </si>
  <si>
    <t>Төв Заамар,Булган Бүрэгхангай</t>
  </si>
  <si>
    <t>2018-12-25</t>
  </si>
  <si>
    <t>БОАЖЯ;АМГТГ;МХЕГ;Төв аймгийн ЗДТГ;Булган аймгийн ЗДТГ</t>
  </si>
  <si>
    <t>БОАЖЯ, АМГТГ, МХЕГ, Сэлэнгэ аймаг болон  Баяжмал алт ХХК-ын хооронд байгуулсан нөхөн сэргээх үйл ажиллагааны гэрээ</t>
  </si>
  <si>
    <t>Баяжмал алт ХХК</t>
  </si>
  <si>
    <t>БОАЖЯ, АМГТГ, МХЕГ, Булган аймаг болон Заамарын Их Алт ХХК-ын MV-020429 тоот тусгай зөвшөөрлийн талбайд холбогдох арга хэмжээ авах,  нөхөн сэргээх үйл ажиллагааны гэрээ</t>
  </si>
  <si>
    <t>БОАЖЯ;АМГТГ;МХЕГ;Булган аймгийн ЗДТГ</t>
  </si>
  <si>
    <t>Заамарын Их Алт ХХК</t>
  </si>
  <si>
    <t>БОАЖЯ,Сэлэнгэ аймгийн засаг дарга, АМГТГ, МХЕГ, Бугантнандин ХХК-ийн MV-0005959 тоот тусгай зөвшөөрлийн талбайд холбогдох арга хэмжээ авах, нөхөн сэргээх үйл ажиллагааны гэрээ</t>
  </si>
  <si>
    <t>2021-06-28</t>
  </si>
  <si>
    <t>Бугантнандин ХХК</t>
  </si>
  <si>
    <t>ОРХОН АЙМАГ,”АЧИТ-ИХТ” ХХК-ИЙН 2022 ОНЫ  ХАМТЫН АЖИЛЛАГААНЫ ТӨЛӨВЛӨГӨӨ</t>
  </si>
  <si>
    <t>Сүхбаатар аймгийн ЗДТГ, Мөнххаан сумын ЗДТГ</t>
  </si>
  <si>
    <t>ОРХОН АЙМАГ, “ЭРДЭНЭТ ҮЙЛДВЭР” ТӨҮГ-ЫН  2022 ОНЫ ХАМТЫН АЖИЛЛАГААНЫ ТӨЛӨВЛӨГӨӨ</t>
  </si>
  <si>
    <t>2021-11-19</t>
  </si>
  <si>
    <t>Эрдэнэс Таван Толгой ХК, Таван Толгой Төмөр Зам ХХК болон Бодь Интернэшнл ХХК нарын хооронд байгуулсан Таван толгой-Гашуун сухайт чиглэлийн төмөр замын бүтээн байгуулалтын зураг төсөл, худалдан авалт, барилгын ажлын санхүүжилтийн гэрээ</t>
  </si>
  <si>
    <t>Purchase Agreement of State Owned Enterprises</t>
  </si>
  <si>
    <t>2019-10-29</t>
  </si>
  <si>
    <t>Тавантолгой төмөр зам ХХК;Бодь интернэшнл ХХК</t>
  </si>
  <si>
    <t>"Загийн усны хоолой" гүний усны ордоос "Эрдэнэс Тавантолгой" ХК-ийн нүүрсний уурхай хүртэлх ус хангамжийн шугам хоолойн барилга угсралтын Ажил гүйцэтгэх гэрээ - 3</t>
  </si>
  <si>
    <t>"ЧММ" ХХК;Сан ХХК</t>
  </si>
  <si>
    <t>Орон нутгийн хамтын ажиллагааны гэрээ 2023-1</t>
  </si>
  <si>
    <t>Орон нутгийн хамтын ажиллагааны гэрээ 2023-3</t>
  </si>
  <si>
    <t>2023-05-08</t>
  </si>
  <si>
    <t>Байгаль Орчныг хамгаалах, уурхай ашиглах, ажлын байр нэмэгдүүлэх тухай 2023 оны хамтын ажиллагааны гэрээ</t>
  </si>
  <si>
    <t>2023-03-01</t>
  </si>
  <si>
    <t>Баян-Өлгий аймгийн Цэнгэл сумын Засаг даргын Тамгын газар</t>
  </si>
  <si>
    <t>Орон нутгийн хамтын ажиллагааны гэрээ 2023-9</t>
  </si>
  <si>
    <t>Эрээн толгой ХХК</t>
  </si>
  <si>
    <t>Дундговь Өлзийт</t>
  </si>
  <si>
    <t>Дундговь аймгийн Засаг даргын тамгын газар, Өлзийт сумын даргын тамгын газар</t>
  </si>
  <si>
    <t>ЖУО ЮҮЭ ЖИН ЭНЕРЖИ ХХК</t>
  </si>
  <si>
    <t>Хотгор ХХК-ий 2023 оны хамтын ажиллагааны гэрээ</t>
  </si>
  <si>
    <t>2023-01-04</t>
  </si>
  <si>
    <t>Хүннү-Алтай минериалс ХХк-ийн нийгмийн хариуцлагын гэрээ</t>
  </si>
  <si>
    <t>2023-05-16</t>
  </si>
  <si>
    <t>Хүннү-Алтай минериалс</t>
  </si>
  <si>
    <t>Нэтэнт ХХК-ий 2023 оны ус ашиглах гэрээ</t>
  </si>
  <si>
    <t>2023-07-03</t>
  </si>
  <si>
    <t>Увс аймгийн Байгаль орчин аялал жуулчлалын газар</t>
  </si>
  <si>
    <t>нэтэнт ХХК</t>
  </si>
  <si>
    <t>2023-09-12</t>
  </si>
  <si>
    <t>Пураам ХХК</t>
  </si>
  <si>
    <t>Сод газар ХХК-ийн байгаль орчин, дэд бүтцийг хөгжүүлэх, ажлын байр нэмэгдүүлэх тухай нийгмийн хариуцлагын гэрээ</t>
  </si>
  <si>
    <t>Говь-Алтай Тайшир</t>
  </si>
  <si>
    <t>2023-05-04</t>
  </si>
  <si>
    <t>Тайшир сумын ЗДТГ</t>
  </si>
  <si>
    <t>2023-07-18</t>
  </si>
  <si>
    <t>Жи эс эн ди ХХК</t>
  </si>
  <si>
    <t>Асфальт/Битум</t>
  </si>
  <si>
    <t>2023-11-20</t>
  </si>
  <si>
    <t>Аржкапитал ХХК</t>
  </si>
  <si>
    <t>Галдан бошигт нөхөрлөл</t>
  </si>
  <si>
    <t>ХАМО нөхөрлөл</t>
  </si>
  <si>
    <t>2023-01-26</t>
  </si>
  <si>
    <t>Алтжин нөхөрлөл</t>
  </si>
  <si>
    <t>Шинэст Өргөө ХХК</t>
  </si>
  <si>
    <t>Шинэст өргөө ХХК</t>
  </si>
  <si>
    <t>Орхон аймаг, Зэс эрдэнийн хувь ХХК-ийн хамтран ажиллах гэрээ</t>
  </si>
  <si>
    <t>зэс</t>
  </si>
  <si>
    <t>2024-02-28</t>
  </si>
  <si>
    <t>Зэс эрдэнийн хувь ХХК</t>
  </si>
  <si>
    <t>Өвөр бэл</t>
  </si>
  <si>
    <t>Хулстайн хишиг</t>
  </si>
  <si>
    <t>Далтын булаг 9</t>
  </si>
  <si>
    <t>Чулуун Давс</t>
  </si>
  <si>
    <t>Увс Давст</t>
  </si>
  <si>
    <t>2023-06-02</t>
  </si>
  <si>
    <t>Давс эрдэнэ</t>
  </si>
  <si>
    <t>Дуутын содон учрал</t>
  </si>
  <si>
    <t>Бигэр гол</t>
  </si>
  <si>
    <t>2023-02-14</t>
  </si>
  <si>
    <t>Манлай мандал</t>
  </si>
  <si>
    <t>2023-07-14</t>
  </si>
  <si>
    <t>Хавцгайт баян шанд</t>
  </si>
  <si>
    <t>2023-07-04</t>
  </si>
  <si>
    <t>Их баялаг</t>
  </si>
  <si>
    <t>2023-09-06</t>
  </si>
  <si>
    <t>Тэвчээрийн хүч</t>
  </si>
  <si>
    <t>Сүүдэртийн өгөөж</t>
  </si>
  <si>
    <t>Төв Угтаал</t>
  </si>
  <si>
    <t>2024-05-27</t>
  </si>
  <si>
    <t>Бор өндрийн хишиг</t>
  </si>
  <si>
    <t>Баргилт өргөн сэнж</t>
  </si>
  <si>
    <t>2023-07-31</t>
  </si>
  <si>
    <t>Хатан сүж хайрхан</t>
  </si>
  <si>
    <t>Гурван тэрмис хайрхан</t>
  </si>
  <si>
    <t>Арвин баялаг</t>
  </si>
  <si>
    <t>Харлаг хоо</t>
  </si>
  <si>
    <t>Тэгшбаян</t>
  </si>
  <si>
    <t>Улаан уул мандал</t>
  </si>
  <si>
    <t>Ноён богд</t>
  </si>
  <si>
    <t>Сүмбэрцахир</t>
  </si>
  <si>
    <t>Таван богд</t>
  </si>
  <si>
    <t>Баялаг цахир</t>
  </si>
  <si>
    <t>Чойлон уул</t>
  </si>
  <si>
    <t>2023-07-06</t>
  </si>
  <si>
    <t>Боржигон нутгийн баялаг</t>
  </si>
  <si>
    <t>Булган аймгийн Дашинчилэн сумын ЗДТГ, Бэрхийн нурамт ХХК-ийн хооронд байгуулсан 2016 оны Нийгмийн хариуцлагын гэрээ</t>
  </si>
  <si>
    <t>Засаг даргын тамгын газар</t>
  </si>
  <si>
    <t>Увс аймгийн Засаг даргын Тамгын газар болон Монголиа Гладвилл Увс Петролиум ХХК хооронд байгуулах Хамтын ажиллагааны гэрээ</t>
  </si>
  <si>
    <t>2015-06-26</t>
  </si>
  <si>
    <t>Увс аймгийн Засаг даргын тамгын газар</t>
  </si>
  <si>
    <t>Монголиа Гладвилл Увс Петролиум</t>
  </si>
  <si>
    <t>Говь-Алтай аймгийн ЗДТГ, Алтайн хүдэр ХХК-тай хамтран ажиллах гэрээ</t>
  </si>
  <si>
    <t>Говь-Алтай Алтай</t>
  </si>
  <si>
    <t>2017-05-19</t>
  </si>
  <si>
    <t>Алтайн Хүдэр</t>
  </si>
  <si>
    <t>Булган аймгийн Бүрэгхангай сумын ЗДТГ, Өгөөж баянхангай ХХК-ийн хооронд байгуулсан нийгмийн хариуцлагын гэрээ</t>
  </si>
  <si>
    <t>Булган аймгийн Бүрэгхангай сумын ЗДТГ, Эвсэг сайхан ХХК уул уурхайн ААН-ын хооронд байгуулсан нийгмийн хариуцлагын гэрээ</t>
  </si>
  <si>
    <t>Эвсэг сайхан ХХК</t>
  </si>
  <si>
    <t>Хяргас нуур - Завхан голын сав газрын захиргаа, Баян-Айраг Эксплорейшн ХХК-ний хооронд байгуулсан ус ашиглах гэрээ</t>
  </si>
  <si>
    <t>2015-04-01</t>
  </si>
  <si>
    <t>Хяргас нуур - Завхан голын сав газрын захиргаа</t>
  </si>
  <si>
    <t>Завхан аймгийн Эрдэнэхайрхан сумаас Баян Айраг Эксплорэйшн ХХК-тай байгуулах хамтын ажиллагааны гэрээ</t>
  </si>
  <si>
    <t>2014-03-23</t>
  </si>
  <si>
    <t>Завхан аймгийн Эрдэнэхайрхан сумын Засаг даргын тамгын газар</t>
  </si>
  <si>
    <t>Дорнод аймгийн Матад сум, Петрочайна Дачин Тамсаг компаний хооронд байгуулсан Байгаль орчныг хамгаалах, орон нутгийн хөгжилд дэмжлэг үзүүлэх гэрээ</t>
  </si>
  <si>
    <t>Дорнод аймгийн Матад сумын Засаг даргын тамгын газар</t>
  </si>
  <si>
    <t>Петрочайна Дачин Тамсаг</t>
  </si>
  <si>
    <t>Дархан-Уул аймгийн Шарын гол сум болон Шарын гол ХК-ийн хооронд байгуулсан хамтран ажиллах гэрээ</t>
  </si>
  <si>
    <t>2017-06-12</t>
  </si>
  <si>
    <t>Дорнод аймгийн Матад сум, СПЕК ХХК-ийн хооронд байгуулсан орон нутгийн хөгжлийг дэмжих, хамтран ажиллах гэрээ</t>
  </si>
  <si>
    <t>2015-01-08</t>
  </si>
  <si>
    <t>Дорнод аймгийн ЗДТГ</t>
  </si>
  <si>
    <t>СПЕК ХХК</t>
  </si>
  <si>
    <t>Монгол Улсын Төрийн Өмчийн Хороо болон Ар Ди Си Си ХХК-ийн хооронд байгуулсан концессын гэрээ</t>
  </si>
  <si>
    <t>2011-10-26</t>
  </si>
  <si>
    <t>Төрийн Өмчийн Хороо</t>
  </si>
  <si>
    <t>Ар Ди Си Си ХХК</t>
  </si>
  <si>
    <t>Галба-Өөш, Долоодын говийн сав газрын захиргаа болон Ухаа худаг ус хангамж ХХК-ийн хооронд байгуулсан ус ашиглах гэрээ</t>
  </si>
  <si>
    <t>2017-04-04</t>
  </si>
  <si>
    <t>Галба-Өөш, Долоодын говийн сав газрын захиргаа</t>
  </si>
  <si>
    <t>Ухаа худаг ус хангамж ХХК</t>
  </si>
  <si>
    <t>Дундговь аймаг болон Гео хөгжил майнинг ХХК-ийн хооронд байгуулсан хамтран ажиллах гэрээ</t>
  </si>
  <si>
    <t>Гео хөгжил майнинг ХХК</t>
  </si>
  <si>
    <t>Увс аймгийн Наранбулаг сум болон Эй Эл Жи Ти ХХК-ийн хооронд байгуулсан хамтран ажиллах гэрээ</t>
  </si>
  <si>
    <t>Булган аймаг болон Төсөлч ХХК-ийн хооронд байгуулсан хамтран ажиллах гэрээ</t>
  </si>
  <si>
    <t>2017-05-04</t>
  </si>
  <si>
    <t>Төсөлч ХХК</t>
  </si>
  <si>
    <t>Өмнөговь аймаг, Алтайн өвөр говийн сав захиргаа болон Алтайн хүдэр ХХК-ийн хооронд байгуулсан ус ашиглах гэрээ</t>
  </si>
  <si>
    <t>Завхан аймгийн Улиастай сум болон Форс голд майнинг ХХК-ийн хооронд байгуулсан ус ашиглах гэрээ 03</t>
  </si>
  <si>
    <t>Завхан Алдархаан</t>
  </si>
  <si>
    <t>2017-09-25</t>
  </si>
  <si>
    <t>Форс голд майнинг ХХК</t>
  </si>
  <si>
    <t>Завхан аймгийн Улиастай сум болон Баян Айраг Эксплорэйшн ХХК-ийн хооронд байгуулсан ус ашиглах гэрээ</t>
  </si>
  <si>
    <t>Баян Айраг Эксплорэйшн ХХК</t>
  </si>
  <si>
    <t>Туул голын сав газрын захиргааны ус ашиглалтыг зохицуулах алба болон Уулс заамар ХХК-ийн хооронд байгуулсан ус ашиглах гэрээ 07</t>
  </si>
  <si>
    <t>Туул голын сав газрын захиргааны ус ашиглалтыг зохицуулах алба болон Монгол майнинг энд эксплорэйшн ХХК-ийн хооронд байгуулсан ус ашиглах гэрээ</t>
  </si>
  <si>
    <t>Туул голын сав газрын захиргаа болон Төсөлч ХХК-ийн хооронд байгуулсан ус ашиглах гэрээ</t>
  </si>
  <si>
    <t>2017-06-08</t>
  </si>
  <si>
    <t>Туул голын сав газрын захиргаа болон Наран Гоулд ХХК-ийн хооронд байгуулсан ус ашиглах гэрээ</t>
  </si>
  <si>
    <t>2017-05-31</t>
  </si>
  <si>
    <t>Наран Гоулд ХХК</t>
  </si>
  <si>
    <t>Төв аймгийн Дэлгэрхаан сум болон Миллениум сторм ХХК-ийн хооронд байгуулсан ус ашиглах гэрээ</t>
  </si>
  <si>
    <t>Төв Дэлгэрхаан</t>
  </si>
  <si>
    <t>Төв аймгийн Дэлгэрхаан сумын ЗДТГ</t>
  </si>
  <si>
    <t>Миллениум Сторм ХХК</t>
  </si>
  <si>
    <t>Говь-Алтай аймаг болон Мандал алтай ХХК-ийн хооронд байгуулсан газар ашиглах гэрээ</t>
  </si>
  <si>
    <t>2015-03-17</t>
  </si>
  <si>
    <t>Говь-Алтай аймгийн Газрын алба</t>
  </si>
  <si>
    <t>Мандал Алтай групп ХХК</t>
  </si>
  <si>
    <t>Говь-Алтай аймгийн Цээл сум болон Алтайн хүдэр ХХК-ийн хооронд байгуулсан газар ашиглуулах гэрээ 00378</t>
  </si>
  <si>
    <t>Говь-Алтай аймгийн Цээл сум болон Алтайн хүдэр ХХК-ийн хооронд байгуулсан газар ашиглуулах гэрээ 00012</t>
  </si>
  <si>
    <t>2014-11-24</t>
  </si>
  <si>
    <t>Дорноговь аймгийн Айраг сум болон Бужгар-Орд XXK-ийн хооронд байгуулсан газар ашиглуулах гэрээ</t>
  </si>
  <si>
    <t>2013-10-30</t>
  </si>
  <si>
    <t>Бужгар-Орд ХХК</t>
  </si>
  <si>
    <t>Дорноговь аймгийн Айраг сум болон Экилешия ХХК-ийн хооронд байгуулсан газар ашиглуулах гэрээ</t>
  </si>
  <si>
    <t>2015-11-18</t>
  </si>
  <si>
    <t>Экилешия ХХК</t>
  </si>
  <si>
    <t>Дорноговь аймгийн Айраг сум болон Алтанбарга ХХК-ийн хооронд байгуулсан газар ашиглуулах гэрээ</t>
  </si>
  <si>
    <t>2017-09-05</t>
  </si>
  <si>
    <t>Алтанбарга ХХК</t>
  </si>
  <si>
    <t>Дорноговь аймгийн Сайхандулаан сум болон Минюу ши ши ХХК-ийн хооронд байгуулсан газар ашиглуулах гэрээ</t>
  </si>
  <si>
    <t>2014-11-14</t>
  </si>
  <si>
    <t>Дорноговь аймгийн Сайхандулаан сумын ЗДТГ</t>
  </si>
  <si>
    <t>Минюу ши ши ХХК</t>
  </si>
  <si>
    <t>Дорноговь аймгийн Айраг сум болон Тайшаншинь-юань ХХК-ийн хооронд байгуулсан газар ашиглуулах гэрээ</t>
  </si>
  <si>
    <t>2016-10-04</t>
  </si>
  <si>
    <t>Дорноговь аймгийн Айраг сумн ЗДТГ</t>
  </si>
  <si>
    <t>Тайшаншинь юань ХХК</t>
  </si>
  <si>
    <t>Төв аймгийн Заамар сум болон Бумбат ХХК-ийн хооронд байгуулсан газар ашиглах гэрээ 166 га</t>
  </si>
  <si>
    <t>Төв аймгийн Заамар сум болон Бумбат ХХК-ийн хооронд байгуулсан газар ашиглах гэрээ</t>
  </si>
  <si>
    <t>Төв аймгийн Заамар сум болон Эрд хул ХХК-ийн хооронд байгуулсан газар ашиглах гэрээ</t>
  </si>
  <si>
    <t>Төв аймгийн Заамар сум болон Илт гоулд ХХК-ийн хооронд байгуулсан газар ашиглах гэрээ</t>
  </si>
  <si>
    <t>Төв аймгийн Заамар сум болон Гурван тамга ХХК-ийн хооронд байгуулсан газар ашиглах гэрээ</t>
  </si>
  <si>
    <t>Гурван тамга ХХК</t>
  </si>
  <si>
    <t>Төв аймгийн Заамар сум болон Алтандорнод Монгол ХХК-ийн хооронд байгуулсан газар ашиглах гэрээ 103.76 га</t>
  </si>
  <si>
    <t>Төв аймгийн Заамар сум болон Жи Кэй Эм Кэй ХХК-ийн хооронд байгуулсан газар ашиглах гэрээ</t>
  </si>
  <si>
    <t>Жи Кэй Эм Кэй ХХК</t>
  </si>
  <si>
    <t>Төв аймгийн Заамар сум болон Алтандорнод Монгол ХХК-ийн хооронд байгуулсан газар ашиглах гэрээ 125.26 га</t>
  </si>
  <si>
    <t>Төв аймгийн Баянцагаан сум болон Монголчёх метал ХХК-ийн хооронд байгуулсан газар ашиглах гэрээ</t>
  </si>
  <si>
    <t>2016-01-15</t>
  </si>
  <si>
    <t>Төв аймгийн Баянцагаан сумын ЗДТГ</t>
  </si>
  <si>
    <t>Өвөрхангай аймгийн Уянга сум болон АУМ алт ХХК-ийн хооронд байгуулсан газар ашиглах гэрээ</t>
  </si>
  <si>
    <t>Барилгын Материал;Алт</t>
  </si>
  <si>
    <t>2016-02-02</t>
  </si>
  <si>
    <t>Төв аймгийн Заамар сум болон Алтандорнод Монгол ХХК-ийн хооронд байгуулсан газар ашиглах гэрээ 14.64 га</t>
  </si>
  <si>
    <t>Ховд аймгийн Дарви сум болон МоЭнКо ХХК-ийн хооронд байгуулсан газар ашиглах гэрээ 29 га</t>
  </si>
  <si>
    <t>Сэлэнгэ аймгийн Мандал сум болон Сентерра гоулд ХХК-ийн хооронд байгуулсан газар ашиглах гэрээ 342.26 га</t>
  </si>
  <si>
    <t>2017-08-31</t>
  </si>
  <si>
    <t>Сентерра гоулд ХХК</t>
  </si>
  <si>
    <t>Ховд аймгийн Дарви сум болон МоЭнКо ХХК-ийн хооронд байгуулсан газар ашиглах гэрээ 45 га</t>
  </si>
  <si>
    <t>БОНХАЖЯ, АМГ, МХЕГ,Дархан-Уул аймаг болон Гуравт ХХК-ийн хооронд байгуулсан нөхөн сэргээх үйл ажиллагааны гэрээ</t>
  </si>
  <si>
    <t>БОАЖЯ, АМГТГ, МХЕГ, Дархан-Уул  аймаг болон Хатантүшиг трейд ХХК-ийн хооронд байгуулсан нөхөн сэргээх үйл ажиллагааны гэрээ</t>
  </si>
  <si>
    <t>2017-04-13</t>
  </si>
  <si>
    <t>БОАЖЯ, АМГТГ, МХЕГ, Сэлэнгэ аймаг болон Флинкмонголиа ХХК-ийн хооронд байгуулсан нөхөн сэргээх үйл ажиллагааны гэрээ</t>
  </si>
  <si>
    <t>Флинкмонголиа ХХК</t>
  </si>
  <si>
    <t>Газрын тосны хайгуулын Сулинхээр XXIII талбайн талаар Газрын тосны газар, "Шунхлай энержи" ХХК-ийн хооронд байгуулсан Бүтээгдэхүүн хуваах гэрээ</t>
  </si>
  <si>
    <t>"Эргэл XII" талбайд газрын тосны хайгуул, ашиглалтын үйл ажиллагаа эрхлэх талаар Ашигт малтмал, газрын тосны газар "Смарт ойл инвестмент лтд" компанийн хооронд байгуулсан бүтээгдэхүүн хуваах гэрээ</t>
  </si>
  <si>
    <t>2016-09-09</t>
  </si>
  <si>
    <t>Смарт ойл инвестмент лтд</t>
  </si>
  <si>
    <t>Agreement on amendments and changes to The Stability agreement made by and between Government of Mongolia and Tsairt mineral Co., Ltd. on 13th of May 1998</t>
  </si>
  <si>
    <t>2007-08-23</t>
  </si>
  <si>
    <t>Тогтвортой байдлын гэрээнд нэмэлт, өөрчлөлт оруулах тухай гэрээ [Бороо гоулд]</t>
  </si>
  <si>
    <t>2000-05-09</t>
  </si>
  <si>
    <t>Бороо гоулд ХХК</t>
  </si>
  <si>
    <t>Ашиглалтын өмнөх үйл ажиллагааны тухай гэрээ [Мушгай худаг металс ХХК]</t>
  </si>
  <si>
    <t>Газрын Ховор Металл</t>
  </si>
  <si>
    <t>2012-05-11</t>
  </si>
  <si>
    <t>Мушгай худаг металс</t>
  </si>
  <si>
    <t>Ашиглалтын өмнөх үйл ажиллагааны тухай гэрээ [Жи Эс Би майнинг ХХК]</t>
  </si>
  <si>
    <t>2013-09-10</t>
  </si>
  <si>
    <t>Ашиглалтын өмнөх үйл ажиллагааны тухай гэрээ [Өү Жи Си Эйч Эл ХХК]</t>
  </si>
  <si>
    <t>2014-01-23</t>
  </si>
  <si>
    <t>Өү Жи Си Эйч Эл ХХК</t>
  </si>
  <si>
    <t>Ашиглалтын өмнөх үйл ажиллагааны тухай гэрээ [Түшээ говь ХХК]</t>
  </si>
  <si>
    <t>Бал Чулуу</t>
  </si>
  <si>
    <t>Түшээ говь ХХК</t>
  </si>
  <si>
    <t>Ашиглалтын өмнөх үйл ажиллагааны тухай гэрээ [Самтан Морес ХХК]</t>
  </si>
  <si>
    <t>Говь-Алтай Шарга</t>
  </si>
  <si>
    <t>2019-04-16</t>
  </si>
  <si>
    <t>Самтан морес ХХК</t>
  </si>
  <si>
    <t>Ашиглалтын өмнөх үйл ажиллагааны тухай гэрээ [Хавчуулэнд монголиа ХХК]</t>
  </si>
  <si>
    <t>Төв Сүмбэр</t>
  </si>
  <si>
    <t>2014-03-18</t>
  </si>
  <si>
    <t>Хавчуулэнд монголиа ХХК</t>
  </si>
  <si>
    <t>Зэс;Молибден</t>
  </si>
  <si>
    <t>2013-06-03</t>
  </si>
  <si>
    <t>Улсын төсвөөс хайгуулын ажилд гарсан зардлыг нөхөн төлөх тухай гэрээ [Рэдвулкан ХХК]</t>
  </si>
  <si>
    <t>2017-08-09</t>
  </si>
  <si>
    <t>Хууль, эрх зүйн хэлтсийн дарга;Геологи, хайгуулын хэлтсийн дарга;Уул уурхайн үйлдвэрлэл, технологийн хэлтэс</t>
  </si>
  <si>
    <t>Рэдвулкан ХХК</t>
  </si>
  <si>
    <t>Улсын төсвөөс хайгуулын ажилд гарсан зардлыг нөхөн төлөх тухай гэрээ ["Тайшин девелопмент" ХХК]</t>
  </si>
  <si>
    <t>2015-11-20</t>
  </si>
  <si>
    <t>Улсын төсвөөс хайгуулын ажилд гарсан зардлыг нөхөн сэргээх тухай гэрээ [ЗТХ ХХК]</t>
  </si>
  <si>
    <t>2015-12-25</t>
  </si>
  <si>
    <t>ЗТХ ХХК</t>
  </si>
  <si>
    <t>Улсын төсвөөс хайгуулын ажилд гарсан зардлыг нөхөн төлөх тухай гэрээ ["Алтан сүлжээ системос" ХХК]</t>
  </si>
  <si>
    <t>Алтан сүлжээ системос ХХК</t>
  </si>
  <si>
    <t>Улсын төсвөөс хайгуулын ажилд гарсан зардлыг нөхөн төлөх тухай ["Нордвинд" ХХК]</t>
  </si>
  <si>
    <t>2016-06-08</t>
  </si>
  <si>
    <t>Нордвинд ХХК</t>
  </si>
  <si>
    <t>Улсын төсвөөс хайгуулын ажилд гарсан зардлыг нөхөн төлөх тухай гэрээ ["Эрдэнийн цахирмаа тал" ХХК]</t>
  </si>
  <si>
    <t>"Эрдэнийн цахирмаа тал" ХХК</t>
  </si>
  <si>
    <t>Улсын төсвөөс хайгуулын ажилд гарсан зардлыг нөхөн төлөх тухай ["БММЖ" ХХК]</t>
  </si>
  <si>
    <t>2017-05-24</t>
  </si>
  <si>
    <t>БММЖ ХХК</t>
  </si>
  <si>
    <t>Улсын төсвөөс хайгуулын ажилд гарсан зардлыг нөхөн төлөх тухай гэрээ ["Зэт Ди Эл" ХХК]</t>
  </si>
  <si>
    <t>Ашигт малтмал, газрын тосны газар;Ашигт малтмал, газрын тосны дарга;Ашигт малтмал, газрын тосны дарга</t>
  </si>
  <si>
    <t>Зэт Ди Эл ХХК</t>
  </si>
  <si>
    <t>Улсын төсвөөс хайгуулын ажилд гарсан зардлыг нөхөн төлөх тухай гэрээ ["Ди Би Эс Ти майнинг групп" ХХК]</t>
  </si>
  <si>
    <t>Чулуун Нүүрс</t>
  </si>
  <si>
    <t>Өмнөговь Баяновоо</t>
  </si>
  <si>
    <t>2017-06-21</t>
  </si>
  <si>
    <t>Ди Би Эс Ти майнинг групп ХХК</t>
  </si>
  <si>
    <t>Улсын төсвөөс хайгуулын ажилд гарсан зардлыг нөхөн төлөх тухай гэрээ ["Резевиормонголия" ХХК]</t>
  </si>
  <si>
    <t>Резевиормонголия ХХК</t>
  </si>
  <si>
    <t>Улсын төсвөөс хайгуулын ажилд гарсан зардлыг нөхөн төлөх тухай гэрээ ["Феско" ХХК]</t>
  </si>
  <si>
    <t>Феско ХХК</t>
  </si>
  <si>
    <t>Улсын төсвөөс хайгуулын ажилд гарсан зардлыг нөхөн төлөх тухай гэрээ ["Цэрэнбадам" ХХК]</t>
  </si>
  <si>
    <t>Увс Хяргас</t>
  </si>
  <si>
    <t>2017-12-12</t>
  </si>
  <si>
    <t>Улсын төсвөөс хайгуулын ажилд гарсан зардлыг нөхөн төлөх тухай гэрээ ["Эф Жи Пи Эм" ХХК]</t>
  </si>
  <si>
    <t>Онон-Улз голын сав газрын захиргаа болон Дун-Эрдэнэ ХХК-ийн хооронд байгуулсан ус ашиглах гэрээ</t>
  </si>
  <si>
    <t>Онон-Улз голын сав газрын захиргаа</t>
  </si>
  <si>
    <t>Дун-Эрдэнэ ХХК</t>
  </si>
  <si>
    <t>Төв аймгийн Баянчандмань сум болон Монвольфрам ХХК-ийн хооронд байгуулсан хамтран ажиллах гэрээ</t>
  </si>
  <si>
    <t>Төв Баянчандмань</t>
  </si>
  <si>
    <t>2017-03-29</t>
  </si>
  <si>
    <t>Баянчандмань сумын ЗДТГ</t>
  </si>
  <si>
    <t>Улаанбадрах сум болон Кожеговь ХХК-ийн хооронд байгуулсан газар ашиглах гэрээ</t>
  </si>
  <si>
    <t>2017-02-14</t>
  </si>
  <si>
    <t>Дорноговь аймгийн ГХБХГазар</t>
  </si>
  <si>
    <t>Кожеговь ХХК</t>
  </si>
  <si>
    <t>Төв аймгийн Баянцагаан сум болон Э-транс ХХК-ийн хооронд байгуулсан газар ашиглах гэрээ</t>
  </si>
  <si>
    <t>Э-транс ХХК</t>
  </si>
  <si>
    <t>Ашиглалтын өмнөх үйл ажиллагааны тухай гэрээ [Гурвансайхан ХХК]</t>
  </si>
  <si>
    <t>2013-01-02</t>
  </si>
  <si>
    <t>Цөмийн энергийн газар</t>
  </si>
  <si>
    <t>Гурвансайхан ХХК</t>
  </si>
  <si>
    <t>Орхон аймаг, Эрдэнэт үйлдвэр ТӨҮГ-ын хамтран ажиллах гэрээ</t>
  </si>
  <si>
    <t>Байгаль орчныг хамгаалах, уурхай ашиглах, үйлдвэр байгуулахтай холбогдсон дэд бүтцийг хөгжүүлэх, ажлын байр нэмэгдүүлэх тухай гэрээ+</t>
  </si>
  <si>
    <t>Улз гол ХХК</t>
  </si>
  <si>
    <t>ХОТУ ХХК-ийн Нийгмийн хариуцлагын гэрээ</t>
  </si>
  <si>
    <t>Х.Олонбаяр</t>
  </si>
  <si>
    <t>Байгаль орчныг хамгаалах, уурхай ашиглах, үйлдвэр байгуулахтай холбогдсон дэд бүтцийг хөгжүүлэх, ажлын байр нэмэгдүүлэх хамтын ажиллагааны гэрээ</t>
  </si>
  <si>
    <t>Өмнөговь аймгийн Гурвантэс сумын Засаг даргын Тамгын газар</t>
  </si>
  <si>
    <t>Төсөлч ХХК-ийн нийгмийн хариуцлагын гэрээ</t>
  </si>
  <si>
    <t>Ч.Оюунхүү</t>
  </si>
  <si>
    <t>Бичил уурхайгаар ашигт малтмал олборлох тухай гэрээ, Ерөө байгалийн хишиг</t>
  </si>
  <si>
    <t>Ерөө байгалийн хишиг нөхөрлөл</t>
  </si>
  <si>
    <t>2019-06-19</t>
  </si>
  <si>
    <t>Эм Эл Цахиурт овоо ХХК</t>
  </si>
  <si>
    <t>Хамтран ажиллах гэрээ- Жотойн Бажууна ХХК</t>
  </si>
  <si>
    <t>Жотойн Бажууна ХХК</t>
  </si>
  <si>
    <t>Хамтран ажиллах гэрээ- Монполимет  ХХК</t>
  </si>
  <si>
    <t>2019-05-02</t>
  </si>
  <si>
    <t>Түмэнцацал ХХК</t>
  </si>
  <si>
    <t>Тарагт гөлтгөнө ХХК</t>
  </si>
  <si>
    <t>2018-11-07</t>
  </si>
  <si>
    <t>Майн ланд майнинг ХХК</t>
  </si>
  <si>
    <t>2019-05-09</t>
  </si>
  <si>
    <t>Тайхар-Орд ХХК</t>
  </si>
  <si>
    <t>Хар Тугалга;Цайр</t>
  </si>
  <si>
    <t>2019-11-29</t>
  </si>
  <si>
    <t>Oyu tolgoi Cooperation Agreement</t>
  </si>
  <si>
    <t>Copper</t>
  </si>
  <si>
    <t>Citizens Representative's Meeting of Umnugobi Province;Governor of Umnugobi Province;Citizens Representative's Meeting of Khanbogd soum of Umnugobi Province;</t>
  </si>
  <si>
    <t>Oyu Tolgoi LLC</t>
  </si>
  <si>
    <t>Өвөрхангай аймгийн Хайрхандулаан сумын Засаг дарга</t>
  </si>
  <si>
    <t>Баргилт нөхөрлөл</t>
  </si>
  <si>
    <t>Баян өгөөж хараа нөхөрлөл</t>
  </si>
  <si>
    <t>2017-09-09</t>
  </si>
  <si>
    <t>2018-01-16</t>
  </si>
  <si>
    <t>Бэрх шинэ амжилт нөхөрлөл</t>
  </si>
  <si>
    <t>Дэл 3-2 нөхөрлөл</t>
  </si>
  <si>
    <t>Бичил уурхайгаар ашигт малтмал олборлохтухай гэрээ</t>
  </si>
  <si>
    <t>2018-11-28</t>
  </si>
  <si>
    <t>Жоншит тулга нөхөрлөл</t>
  </si>
  <si>
    <t>2016-09-20</t>
  </si>
  <si>
    <t>Марзат нөхөрлөл</t>
  </si>
  <si>
    <t>Өгөөмөр баянхангай майнинг нөхөрлөл</t>
  </si>
  <si>
    <t>Талст консалтинг нөхөрлөл</t>
  </si>
  <si>
    <t>Хараа нутгийн буян нөхөрлөл</t>
  </si>
  <si>
    <t>Бичил уурхайгаар ашигт малтмал олборлох тухай гэрээний загвар</t>
  </si>
  <si>
    <t>Хайрханы үржин дэлгэрэх нөхөрлөл</t>
  </si>
  <si>
    <t>2018-05-18</t>
  </si>
  <si>
    <t>Хишиг Хараа нөхөрлөл</t>
  </si>
  <si>
    <t>Булган аймгийн Бүрэгхангай сумын Засаг дарга Н.Эрхэмбаяр</t>
  </si>
  <si>
    <t>Арвижин дэлгэрэх баялаг нөхөрлөл</t>
  </si>
  <si>
    <t>Бичил уурхайгаар ашигт малтмал олборлох тухай гэрээ, Дундговь Баянжаргалан, Баялаг нөхөрлөл</t>
  </si>
  <si>
    <t>2018-07-27</t>
  </si>
  <si>
    <t>Дундговь аймгийн Засаг дарга Г.Туяа</t>
  </si>
  <si>
    <t>Баялаг нөхөрлөл</t>
  </si>
  <si>
    <t>2018-10-09</t>
  </si>
  <si>
    <t>Дундговь аймгийн Хулд сумын Засаг дарга Зоригтбаатар</t>
  </si>
  <si>
    <t>Баянбулаг нөхөрлөл</t>
  </si>
  <si>
    <t>2018-03-20</t>
  </si>
  <si>
    <t>Дэвжин дэлгэрэх нутгийн залуус</t>
  </si>
  <si>
    <t>2018-09-26</t>
  </si>
  <si>
    <t>Номин цэнхэр ундарга</t>
  </si>
  <si>
    <t>Минж наран энэрэх</t>
  </si>
  <si>
    <t>2018-04-05</t>
  </si>
  <si>
    <t>Нутгийн буян нөхөрлөл</t>
  </si>
  <si>
    <t>АЛТ</t>
  </si>
  <si>
    <t>Орхон туулын тохой</t>
  </si>
  <si>
    <t>2018-09-13</t>
  </si>
  <si>
    <t>Улз баян андууд</t>
  </si>
  <si>
    <t>2018-04-09</t>
  </si>
  <si>
    <t>хан бүрэн тулга ЗГБХ</t>
  </si>
  <si>
    <t>Хүслийн хүч</t>
  </si>
  <si>
    <t>2018-03-07</t>
  </si>
  <si>
    <t>Говь-Алтай аймгийн Алтай  сумын Засаг дарга</t>
  </si>
  <si>
    <t>Эрдэнийн оюу</t>
  </si>
  <si>
    <t>2017-08-17</t>
  </si>
  <si>
    <t>Хөдөлмөр зүтгэл нөхөрлөл</t>
  </si>
  <si>
    <t>Дулаан хангай нөхөрлөл</t>
  </si>
  <si>
    <t>Арвижих  нөхөрлөл</t>
  </si>
  <si>
    <t>Бугант алтантүлхүүр нөхөрлөл</t>
  </si>
  <si>
    <t>Ест бугант</t>
  </si>
  <si>
    <t>Сүмбэр худаг ХХК;Билгүүн сар нөхөрлөл</t>
  </si>
  <si>
    <t>Налайх дүүргийн Засаг дарга</t>
  </si>
  <si>
    <t>Налуу унаа нөхөрлөл;Сүмбэр худаг ХХК</t>
  </si>
  <si>
    <t>Ашиглалтын тусгай зөвшөөрөл бүхий талбайгаас бичил уурхайгаар ашигт малтмал олборлох тухай  гурван талт гэрээ</t>
  </si>
  <si>
    <t>Орд нөхөрлөл;Хэлтрэгэ ХХК</t>
  </si>
  <si>
    <t>Ашиглалтын тусгай зөвшөөрөл бүхий талбайгаас бичил уурхайгаар ашигт малтмал олборлох тухай гурвалсан гэрээ</t>
  </si>
  <si>
    <t>Эвийн хүч нөхөрлөлийн ахлагч Тананцэцэг;Сүмбэр худаг ХХК</t>
  </si>
  <si>
    <t>2017-07-16</t>
  </si>
  <si>
    <t>Тэмүүлэн үржих нөхөрлөл</t>
  </si>
  <si>
    <t>Эрлийн ажил гүйцэтгэх гэрээ, Коммон макс ХХК</t>
  </si>
  <si>
    <t>Төв Баянжаргалан</t>
  </si>
  <si>
    <t>2018-12-17</t>
  </si>
  <si>
    <t>Коммон макс ХХК</t>
  </si>
  <si>
    <t>Эрлийн ажил гүйцэтгэх гэрээ, Эрдэнэс метан ХХК</t>
  </si>
  <si>
    <t>Эрдэнэс метан ХХК</t>
  </si>
  <si>
    <t>ХАМТЫН АЖИЛЛАГААНЫ ГЭРЭЭ</t>
  </si>
  <si>
    <t>Сүхбаатар Баяндэлгэр</t>
  </si>
  <si>
    <t>2020-06-08</t>
  </si>
  <si>
    <t>СҮХБААТАР АЙМАГ БАЯНДЭЛГЭР СУМ  ЗАСАГ ДАРГА</t>
  </si>
  <si>
    <t>Талын элч ХХК</t>
  </si>
  <si>
    <t>Өнөр баян Сэлэнгэ нөхөрлөл</t>
  </si>
  <si>
    <t>БОАЖЯ, АМГТГ, МХЕГ, Сэлэнгэ аймаг болон Болд төмөр Ерөө гол ХХК-ийн хооронд байгуулсан нөхөн сэргээх үйл ажиллагааны гэрээ</t>
  </si>
  <si>
    <t>2018-01-09</t>
  </si>
  <si>
    <t>Болд төмөр Ерөө гол ХХК</t>
  </si>
  <si>
    <t>Ашиглалтын өмнөх үйл ажиллагааны тухай гэрээ [Эрдэнэжас ХХК]</t>
  </si>
  <si>
    <t>Баян-Өлгий Сагсай,Баян-Өлгий Бугат</t>
  </si>
  <si>
    <t>2013-11-01</t>
  </si>
  <si>
    <t>Эрдэнэжас ХХК</t>
  </si>
  <si>
    <t>БОАЖЯ, АМГТГ, МХЕГ, Баянхонгор аймаг болон Одод Гоулд ХХК-ийн хооронд байгуулсан нөхөн сэргээх үйл ажиллагааны гэрээ 14/2017</t>
  </si>
  <si>
    <t>Баянхонгор аймаг болон Андын тэмүүлэл ХХК-ийн хооронд байгуулсан хамтран ажиллах гэрээ</t>
  </si>
  <si>
    <t>Андын тэмүүлэл ХХК</t>
  </si>
  <si>
    <t>Баянхонгор аймаг болон Жамп-Алт ХХК-ийн хооронд байгуулсан хамтран ажиллах гэрээ</t>
  </si>
  <si>
    <t>Баянхонгор Галуут</t>
  </si>
  <si>
    <t>Жамп-Алт ХХК</t>
  </si>
  <si>
    <t>2018-08-09</t>
  </si>
  <si>
    <t>Баян бага дулаан нөхөрлөл</t>
  </si>
  <si>
    <t>Бичил уурхайгаар ашигт малтмал олборлох тухай гэрээ-Цөнбөд</t>
  </si>
  <si>
    <t>Цөнбөд</t>
  </si>
  <si>
    <t>Бичил уурхайгаар ашигт малтмал олборлох тухай гэрээ- Тэнгэр хайрхан хунхат</t>
  </si>
  <si>
    <t>Тэнгэр хайрхан хунхат</t>
  </si>
  <si>
    <t>Бичил уурхайгаар ашигт малтмал олборлох тухай гэрээ-Тойрмын ус</t>
  </si>
  <si>
    <t>Тойрмын ус</t>
  </si>
  <si>
    <t>Бичил уурхайгаар ашигт малтмал олборлох тухай гэрээ-Бэрх гүн нөхөрлөл</t>
  </si>
  <si>
    <t>2019-02-20</t>
  </si>
  <si>
    <t>Бэрх гүн нөхөрлөл</t>
  </si>
  <si>
    <t>Бичил уурхайгаар ашигт малтмал олборлох тухай гэрээ-Эрдэст ухаа нөхөрлөл</t>
  </si>
  <si>
    <t>Эрдэст ухаа нөхөрлөл</t>
  </si>
  <si>
    <t>Бичил уурхайгаар ашигт малтмал олборлох тухай гэрээ-Чин дэлгэр нөхөрлөл</t>
  </si>
  <si>
    <t>Чин дэлгэр нөхөрлөл</t>
  </si>
  <si>
    <t>Бичил уурхайгаар ашигт малтмал олборлох тухай гэрээ-Өнө ундрах баялаг нөхөрлөл</t>
  </si>
  <si>
    <t>Өнө ундрах баялаг нөхөрлөл</t>
  </si>
  <si>
    <t>Бичил уурхайгаар ашигт малтмал олборлох тухай гэрээ-Норовлин нутгийн өгөөж нөхөрлөл</t>
  </si>
  <si>
    <t>Норовлин нутгийн өгөөж нөхөрлөл</t>
  </si>
  <si>
    <t>Бичил уурхайгаар ашигт малтмал олборлох тухай гэрээ-Дэлгэр шалз нөхөрлөл</t>
  </si>
  <si>
    <t>2019-03-21</t>
  </si>
  <si>
    <t>Дэлгэр шалз нөхөрлөл</t>
  </si>
  <si>
    <t>Бичил уурхайгаар ашигт малтмал олборлох гэрээ-Ариун-Эрдэс нөхөрлөл</t>
  </si>
  <si>
    <t>Ариун-Эрдэс нөхөрлөл</t>
  </si>
  <si>
    <t>Бичил уурхайгаар ашигт малтмал олборлох тухай гэрээ-Адарга хан нөхөрлөл</t>
  </si>
  <si>
    <t>2019-02-25</t>
  </si>
  <si>
    <t>Адарга хан нөхөрлөл</t>
  </si>
  <si>
    <t>Хамтран ажиллах гэрээ-Заамар Гоулд</t>
  </si>
  <si>
    <t>Заамар Гоулд ХХК</t>
  </si>
  <si>
    <t>Хамтран ажиллах гэрээ-Гурван тамга ХХК</t>
  </si>
  <si>
    <t>2019-07-24</t>
  </si>
  <si>
    <t>Хамтын эх булаг ХХК-ийн нийгмийн хариуцлагын гэрээ</t>
  </si>
  <si>
    <t>Гэрэлт шинэчлэл ХХК-ийн нийгмийн хариуцлагын гэрээ</t>
  </si>
  <si>
    <t>Гэрэлт шинэчлэл</t>
  </si>
  <si>
    <t>2018-05-16</t>
  </si>
  <si>
    <t>ШАРЫН ГОУЛД</t>
  </si>
  <si>
    <t>Хамтын ажиллагааны гэрээ [Өмнөговь аймаг - "Энержи ресурс" ХХК]</t>
  </si>
  <si>
    <t>2017-06-22</t>
  </si>
  <si>
    <t>Энержи ресурс ХХК</t>
  </si>
  <si>
    <t>"Хотгор ХХК" 2021 он Хамтран ажиллах гэрээ</t>
  </si>
  <si>
    <t>Хамтын ажиллагааны санамж бичиг</t>
  </si>
  <si>
    <t>2021-01-19</t>
  </si>
  <si>
    <t>Ус ашиглах гэрээ 2019 он "Эрчим Баян-Өлгий ХК"</t>
  </si>
  <si>
    <t>Иргэн, хуулийн этгээдэд газар эзэмшүүлэх гэрээ Очир төв ХХК</t>
  </si>
  <si>
    <t>2020-12-09</t>
  </si>
  <si>
    <t>УС</t>
  </si>
  <si>
    <t>Говьсүмбэр Чойр</t>
  </si>
  <si>
    <t>2021-04-27</t>
  </si>
  <si>
    <t>Орхон сумын ЗДТГазартай нийгмийн хариуцлагын чиглэлээр хамтран ажиллах гэрээ</t>
  </si>
  <si>
    <t>Дархан-Уул Орхон</t>
  </si>
  <si>
    <t>2020-01-28</t>
  </si>
  <si>
    <t>Орхон сумын Засаг даргын Тамгын газар</t>
  </si>
  <si>
    <t>Сонголон хайрхан ХХК</t>
  </si>
  <si>
    <t>Үенч сумын Засаг дарга</t>
  </si>
  <si>
    <t>Нийгмийн хариуцлагын хүрээнд байгаль орчныг хамгаалах, орон нутагт хөрөнгө оруулалт, ажлын байр нэмэгдүүлэхэд хамтран ажиллах гэрээ</t>
  </si>
  <si>
    <t>2021-10-17</t>
  </si>
  <si>
    <t>Техно перпектив ХХК</t>
  </si>
  <si>
    <t>Бодонч нутгийн хишиг нөхөрлөл</t>
  </si>
  <si>
    <t>2021-09-03</t>
  </si>
  <si>
    <t>НДЗДТГ</t>
  </si>
  <si>
    <t>Хасгуа ХХК</t>
  </si>
  <si>
    <t>Дорноговь аймгийн Мандах сумын Засаг дарга</t>
  </si>
  <si>
    <t>Эрдэнэс цагаан суварга ХХК;Монголын алт (МАК) ХХК</t>
  </si>
  <si>
    <t>ОРХОН АЙМАГ, “АЧИТ-ИХТ” ХХК-ИЙН 2021-2023 ОНД ХАМТРАН АЖИЛЛАХ ГЭРЭЭ</t>
  </si>
  <si>
    <t>2020-12-30</t>
  </si>
  <si>
    <t>Орхон аймаг, "Эрдэнэт үйлдвэр" ТӨҮГ-ын хамтран ажиллах гэрээ</t>
  </si>
  <si>
    <t>БОАЖЯ, АМГ,МХЕГ, Төв, Булган  аймаг болон Эко Алтан Заамар ХХК-ын хооронд байгуулсан нөхөн сэргээх үйл ажиллагааны гэрээ</t>
  </si>
  <si>
    <t>2018-04-10</t>
  </si>
  <si>
    <t>БОАЖЯ-ны ХБОБИУГ-ын дарга;АМГТГ-ын УУҮТХ-ийн дарга;Төв аймгийн засаг дарга;Булган аймгийн засаг дарга;МХЕГ-ын ГУУХХ-ийн дарга</t>
  </si>
  <si>
    <t>Эко алтан заамар ХХК</t>
  </si>
  <si>
    <t>БОАЖЯ, АМГ,МХЕГ, Сэлэнгэ аймаг болон Монлид трейд ХХК-ын хооронд байгуулсан нөхөн сэргээх үйл ажиллагааны гэрээ</t>
  </si>
  <si>
    <t>Монлид трейд ХХК</t>
  </si>
  <si>
    <t>БОАЖЯ, АМГТГ, МХЕГ, Төв аймаг болон Багатаян ХХК-ын хооронд байгуулсан нөхөн сэргээх үйл ажиллагааны гэрээ</t>
  </si>
  <si>
    <t>БОАЖЯ;АМГТГ;Дархан-Уул аймгийн ЗДТГ;МХЕГ</t>
  </si>
  <si>
    <t>Багатаян ХХК</t>
  </si>
  <si>
    <t>БОАЖЯ, АМГТГ, МХЕГ, Дархан-Уул аймаг болон ЖМЭ  ХХК-ын хооронд байгуулсан нөхөн сэргээх үйл ажиллагааны гэрээ</t>
  </si>
  <si>
    <t>Дархан-Уул Хонгор,Дархан-Уул Шарын гол</t>
  </si>
  <si>
    <t>2018-06-08</t>
  </si>
  <si>
    <t>ЖМЭ ХХК</t>
  </si>
  <si>
    <t>БОАЖЯ, АМГТГ, МХЕГ, Булган аймаг болон Заамарын Их Алт ХХК-ын MV-020430 тоот тусгай зөвшөөрлийн талбайд холбогдох арга хэмжээ авах,  нөхөн сэргээх үйл ажиллагааны гэрээ</t>
  </si>
  <si>
    <t>БОАЖЯ, АМГТГ, МХЕГ, Төв аймаг болон Заамарын Их Алт ХХК-ын MV-10614 тоот тусгай зөвшөөрлийн талбайд холбогдох арга хэмжээ авах,  нөхөн сэргээх үйл ажиллагааны гэрээ</t>
  </si>
  <si>
    <t>БОАЖЯ;АМГТГ;МХЕГ;Төв аймгийн ЗДТГ</t>
  </si>
  <si>
    <t>БОАЖЯ,Хөвсгөл аймгийн засаг дарга, АМГТГ, МХЕГ болон Мон-Ажнай ХХК-ийн MV-001361 тоот тусгай зөвшөөрлийн талбайд  холбогдох арга хэмжээ авах, нөхөн сэргээх үйл ажиллагааны гэрээ</t>
  </si>
  <si>
    <t>Хөвсгөл Бүрэнтогтох</t>
  </si>
  <si>
    <t>2018-10-31</t>
  </si>
  <si>
    <t>БОАЖЯ;АМГТГ;Хөвсгөл аймгийн ЗДТГ;МХЕГ</t>
  </si>
  <si>
    <t>Мон-Ажнай ХХК</t>
  </si>
  <si>
    <t>Говь-Алтай Хөхморьт</t>
  </si>
  <si>
    <t>2022-03-04</t>
  </si>
  <si>
    <t>ГОВЬ-АЛТАЙ АЙМГИЙН ЗДТГ, СУМЫН ЗАСАГ ДАРГА, ААН</t>
  </si>
  <si>
    <t>БОРОЛЗОЙ</t>
  </si>
  <si>
    <t>БАЙГАЛЬ ОРЧНЫГ ХАМГААЛАХ, УУРХАЙ АШИГЛАХ, ҮЙЛДВЭР БАЙГУУЛАХТАЙ ХОЛБОГДСОН ДЭД БҮТЦИЙГ ХӨГЖҮҮЛЭХ, АЖЛЫН БАЙР НЭМЭГДҮҮЛЭХ ТУХАЙ ГЭРЭЭ</t>
  </si>
  <si>
    <t>2022-03-01</t>
  </si>
  <si>
    <t>Эс Жи Групп ХХК</t>
  </si>
  <si>
    <t>Ус ашиглах гэрээ-Эрдэнэт үйлдвэр ТӨҮГ</t>
  </si>
  <si>
    <t>2022-04-24</t>
  </si>
  <si>
    <t>Сэлэнгэ голын сав газрын захиргаа</t>
  </si>
  <si>
    <t>Олгой булаг ХХК</t>
  </si>
  <si>
    <t>“Эрдэнэс таван толгой” ХК болон “Бодь Интернэшнл “ХХК-ийн хооронд байгуулсан нүүрс нийлүүлэх гэрээ 2019 он</t>
  </si>
  <si>
    <t>2019-11-13</t>
  </si>
  <si>
    <t>Ус ашиглах гэрээ-Эрдэнэт үйлдвэр ТӨҮГ-2023 он</t>
  </si>
  <si>
    <t>Орон нутгийн хамтын ажиллагааны гэрээ 2023-2</t>
  </si>
  <si>
    <t>Орон нутгийн хамтын ажиллагааны гэрээ 2023-4</t>
  </si>
  <si>
    <t>Орон нутгийн хамтын ажиллагааны гэрээ 2023-10</t>
  </si>
  <si>
    <t>2023-05-10</t>
  </si>
  <si>
    <t>Эрдэнийн олз ХХК</t>
  </si>
  <si>
    <t>Түмэн тал</t>
  </si>
  <si>
    <t>2023-06-27</t>
  </si>
  <si>
    <t>Дундговь аймгийн Засаг даргын тамгын газар, Баянжаргалан, Дэлгэрхангай сумын Засаг даргын тамгын газар</t>
  </si>
  <si>
    <t>МОНГОЛЫН АЛТМАК ХХК</t>
  </si>
  <si>
    <t>Дундговь аймгийн Засаг даргын тамгын газар, Баянжаргалан сумын даргын тамгын газар</t>
  </si>
  <si>
    <t>Жанат ХХК-ий 2023 оны хамтын ажиллагааны гэрээ</t>
  </si>
  <si>
    <t>2023-01-03</t>
  </si>
  <si>
    <t>Жанат ХХК</t>
  </si>
  <si>
    <t>Land-Ore ХХК-ийн байгаль орчин, дэд бүтцийг хөгжүүлэх, ажлын байр нэмэгдүүлэх тухай нийгмийн хариуцлагын гэрээ</t>
  </si>
  <si>
    <t>Говь-Алтай Эрдэнэ</t>
  </si>
  <si>
    <t>2023-08-23</t>
  </si>
  <si>
    <t>Говь-Алтай аймгийн Эрдэнэ сумын Засаг дарга</t>
  </si>
  <si>
    <t>Ланд оре ХХК</t>
  </si>
  <si>
    <t>2023-06-12</t>
  </si>
  <si>
    <t>Рийлзон ресурс ХХК-ийн байгаль орчин, дэд бүтцийг хөгжүүлэх, ажлын байр нэмэгдүүлэх тухай нийгмийн хариуцлагын гэрээ</t>
  </si>
  <si>
    <t>2023-04-01</t>
  </si>
  <si>
    <t>Рийлзон ресурс ХХК</t>
  </si>
  <si>
    <t>2023-10-18</t>
  </si>
  <si>
    <t>Сонгинохайрхан дүүргийн ЗДТГазар</t>
  </si>
  <si>
    <t>Сүр сүлд ХХК</t>
  </si>
  <si>
    <t>2023-04-13</t>
  </si>
  <si>
    <t>2023-03-03</t>
  </si>
  <si>
    <t>Баян бат-2</t>
  </si>
  <si>
    <t>Хартарвагатай ХК</t>
  </si>
  <si>
    <t>2023-12-15</t>
  </si>
  <si>
    <t>Хар Тарвагатай ХК</t>
  </si>
  <si>
    <t>Увс аймгийнТариалан сумын ЗДТГ</t>
  </si>
  <si>
    <t>Хүрэл тэс нөхөрлөл</t>
  </si>
  <si>
    <t>Орон нутгийн хамтын ажиллагааны гэрээ 2023-6</t>
  </si>
  <si>
    <t>Цэгээн Үүдэн ХХК</t>
  </si>
  <si>
    <t>ОРХОН АЙМАГ, “ЗЭС ЭРДЭНИЙН ХУВЬ” ХХК-ИЙН  2024 ОНЫ ХАМТЫН АЖИЛЛАГААНЫ ТӨЛӨВЛӨГӨӨ</t>
  </si>
  <si>
    <t>Говь-Алтай Дарви</t>
  </si>
  <si>
    <t>2024-04-16</t>
  </si>
  <si>
    <t>Өөдлөн дэвжих өсөн нэмэгдэх</t>
  </si>
  <si>
    <t>Нурамт хулгарын нураа</t>
  </si>
  <si>
    <t>Цээпил хишиг</t>
  </si>
  <si>
    <t>Есөн эв нэгдэл</t>
  </si>
  <si>
    <t>2023-06-16</t>
  </si>
  <si>
    <t>2023-05-31</t>
  </si>
  <si>
    <t>Цан цээнэ цэцэг</t>
  </si>
  <si>
    <t>2023-07-24</t>
  </si>
  <si>
    <t>Зэумар замбала</t>
  </si>
  <si>
    <t>2023-10-06</t>
  </si>
  <si>
    <t>Загийн голын эх</t>
  </si>
  <si>
    <t>2023-07-05</t>
  </si>
  <si>
    <t>2023-10-10</t>
  </si>
  <si>
    <t>Мухар төмөрт</t>
  </si>
  <si>
    <t>Хараа нутгийн алтан нөхөд</t>
  </si>
  <si>
    <t>2024-04-12</t>
  </si>
  <si>
    <t>Хараагийн шижир</t>
  </si>
  <si>
    <t>2023-07-28</t>
  </si>
  <si>
    <t>Зүүн цээлийн залуус</t>
  </si>
  <si>
    <t>Цагаан сарлагт алт</t>
  </si>
  <si>
    <t>Залаатын хишиг</t>
  </si>
  <si>
    <t>Наран баян нутаг</t>
  </si>
  <si>
    <t>Алт баян эрдэнэ</t>
  </si>
  <si>
    <t>Цахир хайрхан</t>
  </si>
  <si>
    <t>Уран дөш андууд</t>
  </si>
  <si>
    <t>Цагаан богд</t>
  </si>
  <si>
    <t>Улз нөхөд</t>
  </si>
  <si>
    <t>2024-04-01</t>
  </si>
  <si>
    <t>Хангайн талст хүдэр</t>
  </si>
  <si>
    <t>Хэнтий аймгийн Баян-Овоо сумын ЗДТГ, Ханшашир ХХК-ийн хооронд байгуулсан хамтран ажиллах гэрээ</t>
  </si>
  <si>
    <t>2015-06-02</t>
  </si>
  <si>
    <t>Хэнтий аймгийн Баян-Овоо сумын ЗДТГ</t>
  </si>
  <si>
    <t>ХАНШАШИР</t>
  </si>
  <si>
    <t>Булган аймгийн Бүрэгхангай сумын ЗДТГ, Өрмөн уул ХХК-ийн хооронд байгуулсан нийгмийн хариуцлагын гэрээ</t>
  </si>
  <si>
    <t>Өрмөн Уул Групп</t>
  </si>
  <si>
    <t>Булган аймгийн Бүрэгхангай сумын ЗДТГ, ГБНБ ХХК-ын хооронд байгуулсан нийгмийн хариуцлагын гэрээ</t>
  </si>
  <si>
    <t>Завхан аймгийн Дөрвөлжин сумаас Баян-Айраг Эксплорэйшн ХХК-тай байгуулах хамтын ажиллагааны гэрээ</t>
  </si>
  <si>
    <t>2017-10-15</t>
  </si>
  <si>
    <t>Ховд аймаг болон МоЭнКо ХХК хоорондын хамтран ажиллах гэрээ</t>
  </si>
  <si>
    <t>2014-03-06</t>
  </si>
  <si>
    <t>Ховд аймаг</t>
  </si>
  <si>
    <t>МоЭнКо</t>
  </si>
  <si>
    <t>Дорнод аймгийн Хэрлэн сум болон Адуунчулуун ХК-ийн хооронд байгуулсан хамтран ажиллах гэрээ</t>
  </si>
  <si>
    <t>2015-03-13</t>
  </si>
  <si>
    <t>Адуунчулуун ХК</t>
  </si>
  <si>
    <t>Дундговь аймаг болон Үнэн анд ХХК-ийн хооронд байгуулсан хамтран ажиллах гэрээ</t>
  </si>
  <si>
    <t>Үнэн анд ХХК</t>
  </si>
  <si>
    <t>Өмнөговь аймгийн Байгаль орчин, аялал жуулчлалын газар болон Энержи ресурс ХХК-ийн хооронд байгуулсан ус ашиглах гэрээ</t>
  </si>
  <si>
    <t>Сэлэнгэ голын сав газрын захиргаа болон Эрдэнэт үйлдвэр ХХК-ийн хооронд байгуулсан ус ашиглах гэрээ</t>
  </si>
  <si>
    <t>Булган Хангал</t>
  </si>
  <si>
    <t>2017-09-21</t>
  </si>
  <si>
    <t>Өвөрхангай аймгийн Төгрөг сум болон Тэборет Эйч Си ХХК-ийн хооронд байгуулсан ус ашиглах гэрээ</t>
  </si>
  <si>
    <t>Өвөрхангай Төгрөг</t>
  </si>
  <si>
    <t>Өвөрхангай аймгийн Төгрөг сумын ЗДТГ</t>
  </si>
  <si>
    <t>Тэборет эйн си ХХК</t>
  </si>
  <si>
    <t>Өмнөговь аймаг болон Энержи ресурс ХХК-ийн хооронд байгуулсан хамтран ажиллах гэрээ</t>
  </si>
  <si>
    <t>Өвөрхангай аймгийн Уянга сум болон Өгөөмөр-Өргөө ХХК-ын хооронд байгуулсан хамтран ажиллах гэрээ</t>
  </si>
  <si>
    <t>2017-06-20</t>
  </si>
  <si>
    <t>Булган аймаг болон Эрхэс майнинг ХХК-ийн хооронд байгуулсан хамтран ажиллах гэрээ</t>
  </si>
  <si>
    <t>Эрхэс майнинг ХХК</t>
  </si>
  <si>
    <t>Сэлэнгэ аймгийн Баянгол сум, Бороо Гоулд компани болон Бэлчээр Ашиглагчдын Үндэсний Холбоо ТББ-ийг хооронд байгуулагдсан хамтран ажиллах гэрээ</t>
  </si>
  <si>
    <t>2017-12-19</t>
  </si>
  <si>
    <t>Бэлчээр Ашиглагчдын Үндэсний Холбоо ТББ</t>
  </si>
  <si>
    <t>Завхан аймгийн Улиастай сум болон Форс голд майнинг ХХК-ийн хооронд байгуулсан ус ашиглах гэрээ 02</t>
  </si>
  <si>
    <t>Өмнөговь аймаг, Алтайн өвөр говийн сав захиргаа болон Саусгоби Сэндс ХХК-ийн хооронд байгуулсан ус ашиглах гэрээ</t>
  </si>
  <si>
    <t>2017-03-07</t>
  </si>
  <si>
    <t>Алтайн Өвөр Говийн Сав газрын захиргаа</t>
  </si>
  <si>
    <t>Саусгоби Сэндс ХХК</t>
  </si>
  <si>
    <t>Өмнөговь аймаг, Алтайн өвөр говийн сав захиргаа болон Монгол алт ХХК-ийн хооронд байгуулсан ус ашиглах гэрээ</t>
  </si>
  <si>
    <t>2017-11-07</t>
  </si>
  <si>
    <t>Алтайн өвөр говийн сав газрын захиргаа</t>
  </si>
  <si>
    <t>Монголын Алт ХХК</t>
  </si>
  <si>
    <t>Умард говийн гүвээт-Халхын дундад талын сав газрын захиргаа болон Үүртгоулд ХХК-ийн хооронд байгуулсан ус ашиглах гэрээ</t>
  </si>
  <si>
    <t>Умард говийн гүвээт -Халхын дундад талын сав газрын захиргаа</t>
  </si>
  <si>
    <t>Туул голын сав газрын захиргааны ус ашиглалтыг зохицуулах алба болон Эм Жи Жи И Си ХХК-ийн хооронд байгуулсан ус ашиглах гэрээ</t>
  </si>
  <si>
    <t>2017-08-25</t>
  </si>
  <si>
    <t>Эм Жи Жи И Си ХХК</t>
  </si>
  <si>
    <t>Туул голын сав газрын захиргааны ус ашиглалтыг зохицуулах алба болон Ар голд ХХК-ийн хооронд байгуулсан ус ашиглах гэрээ</t>
  </si>
  <si>
    <t>Ар голд ХХК</t>
  </si>
  <si>
    <t>Туул голын сав газрын захиргаа болон Хос Хас ХХК-ийн хооронд байгуулсан ус ашиглах гэрээ</t>
  </si>
  <si>
    <t>2017-07-04</t>
  </si>
  <si>
    <t>Хос хас ХХК</t>
  </si>
  <si>
    <t>Говь-Алтай аймгийн Цээл сум болон Алтайн хүдэр ХХК-ийн хооронд байгуулсан газар ашиглуулах гэрээ 009</t>
  </si>
  <si>
    <t>Дорноговь аймгийн Улаанбадрах сум болон Тээлийн шонхор ХХК-ийн хооронд байгуулсан газар ашиглах гэрээ</t>
  </si>
  <si>
    <t>Барилгын Материал;Цеолит</t>
  </si>
  <si>
    <t>Говь-Алтай аймгийн Цээл сум болон Алтайн хүдэр ХХК-ийн хооронд байгуулсан газар ашиглуулах гэрээ 00384</t>
  </si>
  <si>
    <t>Дорноговь аймгийн Өргөн сум болон Жеми интернэйшнл ХХК-ийн хооронд байгуулсан газар ашиглуулах гэрээ</t>
  </si>
  <si>
    <t>2013-04-30</t>
  </si>
  <si>
    <t>Жеми интернэйшнл ХХК</t>
  </si>
  <si>
    <t>Дорноговь аймаг болон Арвин хад ХХК-ийн хооронд байгуулсан газар ашиглуулах гэрээ</t>
  </si>
  <si>
    <t>2015-01-26</t>
  </si>
  <si>
    <t>Арван хад ХХК</t>
  </si>
  <si>
    <t>Дорноговь аймгийн Өргөн сум болон Тээлийн шонхор ХХК-ийн хооронд байгуулсан газар эзэмшүүлэх гэрээ/2018/00011</t>
  </si>
  <si>
    <t>Барилгын Материал;Гөлтгөнө;Цеолит</t>
  </si>
  <si>
    <t>2018-01-18</t>
  </si>
  <si>
    <t>Дорноговь аймгийн Сайхандулаан сум болон Фрийгүүд Эрин ХХК-ийн хооронд байгуулсан газар ашиглуулах гэрээ</t>
  </si>
  <si>
    <t>2016-09-27</t>
  </si>
  <si>
    <t>Дорноговь аймгийн Айраг сум болон Эм-Си-Ти-Ти-ХХК-ийн хооронд байгуулсан газар ашиглуулах гэрээ</t>
  </si>
  <si>
    <t>2017-06-09</t>
  </si>
  <si>
    <t>Төв аймгийн Заамар сум болон Бумбат ХХК-ийн хооронд байгуулсан газар ашиглах гэрээ 24 га</t>
  </si>
  <si>
    <t>Төв аймгийн Заамар сум болон Бумбат ХХК-ийн хооронд байгуулсан газар ашиглах гэрээ 24.43 га</t>
  </si>
  <si>
    <t>Төв аймгийн Заамар сум болон Заамар Гоулд ХХК-ийн хооронд байгуулсан газар ашиглах гэрээ</t>
  </si>
  <si>
    <t>Төв аймгийн Заамар сум болон Буд Инвенст ХХК-ийн хооронд байгуулсан газар ашиглах гэрээ</t>
  </si>
  <si>
    <t>Буд Инвенст ХХК</t>
  </si>
  <si>
    <t>Төв аймгийн Заамар сум болон Уян ган ХХК, Платинумланд ХХК нарын хооронд байгуулсан газар ашиглах гэрээ</t>
  </si>
  <si>
    <t>Уян ган ХХК</t>
  </si>
  <si>
    <t>Төв аймгийн Заамар сум болон Номын хүч ХХК-ийн хооронд байгуулсан газар ашиглах гэрээ</t>
  </si>
  <si>
    <t>Номын хүч ХХК</t>
  </si>
  <si>
    <t>Төв аймгийн Заамар сум болон Алтандорнод Монгол ХХК-ийн хооронд байгуулсан газар ашиглах гэрээ 22.65 га</t>
  </si>
  <si>
    <t>Төв аймгийн Заамар сум болон Алтандорнод Монгол ХХК-ийн хооронд байгуулсан газар ашиглах гэрээ 152.53 га</t>
  </si>
  <si>
    <t>Төв аймгийн Заамар сум болон Алтандорнод Монгол ХХК-ийн хооронд байгуулсан газар ашиглах гэрээ 37.19 га</t>
  </si>
  <si>
    <t>Төв аймгийн Заамар сум болон Хос богд ХХК-ийн хооронд байгуулсан газар ашиглах гэрээ</t>
  </si>
  <si>
    <t>Хос богд ХХК</t>
  </si>
  <si>
    <t>Өвөрхангай аймгийн Уянга сум болон Өгөөмөр-Өргөө ХХК-ийн хооронд байгуулсан газар ашиглах гэрээ</t>
  </si>
  <si>
    <t>2017-10-06</t>
  </si>
  <si>
    <t>Төв аймгийн Заамар сум болон Алтандорнод Монгол ХХК-ийн хооронд байгуулсан газар ашиглах гэрээ 8 га</t>
  </si>
  <si>
    <t>Сэлэнгэ аймгийн Мандал сум болон Сентерра гоулд ХХК-ийн хооронд байгуулсан газар ашиглах гэрээ 360 га</t>
  </si>
  <si>
    <t>Ховд аймгийн Дарви сум болон МоЭнКо ХХК-ийн хооронд байгуулсан газар ашиглах гэрээ 208 га</t>
  </si>
  <si>
    <t>Ховд амйгийн Дарви сумын ЗДТГ</t>
  </si>
  <si>
    <t>БОНХАЖЯ, АМГ, МХЕГ,Төв  аймгийн Заамар сум болон Жотойн бажууна ХХК-ийн хооронд байгуулсан нөхөн сэргээх үйл ажиллагааны гэрээ</t>
  </si>
  <si>
    <t>2016-07-07</t>
  </si>
  <si>
    <t>Жотойн бажууна ХХК</t>
  </si>
  <si>
    <t>БОНХАЖЯ, АМГ, МХЕГ, Баянхонгор аймаг болон Ти Энд Ти Юникс ХХК-ийн хооронд байгуулсан нөхөн сэргээх үйл ажиллагааны гэрээ</t>
  </si>
  <si>
    <t>БОАЖЯ, АМГТГ, МХЕГ, Сэлэнгэ   аймаг болон Эрдэс Групп ХХК-ийн хооронд байгуулсан нөхөн сэргээх үйл ажиллагааны гэрээ</t>
  </si>
  <si>
    <t>2017-04-28</t>
  </si>
  <si>
    <t>Эрдэс групп ХХК</t>
  </si>
  <si>
    <t>Өмнөговь аймгийн Баян-Овоо сум болон Мөнхноён Суврага ХХК-ийн хооронд байгуулсан хамтран ажиллах гэрээ</t>
  </si>
  <si>
    <t>2017-06-27</t>
  </si>
  <si>
    <t>Өмнөговь аймгийн Баян-Овоо сумын ЗДТГ</t>
  </si>
  <si>
    <t>Мөнхийн Суврага ХХК</t>
  </si>
  <si>
    <t>БОАЖЯ, АМГТГ, МХЕГ, Сэлэнгэ аймаг болон Шар нарст ХХК-ийн хооронд байгуулсан нөхөн сэргээх үйл ажиллагааны гэрээ</t>
  </si>
  <si>
    <t>2017-12-06</t>
  </si>
  <si>
    <t>"Ар булаг-XXIX" талбайд газрын тосны хайгуул, ашиглалтын үйл ажиллагаа эрхлэх талаар Газрын тосны газар, "Макс ойл" ХХК-ийн хооронд байгуулсан бүтээгдэхүүн хуваах гэрээ</t>
  </si>
  <si>
    <t>2017-07-06</t>
  </si>
  <si>
    <t>"Макс ойл" ХХК</t>
  </si>
  <si>
    <t>Газрын тосны хайгуулын Номгон - IX талбайн талаар Газрын тосны газар, "Сансарын геологи хайгуул" ХХК-ийн хооронд байгуулсан бүтээгдэхүүн хуваах гэрээ</t>
  </si>
  <si>
    <t>2014-01-26</t>
  </si>
  <si>
    <t>Газрын тосны хайгуулын Төхөм хойд - Х талбайн талаар Газрын тосны газар, "Сансарын геологи хайгуул" ХХК-ийн хооронд байгуулсан бүтээгдэхүүн хуваах гэрээ</t>
  </si>
  <si>
    <t>Дундговь Өндөршил</t>
  </si>
  <si>
    <t>Газрын тосны хайгуулын Хөх нуур - XVIII талбайн талаар Газрын тосны газар болон БНХАУ-ын "Эн Пи Ай" ХХК-ийн хооронд байгуулсан бүтээгдэхүүн хуваах гэрээ</t>
  </si>
  <si>
    <t>Дорнод Чойбалсан</t>
  </si>
  <si>
    <t>2009-07-06</t>
  </si>
  <si>
    <t>Эн Пи Ай ХХК</t>
  </si>
  <si>
    <t>Монгол Улсын Засгийн газар болон "МАК цемент" ХХК, "Монголын алт" (МАК) ХХК-ийн хооронд байгуулсан Хөх цавын цемент-шохойн үйлдвэрийн төслийн хөрөнгө оруулалтын гэрээ</t>
  </si>
  <si>
    <t>2015-04-13</t>
  </si>
  <si>
    <t>МАК цемент ХХК;Монголын алт (МАК) ХХК</t>
  </si>
  <si>
    <t>Ашиглалтын өмнөх үйл ажиллагааны тухай гэрээ [Брэйвхарт ресорсиз ХХК]</t>
  </si>
  <si>
    <t>Ховд Зэрэг</t>
  </si>
  <si>
    <t>2013-04-25</t>
  </si>
  <si>
    <t>Брэйвхарт ХХК</t>
  </si>
  <si>
    <t>Монгол Улсын Засгийн газар, "Бороо гоулд" ХХК-ийн хооронд 1998 оны 7 дугаар сарын 6-ны өдөр байгуулсан "Тогтвортой байдлын гэрээ", 2000 оны 5 дугаар сарын 9-ны өдөр байгуулсан "Тогтвортой байдлын гэрээнд нэмэлт, өөрчлөлт оруулах тухай гэрээ"-нд нэмэлт өөрчлөлт оруулах тухай гэрээ</t>
  </si>
  <si>
    <t>2007-08-07</t>
  </si>
  <si>
    <t>The agreement on the amendments to the to The stability agreement between the Government of Mongolia and Boroo Gold company limited of July 6, 1998 and The agreement to the Amend Stability Agreement of May 9. 2000</t>
  </si>
  <si>
    <t>2007-08-03</t>
  </si>
  <si>
    <t>Boroo Gold company limited</t>
  </si>
  <si>
    <t>Ашиглалтын өмнөх үйл ажиллагааны тухай гэрээ [Гутайн даваа ХХК]</t>
  </si>
  <si>
    <t>2012-09-04</t>
  </si>
  <si>
    <t>Ашигт  малтмалын газар</t>
  </si>
  <si>
    <t>Ашиглалтын өмнөх үйл ажиллагааны тухай гэрээ [Налгар хөндий ХХК]</t>
  </si>
  <si>
    <t>Зэс;Алт;Молибден</t>
  </si>
  <si>
    <t>2013-05-15</t>
  </si>
  <si>
    <t>Налгар хөндий ХХК</t>
  </si>
  <si>
    <t>Ашиглалтын өмнөх үйл ажиллагааны тухай гэрээ [Сентрал азиа майнинг ХХК]</t>
  </si>
  <si>
    <t>2013-12-27</t>
  </si>
  <si>
    <t>Сентрал азиа майнинг ХХ</t>
  </si>
  <si>
    <t>Төв Бүрэн</t>
  </si>
  <si>
    <t>2012-09-13</t>
  </si>
  <si>
    <t>Ашиглалтын өмнөх үйл ажиллагааны тухай гэрээ [Хөх дэл инвест ХХК]</t>
  </si>
  <si>
    <t>2013-01-14</t>
  </si>
  <si>
    <t>Хөх дэл инвест ХХК</t>
  </si>
  <si>
    <t>Хариуцлагын гэрээ [Налайх дүүрэг - Сүмбэрхудаг ХХК]</t>
  </si>
  <si>
    <t>2017-02-16</t>
  </si>
  <si>
    <t>Сүмбэрхудаг ХХК</t>
  </si>
  <si>
    <t>Улсын төсвийн хайгуулын ажилд гарсан зардлыг нөхөн төлөх тухай гэрээ ["Цогт-Онон" ХХК]</t>
  </si>
  <si>
    <t>2015-12-31</t>
  </si>
  <si>
    <t>Цогт-Онон ХХК</t>
  </si>
  <si>
    <t>Улсын төсвөөс хайгуулын ажилд гарсан зардлыг нөхөн төлөх тухай гэрээ ["Күнлүн" ХХК]</t>
  </si>
  <si>
    <t>2015-08-18</t>
  </si>
  <si>
    <t>Улсын төсвөөс хайгуулын ажилд гарсан зардлыг нөхөн төлөх тухай ["Тээлийн шонхор" ХХК]</t>
  </si>
  <si>
    <t>Улсын төсвөөс хайгуулын ажилд гарсан зардлыг нөхөн төлөх тухай гэрээ ["Боржин зам" ХХК]</t>
  </si>
  <si>
    <t>2017-09-19</t>
  </si>
  <si>
    <t>Боржин зам ХХК</t>
  </si>
  <si>
    <t>Улсын төсвөөс хайгуулын ажилд гарсан зардлыг нөхөн төлөх тухай гэрээ ["Алтан эрдэнийн орд" ХХК]</t>
  </si>
  <si>
    <t>Цагаан Тугалга;Вольфрам/Гянтболд</t>
  </si>
  <si>
    <t>2017-09-18</t>
  </si>
  <si>
    <t>Алтан эрдэнийн орд ХХК</t>
  </si>
  <si>
    <t>Улсын төсвөөс хайгуулын ажилд гарсан зардлыг нөхөн төлөх тухай гэрээ ["Илт гоулд" ХХК]</t>
  </si>
  <si>
    <t>Улсын төсвөөс хайгуулын ажилд гарсан зардлыг нөхөн төлөх тухай гэрээ ["Дүншиинхэние" ХХК]</t>
  </si>
  <si>
    <t>Дүншинхэние ХХК</t>
  </si>
  <si>
    <t>Улсын төсвөөс хайгуулын ажилд гарсан зардлыг нөхөн төлөх тухай гэрээ ["Наран гоулд" ХХК]</t>
  </si>
  <si>
    <t>2017-05-22</t>
  </si>
  <si>
    <t>Наран гоулд ХХК</t>
  </si>
  <si>
    <t>Улсын төсвөөс хайгуулын ажилд гарсан зардлыг нөхөн төлөх тухай гэрээ ["Рэдвулкан" ХХК]</t>
  </si>
  <si>
    <t>Улсын төсвөөс хайгуулын ажилд гарсан зардлыг нөхөн төлөх тухай гэрээ ["Хатантүшиг" ХХК]</t>
  </si>
  <si>
    <t>Хатантүшиг ХХК</t>
  </si>
  <si>
    <t>Улсын төсвөөс хайгуулын ажилд гарсан зардлыг нөхөн төлөх тухай гэрээ ["Шар нарст" ХХК]</t>
  </si>
  <si>
    <t>Булган Сэлэнгэ</t>
  </si>
  <si>
    <t>Улсын төсвөөс хайгуулын ажилд гарсан зардлыг нөхөн төлөх тухай гэрээ ["Эх дэлгэр мөрөн" ХХК]</t>
  </si>
  <si>
    <t>2017-02-09</t>
  </si>
  <si>
    <t>Эх дэлгэр мөрөн ХХК</t>
  </si>
  <si>
    <t>Дундговь аймаг болон Болор жонш ХХК-ийн хооронд байгуулсан хамтран ажиллах гэрээ</t>
  </si>
  <si>
    <t>Жонш;Висмут</t>
  </si>
  <si>
    <t>Болор жонш ХХК</t>
  </si>
  <si>
    <t>Төв аймгийн Баянчандмань сум болон Монвольфрам ХХК-ийн хооронд байгуулсан газар ашиглах гэрээ</t>
  </si>
  <si>
    <t>Төв аймгийн Баянчандмань сумын ЗДТГ</t>
  </si>
  <si>
    <t>DWM Petroleum AG, Tsagaan Els XIII Area, PSA, 2009</t>
  </si>
  <si>
    <t>2009-05-20</t>
  </si>
  <si>
    <t>The Petroleum Authority of Mongolia</t>
  </si>
  <si>
    <t>DWM Petroleum AG</t>
  </si>
  <si>
    <t>Дорноговь аймгийн Улаанбадрах сум болон Эрэл ХХК-ийн хооронд байгуулсан газар ашиглах гэрээ</t>
  </si>
  <si>
    <t>Барилгын Материал;Алт;Гөлтгөнө;Түгээмэл тархацтай ашигт малтмал;Битум</t>
  </si>
  <si>
    <t>2016-01-22</t>
  </si>
  <si>
    <t>Дорноговь аймгийн Улаанбадрах аймгийн ГХБХБГазар</t>
  </si>
  <si>
    <t>Эрэл ХХК</t>
  </si>
  <si>
    <t>2019-03-18</t>
  </si>
  <si>
    <t>Хос хас ХХК-ийн нийгмийн хариуцлагын гэрээ</t>
  </si>
  <si>
    <t>Тэнгис</t>
  </si>
  <si>
    <t>2019-06-05</t>
  </si>
  <si>
    <t>Ананд баян тал ХХК</t>
  </si>
  <si>
    <t>Хамтран ажиллах</t>
  </si>
  <si>
    <t>2019-07-16</t>
  </si>
  <si>
    <t>Хамтран ажиллах гэрээ-Ай Би Би Ай ХХК</t>
  </si>
  <si>
    <t>Нутгийн анар ХХК</t>
  </si>
  <si>
    <t>Хамтран ажиллах гэрээ- Шижир Алт ХХК</t>
  </si>
  <si>
    <t>Шижир Алт ХХК</t>
  </si>
  <si>
    <t>Бичил уурхайгаар ашигт малтмал олборлох гэрээ, Багахангай, Ивээлт нутаг нөхөрлөл</t>
  </si>
  <si>
    <t>Ивээлт нутаг нөхөрлөл</t>
  </si>
  <si>
    <t>Бичил уурхайн нөхөрлөлтэй байгуулах гэрээ, Булган Бүрэгхангай, Өнө мандал</t>
  </si>
  <si>
    <t>Өнө мандал нөхөрлөл</t>
  </si>
  <si>
    <t>Эм Си Си Эм ХХК</t>
  </si>
  <si>
    <t>2018-12-03</t>
  </si>
  <si>
    <t>Рунто уул уурхай ХХК</t>
  </si>
  <si>
    <t>Ашигт малтмал газрын тосны газар, Дорнод аймгийн Засаг дарга, Петрочайна Дачин Тамсаг ХХК хоорондын гурван талт хэлцэл</t>
  </si>
  <si>
    <t>Ашигт малтмал, газрын тосны газар, Дорнод аймгийн Засаг дарга</t>
  </si>
  <si>
    <t>п</t>
  </si>
  <si>
    <t>Хамтран ажиллах гэрээ- Их ундрага майнинг ХХК</t>
  </si>
  <si>
    <t>Их ундрага майнинг ХХК</t>
  </si>
  <si>
    <t>Баян тал нөхөрлөл</t>
  </si>
  <si>
    <t>Бодь Алт ТББ-ын Дархан нөхөрлөл</t>
  </si>
  <si>
    <t>2018-12-18</t>
  </si>
  <si>
    <t>Бэрх Ар-ган нөхөрлөл</t>
  </si>
  <si>
    <t>Дэл 3 нөхөрлөл</t>
  </si>
  <si>
    <t>Мисад нөхөрлөл</t>
  </si>
  <si>
    <t>2016-08-31</t>
  </si>
  <si>
    <t>Мөнхрөх нөхөрлөл</t>
  </si>
  <si>
    <t>2018-07-03</t>
  </si>
  <si>
    <t>Түмэн төгөл гоулд нөхөрлөл</t>
  </si>
  <si>
    <t>Хийморийн хишиг нөхөрлөл</t>
  </si>
  <si>
    <t>Хамтын зүтгэл нөхөрлөл</t>
  </si>
  <si>
    <t>Бичил уурхайгаар ашигт малтмал олборлох, нөхөн сэргээх тухай гэрээ</t>
  </si>
  <si>
    <t>Өвөрхангай Тарагт</t>
  </si>
  <si>
    <t>2018-07-05</t>
  </si>
  <si>
    <t>Өвөрхангай аймгийн Тарагт сумын Засаг дарга</t>
  </si>
  <si>
    <t>Хүрэмт хамтын хүч нөхөрлөл</t>
  </si>
  <si>
    <t>Этно голд нөхөрлөл</t>
  </si>
  <si>
    <t>2018-09-23</t>
  </si>
  <si>
    <t>Арвижих нөхөрлөл</t>
  </si>
  <si>
    <t>Баялаг арвижих өгөөж нөхөрлөл</t>
  </si>
  <si>
    <t>2018-11-24</t>
  </si>
  <si>
    <t>Баян байгалийн хишиг нөхөрлөл</t>
  </si>
  <si>
    <t>2018-08-24</t>
  </si>
  <si>
    <t>Баянговь нөхөрлөл</t>
  </si>
  <si>
    <t>Дундговь аймгийн Баянжаргалын сумын Засаг дарга</t>
  </si>
  <si>
    <t>Хөгжил нөхөрлөл</t>
  </si>
  <si>
    <t>2018-03-28</t>
  </si>
  <si>
    <t>Нутгийн хишиг 2018</t>
  </si>
  <si>
    <t>Төгс од билиг</t>
  </si>
  <si>
    <t>2018-09-24</t>
  </si>
  <si>
    <t>Төв аймгийн Баян сумын Засаг дарга</t>
  </si>
  <si>
    <t>Цагаан алтгана</t>
  </si>
  <si>
    <t>2020-02-08</t>
  </si>
  <si>
    <t>2018-09-03</t>
  </si>
  <si>
    <t>Билэгт хангайн жаргалан нөхөрлөл</t>
  </si>
  <si>
    <t>2017-10-04</t>
  </si>
  <si>
    <t>Арвижин дэлгэрэх нөхөрлөл</t>
  </si>
  <si>
    <t>Бугант тихи мидас нөхөрлөл</t>
  </si>
  <si>
    <t>Ерөө эвсэг уул нөхөрлөл</t>
  </si>
  <si>
    <t>Байгалийг Уянга нөхөрлөл</t>
  </si>
  <si>
    <t>2018-10-20</t>
  </si>
  <si>
    <t>Таван шүтээн ХХК;Зүүн хээр нөхөрлөл</t>
  </si>
  <si>
    <t>Ашиглалтын тусшай зөвшөөрөл бүхий талбайгаас бичил уурхайгаар ашигт малтмал олборлох тухай гурвалсан гэрээ</t>
  </si>
  <si>
    <t>Хамтын хүч нөхөрлөл;Сүмбэр худаг ХХК</t>
  </si>
  <si>
    <t>Хайрханы хүчирхэг залуус нөхөрлөл</t>
  </si>
  <si>
    <t>Шижир нөхөрлөл;Сүмбэр худаг ХХК</t>
  </si>
  <si>
    <t>Эрлийн ажил гүйцэтгэх гэрээ, Нэйшнал газ ойл энержи ХХК</t>
  </si>
  <si>
    <t>газрын тос</t>
  </si>
  <si>
    <t>Улаанбаатар Баянзүрх,Дархан-Уул Хонгор,Дархан-Уул Шарын гол,Сэлэнгэ Баянгол,Сэлэнгэ Ерөө,Сэлэнгэ Мандал,Төв Батсүмбэр,Төв Баянчандмань,Төв Борнуур,Төв Эрдэнэ,Улаанбаатар Сонгинохайрхан,Улаанбаатар Сүхбаатар,Улаанбаатар Чингэлтэй</t>
  </si>
  <si>
    <t>2018-12-20</t>
  </si>
  <si>
    <t>Нэйшнал газ ойл энержи ХХК</t>
  </si>
  <si>
    <t>Эрлийн ажил гүйцэтгэх гэрээ, Азтек Монголиа Эксплорэйшн</t>
  </si>
  <si>
    <t>Өмнөговь Баяндалай,Өмнөговь Ноён,Өмнөговь Хүрмэн</t>
  </si>
  <si>
    <t>2019-01-28</t>
  </si>
  <si>
    <t>Азтек Монгол эксплорэйшн ХХК</t>
  </si>
  <si>
    <t>Эрлийн ажил гүйцэтгэх гэрээ, Эс би петролиум ХХК</t>
  </si>
  <si>
    <t>Дундговь Адаацаг,Дундговь Дэлгэрцогт</t>
  </si>
  <si>
    <t>2018-08-18</t>
  </si>
  <si>
    <t>Эс би петролиум ХХК</t>
  </si>
  <si>
    <t>Орхон аймгийн Засаг дарга Батлут</t>
  </si>
  <si>
    <t>2018-05-17</t>
  </si>
  <si>
    <t>Дэлгэрэх гонир нөхөрлөл</t>
  </si>
  <si>
    <t>2015-03-30</t>
  </si>
  <si>
    <t>Баян-Өлгий аймгийн Засаг даргын тамгын газар</t>
  </si>
  <si>
    <t>Ашиглалтын өмнөх үйл ажиллагааны тухай гэрээ [Эрдэс холдинг ХХК]</t>
  </si>
  <si>
    <t>Баянхонгор Баянбулаг</t>
  </si>
  <si>
    <t>2014-06-05</t>
  </si>
  <si>
    <t>Эрдэс холдинг ХХК</t>
  </si>
  <si>
    <t>Улсын төсвөөс хайгуулын ажилд гарсан зардлыг нөхөн төлөх тухай гэрээ ["Оргил моунт" ХХК]</t>
  </si>
  <si>
    <t>2016-06-06</t>
  </si>
  <si>
    <t>Оргил моунт ХХК</t>
  </si>
  <si>
    <t>Ашиглалтын өмнөх үйл ажиллагааны тухай гэрээ [Жюдекуане ХХК]</t>
  </si>
  <si>
    <t>Баянхонгор Баян-Өндөр</t>
  </si>
  <si>
    <t>2013-11-28</t>
  </si>
  <si>
    <t>Жюдекуане ХХК</t>
  </si>
  <si>
    <t>Баянхонгор аймаг болон Энержи Вестерн Даймонд ХХК-ийн хооронд байгуулсан хамтран ажиллах гэрээ</t>
  </si>
  <si>
    <t>Баянхонгор Баянговь</t>
  </si>
  <si>
    <t>Энержи Вестерн Даймонд ХХК</t>
  </si>
  <si>
    <t>Улаан гацаа нөхөрлөл</t>
  </si>
  <si>
    <t>Шар шувуут уул</t>
  </si>
  <si>
    <t>2018-07-31</t>
  </si>
  <si>
    <t>Өгөөж ундрах дэлгэрэх</t>
  </si>
  <si>
    <t>Зорилго гоулд нөхөрлөл</t>
  </si>
  <si>
    <t>Мөнхийн ундарга өгөөж хангай</t>
  </si>
  <si>
    <t>Дархан ач хайрхан нөхөрлөл</t>
  </si>
  <si>
    <t>Бичил уурхайгаар ашигт малтмал олборлох тухай гэрээ-Чимидийн хөндлөн</t>
  </si>
  <si>
    <t>Чимидийн хөндлөн</t>
  </si>
  <si>
    <t>Бичил уурхайгаар ашигт малтмал олборлох тухай гэрээ-Хажуу усны ягаан жонш</t>
  </si>
  <si>
    <t>2019-01-04</t>
  </si>
  <si>
    <t>Хажуу усны ягаан жонш</t>
  </si>
  <si>
    <t>Бичил уурхайгаар ашигт малтмал олборлох тухай гэрээ-Чойлон уул нөхөрлөл</t>
  </si>
  <si>
    <t>2019-06-22</t>
  </si>
  <si>
    <t>Чойлон уул нөхөрлөл</t>
  </si>
  <si>
    <t>Бичил уурхайгаар ашигт малтмал олборлох тухай гэрээ-Норовлин оргил жонш нөхөрлөл</t>
  </si>
  <si>
    <t>Норовлин оргил жонш нөхөрлөл</t>
  </si>
  <si>
    <t>Бичил уурхайгаар ашигт малтмал олборлох тухай гэрээ-Өсөх сүлд хайрхан нөхөрлөл</t>
  </si>
  <si>
    <t>2019-02-19</t>
  </si>
  <si>
    <t>Өсөх сүлд хайрхан нөхөрлөл</t>
  </si>
  <si>
    <t>Бичил уурхайгаар ашигт малтмал олборлох гэрээ тухай-Гэцэл Андууд нөхөрлөл</t>
  </si>
  <si>
    <t>Гэцэл Андууд нөхөрлөл</t>
  </si>
  <si>
    <t>Бичил уурхайгаар ашигт малтмал олборлох тухай гэрээ-Жоншит ухаа нөхөрлөл</t>
  </si>
  <si>
    <t>Жоншит ухаа нөхөрлөл</t>
  </si>
  <si>
    <t>Бичил уурхайгаар ашигт малтмал олборлох тухай гэрээ-Баялаг бэрх төмөртэй өндөр нөхөрлөл</t>
  </si>
  <si>
    <t>2019-01-06</t>
  </si>
  <si>
    <t>Баялаг бэрх төмөртэй өндөр нөхөрлөл</t>
  </si>
  <si>
    <t>Дамбат ХХК</t>
  </si>
  <si>
    <t>Хамтран ажиллах гэрээ-Уулс Заамар ХХК</t>
  </si>
  <si>
    <t>Дундговь Цагаандэлгэр</t>
  </si>
  <si>
    <t>2019-07-30</t>
  </si>
  <si>
    <t>Дундговь аймгийн ЗДТГ, Цагаандэлгэр сумын ЗДТГ</t>
  </si>
  <si>
    <t>Монгол перлит констракшн ХХК</t>
  </si>
  <si>
    <t>Говь мастер ХХК</t>
  </si>
  <si>
    <t>Дундговь Сайнцагаан</t>
  </si>
  <si>
    <t>Дундговь аймгийн ЗДТГ, Сайнцагаан сумын ЗДТГ</t>
  </si>
  <si>
    <t>Тэвшийн говь ХХК</t>
  </si>
  <si>
    <t>2021-04-28</t>
  </si>
  <si>
    <t>Сэлэнгэ аймгийн Мандал сум болон Бороо гоулд ХХК-ны хоорондын хамтын ажиллагааны гэрээ</t>
  </si>
  <si>
    <t>Сэлэнгэ аймгийн Мандал сумын Засаг дарга</t>
  </si>
  <si>
    <t>2021-03-01</t>
  </si>
  <si>
    <t>Баян-Өлгий аймгийн Цэнгэл сумын Засаг дарга Т.Айтуган</t>
  </si>
  <si>
    <t>"Хотгор ХХК " 2019 он хамтран ажиллах гэрээ</t>
  </si>
  <si>
    <t>Нэтэнт ХХК 2020 он хамтран ажиллах гэрээ</t>
  </si>
  <si>
    <t>2020-04-01</t>
  </si>
  <si>
    <t>Нэтэнт ХХК</t>
  </si>
  <si>
    <t>Ус ашиглах гэрээ ЭРДЭНЭТ ҮЙЛДВЭР ТӨҮГ</t>
  </si>
  <si>
    <t>2021-07-24</t>
  </si>
  <si>
    <t>2021-05-06</t>
  </si>
  <si>
    <t>Газар ашиглах тухай</t>
  </si>
  <si>
    <t>2018-02-23</t>
  </si>
  <si>
    <t>2019-08-26</t>
  </si>
  <si>
    <t>Анто Од ХХК</t>
  </si>
  <si>
    <t>2021-07-19</t>
  </si>
  <si>
    <t>Налайх дүүргийн Засаг даргын Тамгын газар</t>
  </si>
  <si>
    <t>Шар Монгол</t>
  </si>
  <si>
    <t>2021-06-11</t>
  </si>
  <si>
    <t>"Эрчим Баян-Өлгий ХК"  газар эзэмших гэрээ</t>
  </si>
  <si>
    <t>2019-01-25</t>
  </si>
  <si>
    <t>хасагт хайрхан</t>
  </si>
  <si>
    <t>2021-11-11</t>
  </si>
  <si>
    <t>Дорноговь аймгийн Сайншанд сумын Засаг дарга</t>
  </si>
  <si>
    <t>Доншен газрын тос Монгол ХХК</t>
  </si>
  <si>
    <t>ОРХОН АЙМАГ, “ЭРДМИН" ХХК-ИЙН 2021-2023 ОНД ХАМТРАН АЖИЛЛАХ ГЭРЭЭ</t>
  </si>
  <si>
    <t>2021-07-02</t>
  </si>
  <si>
    <t>"Ноён ширхэнцэг" ХХК</t>
  </si>
  <si>
    <t>Завхан аймгийн Дөрвөлжин сум болон Баян-Айраг Эксплорэйшн ХХК-ийн Хамтын ажиллагааны гэрээ</t>
  </si>
  <si>
    <t>2019-09-02</t>
  </si>
  <si>
    <t>Завхан аймгийн Дөрвөлжин сумын Засаг дарга</t>
  </si>
  <si>
    <t>Сэлэнгэ аймгийн Мандал сум болон "Кормонмайн хаус" ХХК хоорондын хамтын ажиллагааны гэрээ</t>
  </si>
  <si>
    <t>2020-04-08</t>
  </si>
  <si>
    <t>Кормонмайн хаус ХХК</t>
  </si>
  <si>
    <t>БОАЖЯ, АМГТГ, МХЕГ, Төв аймаг болон Уулс Заамар ХХК-ын хооронд байгуулсан нөхөн сэргээх үйл ажиллагааны гэрээ</t>
  </si>
  <si>
    <t>2018-04-11</t>
  </si>
  <si>
    <t>БОАЖЯ-ны ХБОБНУГ-ын дарга;АМГТГ-ын УУҮТХ-ийн дарга;Төв аймгийн засаг дарга;МХЕГ-ын ГУУХХ-ийн дарга</t>
  </si>
  <si>
    <t>БОАЖЯ, АМГТГ, МХЕГ, Сэлэнгэ аймаг болон Монтэнгэр ХХК-ын хооронд байгуулсан нөхөн сэргээх үйл ажиллагааны гэрээ</t>
  </si>
  <si>
    <t>Монтэнгэр ХХК</t>
  </si>
  <si>
    <t>БОАЖЯ, АМГТГ, МХЕГ, Төв аймаг болон Заамарын Их Алт ХХК-ын MV-020428 тоот тусгай зөвшөөрлийн талбайд холбогдох арга хэмжээ авах,  нөхөн сэргээх үйл ажиллагааны гэрээ</t>
  </si>
  <si>
    <t>БОАЖЯ, АМГТГ, МХЕГ, Сэлэнгэ аймаг болон Пураам ХХК-ын хооронд байгуулсан нөхөн сэргээх үйл ажиллагааны гэрээ</t>
  </si>
  <si>
    <t>2018-07-30</t>
  </si>
  <si>
    <t>БОАЖЯ, Төв аймгийн засаг дарга, АМГТГ, МХЕГ болон Монполимет ХХК-ийн MV-000184 тоот тусгай зөвшөөрлийн талбайд холбогдох арга хэмжээ авах, нөхөн сэргээх үйл ажиллагааны гэрээ</t>
  </si>
  <si>
    <t>2019-10-28</t>
  </si>
  <si>
    <t>БОАЖЯ;АМГТГ;Төв аймгийн ЗДТГ;МХЕГ</t>
  </si>
  <si>
    <t>БОАЖЯ, АМГТГ, МХЕГ, Архангай аймаг болон Монгол газар ХХК-ийн MV-002426 тоот тусгай зөвшөөрлийн талбайд холбогдох арга хэмжээ авах, нөхөн сэргээх үйл ажиллагааны гэрээ</t>
  </si>
  <si>
    <t>2019-05-10</t>
  </si>
  <si>
    <t>Монгол газар ХХК</t>
  </si>
  <si>
    <t>УС АШИГЛАХ ГЭРЭЭ</t>
  </si>
  <si>
    <t>2022-05-31</t>
  </si>
  <si>
    <t>Харнуур -Ховд голын сав газрын захиргаа</t>
  </si>
  <si>
    <t>2021-10-12</t>
  </si>
  <si>
    <t>2022-06-10</t>
  </si>
  <si>
    <t>"Загийн усны хоолой" гүний усны ордоос "Эрдэнэс Тавантолгой" ХК-ийн нүүрсний уурхай хүртэлх ус хангамжийн шугам хоолойн барилга угсралтын ажлын гүйцэтгэгчидтэй байгуулах Ерөнхий гэрээ</t>
  </si>
  <si>
    <t>"Набсан" ХХК</t>
  </si>
  <si>
    <t>Богдхан төмөр замын туннел болон эстакадан гүүрний зураг төсөл, худалдан авалт, барилгын ажлын санхүүжилтийн гэрээний "ХАВСРАЛТ - 3" Нүүрс нийлүүлэх гэрээ</t>
  </si>
  <si>
    <t>Бодь интернэшнл ХХК</t>
  </si>
  <si>
    <t>ОРХОН АЙМАГ, “ЭРДМИН” ХХК-ИЙН  2023 ОНЫ ХАМТЫН АЖИЛЛАГААНЫ ТӨЛӨВЛӨГӨӨ</t>
  </si>
  <si>
    <t>Хамтын ажиллагааны төлөвлөгөө</t>
  </si>
  <si>
    <t>Орон нутгийн хамтын ажиллагааны гэрээ 2023-5</t>
  </si>
  <si>
    <t>Олгойбулаг ХХК</t>
  </si>
  <si>
    <t>Орон нутгийн хамтын ажиллагааны гэрээ 2023-12</t>
  </si>
  <si>
    <t>ТҮМЭН ЦАЦАЛ</t>
  </si>
  <si>
    <t>Дундговь аймгийн Засаг даргын тамгын газар, Өндөршил сумын даргын тамгын газар</t>
  </si>
  <si>
    <t>“СКАЙТИМБЭР” ХХК</t>
  </si>
  <si>
    <t>Дундговь аймгийн Засаг даргын тамгын газар,Гурвансайхан сумын даргын тамгын газар</t>
  </si>
  <si>
    <t>Энержи Импайр  ХХК-ий 2023 оны хамтын ажиллагааны гэрээ</t>
  </si>
  <si>
    <t>Энержи Импайр ХХК</t>
  </si>
  <si>
    <t>Хан-Алтай ХХК-ийн байгаль орчин, дэд бүтцийг хөгжүүлэх, ажлын байр нэмэгдүүлэх тухай нийгмийн хариуцлагын гэрээ</t>
  </si>
  <si>
    <t>2023-01-20</t>
  </si>
  <si>
    <t>ГОВЬ-АЛТАЙ АЙМГИЙН ЗДТГ, ЕСӨНБУЛАГ СУМЫН ЗДТГ</t>
  </si>
  <si>
    <t>ХАН АЛТАЙ РЕСУРС ХХК</t>
  </si>
  <si>
    <t>2023-06-29</t>
  </si>
  <si>
    <t>Сэлэнгэ аймгийн ЗДТГ</t>
  </si>
  <si>
    <t>Хана-Интернешнл ХХК</t>
  </si>
  <si>
    <t>Хүннү-Алтай минериалсХХК-ийн байгаль орчин, дэд бүтцийг хөгжүүлэх, ажлын байр нэмэгдүүлэх тухай нийгмийн хариуцлагын гэрээ</t>
  </si>
  <si>
    <t>Говь-Алтай Төгрөг</t>
  </si>
  <si>
    <t>ГОВЬ-АЛТАЙ АЙМГИЙН ТӨГРӨГ ЗДТГ,</t>
  </si>
  <si>
    <t>Цэн газарХХК-ийн байгаль орчин, дэд бүтцийг хөгжүүлэх, ажлын байр нэмэгдүүлэх тухай нийгмийн хариуцлагын гэрээ</t>
  </si>
  <si>
    <t>Цэнгазар ХХК</t>
  </si>
  <si>
    <t>Увс Түргэн</t>
  </si>
  <si>
    <t>Гурван тэрмис нөхөрлөл</t>
  </si>
  <si>
    <t>2023-04-10</t>
  </si>
  <si>
    <t>Толь гурван хороо</t>
  </si>
  <si>
    <t>Ихэр өтөг нөхөрлөл</t>
  </si>
  <si>
    <t>Орон нутгийн хамтын ажиллагааны гэрээ 2023-17</t>
  </si>
  <si>
    <t>ОРХОН АЙМАГ, “ЭРДЭНЭТ ҮЙЛДВЭР” ТӨҮГ-ЫН  2024 ОНЫ ХАМТЫН АЖИЛЛАГААНЫ ТӨЛӨВЛӨГӨӨ</t>
  </si>
  <si>
    <t>Дөрвөлж хадагт хайрхан</t>
  </si>
  <si>
    <t>Шандын гэрэл гэгээ</t>
  </si>
  <si>
    <t>Дээд сүм</t>
  </si>
  <si>
    <t>Өмнөговь Хүрмэн</t>
  </si>
  <si>
    <t>2023-08-14</t>
  </si>
  <si>
    <t>Ивээлт тэрмэс</t>
  </si>
  <si>
    <t>Бяхар чулуу</t>
  </si>
  <si>
    <t>Марал тамирын гол</t>
  </si>
  <si>
    <t>Мөнх эрдэнэс хайрхан</t>
  </si>
  <si>
    <t>Тээл ээлтэй байгаль</t>
  </si>
  <si>
    <t>Баянхонгор Бууцагаан</t>
  </si>
  <si>
    <t>2023-02-15</t>
  </si>
  <si>
    <t>Цэцүүхэн ихэр товх</t>
  </si>
  <si>
    <t>Хийморьт хайрхан</t>
  </si>
  <si>
    <t>2023-09-18</t>
  </si>
  <si>
    <t>Буян өлзийт арвижих</t>
  </si>
  <si>
    <t>Тахилгат хайрхан үндэс</t>
  </si>
  <si>
    <t>2024-07-31</t>
  </si>
  <si>
    <t>Баян хөгжил хараа</t>
  </si>
  <si>
    <t>Толь уулын нөхөрлөл</t>
  </si>
  <si>
    <t>Шар хөдөө</t>
  </si>
  <si>
    <t>Оюу толгой амгалан</t>
  </si>
  <si>
    <t>Баян нутаг</t>
  </si>
  <si>
    <t>Гурван цахир</t>
  </si>
  <si>
    <t>2024-04-04</t>
  </si>
  <si>
    <t>Жамц давсан уул</t>
  </si>
  <si>
    <t>Мандах цахир</t>
  </si>
  <si>
    <t>Муна хайрхан</t>
  </si>
  <si>
    <t>2024-03-04</t>
  </si>
  <si>
    <t>Дэлгэрэх анх андууд</t>
  </si>
  <si>
    <t>2023-12-18</t>
  </si>
  <si>
    <t>Баян хушин хаан</t>
  </si>
  <si>
    <t>Дундговь аймаг ЗДТГ, Тайшэн девелопмент ХХК-ийн хооронд байгуулсан Эрээний ордын ашиглалтын үйл ажиллагааны талаар хамтран ажиллах гэрээ</t>
  </si>
  <si>
    <t>2017-08-27</t>
  </si>
  <si>
    <t>Тайшэн девелопмент</t>
  </si>
  <si>
    <t>Булган аймгийн Бүрэгхангай сумын ЗДТГ, Хүслэмж ХХК-ийн хооронд байгуулан нийгмийн хариуцлагын гэрээ 2016 он</t>
  </si>
  <si>
    <t>Алт;Төмөр</t>
  </si>
  <si>
    <t>Хэнтий аймгийн Бор-Өндөр сумын ЗДТГ, Си Эм Кэй Эй ХХК-ийн хооронд байгуулсан хамтын ажиллагаа, хариуцлагын гэрээ</t>
  </si>
  <si>
    <t>Хэнтий Бор-Өндөр</t>
  </si>
  <si>
    <t>2014-10-27</t>
  </si>
  <si>
    <t>2014-09-06</t>
  </si>
  <si>
    <t>Завхан аймгийн Дөрвөлжин сумын засаг даргын тамгын газар</t>
  </si>
  <si>
    <t>2012-07-27</t>
  </si>
  <si>
    <t>Дундговь аймам болон Жи Пи Эф ХХК-ийн хооронд байгуулсан хамтран ажиллах гэрээ</t>
  </si>
  <si>
    <t>2017-03-21</t>
  </si>
  <si>
    <t>Жи Пи Эф ХХК</t>
  </si>
  <si>
    <t>Галба-Өөш, Долоодын говийн сав газрын захиргаа болон Энержи ресурс ХХК-ийн хооронд байгуулсан ус ашиглах гэрээ</t>
  </si>
  <si>
    <t>2017-05-09</t>
  </si>
  <si>
    <t>Галба-Өөш, Долоодын говийн сам газрын захиргаа</t>
  </si>
  <si>
    <t>Долоодын говийн сав газрын захиргаа болон Эрдэнэс-Таван толгой ХК-ийн хооронд байгуулсан ус ашиглах гэрээ</t>
  </si>
  <si>
    <t>2017-11-06</t>
  </si>
  <si>
    <t>Галба-Өөш, Долоодын говийн сав газрын захиргааны дарга</t>
  </si>
  <si>
    <t>Эрдэнэс-Таван толгой ХК</t>
  </si>
  <si>
    <t>Өвөрхангай аймгийн Уянга сум болон Баярсгоулд ХХК-ийн хооронд байгуулсан хамтран ажиллах гэрээ</t>
  </si>
  <si>
    <t>Дорнод аймгийн Баяндун сум болон Би Жи Эм Би ХХК-ийн хооронд байгуулсан хамтран ажиллах гэрээ</t>
  </si>
  <si>
    <t>Би Жи Эм Би ХХК</t>
  </si>
  <si>
    <t>Сүхбаатар аймаг болон Бадмаараг хаш ХХК-ийн хооронд байгуулсан хамтран ажиллах гэрээ</t>
  </si>
  <si>
    <t>2017-08-01</t>
  </si>
  <si>
    <t>Бадмаараг Хаш ХХК</t>
  </si>
  <si>
    <t>Булган аймаг болон Хос хас ХХК-ийн хооронд байгуулсан хамтран ажиллах гэрээ</t>
  </si>
  <si>
    <t>Булган аймаг болон Шар нарст ХХК-ийн хооронд байгуулсан хамтран ажиллах гэрээ</t>
  </si>
  <si>
    <t>Өмнөговь аймаг, Алтайн өвөр говийн сав захиргаа болон Цагаан-Өвөлжөө ХХК-ийн хооронд байгуулсан ус ашиглах гэрээ</t>
  </si>
  <si>
    <t>Цагаан Өвөлжөө ХХК</t>
  </si>
  <si>
    <t>Өмнөговь аймаг, Алтайн өвөр говийн сав захиргаа болон Жавхлант Орд ХХК-ийн хооронд байгуулсан ус ашиглуулах гэрээ</t>
  </si>
  <si>
    <t>2017-12-07</t>
  </si>
  <si>
    <t>Жавхлант Орд ХХК</t>
  </si>
  <si>
    <t>Туул голын сав газрын захиргааны ус ашиглалтыг зохицуулах алба болон Заамар гоулд ХХК-ийн хооронд байгуулсан ус ашиглах гэрээ</t>
  </si>
  <si>
    <t>2017-02-07</t>
  </si>
  <si>
    <t>Туул голын сав газрын захиргааны ус ашиглалтыг зохицуулах алба болон Уулс заамар ХХК-ийн хооронд байгуулсан ус ашиглах гэрээ 08</t>
  </si>
  <si>
    <t>Туул голын сав газрын захиргааны ус ашиглалтыг зохицуулах алба болон Гурван тамга ХХК-ийн хооронд байгуулсан ус ашиглах гэрээ</t>
  </si>
  <si>
    <t>Туул голын сав газрын захиргаа болон Ар голд ХХК-ийн хооронд байгуулсан ус ашиглах гэрээ</t>
  </si>
  <si>
    <t>Туул голын сав газрын захиргаа болон Хүслэмж ХХК-ийн хооронд байгуулсан ус ашиглах гэрээ</t>
  </si>
  <si>
    <t>2017-05-29</t>
  </si>
  <si>
    <t>Хүслэмж ХХК</t>
  </si>
  <si>
    <t>Говь-Алтай аймгийн Цээл сум болон Алтайн хүдэр ХХК-ийн хооронд байгуулсан газар ашиглуулах гэрээ 0386</t>
  </si>
  <si>
    <t>Говь-Алтай аймгийн Цээл сум болон Алтайн хүдэр ХХК-ийн хооронд байгуулсан газар ашиглуулах гэрээ 0380</t>
  </si>
  <si>
    <t>Говь-Алтай аймгийн Цээл сум болон Алтайн хүдэр ХХК-ийн хооронд байгуулсан газар ашиглуулах гэрээ 00387</t>
  </si>
  <si>
    <t>Дорноговь аймгийн Өргөн сум болон Монцемент билдинг материалс ХХК-ийн хооронд байгуулсан газар ашиглуулах гэрээ</t>
  </si>
  <si>
    <t>Дорноговь аймгийн Өргөн сум болон Ялгуун-интернэшнл ХХК-ийн хооронд байгуулсан газар ашиглуулах гэрээ</t>
  </si>
  <si>
    <t>2018-06-26</t>
  </si>
  <si>
    <t>Ялгуун-интернэшнл ХХК</t>
  </si>
  <si>
    <t>Дорноговь аймгийн Сайхандулаан сум болон Вантаже ХХК-ийн хооронд байгуулсан газар ашиглуулах гэрээ</t>
  </si>
  <si>
    <t>2016-10-10</t>
  </si>
  <si>
    <t>Вантаже ХХК</t>
  </si>
  <si>
    <t>Дорноговь аймгийн Өргөн сум болон Тээлийн шонхор ХХК-ийн хооронд байгуулсан газар эзэмшүүлэх гэрээ/2018/00012</t>
  </si>
  <si>
    <t>Завхан аймгийн Эрдэнэхайрхан сум болон Баян айраг эксплорэйшн ХХК-ийн хооронд байгуулсан газар ашиглах гэрээ</t>
  </si>
  <si>
    <t>Завхан аймгийн Эрдэнэхайрхан сумын ЗДТГ</t>
  </si>
  <si>
    <t>Төв аймгийн Заамар сум болон Ялгуун-Эрдэнэ ХХК-ийн хооронд байгуулсан газар ашиглах гэрээ</t>
  </si>
  <si>
    <t>Ялгуун-Эрдэнэ ХХК</t>
  </si>
  <si>
    <t>Төв аймгийн Заамар сум болон Бумбат ХХК-ийн хооронд байгуулсан газар ашиглах гэрээ 39 га</t>
  </si>
  <si>
    <t>Төв аймгийн Заамар сум болон Эко алт ХХК-ийн хооронд байгуулсан газар ашиглах гэрээ</t>
  </si>
  <si>
    <t>Төв аймгийн Заамар сум болон Рэдвулкан ХХК-ийн хооронд байгуулсан газар ашиглах гэрээ</t>
  </si>
  <si>
    <t>Төв аймгийн Заамар сум болон Тод Ундрага ХХК-ийн хооронд байгуулсан газар ашиглах гэрээ</t>
  </si>
  <si>
    <t>Төв аймгийн Заамар сум болон Нью Пэрл ХХК-ийн хооронд байгуулсан газар ашиглах гэрээ</t>
  </si>
  <si>
    <t>Ньюпэрл ХХК</t>
  </si>
  <si>
    <t>Төв аймгийн Заамар сум болон Алтандорнод Монгол ХХК-ийн хооронд байгуулсан газар ашиглах гэрээ 37.16 га</t>
  </si>
  <si>
    <t>Төв аймгийн Заамар сум болон Алтандорнод Монгол ХХК-ийн хооронд байгуулсан газар ашиглах гэрээ 108.6 га</t>
  </si>
  <si>
    <t>Төв аймгийн Заамар сум болон Жотойнбажууна ХХК-ийн хооронд байгуулсан газар ашиглах гэрээ</t>
  </si>
  <si>
    <t>2010-05-18</t>
  </si>
  <si>
    <t>Жотойнбажууна ХХК</t>
  </si>
  <si>
    <t>Төв аймгийн Заамар сум болон Алтандорнод Монгол ХХК-ийн хооронд байгуулсан газар ашиглах гэрээ 34.43 га</t>
  </si>
  <si>
    <t>Өвөрхангай аймгийн Уянга сум болон Буд-Ундрам ХХК-ийн хооронд байгуулсан газар ашиглах гэрээ</t>
  </si>
  <si>
    <t>2016-04-18</t>
  </si>
  <si>
    <t>Буд-Ундрам ХХК</t>
  </si>
  <si>
    <t>Төв аймгийн Жаргалант сум болон Тэн хун ХХК-ийн хооронд байгуулсан газар ашиглах гэрээ</t>
  </si>
  <si>
    <t>Төв Жаргалант</t>
  </si>
  <si>
    <t>Төв аймгийн Жаргалант сумын ЗДТГ</t>
  </si>
  <si>
    <t>Хэнтий аймгийн Норовлин сум болон Дацан-трейд ХХК-ийн хооронд байгуулсан газар ашиглах гэрээ</t>
  </si>
  <si>
    <t>2016-06-27</t>
  </si>
  <si>
    <t>Хэнтий аймгийн Норовлин сумын ЗДТГ</t>
  </si>
  <si>
    <t>Сэлэнгэ аймгийн Мандал сум болон Сонгоулд ХХК-ийн хооронд байгуулсан газар ашиглах гэрээ</t>
  </si>
  <si>
    <t>2015-08-22</t>
  </si>
  <si>
    <t>Ховд аймгийн Дарви сум болон МоЭнКо ХХК-ийн хооронд байгуулсан газар ашиглах гэрээ 40 га</t>
  </si>
  <si>
    <t>БОНХАЖЯ, АМГ, МХЕГ, Сэлэнгэ   аймаг болон Алтай констракшн ХХК-ийн хооронд байгуулсан нөхөн сэргээх үйл ажиллагааны гэрээ</t>
  </si>
  <si>
    <t>2016-07-08</t>
  </si>
  <si>
    <t>Алтай констракшн ХХК</t>
  </si>
  <si>
    <t>БОНХАЖЯ, АМГ, МХЕГ, Сэлэнгэ   аймаг болон Барилга-Орд ХХК-ийн хооронд байгуулсан нөхөн сэргээх үйл ажиллагааны гэрээ</t>
  </si>
  <si>
    <t>2016-07-21</t>
  </si>
  <si>
    <t>Барилга-Орд ХХК</t>
  </si>
  <si>
    <t>БОАЖЯ, АМГ, МХЕГ, Төв, Булган  аймаг болон Наран Гоулд ХХК-ийн хооронд байгуулсан нөхөн сэргээх үйл ажиллагааны гэрээ</t>
  </si>
  <si>
    <t>БОАЖЯ, АМГТГ, МХЕГ, Дархан-Уул аймаг болон Хааны харгуй ХХК-ийн хооронд байгуулсан нөхөн сэргээх үйл ажиллагааны гэрээ</t>
  </si>
  <si>
    <t>Хааны харгуй ХХК</t>
  </si>
  <si>
    <t>Өмнөговь аймгийн Ноён сум болон Терра Энержи ХХК-ийн хооронд байгуулсан хамтын ажиллагааны гэрээ</t>
  </si>
  <si>
    <t>2017-09-11</t>
  </si>
  <si>
    <t>Терра Энержи ХХК</t>
  </si>
  <si>
    <t>Борзон VII талбайд газрын тосны хайгуул, ашиглалтын үйл ажиллагаа эрхлэх талаар Ашигт малтмал, газрын тосны газар болон Импайр Газ Монголиа ХХК-ийн хооронд шинэчлэн байгуулсан бүтээгдэхүүн хуваах гэрээ</t>
  </si>
  <si>
    <t>Импайр Газ Монголиа</t>
  </si>
  <si>
    <t>Газрын тосны хайгуулын Баянтүмэн-XVII талбайн талаар Газрын тосны газар болон "Магнай трейд" ХХК-ийн хооронд байгуулсан Бүтээгдэхүүн хуваах гэрээ</t>
  </si>
  <si>
    <t>2009-12-23</t>
  </si>
  <si>
    <t>"Магнай трейд" ХХК</t>
  </si>
  <si>
    <t>Нялга-XVI гэрээт талбайн талаар Ашигт малтмал, газрын тосны хэрэг эрхлэх газар, Канад улсын "Шаман ресурсэс ЛТД" компанийн хооронд байгуулсан бүтээгдэхүүн хуваах гэрээ</t>
  </si>
  <si>
    <t>2007-04-18</t>
  </si>
  <si>
    <t>Шаман ресурсэс Лтд</t>
  </si>
  <si>
    <t>"Хар ус - II" талбайд газрын тосны хайгуул, ашиглалтын үйл ажиллагаа эрхлэх талаар Газрын тосны газар, "Ренова-Илч" ХХК-ийн хооронд байгуулсан бүтээгдэхүүн хуваах гэрээ</t>
  </si>
  <si>
    <t>Ховд Мянгад</t>
  </si>
  <si>
    <t>2015-04-17</t>
  </si>
  <si>
    <t>Ренова Илч ХХК</t>
  </si>
  <si>
    <t>"Хэрлэн тохой XXVIII" талбайд газрын тосны хайгуул, ашиглалтын үйл ажиллагаа эрхлэх талаар Газрын тосны газар, "Хонконг Вэлпэк Индастриал" компанийн хооронд байгуулсан бүтээгдэхүүн хуваах гэрээ</t>
  </si>
  <si>
    <t>2015-04-16</t>
  </si>
  <si>
    <t>Хонконг вэлпэк индастриал</t>
  </si>
  <si>
    <t>Монгол Улсын Засгийн газар болон "Монцемент билдинг материалс" ХХК, "Монполимет" ХХК-ийн хооронд байгуулсан Монцемент үйлдвэрийн төслийн хөрөнгө оруулалтын гэрээ</t>
  </si>
  <si>
    <t>2015-02-28</t>
  </si>
  <si>
    <t>Монцемент билдинг материалс ХХК;Монполимет ХХК</t>
  </si>
  <si>
    <t>Тогтвортой байдлын гэрээ [Бумбат ХХК]</t>
  </si>
  <si>
    <t>2003-01-17</t>
  </si>
  <si>
    <t>Ховд Чандмань</t>
  </si>
  <si>
    <t>Брэйвхарт ресорсиз ХХК</t>
  </si>
  <si>
    <t>Тогтвортой байдлын гэрээ [Чин хуа нарийн сухайт, Монголын алт (МАК)]</t>
  </si>
  <si>
    <t>2005-07-04</t>
  </si>
  <si>
    <t>Чинхуа Мак нарийн сухайт ХХК;Монголын алт (МАК) ХХК</t>
  </si>
  <si>
    <t>Ашиглалтын өмнөх үйл ажиллагааны тухай гэрээ [Монголетал майнинг ХХК]</t>
  </si>
  <si>
    <t>2012-02-29</t>
  </si>
  <si>
    <t>Монголметал майнинг ХХК</t>
  </si>
  <si>
    <t>Ашиглалтын өмнөх үйл ажиллагааны тухай гэрээ [Некст майн ХХК]</t>
  </si>
  <si>
    <t>Хэнтий Жаргалтхаан</t>
  </si>
  <si>
    <t>2013-12-31</t>
  </si>
  <si>
    <t>Некстмайн ХХК</t>
  </si>
  <si>
    <t>Ашиглалтын өмнөх үйл ажиллагааны тухай гэрээ [Эс Пи Жи ХХК]</t>
  </si>
  <si>
    <t>2014-01-06</t>
  </si>
  <si>
    <t>Эс Пи Жи ХХК</t>
  </si>
  <si>
    <t>Ашиглалтын өмнөх үйл ажиллагааны тухай гэрээ [Эхлэл ургац ХХК]</t>
  </si>
  <si>
    <t>2014-01-13</t>
  </si>
  <si>
    <t>Эхлэл ургац ХХК</t>
  </si>
  <si>
    <t>2019-04-17</t>
  </si>
  <si>
    <t>Улсын төсвөөс хайгуулын ажилд гарсан зардлыг нөхөн төлөх тухай гэрээ ["Дүньлү" ХХК]</t>
  </si>
  <si>
    <t>Нүүрс;Шатдаг Занар</t>
  </si>
  <si>
    <t>2015-03-04</t>
  </si>
  <si>
    <t>Улсын төсвөөс хайгуулын ажилд гарсан зардлыг нөхөн төлөх тухай гэрээ [Эслэт ХХК]</t>
  </si>
  <si>
    <t>Эслэт ХХК</t>
  </si>
  <si>
    <t>Улсын төсвөөс хайгуулын ажилд гарсан зардлыг нөхөн төлөх тухай гэрээ ["Арголд" ХХК]</t>
  </si>
  <si>
    <t>2016-07-22</t>
  </si>
  <si>
    <t>Арголд ХХК</t>
  </si>
  <si>
    <t>Улсын төсвөөс хайгуулын ажилд гарсан зардлыг нөхөн төлөх тухай гэрээ ["Уулс заамар" ХХК]</t>
  </si>
  <si>
    <t>2016-11-10</t>
  </si>
  <si>
    <t>Улсын төсвөөс хайгуулын ажилд гарсан зардлыг нөхөн төлөх тухай гэрээ [АРЕВА Майнс ХХК]</t>
  </si>
  <si>
    <t>Уран Болон Торийн Хүдэр, Тэдгээрийн Баяжмал</t>
  </si>
  <si>
    <t>АРЕВА Майнс ХХК</t>
  </si>
  <si>
    <t>Улсын төсвийн хайгуулын ажилд гарсан зардлыг нөхөн төлөх тухай гэрээ ["Говь-Алтай" ХХК]</t>
  </si>
  <si>
    <t>Базальт;Хайлуур Жонш</t>
  </si>
  <si>
    <t>2017-09-22</t>
  </si>
  <si>
    <t>Ашигт малтмал, газрын тосны газар;Ашигт малтмал, газрын тосны газар;Ашигт малтмал, газрын тосны газрын дарга</t>
  </si>
  <si>
    <t>Улсын төсвөөс хайгуулын ажилд гарсан зардлыг нөхөн төлөх тухай гэрээ ["Ориент майнинг инвестмент" ХХК]</t>
  </si>
  <si>
    <t>2017-08-04</t>
  </si>
  <si>
    <t>Ашигт малтмал, газрын тосны газар;Ашигт малтмал, газрын тосны газар;</t>
  </si>
  <si>
    <t>Ориент майнинг инвестмент ХХК</t>
  </si>
  <si>
    <t>Улсын төсвийн хайгуулын ажилд гарсан зардлыг нөхөн төлөх тухай гэрээ ["Жэй Ти Ти" ХХК]</t>
  </si>
  <si>
    <t>2017-03-15</t>
  </si>
  <si>
    <t>Жэй Ти Ти ХХК</t>
  </si>
  <si>
    <t>Улсын төсвөөс хайгуулын ажилд гарсан зардлыг нөхөн төлөх тухай гэрээ ["Монцемент билдинг материалс" ХХК]</t>
  </si>
  <si>
    <t>2017-12-13</t>
  </si>
  <si>
    <t>5106567</t>
  </si>
  <si>
    <t>Улсын төсвөөс хайгуулын ажилд гарсан зардлыг нөхөн төлөх тухай гэрээ ["Солонго бил" ХХК]</t>
  </si>
  <si>
    <t>2017-10-23</t>
  </si>
  <si>
    <t>Солонго бил ХХК</t>
  </si>
  <si>
    <t>Улсын төсвөөс хайгуулын ажилд гарсан зардлыг нөхөн төлөх тухай гэрээ ["Хос Хас" ХХК]</t>
  </si>
  <si>
    <t>Улсын төсвөөс хайгуулын ажилд гарсан зардлыг нөхөн төлөх тухай гэрээ ["Эрдхул" ХХК]</t>
  </si>
  <si>
    <t>2017-12-20</t>
  </si>
  <si>
    <t>Эрдхул ХХК</t>
  </si>
  <si>
    <t>Хөвсгөл аймаг болон Хөвсгөл геологи ХК-ийн хооронд байгуулсан хамтран ажиллах гэрээ</t>
  </si>
  <si>
    <t>Хөвсгөл Геологи ХК</t>
  </si>
  <si>
    <t>Оюу толгойн далд уурхайн бүтээн байгуулалт, санхүүжилтийн төлөвлөгөө</t>
  </si>
  <si>
    <t>Төлөвлөгөө</t>
  </si>
  <si>
    <t>2015-05-18</t>
  </si>
  <si>
    <t>Монгол Улсын Засгийн газар;Эрдэнэс Оюу Толгой ХХК</t>
  </si>
  <si>
    <t>Оюу Толгой ХХК;Туркойс Хилл Ресурсес Лимитед;Ти Эйч Ар Оюу Толгой Лтд.;Оюу Толгой Нидерланд БиВи</t>
  </si>
  <si>
    <t>Дорноговь аймгийн Улаанбадрах сум болон Кожеговь ХХК-ийн хооронд байгуулсан газар ашиглах тухай гэрээ 4</t>
  </si>
  <si>
    <t>2014-03-11</t>
  </si>
  <si>
    <t>Дорноговь аймгийн Улаанбадрах сумын ГХБХБГ</t>
  </si>
  <si>
    <t>Шижир-Алт ХХК</t>
  </si>
  <si>
    <t>Аймаг, сум, дүүргийн засаг даргын тамгын газар</t>
  </si>
  <si>
    <t>2019-04-20</t>
  </si>
  <si>
    <t>Тариалан сумын ЗДТГ</t>
  </si>
  <si>
    <t>Эко алтан заамар ХХК-ийн Нийгмийн хариуцлагын гэрээ</t>
  </si>
  <si>
    <t>Эко алтан заамар</t>
  </si>
  <si>
    <t>Мон хуа энерги ГХОХХК-ийн нийгмийн хариуцлагаын гэрээ</t>
  </si>
  <si>
    <t>Шоуюу</t>
  </si>
  <si>
    <t>Хамтран ажиллах гэрээ-Жи Кэй Эм Кэй  ХХК</t>
  </si>
  <si>
    <t>2019-05-20</t>
  </si>
  <si>
    <t>2019-06-10</t>
  </si>
  <si>
    <t>Уянга  сумын ИТХ</t>
  </si>
  <si>
    <t>2019-04-05</t>
  </si>
  <si>
    <t>Адаэ ХХК</t>
  </si>
  <si>
    <t>Хамтран ажиллах гэрээ- Цариг шонхор  ХХК</t>
  </si>
  <si>
    <t>2018-12-05</t>
  </si>
  <si>
    <t>Хатанцацал ХХК</t>
  </si>
  <si>
    <t>Хамтран ажиллах гэрээ-Баянгол эко Заамар</t>
  </si>
  <si>
    <t>Хамтран ажиллах гэрээ- Илт Гоулд ХХК</t>
  </si>
  <si>
    <t>Буман Олз</t>
  </si>
  <si>
    <t>хурлын протокол</t>
  </si>
  <si>
    <t>Ашигт малтмал, газрын тосны газар, Дорнод аймгийн ЗДТГ</t>
  </si>
  <si>
    <t>Ховд аймаг болон МоЭнКо ХХК-ийн хооронд байгуулсан хамтран ажиллах гэрээ</t>
  </si>
  <si>
    <t>2017-08-20</t>
  </si>
  <si>
    <t>Ховд аймгийн ЗДТГ</t>
  </si>
  <si>
    <t>Амлалтын нутаг  нөхөрлөл</t>
  </si>
  <si>
    <t>Баян булаг хатан туул нөхөрлөл</t>
  </si>
  <si>
    <t>Баялаг хайрханы өв нөхөрлөл</t>
  </si>
  <si>
    <t>Өвөрхангай Хархорин</t>
  </si>
  <si>
    <t>Баян хайрхан нөхөрлөл</t>
  </si>
  <si>
    <t>Дархан хайрханы өсөх үр нөхөрлөл</t>
  </si>
  <si>
    <t>бичил уурхайн нөхөрлөлтэй байгуулах гэрээ</t>
  </si>
  <si>
    <t>2017-07-02</t>
  </si>
  <si>
    <t>Дэлгэрэх Өгөөж нөхөрлөл</t>
  </si>
  <si>
    <t>2017-07-28</t>
  </si>
  <si>
    <t>Мөнх баялагт хайрхан нөхөрлөл</t>
  </si>
  <si>
    <t>Нутгийн хишиг нөхөрлөл</t>
  </si>
  <si>
    <t>Сант нөхөрлөл</t>
  </si>
  <si>
    <t>Тээл нөхөрлөл</t>
  </si>
  <si>
    <t>Хамтын хөгжил баялаг нөхөрлөл</t>
  </si>
  <si>
    <t>2018-06-11</t>
  </si>
  <si>
    <t>2018-08-31</t>
  </si>
  <si>
    <t>Цагаан бяруут нөхөрлөл</t>
  </si>
  <si>
    <t>Шарайн шанд нөхөрлөл</t>
  </si>
  <si>
    <t>2017-10-03</t>
  </si>
  <si>
    <t>Гуравт ХХК;Шарын гол дэлгэрэх хайрхан нөхөрлөл</t>
  </si>
  <si>
    <t>Бичил уурхайгаар ашигт малтмал олборлох тухай  гэрээ</t>
  </si>
  <si>
    <t>Дундговь аймгийн Луус сумын Засаг дарга Л.Цогзолмаа</t>
  </si>
  <si>
    <t>Алсын ундарга нөхөрлөл</t>
  </si>
  <si>
    <t>Арвин булаг хаан нөхөрлөл</t>
  </si>
  <si>
    <t>2019-04-11</t>
  </si>
  <si>
    <t>Төв аймгийн Заамар сумын Засаг дарга Б.Самбуу</t>
  </si>
  <si>
    <t>Баян тулга нөхөрлөл</t>
  </si>
  <si>
    <t>2018-06-22</t>
  </si>
  <si>
    <t>Баялаг хангадууд нөхөрлөл</t>
  </si>
  <si>
    <t>2018-10-30</t>
  </si>
  <si>
    <t>Баян баяр нөхөрлөл</t>
  </si>
  <si>
    <t>2018-07-01</t>
  </si>
  <si>
    <t>Баяндэлгэрэх нөхөрлөл</t>
  </si>
  <si>
    <t>Бидний нутаг баян нөхөрлөл</t>
  </si>
  <si>
    <t>Нутгийн хишиг Дундговь</t>
  </si>
  <si>
    <t>2018-08-20</t>
  </si>
  <si>
    <t>Чонон дайчин нөхөрлөл</t>
  </si>
  <si>
    <t>Цагаан далай</t>
  </si>
  <si>
    <t>Чинсүлд нөхөрлөл</t>
  </si>
  <si>
    <t>Бурхан буудай Ерөө нөхөрлөл</t>
  </si>
  <si>
    <t>Өгөөж баян Сэлэнгэ нөхөрлөл</t>
  </si>
  <si>
    <t>Туулын сайхан хангай нөхөрлөл</t>
  </si>
  <si>
    <t>Бугант ундрах баялаг нөхөрлөл</t>
  </si>
  <si>
    <t>Ерөө баатад</t>
  </si>
  <si>
    <t>Эрлийн ажил гүйцэтгэх гэрээ, Бигстоне</t>
  </si>
  <si>
    <t>Сүхбаатар Асгат,Сүхбаатар Дарьганга,Сүхбаатар Эрдэнэцагаан</t>
  </si>
  <si>
    <t>Бигстоне ХХК</t>
  </si>
  <si>
    <t>2017-07-21</t>
  </si>
  <si>
    <t>Шарын гол сумын Засаг даргын орлогч Б.Батсүх</t>
  </si>
  <si>
    <t>Баян газрын баялаг нөхөрлөл</t>
  </si>
  <si>
    <t>Шижир өндөр нөхөрлөл</t>
  </si>
  <si>
    <t>Эрлийн ажил гүйцэтгэх гэрээ, Сарны сувдан чулуу ХХК</t>
  </si>
  <si>
    <t>Дорноговь Иххэт,Дорноговь Сайхандулаан,Дорноговь Айраг,Дорноговь Алтанширээ</t>
  </si>
  <si>
    <t>Сарны сувдан чулуу ХХК</t>
  </si>
  <si>
    <t>Дундговь Адаацаг,Дундговь Эрдэнэдалай,Дундговь Дэлгэрцогт,Дундговь Дэрэн,Дундговь Луус,Дундговь Сайнцагаан,Дундговь Гурвансайхан</t>
  </si>
  <si>
    <t>2018-08-08</t>
  </si>
  <si>
    <t>2018-12-04</t>
  </si>
  <si>
    <t>Хасбуу говь нөхөрлөл</t>
  </si>
  <si>
    <t>2020-09-06</t>
  </si>
  <si>
    <t>Баян-Өлгий аймгийн Цэнгэл сумын Засаг даргын орлогч</t>
  </si>
  <si>
    <t>Ашиглалтын өмнөх үйл ажиллагааны тухай гэрээ [Хул морьт майнинг ХХК]</t>
  </si>
  <si>
    <t>Хул морьт майнинг ХХК</t>
  </si>
  <si>
    <t>Улсын төсвөөс хайгуулын ажилд гарсан зардлыг нөхөн төлөх тухай гэрээ ["Шижир Аранжин" ХХК]</t>
  </si>
  <si>
    <t>Шижир аранжин ХХК</t>
  </si>
  <si>
    <t>Баянхонгор аймаг болон Спейшл майнз ХХК-ийн хооронд байгуулсан хамтран ажиллах гэрээ</t>
  </si>
  <si>
    <t>2017-08-15</t>
  </si>
  <si>
    <t>Спейшл майнз ХХК</t>
  </si>
  <si>
    <t>2018-05-31</t>
  </si>
  <si>
    <t>Булган аймаг Бүрэгхангай сумын ЗД</t>
  </si>
  <si>
    <t>Туул баян тал</t>
  </si>
  <si>
    <t>Бичил уурхайгаар ашигт малтмал олборлох тухай гэрээ-Эвийн хүч</t>
  </si>
  <si>
    <t>2019-01-24</t>
  </si>
  <si>
    <t>Эвийн хүч</t>
  </si>
  <si>
    <t>Дархан бодь нөхөрлөл</t>
  </si>
  <si>
    <t>Бичил уурхайгаар ашигт малтмал олборлох тухай гэрээ-Хайрхан цагаан</t>
  </si>
  <si>
    <t>Хайрхан цагаан</t>
  </si>
  <si>
    <t>Бичил уурхайгаар ашигт малтмал олборлох тухай гэрээ-Плзис</t>
  </si>
  <si>
    <t>2019-03-07</t>
  </si>
  <si>
    <t>Плзис</t>
  </si>
  <si>
    <t>Бичил уурхайгаар ашигт малтмал олборлох тухай гэрээ-Өгөөж хайрхан</t>
  </si>
  <si>
    <t>2019-04-23</t>
  </si>
  <si>
    <t>Өгөөж хайрхан</t>
  </si>
  <si>
    <t>Бичил уурхайгаар ашигт малтмал олборлох тухай гэрээ-Наран цагаан тээг</t>
  </si>
  <si>
    <t>Наран цагаан тээг</t>
  </si>
  <si>
    <t>Бичил уурхайгаар ашигт малтмал олборлох нөхөрлөлийн ахлагч нартай байгуулсан гэрээ-Луусын ягаан жонш нөхөрлөл</t>
  </si>
  <si>
    <t>Луусын ягаан жонш нөхөрлөл</t>
  </si>
  <si>
    <t>Бичил уурхайгаар ашигт малтмал олборлох тухай гэрээ-Урандөш Андууд нөхөрлөл</t>
  </si>
  <si>
    <t>Урандөш Андууд нөхөрлөл</t>
  </si>
  <si>
    <t>Бичил уурхайгаар ашигт малтмал олборлох тухай гэрээ-Муна хайрхан нөхөрлөл</t>
  </si>
  <si>
    <t>Муна хайрхан нөхөрлөл</t>
  </si>
  <si>
    <t>Бичил уурхайгаар ашигт малтмал олборлох тухай гэрээ-Жоншит хүрд нөхөрлөл</t>
  </si>
  <si>
    <t>Жоншит хүрд нөхөрлөл</t>
  </si>
  <si>
    <t>Бичил уурхайгаар ашигт малтмал олборлох тухай гэрээ-Бэрх-Од нөхөрлөл</t>
  </si>
  <si>
    <t>2019-01-30</t>
  </si>
  <si>
    <t>Бэрх-Од нөхөрлөл</t>
  </si>
  <si>
    <t>Бичил уурхайгаар ашигт малтмал олборлох тухай гэрээ-Бэрх ариун булаг нөхөрлөл</t>
  </si>
  <si>
    <t>Бэрх ариун булаг нөхөрлөл</t>
  </si>
  <si>
    <t>Бичил уурхайгаар ашигт малтмал олборлох тухай гэрээ-Боржигин нутгийн баялаг</t>
  </si>
  <si>
    <t>Боржигин нутгийн баялаг</t>
  </si>
  <si>
    <t>Хамтран ажиллах гэрээ-Улз гол ХХК</t>
  </si>
  <si>
    <t>2019-09-30</t>
  </si>
  <si>
    <t>Чин хаш ХХК</t>
  </si>
  <si>
    <t>Дундговь аймгийн ЗДТГ, Өндөршил сумын ЗДТГ</t>
  </si>
  <si>
    <t>Эм Ди Эф И ХХК</t>
  </si>
  <si>
    <t>2019-05-28</t>
  </si>
  <si>
    <t>Дундговь аймгийн ЗДТГ, Өлзийт сумын ЗДТГ</t>
  </si>
  <si>
    <t>Мэжик бридж ХХК</t>
  </si>
  <si>
    <t>Эрдэнийн босго ХХК</t>
  </si>
  <si>
    <t>Баян-Өлгий Өлгий</t>
  </si>
  <si>
    <t>2021-08-13</t>
  </si>
  <si>
    <t>Хар нуур Ховд голын сав газрын захиргаа</t>
  </si>
  <si>
    <t>Монросцветмет ХХК-ийн Нийгмийн хариуцлагын гэрээ</t>
  </si>
  <si>
    <t>Монросцветмет</t>
  </si>
  <si>
    <t>Өрмөн уул ХХК-ийн Нийгмийн хариуцлагын гэрээ</t>
  </si>
  <si>
    <t>2018-09-16</t>
  </si>
  <si>
    <t>Шаргал дэлгэрэх ухаа</t>
  </si>
  <si>
    <t>Энержи Импайр ХХК 2021 он хамтран ажиллах гэрээ</t>
  </si>
  <si>
    <t>2021-04-01</t>
  </si>
  <si>
    <t>Нэтэнт ХХК 2021 он хамтран ажиллах гэрээ</t>
  </si>
  <si>
    <t>Ус ашиглах гэрээ АЧИТ ИХТ ХХК</t>
  </si>
  <si>
    <t>2021-03-22</t>
  </si>
  <si>
    <t>Орхон аймаг Баян-Өндөр сум</t>
  </si>
  <si>
    <t>2021-04-09</t>
  </si>
  <si>
    <t>Чандмань металл орд ХХК</t>
  </si>
  <si>
    <t>элс</t>
  </si>
  <si>
    <t>"Бижбугат" ХХК</t>
  </si>
  <si>
    <t>2019-01-15</t>
  </si>
  <si>
    <t>орон нутагтай хамтран ажиллах гэрээ</t>
  </si>
  <si>
    <t>2018-08-28</t>
  </si>
  <si>
    <t>Сэлэнгэ аймгийн Мандал сум болон "Бороогоулд" ХХК-ий хоорондын хамтын ажиллагааны гэрээ</t>
  </si>
  <si>
    <t>2021-08-24</t>
  </si>
  <si>
    <t>Сэрүүн сэлбэ</t>
  </si>
  <si>
    <t>НИЙГМИЙН ХАРИУЦЛАГЫН ГЭРЭЭ-ХАН АЛТАЙ РЕСУРС ХХК</t>
  </si>
  <si>
    <t>НИЙГМИЙН ХАРИУЦЛАГЫН ГЭРЭЭ</t>
  </si>
  <si>
    <t>2021-09-01</t>
  </si>
  <si>
    <t>ГОВЬ-АЛТАЙ АЙМГИЙН ЗДТГ;ГОВЬ-АЛТАЙ АЙМГИЙН ЗДТГ, ЕСӨНБУЛАГ СУМЫН ЗДТГ</t>
  </si>
  <si>
    <t>Ус ашиглах гэрээ 2019 он "Хотгор ХХК"</t>
  </si>
  <si>
    <t>2021-09-29</t>
  </si>
  <si>
    <t>"Олон Ихт баян" ХХК</t>
  </si>
  <si>
    <t>Байгаль орчныг хамгаалах, уурхай ашиглах, үйлдвэр байгуулахтай холбогдсон дэд бүтцийг хөгжүүлэх, ажлын байр нэмэгдүүлэх, хөрөнгө оруулалт оруулах талаар хамтын ажиллагааны гэрээ</t>
  </si>
  <si>
    <t>2019-02-26</t>
  </si>
  <si>
    <t>Завхан аймгийн Завханмандал сумын Засаг даргын Тамгын газар</t>
  </si>
  <si>
    <t>Байгаль орчныг хамгаалах, уурхай ашиглах, үйлдвэр байгуулахтай холбогдсон дэд бүтцийг хөгжүүлэх ажлын байр нэмэгдүүлэхтэй холбоотой нийгмийн хариуцлагын гэрээ</t>
  </si>
  <si>
    <t>2021-11-24</t>
  </si>
  <si>
    <t>БОАЖЯ, АМГТГ, МХЕГ, Төв аймаг болон Флинкмонголиа ХХК-ын хооронд байгуулсан нөхөн сэргээх үйл ажиллагааны гэрээ</t>
  </si>
  <si>
    <t>БОАЖЯ;АМГТ;Сэлэнгэ аймгийн засаг дарга;МХЕГ</t>
  </si>
  <si>
    <t>БОАЖЯ, АМГТГ, МХЕГ, Дархан-Уул аймаг болон Шарын гол  ХК-ын хооронд байгуулсан нөхөн сэргээх үйл ажиллагааны гэрээ</t>
  </si>
  <si>
    <t>2018-08-29</t>
  </si>
  <si>
    <t>БОАЖЯ, АМГТГ, МХЕГ, Төв аймаг болон Капитал авто сервис ХХК-ын хооронд байгуулсан нөхөн сэргээх үйл ажиллагааны гэрээ</t>
  </si>
  <si>
    <t>Капитал авто сервис ХХК</t>
  </si>
  <si>
    <t>БОАЖЯ, АМГТГ, МХЕГ, Архангай аймаг болон Голден хаммер  ХХК-ийн MV-004780 тоот тусгай зөвшөөрлийн талбайд холбогдох арга хэмжээ авах, нөхөн сэргээх үйл ажиллагааны гэрээ</t>
  </si>
  <si>
    <t>БОАЖЯ, АМГТГ, МХЕГ, Сэлэнгэ аймаг болон Эрдэс Групп ХХК-ийн MV-011426 тоот тусгай зөвшөөрлийн талбайд холбогдох арга хэмжээ авах,нөхөн сэргээх үйл ажиллагааны гэрээ</t>
  </si>
  <si>
    <t>Усны сан бүхий газрын энгийн хамгаалалттай бүсэд олборлолт явуулж эхэлсэн тусгай зөвшөөрөл бүхий талбайд холбогдох арга хэмжээ авах, нөхөн сэргээх үйл ажиллагааны гэрээ</t>
  </si>
  <si>
    <t>2020-02-07</t>
  </si>
  <si>
    <t>БОАЖЯ, Хэнтий аймгийн Засаг дарга, АМГТГ, МХЕГ болон Алтай хангайн бүрд ХХК-ийн MV-006505 тоот тусгай зөвшөөрлийн талбайд холбогдох арга хэмжээ авах, нөхөн сэргээх үйл ажиллагааны гэрээ</t>
  </si>
  <si>
    <t>Хэнтий Өмнөдэлгэр,Хэнтий Батширээт</t>
  </si>
  <si>
    <t>2020-09-10</t>
  </si>
  <si>
    <t>БОАЖЯ;АМГТГ;Хэнтий аймгийн ЗДТГ;МХЕГ</t>
  </si>
  <si>
    <t>Алтай хангайн бүрд ХХК</t>
  </si>
  <si>
    <t>Газар ашиглуулах гэрээ</t>
  </si>
  <si>
    <t>2022-06-21</t>
  </si>
  <si>
    <t>Кинзроуд ХХК</t>
  </si>
  <si>
    <t>Эрдэнэс Таван Толгой ХК болон Таван Толгой Төмөр Зам ХХК нарын хооронд байгуулсан "Богдхан Төмөр Зам" төслийн суурь, бүтцийн барилга угсралтын бүтээн байгуулалтын ажлын санхүүжилтийн гэрээ</t>
  </si>
  <si>
    <t>Procurement contracts of state owned enterprises</t>
  </si>
  <si>
    <t>2022-06-28</t>
  </si>
  <si>
    <t>Тавантолгой төмөр зам ХХК</t>
  </si>
  <si>
    <t>"Загийн усны хоолой" гүний усны ордоос "Эрдэнэс Тавантолгой" ХК-ийн нүүрсний уурхай хүртэлх ус хангамжийн шугам хоолойн барилга угсралтын Ажил гүйцэтгэх гэрээ - 1</t>
  </si>
  <si>
    <t>"Набсан" ХХК;Тэргүүн Инвест ХХК</t>
  </si>
  <si>
    <t>Тавантолгой ордын далд уурхайн хайгуул, судалгааны ажил гүйцэтгэх гэрээ</t>
  </si>
  <si>
    <t>2023-10-25</t>
  </si>
  <si>
    <t>Элгэн ХХК</t>
  </si>
  <si>
    <t>ОРХОН АЙМАГ, “АЧИТ-ИХТ” ХХК-ИЙН  2023 ОНЫ ХАМТЫН АЖИЛЛАГААНЫ ТӨЛӨВЛӨГӨӨ</t>
  </si>
  <si>
    <t>Орон нутгийн хамтын ажиллагааны гэрээ 2023-7</t>
  </si>
  <si>
    <t>2023-05-21</t>
  </si>
  <si>
    <t>Орон нутгийн хамтын ажиллагааны гэрээ 2023-13</t>
  </si>
  <si>
    <t>Андын Илч ХХК</t>
  </si>
  <si>
    <t>Цогц эрин транс ХХК-ийн байгаль орчин, дэд бүтцийг хөгжүүлэх, ажлын байр нэмэгдүүлэх тухай нийгмийн хариуцлагын гэрээ</t>
  </si>
  <si>
    <t>Говь-Алтай Тонхил</t>
  </si>
  <si>
    <t>2023-08-31</t>
  </si>
  <si>
    <t>Тонхил сумын засаг дарга</t>
  </si>
  <si>
    <t>Нэтэнт ХХК-ий 2023 оны хамтын ажиллагааны гэрээ</t>
  </si>
  <si>
    <t>Хас Даваа ХХК</t>
  </si>
  <si>
    <t>Зөөлөн ресурс ХХК-ийн байгаль орчин, дэд бүтцийг хөгжүүлэх, ажлын байр нэмэгдүүлэх тухай нийгмийн хариуцлагын гэрээ</t>
  </si>
  <si>
    <t>Бугат  сумын ЗДТГ</t>
  </si>
  <si>
    <t>Бакунатур ХХК-ийн байгаль орчин, дэд бүтцийг хөгжүүлэх, ажлын байр нэмэгдүүлэх тухай нийгмийн хариуцлагын гэрээ</t>
  </si>
  <si>
    <t>2023-08-15</t>
  </si>
  <si>
    <t>Бакунатур ХХК</t>
  </si>
  <si>
    <t>Боролзой ХХК-ийн байгаль орчин, дэд бүтцийг хөгжүүлэх, ажлын байр нэмэгдүүлэх тухай нийгмийн хариуцлагын гэрээ</t>
  </si>
  <si>
    <t>2023-09-04</t>
  </si>
  <si>
    <t>Хөхморьт сумын ЗДТГ</t>
  </si>
  <si>
    <t>Боролзой ХХК</t>
  </si>
  <si>
    <t>Рагнарок инвестмент ХХК-ийн байгаль орчин, дэд бүтцийг хөгжүүлэх, ажлын байр нэмэгдүүлэх тухай нийгмийн хариуцлагын гэрээ</t>
  </si>
  <si>
    <t>Алтайн баялаг 2 нөхөрлөл</t>
  </si>
  <si>
    <t>2023-06-08</t>
  </si>
  <si>
    <t>Эвсэг хавцал нөхөрлөл</t>
  </si>
  <si>
    <t>Баян Тэс нөхөрлөл</t>
  </si>
  <si>
    <t>Орон нутгийн хамтын ажиллагааны гэрээ 2023-11</t>
  </si>
  <si>
    <t>2023-05-22</t>
  </si>
  <si>
    <t>Премиум көүл ХХК</t>
  </si>
  <si>
    <t>ОРХОН АЙМАГ, “ЭРДМИН” ХХК-ИЙН  2024 ОНЫ ХАМТЫН АЖИЛЛАГААНЫ ТӨЛӨВЛӨГӨӨ</t>
  </si>
  <si>
    <t>Эрдмин ХХК</t>
  </si>
  <si>
    <t>Эрдэнэс олдсон</t>
  </si>
  <si>
    <t>Гунгаа гүндэг</t>
  </si>
  <si>
    <t>Их алтайн рашка</t>
  </si>
  <si>
    <t>2023-05-17</t>
  </si>
  <si>
    <t>Вогооноо</t>
  </si>
  <si>
    <t>Хайрханы алтан буудай</t>
  </si>
  <si>
    <t>Мөнх баялагт хайрхан</t>
  </si>
  <si>
    <t>2023-09-11</t>
  </si>
  <si>
    <t>Бодьгал орхон</t>
  </si>
  <si>
    <t>2023-06-22</t>
  </si>
  <si>
    <t>Цагаан цахир овоо</t>
  </si>
  <si>
    <t>Дэлгэрэх баян өгөөж</t>
  </si>
  <si>
    <t>2024-04-24</t>
  </si>
  <si>
    <t>Нутгийн хишиг арвин баялаг</t>
  </si>
  <si>
    <t>Нээлттэй шандас</t>
  </si>
  <si>
    <t>Ханан цав</t>
  </si>
  <si>
    <t>Голден шүрүп</t>
  </si>
  <si>
    <t>Өсөх цахир</t>
  </si>
  <si>
    <t>2023-05-01</t>
  </si>
  <si>
    <t>Ноёдуу эрдэс</t>
  </si>
  <si>
    <t>Цахир-Ундрах</t>
  </si>
  <si>
    <t>2023-04-04</t>
  </si>
  <si>
    <t>Идэрмэг өсөх</t>
  </si>
  <si>
    <t>Амбага уул</t>
  </si>
  <si>
    <t>Дуулга хайрханы хишиг</t>
  </si>
  <si>
    <t>Хавсралт 37 2023 оноос хойших ил тод болгосон гэрээний жагсаалт</t>
  </si>
  <si>
    <t>Орхон аймаг, “Эрдэнэт Үйлдвэр” ТӨҮГ-ын  2023 оны хамтын ажиллагааны төлөвлөгөө</t>
  </si>
  <si>
    <t>Байгаль орчныг хамгаалах, уурхай ашиглах, үйлдвэр байгуулахтай холбогдсон дэд бүтцийг хөгжүүлэх, ажлын байр нэмэгдүүлэх, хандив, тулсламж өгөх чиглэлээр хамтран ажиллах гэрээ</t>
  </si>
  <si>
    <t>МОНГОЛЫН АЛТ МАК ХХК</t>
  </si>
  <si>
    <t>Орхон аймаг, “Эрдмин” ХХК-ийн  2023 оны хамтын ажиллагааны төлөвлөгөө</t>
  </si>
  <si>
    <t>Орхон аймаг, “Ачит-Ихт” ХХК-ийн  2023 оны хамтын ажиллагааны төлөвлөгөө</t>
  </si>
  <si>
    <t>Хавсралт 38 Орон нутгийн хөгжлийн нэгдсэн сангийн 2023 оны төсвийн мэдээлэл</t>
  </si>
  <si>
    <t>ОНХНС-с ОНХС-д олгох орлогын шилжүүлэг</t>
  </si>
  <si>
    <t>УТ-с ОНХС-д олгох орлогын шилжүүлэг</t>
  </si>
  <si>
    <t>ОУ-н байгууллагаас сумдын ОНХС-д олгох урамшуулал</t>
  </si>
  <si>
    <t>Аймаг, нийслэлийн ОНХС-д олгох орлогын шилжүүлгийн нийт дүн</t>
  </si>
  <si>
    <t>ГТНАТ-н 70%</t>
  </si>
  <si>
    <t>АМНАТ-н 10%</t>
  </si>
  <si>
    <t>МХТЗ-н 100%</t>
  </si>
  <si>
    <t>АМАТЗ 50%</t>
  </si>
  <si>
    <t>НИЙТ</t>
  </si>
  <si>
    <t>424,5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</si>
</sst>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3" formatCode="_(* #,##0.00_);_(* \(#,##0.00\);_(* &quot;-&quot;??_);_(@_)"/>
    <numFmt numFmtId="164" formatCode="_(* #,##0.0_);_(* \(#,##0.0\);_(* &quot;-&quot;??_);_(@_)"/>
    <numFmt numFmtId="165" formatCode="_-* #,##0.0_-;\-* #,##0.0_-;_-* &quot;-&quot;_-;_-@_-"/>
    <numFmt numFmtId="166" formatCode="_(* #,##0_);_(* \(#,##0\);_(* &quot;-&quot;??_);_(@_)"/>
    <numFmt numFmtId="167" formatCode="yyyy\.mm\.dd"/>
    <numFmt numFmtId="168" formatCode="0.0"/>
    <numFmt numFmtId="169" formatCode="0.000"/>
    <numFmt numFmtId="170" formatCode="[$-F800]dddd\,\ mmmm\ dd\,\ yyyy"/>
    <numFmt numFmtId="171" formatCode="#,##0.000"/>
    <numFmt numFmtId="172" formatCode="_(* #,##0.00_);_(* \(#,##0.00\);_(* &quot;-&quot;_);_(@_)"/>
  </numFmts>
  <fonts count="42">
    <font>
      <sz val="11"/>
      <color theme="1"/>
      <name val="Aptos Narrow"/>
      <family val="2"/>
      <scheme val="minor"/>
    </font>
    <font>
      <sz val="11"/>
      <color theme="1"/>
      <name val="Aptos Narrow"/>
      <family val="2"/>
      <scheme val="minor"/>
    </font>
    <font>
      <b/>
      <sz val="15"/>
      <color theme="3"/>
      <name val="Aptos Narrow"/>
      <family val="2"/>
      <scheme val="minor"/>
    </font>
    <font>
      <b/>
      <sz val="10"/>
      <color rgb="FFFFFFFF"/>
      <name val="Arial"/>
      <family val="2"/>
    </font>
    <font>
      <sz val="10"/>
      <color theme="1"/>
      <name val="Arial"/>
      <family val="2"/>
    </font>
    <font>
      <sz val="10"/>
      <color rgb="FF000000"/>
      <name val="Arial"/>
      <family val="2"/>
    </font>
    <font>
      <b/>
      <sz val="10"/>
      <color theme="1"/>
      <name val="Arial"/>
      <family val="2"/>
    </font>
    <font>
      <b/>
      <sz val="10"/>
      <color rgb="FF000000"/>
      <name val="Arial"/>
      <family val="2"/>
    </font>
    <font>
      <b/>
      <sz val="16"/>
      <color theme="3"/>
      <name val="Aptos Narrow"/>
      <family val="2"/>
      <scheme val="minor"/>
    </font>
    <font>
      <b/>
      <sz val="10"/>
      <color theme="0"/>
      <name val="Arial"/>
      <family val="2"/>
    </font>
    <font>
      <sz val="11"/>
      <color theme="1"/>
      <name val="Arial"/>
      <family val="2"/>
    </font>
    <font>
      <b/>
      <sz val="12"/>
      <color theme="1" tint="0.34998626667073579"/>
      <name val="Arial"/>
      <family val="2"/>
    </font>
    <font>
      <sz val="12"/>
      <color theme="1" tint="0.34998626667073579"/>
      <name val="Arial"/>
      <family val="2"/>
    </font>
    <font>
      <b/>
      <sz val="9"/>
      <color theme="0"/>
      <name val="Arial"/>
      <family val="2"/>
    </font>
    <font>
      <sz val="11"/>
      <color rgb="FF000000"/>
      <name val="Calibri"/>
      <family val="2"/>
    </font>
    <font>
      <b/>
      <sz val="10"/>
      <name val="Arial"/>
      <family val="2"/>
    </font>
    <font>
      <sz val="9"/>
      <color theme="1"/>
      <name val="Arial"/>
      <family val="2"/>
    </font>
    <font>
      <i/>
      <sz val="10"/>
      <color theme="1"/>
      <name val="Arial"/>
      <family val="2"/>
    </font>
    <font>
      <sz val="10"/>
      <color theme="1"/>
      <name val="Arial"/>
      <family val="2"/>
      <charset val="204"/>
    </font>
    <font>
      <sz val="11"/>
      <color theme="1"/>
      <name val="Aptos Narrow"/>
      <family val="2"/>
    </font>
    <font>
      <u/>
      <sz val="11"/>
      <color theme="10"/>
      <name val="Aptos Narrow"/>
      <family val="2"/>
      <scheme val="minor"/>
    </font>
    <font>
      <sz val="8"/>
      <name val="Aptos Narrow"/>
      <family val="2"/>
      <scheme val="minor"/>
    </font>
    <font>
      <sz val="10"/>
      <name val="Arial"/>
      <family val="2"/>
    </font>
    <font>
      <sz val="9"/>
      <name val="Arial"/>
      <family val="2"/>
    </font>
    <font>
      <b/>
      <sz val="11"/>
      <color theme="1"/>
      <name val="Aptos Narrow"/>
      <family val="2"/>
      <scheme val="minor"/>
    </font>
    <font>
      <b/>
      <sz val="9"/>
      <color rgb="FFFFFFFF"/>
      <name val="Arial"/>
      <family val="2"/>
    </font>
    <font>
      <sz val="11"/>
      <color rgb="FF000000"/>
      <name val="Arial"/>
      <family val="2"/>
    </font>
    <font>
      <sz val="10"/>
      <color rgb="FF242424"/>
      <name val="Arial"/>
      <family val="2"/>
    </font>
    <font>
      <u/>
      <sz val="10"/>
      <color theme="10"/>
      <name val="Arial"/>
      <family val="2"/>
    </font>
    <font>
      <sz val="10"/>
      <color rgb="FF000000"/>
      <name val="Arial"/>
      <family val="2"/>
      <charset val="1"/>
    </font>
    <font>
      <sz val="7"/>
      <color rgb="FF000000"/>
      <name val="Times New Roman"/>
      <family val="1"/>
    </font>
    <font>
      <sz val="10"/>
      <color rgb="FFC00000"/>
      <name val="Arial"/>
      <family val="2"/>
      <charset val="1"/>
    </font>
    <font>
      <sz val="10"/>
      <color rgb="FF000000"/>
      <name val="Aptos Narrow"/>
      <family val="2"/>
      <scheme val="minor"/>
    </font>
    <font>
      <b/>
      <sz val="10"/>
      <color theme="1" tint="0.34998626667073579"/>
      <name val="Arial"/>
      <family val="2"/>
    </font>
    <font>
      <sz val="10"/>
      <color theme="1"/>
      <name val="Aptos Narrow"/>
      <family val="2"/>
      <scheme val="minor"/>
    </font>
    <font>
      <sz val="8"/>
      <color theme="1"/>
      <name val="Open Sans"/>
      <family val="2"/>
    </font>
    <font>
      <sz val="10"/>
      <color theme="1"/>
      <name val="Aptos Narrow"/>
      <family val="2"/>
    </font>
    <font>
      <sz val="10"/>
      <color theme="1"/>
      <name val="Open Sans"/>
      <family val="2"/>
    </font>
    <font>
      <sz val="10"/>
      <color theme="0"/>
      <name val="Arial"/>
      <family val="2"/>
    </font>
    <font>
      <b/>
      <sz val="11"/>
      <color theme="0"/>
      <name val="Aptos Narrow"/>
      <family val="2"/>
      <scheme val="minor"/>
    </font>
    <font>
      <sz val="11"/>
      <color theme="0"/>
      <name val="Aptos Narrow"/>
      <family val="2"/>
      <scheme val="minor"/>
    </font>
    <font>
      <b/>
      <sz val="10"/>
      <color rgb="FFFF0000"/>
      <name val="Arial"/>
      <family val="2"/>
    </font>
  </fonts>
  <fills count="23">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006432"/>
        <bgColor indexed="64"/>
      </patternFill>
    </fill>
    <fill>
      <patternFill patternType="solid">
        <fgColor theme="9" tint="0.79998168889431442"/>
        <bgColor indexed="64"/>
      </patternFill>
    </fill>
    <fill>
      <patternFill patternType="solid">
        <fgColor rgb="FF006432"/>
        <bgColor theme="9"/>
      </patternFill>
    </fill>
    <fill>
      <patternFill patternType="solid">
        <fgColor rgb="FFFFC000"/>
        <bgColor indexed="64"/>
      </patternFill>
    </fill>
    <fill>
      <patternFill patternType="solid">
        <fgColor rgb="FF92D050"/>
        <bgColor indexed="64"/>
      </patternFill>
    </fill>
    <fill>
      <patternFill patternType="solid">
        <fgColor rgb="FF006432"/>
        <bgColor theme="4" tint="0.79998168889431442"/>
      </patternFill>
    </fill>
    <fill>
      <patternFill patternType="solid">
        <fgColor rgb="FF006432"/>
        <bgColor rgb="FF000000"/>
      </patternFill>
    </fill>
    <fill>
      <patternFill patternType="solid">
        <fgColor rgb="FF006432"/>
        <bgColor rgb="FF4EA72E"/>
      </patternFill>
    </fill>
    <fill>
      <patternFill patternType="solid">
        <fgColor rgb="FF92D050"/>
        <bgColor rgb="FF000000"/>
      </patternFill>
    </fill>
    <fill>
      <patternFill patternType="solid">
        <fgColor rgb="FFFFD9D9"/>
        <bgColor indexed="64"/>
      </patternFill>
    </fill>
    <fill>
      <patternFill patternType="solid">
        <fgColor theme="6" tint="0.79998168889431442"/>
        <bgColor indexed="64"/>
      </patternFill>
    </fill>
    <fill>
      <patternFill patternType="solid">
        <fgColor rgb="FFFF0000"/>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6"/>
      </patternFill>
    </fill>
    <fill>
      <patternFill patternType="solid">
        <fgColor theme="5"/>
        <bgColor indexed="64"/>
      </patternFill>
    </fill>
  </fills>
  <borders count="59">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medium">
        <color theme="9" tint="-0.24994659260841701"/>
      </left>
      <right style="thin">
        <color theme="0"/>
      </right>
      <top style="thin">
        <color theme="0"/>
      </top>
      <bottom style="thin">
        <color theme="0"/>
      </bottom>
      <diagonal/>
    </border>
    <border>
      <left style="medium">
        <color theme="9" tint="-0.24994659260841701"/>
      </left>
      <right style="thin">
        <color theme="0"/>
      </right>
      <top style="thin">
        <color theme="0"/>
      </top>
      <bottom style="medium">
        <color theme="9" tint="-0.24994659260841701"/>
      </bottom>
      <diagonal/>
    </border>
    <border>
      <left style="thin">
        <color theme="0"/>
      </left>
      <right style="thin">
        <color theme="0"/>
      </right>
      <top style="thin">
        <color theme="0"/>
      </top>
      <bottom style="medium">
        <color theme="9"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style="medium">
        <color rgb="FF3C7D22"/>
      </left>
      <right style="thin">
        <color rgb="FFFFFFFF"/>
      </right>
      <top style="medium">
        <color rgb="FF3C7D22"/>
      </top>
      <bottom style="thin">
        <color rgb="FFFFFFFF"/>
      </bottom>
      <diagonal/>
    </border>
    <border>
      <left style="medium">
        <color rgb="FF3C7D22"/>
      </left>
      <right style="thin">
        <color rgb="FFFFFFFF"/>
      </right>
      <top style="thin">
        <color rgb="FFFFFFFF"/>
      </top>
      <bottom/>
      <diagonal/>
    </border>
    <border>
      <left style="medium">
        <color rgb="FF3C7D22"/>
      </left>
      <right style="thin">
        <color rgb="FFFFFFFF"/>
      </right>
      <top style="thin">
        <color rgb="FFFFFFFF"/>
      </top>
      <bottom style="thin">
        <color rgb="FFFFFFFF"/>
      </bottom>
      <diagonal/>
    </border>
    <border>
      <left/>
      <right style="thin">
        <color rgb="FF000000"/>
      </right>
      <top style="thin">
        <color rgb="FF000000"/>
      </top>
      <bottom style="thin">
        <color rgb="FF000000"/>
      </bottom>
      <diagonal/>
    </border>
    <border>
      <left/>
      <right style="thin">
        <color indexed="64"/>
      </right>
      <top/>
      <bottom/>
      <diagonal/>
    </border>
    <border>
      <left/>
      <right style="thin">
        <color rgb="FF000000"/>
      </right>
      <top style="thin">
        <color rgb="FF000000"/>
      </top>
      <bottom/>
      <diagonal/>
    </border>
    <border>
      <left style="medium">
        <color rgb="FF3C7D22"/>
      </left>
      <right/>
      <top style="thin">
        <color rgb="FFFFFFFF"/>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rgb="FF000000"/>
      </left>
      <right/>
      <top/>
      <bottom/>
      <diagonal/>
    </border>
    <border>
      <left/>
      <right style="thin">
        <color rgb="FF000000"/>
      </right>
      <top/>
      <bottom/>
      <diagonal/>
    </border>
    <border>
      <left style="medium">
        <color rgb="FF3C7D22"/>
      </left>
      <right style="thin">
        <color rgb="FFFFFFFF"/>
      </right>
      <top/>
      <bottom style="thin">
        <color rgb="FFFFFFFF"/>
      </bottom>
      <diagonal/>
    </border>
    <border>
      <left/>
      <right style="thin">
        <color indexed="64"/>
      </right>
      <top/>
      <bottom style="thin">
        <color indexed="64"/>
      </bottom>
      <diagonal/>
    </border>
    <border>
      <left/>
      <right/>
      <top/>
      <bottom style="thin">
        <color indexed="64"/>
      </bottom>
      <diagonal/>
    </border>
    <border>
      <left style="thin">
        <color rgb="FFCCCCCC"/>
      </left>
      <right style="thin">
        <color rgb="FFCCCCCC"/>
      </right>
      <top style="thin">
        <color rgb="FFCCCCCC"/>
      </top>
      <bottom style="thin">
        <color rgb="FFCCCCCC"/>
      </bottom>
      <diagonal/>
    </border>
    <border>
      <left/>
      <right style="thin">
        <color rgb="FFCCCCCC"/>
      </right>
      <top style="thin">
        <color rgb="FFCCCCCC"/>
      </top>
      <bottom style="thin">
        <color rgb="FFCCCCCC"/>
      </bottom>
      <diagonal/>
    </border>
    <border>
      <left style="thin">
        <color indexed="64"/>
      </left>
      <right/>
      <top/>
      <bottom/>
      <diagonal/>
    </border>
    <border>
      <left/>
      <right style="thin">
        <color indexed="64"/>
      </right>
      <top style="thick">
        <color indexed="64"/>
      </top>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right/>
      <top/>
      <bottom style="thin">
        <color rgb="FF000000"/>
      </bottom>
      <diagonal/>
    </border>
    <border>
      <left/>
      <right/>
      <top style="thin">
        <color rgb="FF000000"/>
      </top>
      <bottom/>
      <diagonal/>
    </border>
    <border>
      <left/>
      <right style="thin">
        <color rgb="FF000000"/>
      </right>
      <top/>
      <bottom style="thin">
        <color rgb="FF000000"/>
      </bottom>
      <diagonal/>
    </border>
    <border>
      <left/>
      <right/>
      <top style="thin">
        <color theme="4"/>
      </top>
      <bottom style="double">
        <color theme="4"/>
      </bottom>
      <diagonal/>
    </border>
    <border>
      <left/>
      <right style="thin">
        <color indexed="64"/>
      </right>
      <top style="thin">
        <color theme="4"/>
      </top>
      <bottom style="double">
        <color theme="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thin">
        <color indexed="64"/>
      </left>
      <right/>
      <top style="thick">
        <color indexed="64"/>
      </top>
      <bottom/>
      <diagonal/>
    </border>
    <border>
      <left style="medium">
        <color theme="9" tint="-0.24994659260841701"/>
      </left>
      <right style="thin">
        <color theme="0"/>
      </right>
      <top/>
      <bottom style="thin">
        <color theme="0"/>
      </bottom>
      <diagonal/>
    </border>
    <border>
      <left style="thin">
        <color theme="0"/>
      </left>
      <right style="thin">
        <color theme="0"/>
      </right>
      <top/>
      <bottom style="thin">
        <color theme="0"/>
      </bottom>
      <diagonal/>
    </border>
    <border>
      <left/>
      <right/>
      <top style="thick">
        <color indexed="64"/>
      </top>
      <bottom style="thin">
        <color indexed="64"/>
      </bottom>
      <diagonal/>
    </border>
    <border>
      <left/>
      <right/>
      <top style="thin">
        <color rgb="FF000000"/>
      </top>
      <bottom style="thin">
        <color rgb="FF000000"/>
      </bottom>
      <diagonal/>
    </border>
  </borders>
  <cellStyleXfs count="14">
    <xf numFmtId="0" fontId="0" fillId="0" borderId="0"/>
    <xf numFmtId="0" fontId="2" fillId="0" borderId="1" applyNumberFormat="0" applyFill="0" applyAlignment="0" applyProtection="0"/>
    <xf numFmtId="0" fontId="1" fillId="0" borderId="0"/>
    <xf numFmtId="0" fontId="12" fillId="0" borderId="3">
      <alignment horizontal="left" vertical="center"/>
    </xf>
    <xf numFmtId="43" fontId="1" fillId="0" borderId="0" applyFont="0" applyFill="0" applyBorder="0" applyAlignment="0" applyProtection="0"/>
    <xf numFmtId="0" fontId="14" fillId="0" borderId="0"/>
    <xf numFmtId="0" fontId="1" fillId="0" borderId="0"/>
    <xf numFmtId="0" fontId="1" fillId="0" borderId="0"/>
    <xf numFmtId="41" fontId="1" fillId="0" borderId="0" applyFon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0" fontId="23" fillId="0" borderId="0"/>
    <xf numFmtId="0" fontId="24" fillId="0" borderId="50" applyNumberFormat="0" applyFill="0" applyAlignment="0" applyProtection="0"/>
    <xf numFmtId="0" fontId="40" fillId="21" borderId="0" applyNumberFormat="0" applyBorder="0" applyAlignment="0" applyProtection="0"/>
  </cellStyleXfs>
  <cellXfs count="644">
    <xf numFmtId="0" fontId="0" fillId="0" borderId="0" xfId="0"/>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8" fillId="0" borderId="1" xfId="1"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4" fillId="0" borderId="2" xfId="0" applyFont="1" applyBorder="1" applyAlignment="1">
      <alignment horizontal="center" vertical="center"/>
    </xf>
    <xf numFmtId="0" fontId="0" fillId="0" borderId="0" xfId="0" applyAlignment="1">
      <alignment horizontal="right" vertical="center"/>
    </xf>
    <xf numFmtId="0" fontId="0" fillId="0" borderId="0" xfId="0" applyAlignment="1">
      <alignment horizontal="center"/>
    </xf>
    <xf numFmtId="0" fontId="4" fillId="0" borderId="2" xfId="2" applyFont="1" applyBorder="1" applyAlignment="1">
      <alignment horizontal="center" vertical="center"/>
    </xf>
    <xf numFmtId="0" fontId="4" fillId="0" borderId="2" xfId="0" applyFont="1" applyBorder="1"/>
    <xf numFmtId="0" fontId="0" fillId="0" borderId="0" xfId="0" applyAlignment="1">
      <alignment vertical="center"/>
    </xf>
    <xf numFmtId="0" fontId="4" fillId="0" borderId="2" xfId="0" applyFont="1" applyBorder="1" applyAlignment="1">
      <alignment vertical="center"/>
    </xf>
    <xf numFmtId="0" fontId="10" fillId="0" borderId="0" xfId="0" applyFont="1" applyAlignment="1">
      <alignment vertical="center"/>
    </xf>
    <xf numFmtId="0" fontId="1" fillId="0" borderId="0" xfId="2"/>
    <xf numFmtId="0" fontId="11" fillId="0" borderId="3" xfId="3" applyFont="1">
      <alignment horizontal="left" vertical="center"/>
    </xf>
    <xf numFmtId="0" fontId="13" fillId="4" borderId="2" xfId="0" applyFont="1" applyFill="1" applyBorder="1" applyAlignment="1">
      <alignment horizontal="center" vertical="center" wrapText="1"/>
    </xf>
    <xf numFmtId="0" fontId="9"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2" xfId="0" applyFont="1" applyFill="1" applyBorder="1" applyAlignment="1">
      <alignment vertical="center"/>
    </xf>
    <xf numFmtId="0" fontId="4" fillId="0" borderId="2" xfId="2" applyFont="1" applyBorder="1" applyAlignment="1">
      <alignment vertical="center"/>
    </xf>
    <xf numFmtId="0" fontId="10" fillId="0" borderId="0" xfId="0" applyFont="1" applyAlignment="1">
      <alignment horizontal="center" vertical="center"/>
    </xf>
    <xf numFmtId="0" fontId="0" fillId="0" borderId="2" xfId="0" applyBorder="1"/>
    <xf numFmtId="0" fontId="4" fillId="3" borderId="0" xfId="0" applyFont="1" applyFill="1" applyAlignment="1">
      <alignment vertical="center"/>
    </xf>
    <xf numFmtId="0" fontId="4" fillId="5" borderId="6" xfId="6" applyFont="1" applyFill="1" applyBorder="1" applyAlignment="1">
      <alignment vertical="center"/>
    </xf>
    <xf numFmtId="0" fontId="4" fillId="3" borderId="6" xfId="6" applyFont="1" applyFill="1" applyBorder="1" applyAlignment="1">
      <alignment vertical="center"/>
    </xf>
    <xf numFmtId="0" fontId="11" fillId="0" borderId="3" xfId="3" applyFont="1" applyAlignment="1">
      <alignment vertical="center"/>
    </xf>
    <xf numFmtId="0" fontId="1" fillId="0" borderId="0" xfId="6"/>
    <xf numFmtId="0" fontId="15" fillId="0" borderId="0" xfId="0" applyFont="1" applyAlignment="1">
      <alignment wrapText="1"/>
    </xf>
    <xf numFmtId="0" fontId="15" fillId="2" borderId="0" xfId="0" applyFont="1" applyFill="1" applyAlignment="1">
      <alignment wrapText="1"/>
    </xf>
    <xf numFmtId="0" fontId="4" fillId="0" borderId="7" xfId="0" applyFont="1" applyBorder="1" applyAlignment="1">
      <alignment vertical="center" wrapText="1"/>
    </xf>
    <xf numFmtId="0" fontId="5" fillId="3" borderId="7" xfId="0" applyFont="1" applyFill="1" applyBorder="1" applyAlignment="1">
      <alignment vertical="center" wrapText="1"/>
    </xf>
    <xf numFmtId="0" fontId="5" fillId="2" borderId="7" xfId="0" applyFont="1" applyFill="1" applyBorder="1" applyAlignment="1">
      <alignment vertical="center" wrapText="1"/>
    </xf>
    <xf numFmtId="0" fontId="10" fillId="0" borderId="2" xfId="0" applyFont="1" applyBorder="1"/>
    <xf numFmtId="0" fontId="4" fillId="0" borderId="2" xfId="0" applyFont="1" applyBorder="1" applyAlignment="1">
      <alignment horizontal="left" vertical="center"/>
    </xf>
    <xf numFmtId="0" fontId="4" fillId="0" borderId="0" xfId="0" applyFont="1" applyAlignment="1">
      <alignment horizontal="left" vertical="center"/>
    </xf>
    <xf numFmtId="0" fontId="9" fillId="4" borderId="8" xfId="0" applyFont="1" applyFill="1" applyBorder="1" applyAlignment="1">
      <alignment horizontal="center" vertical="center"/>
    </xf>
    <xf numFmtId="0" fontId="9" fillId="4" borderId="6" xfId="0" applyFont="1" applyFill="1" applyBorder="1"/>
    <xf numFmtId="0" fontId="9" fillId="4" borderId="6"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0" xfId="0" applyFont="1" applyFill="1" applyBorder="1"/>
    <xf numFmtId="0" fontId="9" fillId="4" borderId="10" xfId="0" applyFont="1" applyFill="1" applyBorder="1" applyAlignment="1">
      <alignment horizontal="center" vertical="center"/>
    </xf>
    <xf numFmtId="0" fontId="16" fillId="3" borderId="0" xfId="0" applyFont="1" applyFill="1" applyAlignment="1">
      <alignment vertical="center"/>
    </xf>
    <xf numFmtId="0" fontId="17" fillId="2" borderId="0" xfId="0" applyFont="1" applyFill="1"/>
    <xf numFmtId="0" fontId="4" fillId="3" borderId="0" xfId="0" applyFont="1" applyFill="1" applyAlignment="1">
      <alignment horizontal="center" vertical="center"/>
    </xf>
    <xf numFmtId="0" fontId="17" fillId="2" borderId="0" xfId="0" applyFont="1" applyFill="1" applyAlignment="1">
      <alignment horizontal="right"/>
    </xf>
    <xf numFmtId="0" fontId="9" fillId="4" borderId="13" xfId="0" applyFont="1" applyFill="1" applyBorder="1" applyAlignment="1">
      <alignment horizontal="center" vertical="center" wrapText="1"/>
    </xf>
    <xf numFmtId="0" fontId="4" fillId="2" borderId="0" xfId="0" applyFont="1" applyFill="1" applyAlignment="1">
      <alignment vertical="center"/>
    </xf>
    <xf numFmtId="0" fontId="18" fillId="3" borderId="0" xfId="0" applyFont="1" applyFill="1" applyAlignment="1">
      <alignment horizontal="center"/>
    </xf>
    <xf numFmtId="0" fontId="18" fillId="3" borderId="0" xfId="0" applyFont="1" applyFill="1"/>
    <xf numFmtId="43" fontId="18" fillId="3" borderId="0" xfId="4" applyFont="1" applyFill="1" applyAlignment="1">
      <alignment horizontal="right"/>
    </xf>
    <xf numFmtId="14" fontId="18" fillId="3" borderId="0" xfId="0" applyNumberFormat="1" applyFont="1" applyFill="1" applyAlignment="1">
      <alignment horizontal="center"/>
    </xf>
    <xf numFmtId="14" fontId="18" fillId="3" borderId="0" xfId="0" applyNumberFormat="1" applyFont="1" applyFill="1"/>
    <xf numFmtId="0" fontId="4" fillId="3" borderId="0" xfId="0" applyFont="1" applyFill="1" applyAlignment="1">
      <alignment horizontal="left" vertical="center"/>
    </xf>
    <xf numFmtId="0" fontId="5" fillId="0" borderId="7" xfId="0" applyFont="1" applyBorder="1" applyAlignment="1">
      <alignment vertical="center" wrapText="1"/>
    </xf>
    <xf numFmtId="41" fontId="9" fillId="4" borderId="2" xfId="8" applyFont="1" applyFill="1" applyBorder="1" applyAlignment="1">
      <alignment horizontal="center" vertical="center" wrapText="1"/>
    </xf>
    <xf numFmtId="1" fontId="9" fillId="4" borderId="2" xfId="8" applyNumberFormat="1" applyFont="1" applyFill="1" applyBorder="1" applyAlignment="1">
      <alignment horizontal="center" vertical="center" wrapText="1"/>
    </xf>
    <xf numFmtId="0" fontId="9" fillId="6" borderId="2" xfId="7" applyFont="1" applyFill="1" applyBorder="1" applyAlignment="1">
      <alignment horizontal="center" vertical="center" wrapText="1"/>
    </xf>
    <xf numFmtId="0" fontId="19" fillId="0" borderId="2" xfId="0" applyFont="1" applyBorder="1" applyAlignment="1">
      <alignment horizontal="center"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10" fillId="0" borderId="0" xfId="0" applyFont="1"/>
    <xf numFmtId="0" fontId="0" fillId="0" borderId="2" xfId="0" applyBorder="1" applyAlignment="1">
      <alignment vertical="center"/>
    </xf>
    <xf numFmtId="0" fontId="18" fillId="3" borderId="0" xfId="0" applyFont="1" applyFill="1" applyAlignment="1">
      <alignment vertical="center"/>
    </xf>
    <xf numFmtId="41" fontId="18" fillId="3" borderId="0" xfId="8" applyFont="1" applyFill="1" applyAlignment="1">
      <alignment vertical="center"/>
    </xf>
    <xf numFmtId="0" fontId="22" fillId="8" borderId="2" xfId="0" applyFont="1" applyFill="1" applyBorder="1" applyAlignment="1">
      <alignment vertical="center" wrapText="1"/>
    </xf>
    <xf numFmtId="0" fontId="4" fillId="3" borderId="2" xfId="0" applyFont="1" applyFill="1" applyBorder="1" applyAlignment="1">
      <alignment horizontal="left" vertical="center"/>
    </xf>
    <xf numFmtId="0" fontId="4" fillId="3" borderId="2" xfId="0" applyFont="1" applyFill="1" applyBorder="1" applyAlignment="1">
      <alignment horizontal="left" vertical="center" wrapText="1"/>
    </xf>
    <xf numFmtId="0" fontId="4" fillId="8" borderId="2" xfId="0" applyFont="1" applyFill="1" applyBorder="1" applyAlignment="1">
      <alignment horizontal="left" vertical="center" wrapText="1"/>
    </xf>
    <xf numFmtId="0" fontId="4" fillId="8" borderId="2" xfId="0" applyFont="1" applyFill="1" applyBorder="1" applyAlignment="1">
      <alignment horizontal="left" vertical="center"/>
    </xf>
    <xf numFmtId="0" fontId="9" fillId="4" borderId="2" xfId="0" applyFont="1" applyFill="1" applyBorder="1" applyAlignment="1">
      <alignment horizontal="left" vertical="center" wrapText="1"/>
    </xf>
    <xf numFmtId="41" fontId="18" fillId="3" borderId="0" xfId="8" applyFont="1" applyFill="1" applyAlignment="1">
      <alignment horizontal="right" vertical="center"/>
    </xf>
    <xf numFmtId="165" fontId="18" fillId="3" borderId="0" xfId="8" applyNumberFormat="1" applyFont="1" applyFill="1" applyAlignment="1">
      <alignment vertical="center"/>
    </xf>
    <xf numFmtId="0" fontId="11" fillId="0" borderId="0" xfId="3" applyFont="1" applyBorder="1" applyAlignment="1">
      <alignment vertical="center"/>
    </xf>
    <xf numFmtId="0" fontId="4" fillId="0" borderId="0" xfId="0" applyFont="1"/>
    <xf numFmtId="0" fontId="4" fillId="0" borderId="0" xfId="0" applyFont="1" applyAlignment="1">
      <alignment vertical="center"/>
    </xf>
    <xf numFmtId="0" fontId="4" fillId="0" borderId="0" xfId="0" applyFont="1" applyAlignment="1">
      <alignment horizontal="center" vertical="center"/>
    </xf>
    <xf numFmtId="0" fontId="4" fillId="0" borderId="2" xfId="0" applyFont="1" applyBorder="1" applyAlignment="1">
      <alignment horizontal="center"/>
    </xf>
    <xf numFmtId="0" fontId="4" fillId="0" borderId="2" xfId="0" applyFont="1" applyBorder="1" applyAlignment="1">
      <alignment wrapText="1"/>
    </xf>
    <xf numFmtId="4" fontId="4" fillId="0" borderId="2" xfId="0" applyNumberFormat="1" applyFont="1" applyBorder="1"/>
    <xf numFmtId="167" fontId="4" fillId="0" borderId="2" xfId="0" applyNumberFormat="1" applyFont="1" applyBorder="1"/>
    <xf numFmtId="0" fontId="22" fillId="0" borderId="2" xfId="11" applyFont="1" applyBorder="1" applyAlignment="1">
      <alignment horizontal="center" vertical="center" wrapText="1"/>
    </xf>
    <xf numFmtId="167" fontId="22" fillId="0" borderId="2" xfId="11" applyNumberFormat="1" applyFont="1" applyBorder="1" applyAlignment="1">
      <alignment horizontal="center" vertical="center" wrapText="1"/>
    </xf>
    <xf numFmtId="4" fontId="4" fillId="0" borderId="2" xfId="0" applyNumberFormat="1" applyFont="1" applyBorder="1" applyAlignment="1">
      <alignment horizontal="center" vertical="center"/>
    </xf>
    <xf numFmtId="167" fontId="4" fillId="0" borderId="2" xfId="0" applyNumberFormat="1" applyFont="1" applyBorder="1" applyAlignment="1">
      <alignment horizontal="center" vertical="center"/>
    </xf>
    <xf numFmtId="4" fontId="4" fillId="0" borderId="2" xfId="0" applyNumberFormat="1" applyFont="1" applyBorder="1" applyAlignment="1">
      <alignment vertical="center"/>
    </xf>
    <xf numFmtId="167" fontId="4" fillId="0" borderId="2" xfId="0" applyNumberFormat="1" applyFont="1" applyBorder="1" applyAlignment="1">
      <alignment vertical="center"/>
    </xf>
    <xf numFmtId="0" fontId="22" fillId="0" borderId="14" xfId="11" applyFont="1" applyBorder="1" applyAlignment="1">
      <alignment horizontal="center" vertical="center"/>
    </xf>
    <xf numFmtId="4" fontId="22" fillId="0" borderId="14" xfId="11" applyNumberFormat="1" applyFont="1" applyBorder="1" applyAlignment="1">
      <alignment horizontal="center" vertical="center"/>
    </xf>
    <xf numFmtId="167" fontId="22" fillId="0" borderId="14" xfId="11" applyNumberFormat="1" applyFont="1" applyBorder="1" applyAlignment="1">
      <alignment horizontal="center" vertical="center"/>
    </xf>
    <xf numFmtId="0" fontId="22" fillId="0" borderId="2" xfId="11" applyFont="1" applyBorder="1" applyAlignment="1">
      <alignment horizontal="center" vertical="center"/>
    </xf>
    <xf numFmtId="4" fontId="22" fillId="0" borderId="2" xfId="11" applyNumberFormat="1" applyFont="1" applyBorder="1" applyAlignment="1">
      <alignment horizontal="center" vertical="center"/>
    </xf>
    <xf numFmtId="167" fontId="22" fillId="0" borderId="2" xfId="11" applyNumberFormat="1" applyFont="1" applyBorder="1" applyAlignment="1">
      <alignment horizontal="center" vertical="center"/>
    </xf>
    <xf numFmtId="3" fontId="4" fillId="0" borderId="2" xfId="0" applyNumberFormat="1" applyFont="1" applyBorder="1" applyAlignment="1">
      <alignment horizontal="center" vertical="center"/>
    </xf>
    <xf numFmtId="0" fontId="9" fillId="4" borderId="13" xfId="0" applyFont="1" applyFill="1" applyBorder="1" applyAlignment="1">
      <alignment horizontal="center" vertical="center"/>
    </xf>
    <xf numFmtId="0" fontId="0" fillId="2" borderId="0" xfId="0" applyFill="1"/>
    <xf numFmtId="0" fontId="4" fillId="2" borderId="2" xfId="0" applyFont="1" applyFill="1" applyBorder="1" applyAlignment="1">
      <alignment horizontal="left" vertical="center" wrapText="1"/>
    </xf>
    <xf numFmtId="0" fontId="4" fillId="2" borderId="2"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4" fillId="2" borderId="13" xfId="0" applyFont="1" applyFill="1" applyBorder="1" applyAlignment="1">
      <alignment horizontal="left" vertical="center" wrapText="1"/>
    </xf>
    <xf numFmtId="0" fontId="4" fillId="2" borderId="13" xfId="0" applyFont="1" applyFill="1" applyBorder="1" applyAlignment="1">
      <alignment horizontal="center" vertical="center" wrapText="1"/>
    </xf>
    <xf numFmtId="14" fontId="4" fillId="2" borderId="13" xfId="0" applyNumberFormat="1" applyFont="1" applyFill="1" applyBorder="1" applyAlignment="1">
      <alignment horizontal="center" vertical="center" wrapText="1"/>
    </xf>
    <xf numFmtId="0" fontId="20" fillId="2" borderId="16" xfId="9" applyFill="1" applyBorder="1" applyAlignment="1">
      <alignment horizontal="center" vertical="center" wrapText="1"/>
    </xf>
    <xf numFmtId="0" fontId="11" fillId="0" borderId="3" xfId="3" applyFont="1" applyAlignment="1">
      <alignment horizontal="center" vertical="center"/>
    </xf>
    <xf numFmtId="0" fontId="4" fillId="0" borderId="2" xfId="0" applyFont="1" applyBorder="1" applyAlignment="1">
      <alignment horizontal="left"/>
    </xf>
    <xf numFmtId="1" fontId="4" fillId="0" borderId="2" xfId="0" applyNumberFormat="1" applyFont="1" applyBorder="1"/>
    <xf numFmtId="0" fontId="9" fillId="9" borderId="2" xfId="0" applyFont="1" applyFill="1" applyBorder="1"/>
    <xf numFmtId="0" fontId="0" fillId="0" borderId="0" xfId="0" applyAlignment="1">
      <alignment horizontal="left"/>
    </xf>
    <xf numFmtId="0" fontId="4" fillId="0" borderId="2" xfId="0" applyFont="1" applyBorder="1" applyAlignment="1">
      <alignment horizontal="right" vertical="center"/>
    </xf>
    <xf numFmtId="0" fontId="4" fillId="0" borderId="13" xfId="0" applyFont="1" applyBorder="1" applyAlignment="1">
      <alignment vertical="center"/>
    </xf>
    <xf numFmtId="168" fontId="4" fillId="0" borderId="2" xfId="0" applyNumberFormat="1" applyFont="1" applyBorder="1" applyAlignment="1">
      <alignment horizontal="right" vertical="center"/>
    </xf>
    <xf numFmtId="2" fontId="4" fillId="0" borderId="2" xfId="0" applyNumberFormat="1" applyFont="1" applyBorder="1" applyAlignment="1">
      <alignment horizontal="right" vertical="center"/>
    </xf>
    <xf numFmtId="0" fontId="3" fillId="10" borderId="2" xfId="0" applyFont="1" applyFill="1" applyBorder="1" applyAlignment="1">
      <alignment horizontal="center" vertical="center" wrapText="1"/>
    </xf>
    <xf numFmtId="0" fontId="3" fillId="10" borderId="2" xfId="0" applyFont="1" applyFill="1" applyBorder="1" applyAlignment="1">
      <alignment vertical="center" wrapText="1"/>
    </xf>
    <xf numFmtId="0" fontId="5" fillId="0" borderId="2" xfId="0" applyFont="1" applyBorder="1" applyAlignment="1">
      <alignment vertical="center"/>
    </xf>
    <xf numFmtId="0" fontId="5" fillId="0" borderId="2" xfId="0" applyFont="1" applyBorder="1" applyAlignment="1">
      <alignment vertical="center" wrapText="1"/>
    </xf>
    <xf numFmtId="0" fontId="3" fillId="10" borderId="13" xfId="0" applyFont="1" applyFill="1" applyBorder="1" applyAlignment="1">
      <alignment horizontal="center" vertical="center" wrapText="1"/>
    </xf>
    <xf numFmtId="0" fontId="5" fillId="0" borderId="13" xfId="0" applyFont="1" applyBorder="1" applyAlignment="1">
      <alignment vertical="center" wrapText="1"/>
    </xf>
    <xf numFmtId="0" fontId="5" fillId="0" borderId="7" xfId="0" applyFont="1" applyBorder="1" applyAlignment="1">
      <alignment vertical="center"/>
    </xf>
    <xf numFmtId="0" fontId="5" fillId="0" borderId="2" xfId="0" applyFont="1" applyBorder="1" applyAlignment="1">
      <alignment horizontal="center" vertical="center"/>
    </xf>
    <xf numFmtId="0" fontId="22" fillId="0" borderId="18" xfId="0" applyFont="1" applyBorder="1" applyAlignment="1">
      <alignment vertical="center" wrapText="1"/>
    </xf>
    <xf numFmtId="0" fontId="22" fillId="0" borderId="0" xfId="0" applyFont="1" applyAlignment="1">
      <alignment vertical="center" wrapText="1"/>
    </xf>
    <xf numFmtId="0" fontId="22" fillId="0" borderId="17" xfId="0" applyFont="1" applyBorder="1" applyAlignment="1">
      <alignment vertical="center" wrapText="1"/>
    </xf>
    <xf numFmtId="0" fontId="4" fillId="0" borderId="0" xfId="0" applyFont="1" applyAlignment="1">
      <alignment vertical="center" wrapText="1"/>
    </xf>
    <xf numFmtId="0" fontId="5" fillId="0" borderId="11" xfId="0" applyFont="1" applyBorder="1" applyAlignment="1">
      <alignment vertical="center" wrapText="1"/>
    </xf>
    <xf numFmtId="0" fontId="5" fillId="0" borderId="0" xfId="0" applyFont="1" applyAlignment="1">
      <alignment vertical="center" wrapText="1"/>
    </xf>
    <xf numFmtId="0" fontId="5" fillId="0" borderId="13" xfId="0" applyFont="1" applyBorder="1" applyAlignment="1">
      <alignment vertical="center"/>
    </xf>
    <xf numFmtId="0" fontId="5" fillId="0" borderId="13" xfId="0" applyFont="1" applyBorder="1" applyAlignment="1">
      <alignment horizontal="center" vertical="center"/>
    </xf>
    <xf numFmtId="0" fontId="5" fillId="0" borderId="2" xfId="0" applyFont="1" applyBorder="1" applyAlignment="1">
      <alignment horizontal="right" vertical="center"/>
    </xf>
    <xf numFmtId="0" fontId="5" fillId="0" borderId="13" xfId="0" applyFont="1" applyBorder="1" applyAlignment="1">
      <alignment horizontal="right" vertical="center"/>
    </xf>
    <xf numFmtId="0" fontId="4" fillId="0" borderId="0" xfId="0" applyFont="1" applyAlignment="1">
      <alignment horizontal="center"/>
    </xf>
    <xf numFmtId="0" fontId="28" fillId="0" borderId="2" xfId="9" applyFont="1" applyBorder="1" applyAlignment="1">
      <alignment vertical="center"/>
    </xf>
    <xf numFmtId="0" fontId="28" fillId="0" borderId="2" xfId="9" applyFont="1" applyBorder="1" applyAlignment="1">
      <alignment vertical="center" wrapText="1"/>
    </xf>
    <xf numFmtId="0" fontId="5" fillId="0" borderId="18" xfId="0" applyFont="1" applyBorder="1" applyAlignment="1">
      <alignment vertical="center" wrapText="1"/>
    </xf>
    <xf numFmtId="0" fontId="3" fillId="11" borderId="23" xfId="0" applyFont="1" applyFill="1" applyBorder="1" applyAlignment="1">
      <alignment wrapText="1"/>
    </xf>
    <xf numFmtId="0" fontId="5" fillId="12" borderId="24" xfId="0" applyFont="1" applyFill="1" applyBorder="1" applyAlignment="1">
      <alignment wrapText="1"/>
    </xf>
    <xf numFmtId="0" fontId="29" fillId="0" borderId="18" xfId="0" applyFont="1" applyBorder="1" applyAlignment="1">
      <alignment vertical="center" wrapText="1"/>
    </xf>
    <xf numFmtId="0" fontId="30" fillId="0" borderId="18" xfId="0" applyFont="1" applyBorder="1" applyAlignment="1">
      <alignment vertical="center" wrapText="1"/>
    </xf>
    <xf numFmtId="0" fontId="5" fillId="0" borderId="18" xfId="0" applyFont="1" applyBorder="1" applyAlignment="1">
      <alignment vertical="center"/>
    </xf>
    <xf numFmtId="0" fontId="5" fillId="12" borderId="29" xfId="0" applyFont="1" applyFill="1" applyBorder="1" applyAlignment="1">
      <alignment wrapText="1"/>
    </xf>
    <xf numFmtId="0" fontId="26" fillId="12" borderId="24" xfId="0" applyFont="1" applyFill="1" applyBorder="1" applyAlignment="1">
      <alignment wrapText="1"/>
    </xf>
    <xf numFmtId="0" fontId="25" fillId="10" borderId="2" xfId="0" applyFont="1" applyFill="1" applyBorder="1" applyAlignment="1">
      <alignment horizontal="left" vertical="center" wrapText="1"/>
    </xf>
    <xf numFmtId="0" fontId="5" fillId="12" borderId="25" xfId="0" applyFont="1" applyFill="1" applyBorder="1" applyAlignment="1">
      <alignment horizontal="left" vertical="center" wrapText="1"/>
    </xf>
    <xf numFmtId="0" fontId="5" fillId="0" borderId="26" xfId="0" applyFont="1" applyBorder="1" applyAlignment="1">
      <alignment horizontal="left" vertical="center" wrapText="1"/>
    </xf>
    <xf numFmtId="0" fontId="29" fillId="0" borderId="27" xfId="0" applyFont="1" applyBorder="1" applyAlignment="1">
      <alignment horizontal="left" vertical="center" wrapText="1"/>
    </xf>
    <xf numFmtId="0" fontId="29" fillId="0" borderId="22" xfId="0" applyFont="1" applyBorder="1" applyAlignment="1">
      <alignment horizontal="left" vertical="center" wrapText="1"/>
    </xf>
    <xf numFmtId="0" fontId="29" fillId="0" borderId="7" xfId="0" applyFont="1" applyBorder="1" applyAlignment="1">
      <alignment horizontal="left" vertical="center" wrapText="1"/>
    </xf>
    <xf numFmtId="0" fontId="5" fillId="0" borderId="28" xfId="0" applyFont="1" applyBorder="1" applyAlignment="1">
      <alignment horizontal="left" vertical="center" wrapText="1"/>
    </xf>
    <xf numFmtId="0" fontId="29" fillId="0" borderId="26" xfId="0" applyFont="1" applyBorder="1" applyAlignment="1">
      <alignment horizontal="left" vertical="center" wrapText="1"/>
    </xf>
    <xf numFmtId="0" fontId="5" fillId="12" borderId="18" xfId="0" applyFont="1" applyFill="1" applyBorder="1" applyAlignment="1">
      <alignment horizontal="left" vertical="center" wrapText="1"/>
    </xf>
    <xf numFmtId="0" fontId="29" fillId="0" borderId="18" xfId="0" applyFont="1" applyBorder="1" applyAlignment="1">
      <alignment horizontal="left" vertical="center" wrapText="1"/>
    </xf>
    <xf numFmtId="0" fontId="5" fillId="0" borderId="18" xfId="0" applyFont="1" applyBorder="1" applyAlignment="1">
      <alignment horizontal="left" vertical="center" wrapText="1"/>
    </xf>
    <xf numFmtId="0" fontId="5" fillId="12" borderId="24" xfId="0" applyFont="1" applyFill="1" applyBorder="1" applyAlignment="1">
      <alignment horizontal="left" vertical="center" wrapText="1"/>
    </xf>
    <xf numFmtId="0" fontId="29" fillId="0" borderId="30" xfId="0" applyFont="1" applyBorder="1" applyAlignment="1">
      <alignment vertical="center" wrapText="1"/>
    </xf>
    <xf numFmtId="0" fontId="29" fillId="0" borderId="30" xfId="0" applyFont="1" applyBorder="1" applyAlignment="1">
      <alignment horizontal="left" vertical="center" wrapText="1"/>
    </xf>
    <xf numFmtId="0" fontId="29" fillId="0" borderId="18" xfId="0" applyFont="1" applyBorder="1" applyAlignment="1">
      <alignment horizontal="left" vertical="center"/>
    </xf>
    <xf numFmtId="0" fontId="5" fillId="0" borderId="18" xfId="0" applyFont="1" applyBorder="1" applyAlignment="1">
      <alignment horizontal="left" vertical="center"/>
    </xf>
    <xf numFmtId="0" fontId="29" fillId="0" borderId="31" xfId="0" applyFont="1" applyBorder="1" applyAlignment="1">
      <alignment vertical="center" wrapText="1"/>
    </xf>
    <xf numFmtId="0" fontId="29" fillId="0" borderId="17" xfId="0" applyFont="1" applyBorder="1" applyAlignment="1">
      <alignment horizontal="left" vertical="center"/>
    </xf>
    <xf numFmtId="0" fontId="29" fillId="0" borderId="32" xfId="0" applyFont="1" applyBorder="1" applyAlignment="1">
      <alignment vertical="center" wrapText="1"/>
    </xf>
    <xf numFmtId="0" fontId="29" fillId="0" borderId="20" xfId="0" applyFont="1" applyBorder="1" applyAlignment="1">
      <alignment vertical="center" wrapText="1"/>
    </xf>
    <xf numFmtId="0" fontId="5" fillId="0" borderId="30" xfId="0" applyFont="1" applyBorder="1" applyAlignment="1">
      <alignment wrapText="1"/>
    </xf>
    <xf numFmtId="0" fontId="5" fillId="0" borderId="21" xfId="0" applyFont="1" applyBorder="1" applyAlignment="1">
      <alignment horizontal="left" vertical="center"/>
    </xf>
    <xf numFmtId="0" fontId="5" fillId="0" borderId="30" xfId="0" applyFont="1" applyBorder="1"/>
    <xf numFmtId="0" fontId="29" fillId="0" borderId="30" xfId="0" applyFont="1" applyBorder="1"/>
    <xf numFmtId="0" fontId="29" fillId="0" borderId="18" xfId="0" applyFont="1" applyBorder="1"/>
    <xf numFmtId="0" fontId="32" fillId="0" borderId="26" xfId="0" applyFont="1" applyBorder="1" applyAlignment="1">
      <alignment horizontal="left" vertical="center" wrapText="1"/>
    </xf>
    <xf numFmtId="0" fontId="4" fillId="0" borderId="13" xfId="2" applyFont="1" applyBorder="1" applyAlignment="1">
      <alignment horizontal="center" vertical="center"/>
    </xf>
    <xf numFmtId="0" fontId="4" fillId="0" borderId="13" xfId="2" applyFont="1" applyBorder="1" applyAlignment="1">
      <alignment vertical="center"/>
    </xf>
    <xf numFmtId="0" fontId="29" fillId="0" borderId="0" xfId="0" applyFont="1" applyAlignment="1">
      <alignment vertical="center" wrapText="1"/>
    </xf>
    <xf numFmtId="0" fontId="5" fillId="0" borderId="37" xfId="0" applyFont="1" applyBorder="1" applyAlignment="1">
      <alignment horizontal="left" vertical="center" wrapText="1"/>
    </xf>
    <xf numFmtId="0" fontId="5" fillId="12" borderId="38" xfId="0" applyFont="1" applyFill="1" applyBorder="1" applyAlignment="1">
      <alignment horizontal="left" vertical="center" wrapText="1"/>
    </xf>
    <xf numFmtId="0" fontId="29" fillId="3" borderId="18" xfId="0" applyFont="1" applyFill="1" applyBorder="1" applyAlignment="1">
      <alignment vertical="center" wrapText="1"/>
    </xf>
    <xf numFmtId="0" fontId="29" fillId="3" borderId="22" xfId="0" applyFont="1" applyFill="1" applyBorder="1" applyAlignment="1">
      <alignment horizontal="left" vertical="center" wrapText="1"/>
    </xf>
    <xf numFmtId="0" fontId="5" fillId="3" borderId="36" xfId="0" applyFont="1" applyFill="1" applyBorder="1" applyAlignment="1">
      <alignment vertical="center" wrapText="1"/>
    </xf>
    <xf numFmtId="0" fontId="29" fillId="3" borderId="30" xfId="0" applyFont="1" applyFill="1" applyBorder="1" applyAlignment="1">
      <alignment vertical="center" wrapText="1"/>
    </xf>
    <xf numFmtId="0" fontId="5" fillId="3" borderId="18" xfId="0" applyFont="1" applyFill="1" applyBorder="1" applyAlignment="1">
      <alignment horizontal="left" vertical="center"/>
    </xf>
    <xf numFmtId="0" fontId="4" fillId="0" borderId="13" xfId="0" applyFont="1" applyBorder="1" applyAlignment="1">
      <alignment horizontal="center" vertical="center"/>
    </xf>
    <xf numFmtId="0" fontId="33" fillId="0" borderId="3" xfId="3" applyFont="1" applyAlignment="1">
      <alignment vertical="center"/>
    </xf>
    <xf numFmtId="0" fontId="34" fillId="0" borderId="0" xfId="0" applyFont="1"/>
    <xf numFmtId="0" fontId="34" fillId="0" borderId="0" xfId="0" applyFont="1" applyAlignment="1">
      <alignment vertical="center"/>
    </xf>
    <xf numFmtId="0" fontId="34" fillId="0" borderId="0" xfId="0" applyFont="1" applyAlignment="1">
      <alignment horizontal="center"/>
    </xf>
    <xf numFmtId="0" fontId="34" fillId="0" borderId="0" xfId="0" applyFont="1" applyAlignment="1">
      <alignment horizontal="center" vertical="center"/>
    </xf>
    <xf numFmtId="0" fontId="33" fillId="0" borderId="3" xfId="3" applyFont="1" applyAlignment="1">
      <alignment horizontal="center" vertical="center"/>
    </xf>
    <xf numFmtId="0" fontId="4" fillId="13" borderId="2" xfId="2" applyFont="1" applyFill="1" applyBorder="1" applyAlignment="1">
      <alignment vertical="center"/>
    </xf>
    <xf numFmtId="0" fontId="4" fillId="13" borderId="2" xfId="2" applyFont="1" applyFill="1" applyBorder="1" applyAlignment="1">
      <alignment horizontal="center" vertical="center"/>
    </xf>
    <xf numFmtId="0" fontId="4" fillId="13" borderId="2" xfId="0" applyFont="1" applyFill="1" applyBorder="1" applyAlignment="1">
      <alignment horizontal="center" vertical="center"/>
    </xf>
    <xf numFmtId="166" fontId="9" fillId="4" borderId="2" xfId="4" applyNumberFormat="1" applyFont="1" applyFill="1" applyBorder="1" applyAlignment="1">
      <alignment horizontal="center" vertical="center" wrapText="1"/>
    </xf>
    <xf numFmtId="0" fontId="0" fillId="13" borderId="0" xfId="0" applyFill="1"/>
    <xf numFmtId="166" fontId="4" fillId="0" borderId="2" xfId="4" applyNumberFormat="1" applyFont="1" applyBorder="1" applyAlignment="1">
      <alignment horizontal="right" vertical="center"/>
    </xf>
    <xf numFmtId="166" fontId="4" fillId="13" borderId="2" xfId="4" applyNumberFormat="1" applyFont="1" applyFill="1" applyBorder="1" applyAlignment="1">
      <alignment horizontal="right" vertical="center"/>
    </xf>
    <xf numFmtId="4" fontId="4" fillId="0" borderId="2" xfId="0" applyNumberFormat="1" applyFont="1" applyBorder="1" applyAlignment="1">
      <alignment horizontal="right" vertical="center"/>
    </xf>
    <xf numFmtId="0" fontId="4" fillId="0" borderId="13" xfId="2" applyFont="1" applyBorder="1" applyAlignment="1">
      <alignment horizontal="left" vertical="center"/>
    </xf>
    <xf numFmtId="166" fontId="4" fillId="0" borderId="13" xfId="4" applyNumberFormat="1" applyFont="1" applyBorder="1" applyAlignment="1">
      <alignment horizontal="right" vertical="center"/>
    </xf>
    <xf numFmtId="166" fontId="4" fillId="0" borderId="14" xfId="4" applyNumberFormat="1" applyFont="1" applyBorder="1" applyAlignment="1">
      <alignment horizontal="right" vertical="center"/>
    </xf>
    <xf numFmtId="0" fontId="0" fillId="0" borderId="2" xfId="0" applyBorder="1" applyAlignment="1">
      <alignment horizontal="right" vertical="center"/>
    </xf>
    <xf numFmtId="0" fontId="9" fillId="4" borderId="14" xfId="0" applyFont="1" applyFill="1" applyBorder="1" applyAlignment="1">
      <alignment horizontal="center" vertical="center" wrapText="1"/>
    </xf>
    <xf numFmtId="0" fontId="4" fillId="0" borderId="14" xfId="2" applyFont="1" applyBorder="1" applyAlignment="1">
      <alignment horizontal="center" vertical="center"/>
    </xf>
    <xf numFmtId="169" fontId="4" fillId="0" borderId="2" xfId="0" applyNumberFormat="1" applyFont="1" applyBorder="1" applyAlignment="1">
      <alignment horizontal="right" vertical="center"/>
    </xf>
    <xf numFmtId="0" fontId="0" fillId="0" borderId="2" xfId="0" applyBorder="1" applyAlignment="1">
      <alignment horizontal="center"/>
    </xf>
    <xf numFmtId="0" fontId="4" fillId="14" borderId="2" xfId="2" applyFont="1" applyFill="1" applyBorder="1" applyAlignment="1">
      <alignment vertical="center"/>
    </xf>
    <xf numFmtId="0" fontId="4" fillId="14" borderId="2" xfId="2" applyFont="1" applyFill="1" applyBorder="1" applyAlignment="1">
      <alignment horizontal="center" vertical="center"/>
    </xf>
    <xf numFmtId="0" fontId="4" fillId="14" borderId="2" xfId="0" applyFont="1" applyFill="1" applyBorder="1" applyAlignment="1">
      <alignment horizontal="center" vertical="center"/>
    </xf>
    <xf numFmtId="0" fontId="4" fillId="14" borderId="2" xfId="0" applyFont="1" applyFill="1" applyBorder="1"/>
    <xf numFmtId="0" fontId="4" fillId="14" borderId="2" xfId="0" applyFont="1" applyFill="1" applyBorder="1" applyAlignment="1">
      <alignment horizontal="center"/>
    </xf>
    <xf numFmtId="0" fontId="0" fillId="14" borderId="2" xfId="0" applyFill="1" applyBorder="1" applyAlignment="1">
      <alignment horizontal="center"/>
    </xf>
    <xf numFmtId="0" fontId="10" fillId="14" borderId="2" xfId="0" applyFont="1" applyFill="1" applyBorder="1" applyAlignment="1">
      <alignment horizontal="center"/>
    </xf>
    <xf numFmtId="0" fontId="10" fillId="0" borderId="0" xfId="0" applyFont="1" applyAlignment="1">
      <alignment horizontal="center"/>
    </xf>
    <xf numFmtId="0" fontId="35" fillId="2" borderId="41" xfId="0" applyFont="1" applyFill="1" applyBorder="1" applyAlignment="1">
      <alignment wrapText="1"/>
    </xf>
    <xf numFmtId="0" fontId="4" fillId="0" borderId="18" xfId="0" applyFont="1" applyBorder="1" applyAlignment="1">
      <alignment horizontal="center" vertical="center"/>
    </xf>
    <xf numFmtId="0" fontId="4" fillId="0" borderId="18" xfId="0" applyFont="1" applyBorder="1" applyAlignment="1">
      <alignment vertical="center"/>
    </xf>
    <xf numFmtId="0" fontId="0" fillId="0" borderId="0" xfId="0" applyAlignment="1">
      <alignment wrapText="1"/>
    </xf>
    <xf numFmtId="41" fontId="18" fillId="3" borderId="0" xfId="8" applyFont="1" applyFill="1" applyAlignment="1">
      <alignment horizontal="center" vertical="center"/>
    </xf>
    <xf numFmtId="0" fontId="18" fillId="3" borderId="0" xfId="0" applyFont="1" applyFill="1" applyAlignment="1">
      <alignment horizontal="center" vertical="center"/>
    </xf>
    <xf numFmtId="0" fontId="4" fillId="0" borderId="18" xfId="2" applyFont="1" applyBorder="1" applyAlignment="1">
      <alignment vertical="center"/>
    </xf>
    <xf numFmtId="0" fontId="4" fillId="0" borderId="18" xfId="2" applyFont="1" applyBorder="1" applyAlignment="1">
      <alignment horizontal="center" vertical="center"/>
    </xf>
    <xf numFmtId="0" fontId="4" fillId="2" borderId="18" xfId="0" applyFont="1" applyFill="1" applyBorder="1" applyAlignment="1">
      <alignment vertical="center" wrapText="1"/>
    </xf>
    <xf numFmtId="0" fontId="4" fillId="2" borderId="18"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14" xfId="2" applyFont="1" applyBorder="1" applyAlignment="1">
      <alignment vertical="center"/>
    </xf>
    <xf numFmtId="2" fontId="4" fillId="0" borderId="2" xfId="0" applyNumberFormat="1" applyFont="1" applyBorder="1" applyAlignment="1">
      <alignment horizontal="center" vertical="center"/>
    </xf>
    <xf numFmtId="0" fontId="4" fillId="3" borderId="2" xfId="0" applyFont="1" applyFill="1" applyBorder="1" applyAlignment="1">
      <alignment horizontal="center" vertical="center"/>
    </xf>
    <xf numFmtId="0" fontId="4" fillId="0" borderId="2" xfId="2" applyFont="1" applyBorder="1" applyAlignment="1">
      <alignment vertical="center" wrapText="1"/>
    </xf>
    <xf numFmtId="0" fontId="35" fillId="2" borderId="42" xfId="0" applyFont="1" applyFill="1" applyBorder="1" applyAlignment="1">
      <alignment wrapText="1"/>
    </xf>
    <xf numFmtId="0" fontId="36" fillId="0" borderId="2" xfId="0" applyFont="1" applyBorder="1" applyAlignment="1">
      <alignment horizontal="center" vertical="center"/>
    </xf>
    <xf numFmtId="0" fontId="9" fillId="4" borderId="18" xfId="0" applyFont="1" applyFill="1" applyBorder="1" applyAlignment="1">
      <alignment horizontal="center" vertical="center" wrapText="1"/>
    </xf>
    <xf numFmtId="0" fontId="4" fillId="0" borderId="2" xfId="0" applyFont="1" applyBorder="1" applyAlignment="1">
      <alignment horizontal="center" wrapText="1"/>
    </xf>
    <xf numFmtId="0" fontId="4" fillId="0" borderId="7" xfId="2" applyFont="1" applyBorder="1" applyAlignment="1">
      <alignment vertical="center"/>
    </xf>
    <xf numFmtId="14" fontId="4" fillId="0" borderId="2"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2" xfId="2" applyFont="1" applyBorder="1" applyAlignment="1">
      <alignment vertical="center"/>
    </xf>
    <xf numFmtId="0" fontId="22" fillId="0" borderId="2" xfId="2" applyFont="1" applyBorder="1" applyAlignment="1">
      <alignment horizontal="center" vertical="center"/>
    </xf>
    <xf numFmtId="0" fontId="22" fillId="0" borderId="2" xfId="0" applyFont="1" applyBorder="1"/>
    <xf numFmtId="0" fontId="22" fillId="0" borderId="2" xfId="0" applyFont="1" applyBorder="1" applyAlignment="1">
      <alignment horizontal="center"/>
    </xf>
    <xf numFmtId="166" fontId="22" fillId="0" borderId="2" xfId="4" applyNumberFormat="1" applyFont="1" applyBorder="1"/>
    <xf numFmtId="0" fontId="22" fillId="2" borderId="2" xfId="0" applyFont="1" applyFill="1" applyBorder="1" applyAlignment="1">
      <alignment horizontal="center" vertical="center" wrapText="1"/>
    </xf>
    <xf numFmtId="0" fontId="22" fillId="0" borderId="2" xfId="2" applyFont="1" applyBorder="1" applyAlignment="1">
      <alignment horizontal="left" vertical="center"/>
    </xf>
    <xf numFmtId="14" fontId="22" fillId="2" borderId="2" xfId="0" applyNumberFormat="1" applyFont="1" applyFill="1" applyBorder="1" applyAlignment="1">
      <alignment horizontal="center" vertical="center" wrapText="1"/>
    </xf>
    <xf numFmtId="14" fontId="22" fillId="0" borderId="2" xfId="0" applyNumberFormat="1" applyFont="1" applyBorder="1" applyAlignment="1">
      <alignment horizontal="center"/>
    </xf>
    <xf numFmtId="166" fontId="18" fillId="3" borderId="0" xfId="4" applyNumberFormat="1" applyFont="1" applyFill="1" applyAlignment="1">
      <alignment vertical="center"/>
    </xf>
    <xf numFmtId="166" fontId="22" fillId="2" borderId="2" xfId="4" applyNumberFormat="1" applyFont="1" applyFill="1" applyBorder="1" applyAlignment="1">
      <alignment horizontal="center" vertical="center" wrapText="1"/>
    </xf>
    <xf numFmtId="166" fontId="0" fillId="0" borderId="0" xfId="4" applyNumberFormat="1" applyFont="1"/>
    <xf numFmtId="14" fontId="4" fillId="0" borderId="13" xfId="0" applyNumberFormat="1" applyFont="1" applyBorder="1" applyAlignment="1">
      <alignment horizontal="center" vertical="center"/>
    </xf>
    <xf numFmtId="14" fontId="4" fillId="0" borderId="14" xfId="0" applyNumberFormat="1" applyFont="1" applyBorder="1" applyAlignment="1">
      <alignment horizontal="center" vertical="center"/>
    </xf>
    <xf numFmtId="0" fontId="4" fillId="0" borderId="18" xfId="2" applyFont="1" applyBorder="1" applyAlignment="1">
      <alignment horizontal="left" vertical="center"/>
    </xf>
    <xf numFmtId="0" fontId="4" fillId="0" borderId="7" xfId="0" applyFont="1" applyBorder="1" applyAlignment="1">
      <alignment vertical="center"/>
    </xf>
    <xf numFmtId="0" fontId="4" fillId="3" borderId="2" xfId="0" applyFont="1" applyFill="1" applyBorder="1"/>
    <xf numFmtId="0" fontId="4" fillId="3" borderId="2" xfId="0" applyFont="1" applyFill="1" applyBorder="1" applyAlignment="1">
      <alignment vertical="center"/>
    </xf>
    <xf numFmtId="0" fontId="4" fillId="3" borderId="0" xfId="0" applyFont="1" applyFill="1"/>
    <xf numFmtId="0" fontId="34" fillId="3" borderId="0" xfId="0" applyFont="1" applyFill="1"/>
    <xf numFmtId="0" fontId="4" fillId="15" borderId="2" xfId="0" applyFont="1" applyFill="1" applyBorder="1"/>
    <xf numFmtId="0" fontId="10" fillId="15" borderId="2" xfId="0" applyFont="1" applyFill="1" applyBorder="1"/>
    <xf numFmtId="0" fontId="19" fillId="15" borderId="2" xfId="0" applyFont="1" applyFill="1" applyBorder="1" applyAlignment="1">
      <alignment horizontal="center" vertical="center"/>
    </xf>
    <xf numFmtId="0" fontId="11" fillId="0" borderId="3" xfId="3" applyFont="1" applyAlignment="1">
      <alignment horizontal="right" vertical="center"/>
    </xf>
    <xf numFmtId="0" fontId="0" fillId="0" borderId="0" xfId="0" applyAlignment="1">
      <alignment horizontal="right"/>
    </xf>
    <xf numFmtId="0" fontId="9" fillId="4" borderId="13" xfId="0" applyFont="1" applyFill="1" applyBorder="1" applyAlignment="1">
      <alignment horizontal="right" vertical="center" wrapText="1"/>
    </xf>
    <xf numFmtId="0" fontId="9" fillId="4" borderId="15" xfId="0" applyFont="1" applyFill="1" applyBorder="1" applyAlignment="1">
      <alignment horizontal="center" vertical="center" wrapText="1"/>
    </xf>
    <xf numFmtId="166" fontId="4" fillId="2" borderId="18" xfId="0" applyNumberFormat="1" applyFont="1" applyFill="1" applyBorder="1" applyAlignment="1">
      <alignment vertical="center" wrapText="1"/>
    </xf>
    <xf numFmtId="3" fontId="4" fillId="0" borderId="2" xfId="0" applyNumberFormat="1" applyFont="1" applyBorder="1" applyAlignment="1">
      <alignment vertical="center"/>
    </xf>
    <xf numFmtId="0" fontId="4" fillId="0" borderId="11" xfId="2" applyFont="1" applyBorder="1" applyAlignment="1">
      <alignment vertical="center"/>
    </xf>
    <xf numFmtId="0" fontId="4" fillId="13" borderId="11" xfId="2" applyFont="1" applyFill="1" applyBorder="1" applyAlignment="1">
      <alignment vertical="center"/>
    </xf>
    <xf numFmtId="0" fontId="4" fillId="0" borderId="19" xfId="2" applyFont="1" applyBorder="1" applyAlignment="1">
      <alignment horizontal="left" vertical="center"/>
    </xf>
    <xf numFmtId="0" fontId="4" fillId="0" borderId="19" xfId="2" applyFont="1" applyBorder="1" applyAlignment="1">
      <alignment horizontal="center" vertical="center"/>
    </xf>
    <xf numFmtId="14" fontId="4" fillId="2" borderId="18" xfId="0" applyNumberFormat="1" applyFont="1" applyFill="1" applyBorder="1" applyAlignment="1">
      <alignment horizontal="center" vertical="center" wrapText="1"/>
    </xf>
    <xf numFmtId="0" fontId="4" fillId="0" borderId="26" xfId="0" applyFont="1" applyBorder="1" applyAlignment="1">
      <alignment horizontal="center" vertical="center"/>
    </xf>
    <xf numFmtId="0" fontId="4" fillId="0" borderId="18" xfId="0" applyFont="1" applyBorder="1" applyAlignment="1">
      <alignment horizontal="center" vertical="center" wrapText="1"/>
    </xf>
    <xf numFmtId="0" fontId="4" fillId="0" borderId="18" xfId="2" applyFont="1" applyBorder="1" applyAlignment="1">
      <alignment vertical="center" wrapText="1"/>
    </xf>
    <xf numFmtId="0" fontId="4" fillId="0" borderId="11" xfId="2" applyFont="1" applyBorder="1" applyAlignment="1">
      <alignment horizontal="center" vertical="center"/>
    </xf>
    <xf numFmtId="0" fontId="9" fillId="7" borderId="13" xfId="0" applyFont="1" applyFill="1" applyBorder="1" applyAlignment="1">
      <alignment horizontal="center" vertical="center" wrapText="1"/>
    </xf>
    <xf numFmtId="0" fontId="9" fillId="16" borderId="13" xfId="0" applyFont="1" applyFill="1" applyBorder="1" applyAlignment="1">
      <alignment horizontal="center" vertical="center" wrapText="1"/>
    </xf>
    <xf numFmtId="0" fontId="9" fillId="17" borderId="13" xfId="0" applyFont="1" applyFill="1" applyBorder="1" applyAlignment="1">
      <alignment horizontal="center" vertical="center" wrapText="1"/>
    </xf>
    <xf numFmtId="0" fontId="9" fillId="18" borderId="13" xfId="0" applyFont="1" applyFill="1" applyBorder="1" applyAlignment="1">
      <alignment horizontal="center" vertical="center" wrapText="1"/>
    </xf>
    <xf numFmtId="0" fontId="9" fillId="19" borderId="13" xfId="0" applyFont="1" applyFill="1" applyBorder="1" applyAlignment="1">
      <alignment horizontal="center" vertical="center" wrapText="1"/>
    </xf>
    <xf numFmtId="0" fontId="9" fillId="19" borderId="22" xfId="0" applyFont="1" applyFill="1" applyBorder="1" applyAlignment="1">
      <alignment horizontal="center" vertical="center" wrapText="1"/>
    </xf>
    <xf numFmtId="0" fontId="9" fillId="6" borderId="7" xfId="7" applyFont="1" applyFill="1" applyBorder="1" applyAlignment="1">
      <alignment horizontal="center" vertical="center" wrapText="1"/>
    </xf>
    <xf numFmtId="3" fontId="4" fillId="0" borderId="2" xfId="0" applyNumberFormat="1" applyFont="1" applyBorder="1" applyAlignment="1">
      <alignment horizontal="right" vertical="center" wrapText="1"/>
    </xf>
    <xf numFmtId="3" fontId="4" fillId="0" borderId="2" xfId="0" applyNumberFormat="1" applyFont="1" applyBorder="1" applyAlignment="1">
      <alignment vertical="center" wrapText="1"/>
    </xf>
    <xf numFmtId="3" fontId="4" fillId="0" borderId="2" xfId="0" applyNumberFormat="1" applyFont="1" applyBorder="1" applyAlignment="1">
      <alignment horizontal="right" vertical="center"/>
    </xf>
    <xf numFmtId="3" fontId="4" fillId="0" borderId="2" xfId="0" applyNumberFormat="1" applyFont="1" applyBorder="1"/>
    <xf numFmtId="0" fontId="4" fillId="0" borderId="19" xfId="2" applyFont="1" applyBorder="1" applyAlignment="1">
      <alignment vertical="center"/>
    </xf>
    <xf numFmtId="3" fontId="4" fillId="0" borderId="0" xfId="0" applyNumberFormat="1" applyFont="1"/>
    <xf numFmtId="0" fontId="0" fillId="0" borderId="18" xfId="0" applyBorder="1"/>
    <xf numFmtId="0" fontId="0" fillId="0" borderId="17" xfId="0" applyBorder="1"/>
    <xf numFmtId="41" fontId="18" fillId="3" borderId="0" xfId="8" applyFont="1" applyFill="1" applyBorder="1" applyAlignment="1">
      <alignment vertical="center"/>
    </xf>
    <xf numFmtId="0" fontId="18" fillId="0" borderId="0" xfId="0" applyFont="1" applyAlignment="1">
      <alignment horizontal="center" vertical="center"/>
    </xf>
    <xf numFmtId="0" fontId="10" fillId="0" borderId="2" xfId="0" applyFont="1" applyBorder="1" applyAlignment="1">
      <alignment horizontal="center"/>
    </xf>
    <xf numFmtId="41" fontId="18" fillId="0" borderId="0" xfId="8" applyFont="1" applyAlignment="1">
      <alignment horizontal="center" vertical="center"/>
    </xf>
    <xf numFmtId="0" fontId="18" fillId="0" borderId="0" xfId="0" applyFont="1" applyAlignment="1">
      <alignment horizontal="center" vertical="center" wrapText="1"/>
    </xf>
    <xf numFmtId="0" fontId="10" fillId="0" borderId="2" xfId="0" applyFont="1" applyBorder="1" applyAlignment="1">
      <alignment horizontal="center" wrapText="1"/>
    </xf>
    <xf numFmtId="0" fontId="0" fillId="0" borderId="0" xfId="0" applyAlignment="1">
      <alignment horizontal="center" wrapText="1"/>
    </xf>
    <xf numFmtId="0" fontId="35" fillId="2" borderId="42" xfId="0" applyFont="1" applyFill="1" applyBorder="1" applyAlignment="1">
      <alignment vertical="center" wrapText="1"/>
    </xf>
    <xf numFmtId="0" fontId="0" fillId="2" borderId="0" xfId="0" applyFill="1" applyAlignment="1">
      <alignment vertical="center"/>
    </xf>
    <xf numFmtId="9" fontId="4" fillId="0" borderId="2" xfId="0" applyNumberFormat="1" applyFont="1" applyBorder="1" applyAlignment="1">
      <alignment horizontal="center" vertical="center"/>
    </xf>
    <xf numFmtId="0" fontId="0" fillId="0" borderId="18" xfId="0" applyBorder="1" applyAlignment="1">
      <alignment horizontal="center" vertical="center"/>
    </xf>
    <xf numFmtId="0" fontId="0" fillId="0" borderId="18" xfId="0" applyBorder="1" applyAlignment="1">
      <alignment vertical="center"/>
    </xf>
    <xf numFmtId="0" fontId="4" fillId="2" borderId="18" xfId="0" applyFont="1" applyFill="1" applyBorder="1" applyAlignment="1">
      <alignment horizontal="left" vertical="center" wrapText="1"/>
    </xf>
    <xf numFmtId="3" fontId="4" fillId="0" borderId="18" xfId="0" applyNumberFormat="1" applyFont="1" applyBorder="1" applyAlignment="1">
      <alignment vertical="center"/>
    </xf>
    <xf numFmtId="4" fontId="4" fillId="0" borderId="18" xfId="0" applyNumberFormat="1" applyFont="1" applyBorder="1" applyAlignment="1">
      <alignment vertical="center"/>
    </xf>
    <xf numFmtId="0" fontId="4" fillId="0" borderId="17" xfId="0" applyFont="1" applyBorder="1" applyAlignment="1">
      <alignment horizontal="center" vertical="center"/>
    </xf>
    <xf numFmtId="0" fontId="0" fillId="0" borderId="18" xfId="0" applyBorder="1" applyAlignment="1">
      <alignment horizontal="center"/>
    </xf>
    <xf numFmtId="0" fontId="9" fillId="4" borderId="17" xfId="0" applyFont="1" applyFill="1" applyBorder="1" applyAlignment="1">
      <alignment horizontal="center" vertical="center" wrapText="1"/>
    </xf>
    <xf numFmtId="165" fontId="9" fillId="4" borderId="13" xfId="8" applyNumberFormat="1" applyFont="1" applyFill="1" applyBorder="1" applyAlignment="1">
      <alignment horizontal="center" vertical="center" wrapText="1"/>
    </xf>
    <xf numFmtId="0" fontId="0" fillId="0" borderId="18" xfId="0" applyBorder="1" applyAlignment="1">
      <alignment horizontal="left" vertical="center"/>
    </xf>
    <xf numFmtId="41" fontId="9" fillId="4" borderId="13" xfId="8" applyFont="1" applyFill="1" applyBorder="1" applyAlignment="1">
      <alignment horizontal="center" vertical="center" wrapText="1"/>
    </xf>
    <xf numFmtId="0" fontId="4" fillId="3" borderId="7" xfId="0" applyFont="1" applyFill="1" applyBorder="1" applyAlignment="1">
      <alignment vertical="center" wrapText="1"/>
    </xf>
    <xf numFmtId="0" fontId="11" fillId="0" borderId="0" xfId="3" applyFont="1" applyBorder="1" applyAlignment="1">
      <alignment horizontal="center" vertical="center"/>
    </xf>
    <xf numFmtId="0" fontId="5" fillId="3" borderId="18" xfId="0" applyFont="1" applyFill="1" applyBorder="1" applyAlignment="1">
      <alignment vertical="center" wrapText="1"/>
    </xf>
    <xf numFmtId="0" fontId="5" fillId="3" borderId="28" xfId="0" applyFont="1" applyFill="1" applyBorder="1" applyAlignment="1">
      <alignment horizontal="left" vertical="center" wrapText="1"/>
    </xf>
    <xf numFmtId="0" fontId="37" fillId="2" borderId="41" xfId="0" applyFont="1" applyFill="1" applyBorder="1" applyAlignment="1">
      <alignment wrapText="1"/>
    </xf>
    <xf numFmtId="0" fontId="34" fillId="2" borderId="0" xfId="0" applyFont="1" applyFill="1"/>
    <xf numFmtId="0" fontId="4" fillId="13" borderId="2" xfId="2" applyFont="1" applyFill="1" applyBorder="1" applyAlignment="1">
      <alignment vertical="center" wrapText="1"/>
    </xf>
    <xf numFmtId="0" fontId="0" fillId="0" borderId="17" xfId="0" applyBorder="1" applyAlignment="1">
      <alignment horizontal="center"/>
    </xf>
    <xf numFmtId="0" fontId="0" fillId="0" borderId="21" xfId="0" applyBorder="1" applyAlignment="1">
      <alignment horizontal="center"/>
    </xf>
    <xf numFmtId="166" fontId="4" fillId="0" borderId="0" xfId="4" applyNumberFormat="1" applyFont="1" applyAlignment="1">
      <alignment horizontal="right" vertical="center"/>
    </xf>
    <xf numFmtId="166" fontId="4" fillId="0" borderId="2" xfId="4" applyNumberFormat="1" applyFont="1" applyBorder="1" applyAlignment="1">
      <alignment vertical="center"/>
    </xf>
    <xf numFmtId="166" fontId="4" fillId="0" borderId="2" xfId="4" applyNumberFormat="1" applyFont="1" applyBorder="1" applyAlignment="1">
      <alignment horizontal="center" vertical="center"/>
    </xf>
    <xf numFmtId="166" fontId="4" fillId="13" borderId="2" xfId="4" applyNumberFormat="1" applyFont="1" applyFill="1" applyBorder="1" applyAlignment="1">
      <alignment horizontal="center" vertical="center"/>
    </xf>
    <xf numFmtId="166" fontId="4" fillId="0" borderId="13" xfId="4" applyNumberFormat="1" applyFont="1" applyBorder="1" applyAlignment="1">
      <alignment horizontal="center" vertical="center"/>
    </xf>
    <xf numFmtId="166" fontId="4" fillId="0" borderId="14" xfId="4" applyNumberFormat="1" applyFont="1" applyBorder="1" applyAlignment="1">
      <alignment horizontal="center" vertical="center"/>
    </xf>
    <xf numFmtId="166" fontId="4" fillId="0" borderId="7" xfId="4" applyNumberFormat="1" applyFont="1" applyBorder="1" applyAlignment="1">
      <alignment horizontal="center" vertical="center"/>
    </xf>
    <xf numFmtId="166" fontId="4" fillId="0" borderId="0" xfId="4" applyNumberFormat="1" applyFont="1" applyAlignment="1">
      <alignment horizontal="center" vertical="center"/>
    </xf>
    <xf numFmtId="3" fontId="0" fillId="0" borderId="0" xfId="0" applyNumberFormat="1" applyAlignment="1">
      <alignment horizontal="right" vertical="center"/>
    </xf>
    <xf numFmtId="3" fontId="4" fillId="0" borderId="0" xfId="0" applyNumberFormat="1" applyFont="1" applyAlignment="1">
      <alignment horizontal="right" vertical="center"/>
    </xf>
    <xf numFmtId="14" fontId="4" fillId="0" borderId="2" xfId="0" applyNumberFormat="1" applyFont="1" applyBorder="1" applyAlignment="1">
      <alignment horizontal="right" vertical="center"/>
    </xf>
    <xf numFmtId="171" fontId="4" fillId="0" borderId="2" xfId="0" applyNumberFormat="1" applyFont="1" applyBorder="1" applyAlignment="1">
      <alignment horizontal="right" vertical="center"/>
    </xf>
    <xf numFmtId="17" fontId="4" fillId="0" borderId="2" xfId="0" applyNumberFormat="1" applyFont="1" applyBorder="1" applyAlignment="1">
      <alignment horizontal="right" vertical="center"/>
    </xf>
    <xf numFmtId="0" fontId="11" fillId="3" borderId="3" xfId="3" applyFont="1" applyFill="1" applyAlignment="1">
      <alignment horizontal="right" vertical="center"/>
    </xf>
    <xf numFmtId="0" fontId="4" fillId="3" borderId="2" xfId="2" applyFont="1" applyFill="1" applyBorder="1" applyAlignment="1">
      <alignment vertical="center"/>
    </xf>
    <xf numFmtId="0" fontId="4" fillId="3" borderId="2" xfId="2" applyFont="1" applyFill="1" applyBorder="1" applyAlignment="1">
      <alignment vertical="center" wrapText="1"/>
    </xf>
    <xf numFmtId="41" fontId="4" fillId="2" borderId="2" xfId="8" applyFont="1" applyFill="1" applyBorder="1" applyAlignment="1">
      <alignment horizontal="center" vertical="center" wrapText="1"/>
    </xf>
    <xf numFmtId="41" fontId="4" fillId="2" borderId="13" xfId="8" applyFont="1" applyFill="1" applyBorder="1" applyAlignment="1">
      <alignment horizontal="center" vertical="center" wrapText="1"/>
    </xf>
    <xf numFmtId="41" fontId="0" fillId="0" borderId="2" xfId="8" applyFont="1" applyBorder="1" applyAlignment="1">
      <alignment vertical="center"/>
    </xf>
    <xf numFmtId="41" fontId="4" fillId="2" borderId="18" xfId="8" applyFont="1" applyFill="1" applyBorder="1" applyAlignment="1">
      <alignment horizontal="center" vertical="center" wrapText="1"/>
    </xf>
    <xf numFmtId="0" fontId="9" fillId="4" borderId="7" xfId="0" applyFont="1" applyFill="1" applyBorder="1" applyAlignment="1">
      <alignment horizontal="center" vertical="center" wrapText="1"/>
    </xf>
    <xf numFmtId="0" fontId="4" fillId="3" borderId="2" xfId="0" applyFont="1" applyFill="1" applyBorder="1" applyAlignment="1">
      <alignment vertical="center" wrapText="1"/>
    </xf>
    <xf numFmtId="0" fontId="4" fillId="3" borderId="18" xfId="0" applyFont="1" applyFill="1" applyBorder="1" applyAlignment="1">
      <alignment vertical="center" wrapText="1"/>
    </xf>
    <xf numFmtId="0" fontId="0" fillId="3" borderId="0" xfId="0" applyFill="1"/>
    <xf numFmtId="0" fontId="4" fillId="2" borderId="17" xfId="0" applyFont="1" applyFill="1" applyBorder="1" applyAlignment="1">
      <alignment horizontal="left" vertical="center" wrapText="1"/>
    </xf>
    <xf numFmtId="0" fontId="4" fillId="2" borderId="17" xfId="0" applyFont="1" applyFill="1" applyBorder="1" applyAlignment="1">
      <alignment horizontal="center" vertical="center" wrapText="1"/>
    </xf>
    <xf numFmtId="14" fontId="4" fillId="2" borderId="17" xfId="0" applyNumberFormat="1" applyFont="1" applyFill="1" applyBorder="1" applyAlignment="1">
      <alignment horizontal="center" vertical="center" wrapText="1"/>
    </xf>
    <xf numFmtId="41" fontId="4" fillId="2" borderId="17" xfId="8" applyFont="1" applyFill="1" applyBorder="1" applyAlignment="1">
      <alignment horizontal="center" vertical="center" wrapText="1"/>
    </xf>
    <xf numFmtId="0" fontId="22" fillId="3" borderId="18" xfId="0" applyFont="1" applyFill="1" applyBorder="1" applyAlignment="1">
      <alignment horizontal="center" vertical="center"/>
    </xf>
    <xf numFmtId="0" fontId="22" fillId="3" borderId="7" xfId="0" applyFont="1" applyFill="1" applyBorder="1" applyAlignment="1">
      <alignment horizontal="left" vertical="center" wrapText="1"/>
    </xf>
    <xf numFmtId="0" fontId="22" fillId="0" borderId="0" xfId="0" applyFont="1" applyAlignment="1">
      <alignment horizontal="left" vertical="center"/>
    </xf>
    <xf numFmtId="0" fontId="22" fillId="3" borderId="26" xfId="0" applyFont="1" applyFill="1" applyBorder="1" applyAlignment="1">
      <alignment horizontal="left" vertical="center"/>
    </xf>
    <xf numFmtId="0" fontId="22" fillId="3" borderId="2" xfId="0" applyFont="1" applyFill="1" applyBorder="1" applyAlignment="1">
      <alignment horizontal="center" vertical="center" wrapText="1"/>
    </xf>
    <xf numFmtId="0" fontId="22" fillId="0" borderId="0" xfId="0" applyFont="1" applyAlignment="1">
      <alignment vertical="center"/>
    </xf>
    <xf numFmtId="0" fontId="38" fillId="4" borderId="0" xfId="0" applyFont="1" applyFill="1" applyAlignment="1">
      <alignment horizontal="center" vertical="center" wrapText="1"/>
    </xf>
    <xf numFmtId="0" fontId="22" fillId="0" borderId="0" xfId="0" applyFont="1" applyAlignment="1">
      <alignment horizontal="center" vertical="center"/>
    </xf>
    <xf numFmtId="41" fontId="9" fillId="4" borderId="15" xfId="8" applyFont="1" applyFill="1" applyBorder="1" applyAlignment="1">
      <alignment horizontal="center" vertical="center" wrapText="1"/>
    </xf>
    <xf numFmtId="41" fontId="0" fillId="0" borderId="18" xfId="8" applyFont="1" applyBorder="1"/>
    <xf numFmtId="41" fontId="4" fillId="2" borderId="18" xfId="8" applyFont="1" applyFill="1" applyBorder="1" applyAlignment="1">
      <alignment vertical="center" wrapText="1"/>
    </xf>
    <xf numFmtId="41" fontId="0" fillId="0" borderId="17" xfId="8" applyFont="1" applyBorder="1"/>
    <xf numFmtId="41" fontId="0" fillId="0" borderId="30" xfId="8" applyFont="1" applyBorder="1"/>
    <xf numFmtId="41" fontId="0" fillId="0" borderId="0" xfId="8" applyFont="1"/>
    <xf numFmtId="41" fontId="0" fillId="0" borderId="26" xfId="8" applyFont="1" applyBorder="1"/>
    <xf numFmtId="0" fontId="4" fillId="15" borderId="2"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vertical="center"/>
    </xf>
    <xf numFmtId="0" fontId="4" fillId="15" borderId="2" xfId="0" applyFont="1" applyFill="1" applyBorder="1" applyAlignment="1">
      <alignment vertical="center"/>
    </xf>
    <xf numFmtId="0" fontId="0" fillId="15" borderId="2" xfId="0" applyFill="1" applyBorder="1"/>
    <xf numFmtId="0" fontId="6" fillId="7" borderId="43" xfId="0" applyFont="1" applyFill="1" applyBorder="1"/>
    <xf numFmtId="0" fontId="6" fillId="15" borderId="20" xfId="0" applyFont="1" applyFill="1" applyBorder="1"/>
    <xf numFmtId="0" fontId="4" fillId="3" borderId="2" xfId="0" applyFont="1" applyFill="1" applyBorder="1" applyAlignment="1">
      <alignment horizontal="left"/>
    </xf>
    <xf numFmtId="0" fontId="4" fillId="3" borderId="2" xfId="0" applyFont="1" applyFill="1" applyBorder="1" applyAlignment="1">
      <alignment horizontal="center"/>
    </xf>
    <xf numFmtId="0" fontId="9" fillId="4" borderId="35" xfId="0" applyFont="1" applyFill="1" applyBorder="1" applyAlignment="1">
      <alignment horizontal="center" vertical="center" wrapText="1"/>
    </xf>
    <xf numFmtId="0" fontId="4" fillId="0" borderId="13" xfId="0" applyFont="1" applyBorder="1" applyAlignment="1">
      <alignment horizontal="center"/>
    </xf>
    <xf numFmtId="0" fontId="4" fillId="0" borderId="14" xfId="0" applyFont="1" applyBorder="1" applyAlignment="1">
      <alignment horizontal="left" vertical="center" wrapText="1"/>
    </xf>
    <xf numFmtId="4" fontId="4" fillId="0" borderId="2"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39" fillId="21" borderId="0" xfId="13" applyNumberFormat="1" applyFont="1" applyAlignment="1">
      <alignment horizontal="center" vertical="center"/>
    </xf>
    <xf numFmtId="41" fontId="4" fillId="0" borderId="2" xfId="8" applyFont="1" applyBorder="1" applyAlignment="1">
      <alignment vertical="center"/>
    </xf>
    <xf numFmtId="0" fontId="38" fillId="4" borderId="2" xfId="0" applyFont="1" applyFill="1" applyBorder="1" applyAlignment="1">
      <alignment horizontal="right" vertical="center"/>
    </xf>
    <xf numFmtId="0" fontId="9" fillId="4" borderId="2" xfId="0" applyFont="1" applyFill="1" applyBorder="1" applyAlignment="1">
      <alignment horizontal="right" vertical="center"/>
    </xf>
    <xf numFmtId="166" fontId="9" fillId="4" borderId="2" xfId="4" applyNumberFormat="1" applyFont="1" applyFill="1" applyBorder="1" applyAlignment="1">
      <alignment horizontal="right" vertical="center"/>
    </xf>
    <xf numFmtId="166" fontId="9" fillId="4" borderId="2" xfId="4" applyNumberFormat="1" applyFont="1" applyFill="1" applyBorder="1" applyAlignment="1">
      <alignment horizontal="center" vertical="center"/>
    </xf>
    <xf numFmtId="3" fontId="4" fillId="0" borderId="18" xfId="0" applyNumberFormat="1" applyFont="1" applyBorder="1"/>
    <xf numFmtId="0" fontId="4" fillId="0" borderId="18" xfId="0" applyFont="1" applyBorder="1"/>
    <xf numFmtId="0" fontId="0" fillId="0" borderId="21" xfId="0" applyBorder="1" applyAlignment="1">
      <alignment horizontal="center" vertical="center"/>
    </xf>
    <xf numFmtId="0" fontId="0" fillId="0" borderId="21" xfId="0" applyBorder="1"/>
    <xf numFmtId="166" fontId="4" fillId="0" borderId="2" xfId="4" applyNumberFormat="1" applyFont="1" applyFill="1" applyBorder="1" applyAlignment="1">
      <alignment horizontal="right" vertical="center"/>
    </xf>
    <xf numFmtId="41" fontId="4" fillId="0" borderId="18" xfId="8" applyFont="1" applyBorder="1" applyAlignment="1">
      <alignment vertical="center"/>
    </xf>
    <xf numFmtId="172" fontId="4" fillId="0" borderId="18" xfId="8" applyNumberFormat="1" applyFont="1" applyBorder="1" applyAlignment="1">
      <alignment vertical="center"/>
    </xf>
    <xf numFmtId="41" fontId="4" fillId="2" borderId="2" xfId="8" applyFont="1" applyFill="1" applyBorder="1" applyAlignment="1">
      <alignment vertical="center" wrapText="1"/>
    </xf>
    <xf numFmtId="0" fontId="4" fillId="0" borderId="26" xfId="0" applyFont="1" applyBorder="1" applyAlignment="1">
      <alignment vertical="center"/>
    </xf>
    <xf numFmtId="0" fontId="4" fillId="0" borderId="2" xfId="6" applyFont="1" applyBorder="1" applyAlignment="1">
      <alignment horizontal="center" vertical="center"/>
    </xf>
    <xf numFmtId="41" fontId="4" fillId="0" borderId="18" xfId="8" applyFont="1" applyBorder="1" applyAlignment="1">
      <alignment horizontal="right" vertical="center"/>
    </xf>
    <xf numFmtId="0" fontId="0" fillId="0" borderId="18" xfId="0" applyBorder="1" applyAlignment="1">
      <alignment horizontal="left"/>
    </xf>
    <xf numFmtId="0" fontId="4" fillId="2" borderId="18" xfId="0" applyFont="1" applyFill="1" applyBorder="1" applyAlignment="1">
      <alignment horizontal="left" wrapText="1"/>
    </xf>
    <xf numFmtId="0" fontId="4" fillId="0" borderId="18" xfId="0" applyFont="1" applyBorder="1" applyAlignment="1">
      <alignment horizontal="left" vertical="center"/>
    </xf>
    <xf numFmtId="14" fontId="4" fillId="0" borderId="18" xfId="0" applyNumberFormat="1" applyFont="1" applyBorder="1" applyAlignment="1">
      <alignment horizontal="center" vertical="center"/>
    </xf>
    <xf numFmtId="172" fontId="4" fillId="0" borderId="18" xfId="8" applyNumberFormat="1" applyFont="1" applyBorder="1" applyAlignment="1">
      <alignment horizontal="right" vertical="center"/>
    </xf>
    <xf numFmtId="172" fontId="4" fillId="0" borderId="2" xfId="8" applyNumberFormat="1" applyFont="1" applyBorder="1" applyAlignment="1">
      <alignment vertical="center"/>
    </xf>
    <xf numFmtId="0" fontId="22" fillId="0" borderId="2" xfId="0" applyFont="1" applyBorder="1" applyAlignment="1">
      <alignment vertical="center"/>
    </xf>
    <xf numFmtId="166" fontId="22" fillId="0" borderId="2" xfId="4" applyNumberFormat="1" applyFont="1" applyBorder="1" applyAlignment="1">
      <alignment vertical="center"/>
    </xf>
    <xf numFmtId="14" fontId="22" fillId="0" borderId="2" xfId="0" applyNumberFormat="1" applyFont="1" applyBorder="1" applyAlignment="1">
      <alignment horizontal="center" vertical="center"/>
    </xf>
    <xf numFmtId="0" fontId="4" fillId="0" borderId="18" xfId="0" applyFont="1" applyBorder="1" applyAlignment="1">
      <alignment vertical="center" wrapText="1"/>
    </xf>
    <xf numFmtId="0" fontId="4" fillId="0" borderId="30" xfId="0" applyFont="1" applyBorder="1" applyAlignment="1">
      <alignment horizontal="center" vertical="center"/>
    </xf>
    <xf numFmtId="0" fontId="4" fillId="2" borderId="18" xfId="0" quotePrefix="1" applyFont="1" applyFill="1" applyBorder="1" applyAlignment="1">
      <alignment horizontal="center" vertical="center" wrapText="1"/>
    </xf>
    <xf numFmtId="0" fontId="4" fillId="0" borderId="14" xfId="2" applyFont="1" applyBorder="1" applyAlignment="1">
      <alignment vertical="center" wrapText="1"/>
    </xf>
    <xf numFmtId="14" fontId="4" fillId="0" borderId="0" xfId="0" applyNumberFormat="1" applyFont="1" applyAlignment="1">
      <alignment horizontal="center" vertical="center"/>
    </xf>
    <xf numFmtId="41" fontId="34" fillId="0" borderId="0" xfId="8" applyFont="1"/>
    <xf numFmtId="41" fontId="4" fillId="0" borderId="26" xfId="8" applyFont="1" applyBorder="1" applyAlignment="1">
      <alignment horizontal="center" vertical="center"/>
    </xf>
    <xf numFmtId="41" fontId="4" fillId="2" borderId="21" xfId="8" applyFont="1" applyFill="1" applyBorder="1" applyAlignment="1">
      <alignment horizontal="center" vertical="center" wrapText="1"/>
    </xf>
    <xf numFmtId="41" fontId="4" fillId="0" borderId="2" xfId="8" applyFont="1" applyBorder="1" applyAlignment="1">
      <alignment horizontal="right" vertical="center"/>
    </xf>
    <xf numFmtId="0" fontId="4" fillId="3" borderId="11" xfId="2" applyFont="1" applyFill="1" applyBorder="1" applyAlignment="1">
      <alignment vertical="center"/>
    </xf>
    <xf numFmtId="3" fontId="0" fillId="0" borderId="0" xfId="0" applyNumberFormat="1"/>
    <xf numFmtId="0" fontId="36" fillId="3" borderId="2" xfId="0" applyFont="1" applyFill="1" applyBorder="1" applyAlignment="1">
      <alignment horizontal="center" vertical="center"/>
    </xf>
    <xf numFmtId="0" fontId="36" fillId="15" borderId="2" xfId="0" applyFont="1" applyFill="1" applyBorder="1" applyAlignment="1">
      <alignment horizontal="center" vertical="center"/>
    </xf>
    <xf numFmtId="0" fontId="10" fillId="20" borderId="2" xfId="0" applyFont="1" applyFill="1" applyBorder="1"/>
    <xf numFmtId="0" fontId="4" fillId="20" borderId="2" xfId="0" applyFont="1" applyFill="1" applyBorder="1"/>
    <xf numFmtId="49" fontId="9" fillId="4" borderId="2" xfId="0" applyNumberFormat="1" applyFont="1" applyFill="1" applyBorder="1" applyAlignment="1">
      <alignment horizontal="center" vertical="center" wrapText="1"/>
    </xf>
    <xf numFmtId="0" fontId="4" fillId="0" borderId="27" xfId="0" applyFont="1" applyBorder="1" applyAlignment="1">
      <alignment vertical="center" wrapText="1"/>
    </xf>
    <xf numFmtId="0" fontId="9" fillId="4" borderId="34" xfId="0" applyFont="1" applyFill="1" applyBorder="1" applyAlignment="1">
      <alignment horizontal="center" vertical="center" wrapText="1"/>
    </xf>
    <xf numFmtId="0" fontId="22" fillId="0" borderId="2" xfId="0" applyFont="1" applyBorder="1" applyAlignment="1">
      <alignment horizontal="left" vertical="center" wrapText="1"/>
    </xf>
    <xf numFmtId="0" fontId="6" fillId="0" borderId="2" xfId="0" applyFont="1" applyBorder="1" applyAlignment="1">
      <alignment horizontal="left" vertical="center"/>
    </xf>
    <xf numFmtId="0" fontId="6" fillId="0" borderId="2" xfId="0" applyFont="1" applyBorder="1" applyAlignment="1">
      <alignment horizontal="left" vertical="center" wrapText="1"/>
    </xf>
    <xf numFmtId="0" fontId="20" fillId="0" borderId="2" xfId="9" applyFill="1" applyBorder="1"/>
    <xf numFmtId="0" fontId="20" fillId="0" borderId="2" xfId="9" applyBorder="1" applyAlignment="1">
      <alignment vertical="center"/>
    </xf>
    <xf numFmtId="0" fontId="27" fillId="0" borderId="2" xfId="0" applyFont="1" applyBorder="1" applyAlignment="1">
      <alignment vertical="center" wrapText="1"/>
    </xf>
    <xf numFmtId="0" fontId="5" fillId="0" borderId="2" xfId="0" applyFont="1" applyBorder="1" applyAlignment="1">
      <alignment horizontal="right" vertical="center" wrapText="1"/>
    </xf>
    <xf numFmtId="0" fontId="27" fillId="0" borderId="2" xfId="0" applyFont="1" applyBorder="1" applyAlignment="1">
      <alignment vertical="center"/>
    </xf>
    <xf numFmtId="0" fontId="4" fillId="0" borderId="2" xfId="0" applyFont="1" applyBorder="1" applyAlignment="1">
      <alignment horizontal="right"/>
    </xf>
    <xf numFmtId="0" fontId="4" fillId="0" borderId="6" xfId="6" applyFont="1" applyBorder="1" applyAlignment="1">
      <alignment vertical="center"/>
    </xf>
    <xf numFmtId="0" fontId="9" fillId="4" borderId="55" xfId="0" applyFont="1" applyFill="1" applyBorder="1" applyAlignment="1">
      <alignment horizontal="center" vertical="center"/>
    </xf>
    <xf numFmtId="0" fontId="9" fillId="4" borderId="56" xfId="0" applyFont="1" applyFill="1" applyBorder="1"/>
    <xf numFmtId="0" fontId="9" fillId="4" borderId="56" xfId="0" applyFont="1" applyFill="1" applyBorder="1" applyAlignment="1">
      <alignment horizontal="center" vertical="center"/>
    </xf>
    <xf numFmtId="43" fontId="0" fillId="0" borderId="2" xfId="4" applyFont="1" applyBorder="1"/>
    <xf numFmtId="0" fontId="34" fillId="0" borderId="2" xfId="0" applyFont="1" applyBorder="1"/>
    <xf numFmtId="43" fontId="4" fillId="0" borderId="2" xfId="4" applyFont="1" applyBorder="1" applyAlignment="1">
      <alignment vertical="center"/>
    </xf>
    <xf numFmtId="43" fontId="4" fillId="0" borderId="2" xfId="4" applyFont="1" applyBorder="1" applyAlignment="1">
      <alignment horizontal="right" vertical="center"/>
    </xf>
    <xf numFmtId="43" fontId="4" fillId="0" borderId="0" xfId="0" applyNumberFormat="1" applyFont="1" applyAlignment="1">
      <alignment horizontal="right" vertical="center"/>
    </xf>
    <xf numFmtId="43" fontId="9" fillId="4" borderId="2" xfId="4" applyFont="1" applyFill="1" applyBorder="1" applyAlignment="1">
      <alignment horizontal="center" vertical="center"/>
    </xf>
    <xf numFmtId="43" fontId="0" fillId="22" borderId="0" xfId="4" applyFont="1" applyFill="1" applyBorder="1"/>
    <xf numFmtId="43" fontId="9" fillId="4" borderId="13" xfId="4" applyFont="1" applyFill="1" applyBorder="1" applyAlignment="1">
      <alignment horizontal="center" vertical="center" wrapText="1"/>
    </xf>
    <xf numFmtId="43" fontId="4" fillId="0" borderId="13" xfId="4" applyFont="1" applyBorder="1" applyAlignment="1">
      <alignment vertical="center"/>
    </xf>
    <xf numFmtId="43" fontId="0" fillId="0" borderId="0" xfId="0" applyNumberFormat="1"/>
    <xf numFmtId="166" fontId="0" fillId="0" borderId="2" xfId="4" applyNumberFormat="1" applyFont="1" applyBorder="1"/>
    <xf numFmtId="166" fontId="9" fillId="4" borderId="13" xfId="4" applyNumberFormat="1" applyFont="1" applyFill="1" applyBorder="1" applyAlignment="1">
      <alignment horizontal="center" vertical="center" wrapText="1"/>
    </xf>
    <xf numFmtId="166" fontId="0" fillId="0" borderId="0" xfId="0" applyNumberFormat="1"/>
    <xf numFmtId="4" fontId="22" fillId="0" borderId="2" xfId="11" applyNumberFormat="1" applyFont="1" applyBorder="1" applyAlignment="1">
      <alignment horizontal="right" vertical="center" wrapText="1"/>
    </xf>
    <xf numFmtId="0" fontId="9" fillId="4" borderId="13" xfId="0" applyFont="1" applyFill="1" applyBorder="1" applyAlignment="1">
      <alignment vertical="center" wrapText="1"/>
    </xf>
    <xf numFmtId="0" fontId="4" fillId="0" borderId="2" xfId="0" applyFont="1" applyBorder="1" applyAlignment="1">
      <alignment horizontal="right" vertical="center" wrapText="1"/>
    </xf>
    <xf numFmtId="0" fontId="22" fillId="0" borderId="2" xfId="0" applyFont="1" applyBorder="1" applyAlignment="1">
      <alignment horizontal="right" vertical="center" wrapText="1"/>
    </xf>
    <xf numFmtId="0" fontId="6" fillId="0" borderId="2" xfId="0" applyFont="1" applyBorder="1" applyAlignment="1">
      <alignment horizontal="right" vertical="center" wrapText="1"/>
    </xf>
    <xf numFmtId="0" fontId="6" fillId="0" borderId="2" xfId="0" applyFont="1" applyBorder="1" applyAlignment="1">
      <alignment horizontal="right" vertical="center"/>
    </xf>
    <xf numFmtId="0" fontId="13" fillId="4" borderId="13" xfId="0" applyFont="1" applyFill="1" applyBorder="1" applyAlignment="1">
      <alignment horizontal="center" vertical="center" wrapText="1"/>
    </xf>
    <xf numFmtId="41" fontId="13" fillId="4" borderId="13" xfId="8" applyFont="1" applyFill="1" applyBorder="1" applyAlignment="1">
      <alignment horizontal="center" vertical="center" wrapText="1"/>
    </xf>
    <xf numFmtId="0" fontId="4" fillId="3" borderId="11" xfId="2" applyFont="1" applyFill="1" applyBorder="1" applyAlignment="1">
      <alignment vertical="center" wrapText="1"/>
    </xf>
    <xf numFmtId="0" fontId="4" fillId="3" borderId="30" xfId="2" applyFont="1" applyFill="1" applyBorder="1" applyAlignment="1">
      <alignment vertical="center" wrapText="1"/>
    </xf>
    <xf numFmtId="0" fontId="4" fillId="2" borderId="18" xfId="0" applyFont="1" applyFill="1" applyBorder="1" applyAlignment="1">
      <alignment horizontal="right" vertical="center" wrapText="1"/>
    </xf>
    <xf numFmtId="0" fontId="4" fillId="0" borderId="18" xfId="2" applyFont="1" applyBorder="1" applyAlignment="1">
      <alignment horizontal="right" vertical="center"/>
    </xf>
    <xf numFmtId="0" fontId="4" fillId="0" borderId="18" xfId="0" applyFont="1" applyBorder="1" applyAlignment="1">
      <alignment horizontal="right" vertical="center"/>
    </xf>
    <xf numFmtId="0" fontId="4" fillId="2" borderId="17" xfId="0" applyFont="1" applyFill="1" applyBorder="1" applyAlignment="1">
      <alignment vertical="center" wrapText="1"/>
    </xf>
    <xf numFmtId="0" fontId="4" fillId="2" borderId="17" xfId="0" applyFont="1" applyFill="1" applyBorder="1" applyAlignment="1">
      <alignment horizontal="right" vertical="center" wrapText="1"/>
    </xf>
    <xf numFmtId="0" fontId="4" fillId="0" borderId="30" xfId="2" applyFont="1" applyBorder="1" applyAlignment="1">
      <alignment vertical="center" wrapText="1"/>
    </xf>
    <xf numFmtId="0" fontId="9" fillId="4" borderId="13" xfId="0" applyFont="1" applyFill="1" applyBorder="1" applyAlignment="1">
      <alignment vertical="center"/>
    </xf>
    <xf numFmtId="0" fontId="4" fillId="3" borderId="18" xfId="2" applyFont="1" applyFill="1" applyBorder="1" applyAlignment="1">
      <alignment vertical="center" wrapText="1"/>
    </xf>
    <xf numFmtId="0" fontId="4" fillId="0" borderId="21" xfId="0" applyFont="1" applyBorder="1" applyAlignment="1">
      <alignment horizontal="center" vertical="center"/>
    </xf>
    <xf numFmtId="0" fontId="4" fillId="3" borderId="18" xfId="0" applyFont="1" applyFill="1" applyBorder="1" applyAlignment="1">
      <alignment horizontal="left" vertical="center" wrapText="1"/>
    </xf>
    <xf numFmtId="0" fontId="4" fillId="0" borderId="17" xfId="2" applyFont="1" applyBorder="1" applyAlignment="1">
      <alignment horizontal="center" vertical="center"/>
    </xf>
    <xf numFmtId="0" fontId="4" fillId="3" borderId="30" xfId="2" applyFont="1" applyFill="1" applyBorder="1" applyAlignment="1">
      <alignment vertical="center"/>
    </xf>
    <xf numFmtId="0" fontId="4" fillId="14" borderId="18" xfId="0" applyFont="1" applyFill="1" applyBorder="1" applyAlignment="1">
      <alignment horizontal="center" vertical="center"/>
    </xf>
    <xf numFmtId="0" fontId="4" fillId="3" borderId="30" xfId="0" applyFont="1" applyFill="1" applyBorder="1" applyAlignment="1">
      <alignment horizontal="left" vertical="center" wrapText="1"/>
    </xf>
    <xf numFmtId="0" fontId="4" fillId="0" borderId="30" xfId="0" applyFont="1" applyBorder="1" applyAlignment="1">
      <alignment horizontal="left" vertical="center"/>
    </xf>
    <xf numFmtId="41" fontId="4" fillId="3" borderId="18" xfId="8" applyFont="1" applyFill="1" applyBorder="1" applyAlignment="1">
      <alignment vertical="center" wrapText="1"/>
    </xf>
    <xf numFmtId="0" fontId="4" fillId="3" borderId="17" xfId="0" applyFont="1" applyFill="1" applyBorder="1" applyAlignment="1">
      <alignment vertical="center" wrapText="1"/>
    </xf>
    <xf numFmtId="41" fontId="4" fillId="3" borderId="17" xfId="8" applyFont="1" applyFill="1" applyBorder="1" applyAlignment="1">
      <alignment vertical="center" wrapText="1"/>
    </xf>
    <xf numFmtId="41" fontId="4" fillId="3" borderId="2" xfId="8" applyFont="1" applyFill="1" applyBorder="1" applyAlignment="1">
      <alignment vertical="center" wrapText="1"/>
    </xf>
    <xf numFmtId="0" fontId="4" fillId="0" borderId="17" xfId="2" applyFont="1" applyBorder="1" applyAlignment="1">
      <alignment vertical="center"/>
    </xf>
    <xf numFmtId="41" fontId="4" fillId="2" borderId="30" xfId="8" applyFont="1" applyFill="1" applyBorder="1" applyAlignment="1">
      <alignment vertical="center" wrapText="1"/>
    </xf>
    <xf numFmtId="0" fontId="4" fillId="0" borderId="21" xfId="2" applyFont="1" applyBorder="1" applyAlignment="1">
      <alignment horizontal="center" vertical="center"/>
    </xf>
    <xf numFmtId="41" fontId="9" fillId="4" borderId="18" xfId="8" applyFont="1" applyFill="1" applyBorder="1" applyAlignment="1">
      <alignment horizontal="center" vertical="center" wrapText="1"/>
    </xf>
    <xf numFmtId="14" fontId="4" fillId="2" borderId="18" xfId="0" applyNumberFormat="1" applyFont="1" applyFill="1" applyBorder="1" applyAlignment="1">
      <alignment horizontal="center" wrapText="1"/>
    </xf>
    <xf numFmtId="41" fontId="4" fillId="2" borderId="18" xfId="8" applyFont="1" applyFill="1" applyBorder="1" applyAlignment="1">
      <alignment wrapText="1"/>
    </xf>
    <xf numFmtId="41" fontId="4" fillId="2" borderId="26" xfId="8" applyFont="1" applyFill="1" applyBorder="1" applyAlignment="1">
      <alignment wrapText="1"/>
    </xf>
    <xf numFmtId="0" fontId="4" fillId="2" borderId="18" xfId="0" applyFont="1" applyFill="1" applyBorder="1" applyAlignment="1">
      <alignment wrapText="1"/>
    </xf>
    <xf numFmtId="0" fontId="4" fillId="2" borderId="18" xfId="0" applyFont="1" applyFill="1" applyBorder="1" applyAlignment="1">
      <alignment horizontal="center" wrapText="1"/>
    </xf>
    <xf numFmtId="170" fontId="4" fillId="2" borderId="18" xfId="0" applyNumberFormat="1" applyFont="1" applyFill="1" applyBorder="1" applyAlignment="1">
      <alignment horizontal="center" wrapText="1"/>
    </xf>
    <xf numFmtId="41" fontId="4" fillId="2" borderId="28" xfId="8" applyFont="1" applyFill="1" applyBorder="1" applyAlignment="1">
      <alignment wrapText="1"/>
    </xf>
    <xf numFmtId="41" fontId="4" fillId="2" borderId="30" xfId="8" applyFont="1" applyFill="1" applyBorder="1" applyAlignment="1">
      <alignment wrapText="1"/>
    </xf>
    <xf numFmtId="41" fontId="4" fillId="3" borderId="0" xfId="8" applyFont="1" applyFill="1" applyAlignment="1">
      <alignment vertical="center"/>
    </xf>
    <xf numFmtId="0" fontId="4" fillId="0" borderId="21" xfId="2" applyFont="1" applyBorder="1" applyAlignment="1">
      <alignment vertical="center"/>
    </xf>
    <xf numFmtId="0" fontId="4" fillId="0" borderId="18" xfId="2" applyFont="1" applyBorder="1" applyAlignment="1">
      <alignment horizontal="left" vertical="center" wrapText="1"/>
    </xf>
    <xf numFmtId="3" fontId="4" fillId="2" borderId="18" xfId="0" applyNumberFormat="1" applyFont="1" applyFill="1" applyBorder="1" applyAlignment="1">
      <alignment vertical="center" wrapText="1"/>
    </xf>
    <xf numFmtId="0" fontId="4" fillId="0" borderId="21" xfId="0" applyFont="1" applyBorder="1" applyAlignment="1">
      <alignment vertical="center"/>
    </xf>
    <xf numFmtId="14" fontId="4" fillId="2" borderId="18" xfId="0" applyNumberFormat="1" applyFont="1" applyFill="1" applyBorder="1" applyAlignment="1">
      <alignment vertical="center" wrapText="1"/>
    </xf>
    <xf numFmtId="14" fontId="4" fillId="0" borderId="18" xfId="0" applyNumberFormat="1" applyFont="1" applyBorder="1" applyAlignment="1">
      <alignment vertical="center"/>
    </xf>
    <xf numFmtId="4" fontId="4" fillId="2" borderId="18" xfId="0" applyNumberFormat="1" applyFont="1" applyFill="1" applyBorder="1" applyAlignment="1">
      <alignment vertical="center" wrapText="1"/>
    </xf>
    <xf numFmtId="0" fontId="4" fillId="0" borderId="21" xfId="2" applyFont="1" applyBorder="1" applyAlignment="1">
      <alignment vertical="center" wrapText="1"/>
    </xf>
    <xf numFmtId="0" fontId="4" fillId="0" borderId="26" xfId="2" applyFont="1" applyBorder="1" applyAlignment="1">
      <alignment vertical="center"/>
    </xf>
    <xf numFmtId="0" fontId="4" fillId="0" borderId="26" xfId="2" applyFont="1" applyBorder="1" applyAlignment="1">
      <alignment vertical="center" wrapText="1"/>
    </xf>
    <xf numFmtId="0" fontId="4" fillId="14" borderId="2" xfId="0" applyFont="1" applyFill="1" applyBorder="1" applyAlignment="1">
      <alignment vertical="center"/>
    </xf>
    <xf numFmtId="0" fontId="2" fillId="0" borderId="1" xfId="1" applyAlignment="1">
      <alignment horizontal="left"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6" fillId="5" borderId="11" xfId="0" applyFont="1" applyFill="1" applyBorder="1" applyAlignment="1">
      <alignment horizontal="center"/>
    </xf>
    <xf numFmtId="0" fontId="6" fillId="5" borderId="12" xfId="0" applyFont="1" applyFill="1" applyBorder="1" applyAlignment="1">
      <alignment horizontal="center"/>
    </xf>
    <xf numFmtId="0" fontId="6" fillId="5" borderId="7" xfId="0" applyFont="1" applyFill="1" applyBorder="1" applyAlignment="1">
      <alignment horizontal="center"/>
    </xf>
    <xf numFmtId="0" fontId="6" fillId="5" borderId="2" xfId="0" applyFont="1" applyFill="1" applyBorder="1" applyAlignment="1">
      <alignment horizontal="center"/>
    </xf>
    <xf numFmtId="43" fontId="9" fillId="4" borderId="20" xfId="4" applyFont="1" applyFill="1" applyBorder="1" applyAlignment="1">
      <alignment horizontal="center" vertical="center"/>
    </xf>
    <xf numFmtId="43" fontId="9" fillId="4" borderId="40" xfId="4" applyFont="1" applyFill="1" applyBorder="1" applyAlignment="1">
      <alignment horizontal="center" vertical="center"/>
    </xf>
    <xf numFmtId="43" fontId="9" fillId="4" borderId="39" xfId="4" applyFont="1" applyFill="1" applyBorder="1" applyAlignment="1">
      <alignment horizontal="center" vertical="center"/>
    </xf>
    <xf numFmtId="0" fontId="9" fillId="4" borderId="35" xfId="0" applyFont="1" applyFill="1" applyBorder="1" applyAlignment="1">
      <alignment horizontal="center" vertical="center"/>
    </xf>
    <xf numFmtId="0" fontId="9" fillId="4" borderId="14" xfId="0" applyFont="1" applyFill="1" applyBorder="1" applyAlignment="1">
      <alignment horizontal="center" vertical="center"/>
    </xf>
    <xf numFmtId="0" fontId="9" fillId="4" borderId="35" xfId="0" applyFont="1" applyFill="1" applyBorder="1" applyAlignment="1">
      <alignment horizontal="center" vertical="center" wrapText="1"/>
    </xf>
    <xf numFmtId="0" fontId="9" fillId="4" borderId="14" xfId="0" applyFont="1" applyFill="1" applyBorder="1" applyAlignment="1">
      <alignment horizontal="center" vertical="center" wrapText="1"/>
    </xf>
    <xf numFmtId="43" fontId="9" fillId="4" borderId="33" xfId="4" applyFont="1" applyFill="1" applyBorder="1" applyAlignment="1">
      <alignment horizontal="center" vertical="center"/>
    </xf>
    <xf numFmtId="43" fontId="9" fillId="4" borderId="57" xfId="4" applyFont="1" applyFill="1" applyBorder="1" applyAlignment="1">
      <alignment horizontal="center" vertical="center"/>
    </xf>
    <xf numFmtId="43" fontId="9" fillId="4" borderId="34" xfId="4" applyFont="1" applyFill="1" applyBorder="1" applyAlignment="1">
      <alignment horizontal="center" vertical="center"/>
    </xf>
    <xf numFmtId="0" fontId="9" fillId="4" borderId="33"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9" borderId="11" xfId="0" applyFont="1" applyFill="1" applyBorder="1" applyAlignment="1">
      <alignment horizontal="center"/>
    </xf>
    <xf numFmtId="0" fontId="9" fillId="9" borderId="12" xfId="0" applyFont="1" applyFill="1" applyBorder="1" applyAlignment="1">
      <alignment horizontal="center"/>
    </xf>
    <xf numFmtId="0" fontId="9" fillId="9" borderId="7" xfId="0" applyFont="1" applyFill="1" applyBorder="1" applyAlignment="1">
      <alignment horizont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13" xfId="0" applyFont="1" applyBorder="1" applyAlignment="1">
      <alignment vertical="center"/>
    </xf>
    <xf numFmtId="0" fontId="4" fillId="0" borderId="15" xfId="0" applyFont="1" applyBorder="1" applyAlignment="1">
      <alignment vertical="center"/>
    </xf>
    <xf numFmtId="0" fontId="4" fillId="0" borderId="14" xfId="0" applyFont="1" applyBorder="1" applyAlignment="1">
      <alignment vertical="center"/>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9" fillId="4" borderId="1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4" fillId="3" borderId="21" xfId="0" applyFont="1" applyFill="1" applyBorder="1" applyAlignment="1">
      <alignment horizontal="left" vertical="center" wrapText="1"/>
    </xf>
    <xf numFmtId="0" fontId="4" fillId="0" borderId="17" xfId="0" applyFont="1" applyBorder="1" applyAlignment="1">
      <alignment horizontal="center" vertical="center"/>
    </xf>
    <xf numFmtId="0" fontId="4" fillId="0" borderId="21" xfId="0" applyFont="1" applyBorder="1" applyAlignment="1">
      <alignment horizontal="center" vertical="center"/>
    </xf>
    <xf numFmtId="0" fontId="33" fillId="0" borderId="3" xfId="3" applyFont="1" applyAlignment="1">
      <alignment horizontal="center" vertical="center"/>
    </xf>
    <xf numFmtId="0" fontId="4" fillId="0" borderId="45" xfId="0" applyFont="1" applyBorder="1" applyAlignment="1">
      <alignment horizontal="center" vertical="center"/>
    </xf>
    <xf numFmtId="0" fontId="4" fillId="3" borderId="45" xfId="0" applyFont="1" applyFill="1" applyBorder="1" applyAlignment="1">
      <alignment horizontal="left" vertical="center" wrapText="1"/>
    </xf>
    <xf numFmtId="0" fontId="4" fillId="3" borderId="46" xfId="0" applyFont="1" applyFill="1" applyBorder="1" applyAlignment="1">
      <alignment horizontal="left" vertical="center" wrapText="1"/>
    </xf>
    <xf numFmtId="0" fontId="4" fillId="0" borderId="46" xfId="0" applyFont="1" applyBorder="1" applyAlignment="1">
      <alignment horizontal="center" vertical="center"/>
    </xf>
    <xf numFmtId="0" fontId="4" fillId="3" borderId="17"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0" borderId="13" xfId="2" applyFont="1" applyBorder="1" applyAlignment="1">
      <alignment horizontal="left" vertical="center"/>
    </xf>
    <xf numFmtId="0" fontId="4" fillId="0" borderId="14" xfId="2" applyFont="1" applyBorder="1" applyAlignment="1">
      <alignment horizontal="left" vertical="center"/>
    </xf>
    <xf numFmtId="0" fontId="4" fillId="0" borderId="13" xfId="2" applyFont="1" applyBorder="1" applyAlignment="1">
      <alignment horizontal="center" vertical="center"/>
    </xf>
    <xf numFmtId="0" fontId="4" fillId="0" borderId="14" xfId="2" applyFont="1" applyBorder="1" applyAlignment="1">
      <alignment horizontal="center" vertical="center"/>
    </xf>
    <xf numFmtId="0" fontId="4" fillId="0" borderId="15" xfId="2" applyFont="1" applyBorder="1" applyAlignment="1">
      <alignment horizontal="left" vertical="center"/>
    </xf>
    <xf numFmtId="0" fontId="4" fillId="0" borderId="15" xfId="2" applyFont="1" applyBorder="1" applyAlignment="1">
      <alignment horizontal="center" vertical="center"/>
    </xf>
    <xf numFmtId="0" fontId="4" fillId="0" borderId="13" xfId="0" applyFont="1" applyBorder="1" applyAlignment="1">
      <alignment horizontal="right"/>
    </xf>
    <xf numFmtId="0" fontId="4" fillId="0" borderId="14" xfId="0" applyFont="1" applyBorder="1" applyAlignment="1">
      <alignment horizontal="right"/>
    </xf>
    <xf numFmtId="0" fontId="0" fillId="0" borderId="13" xfId="0" applyBorder="1" applyAlignment="1">
      <alignment horizontal="right" vertical="center"/>
    </xf>
    <xf numFmtId="0" fontId="0" fillId="0" borderId="15" xfId="0" applyBorder="1" applyAlignment="1">
      <alignment horizontal="right" vertical="center"/>
    </xf>
    <xf numFmtId="0" fontId="0" fillId="0" borderId="14" xfId="0" applyBorder="1" applyAlignment="1">
      <alignment horizontal="right" vertical="center"/>
    </xf>
    <xf numFmtId="0" fontId="0" fillId="0" borderId="22" xfId="0" applyBorder="1" applyAlignment="1">
      <alignment horizontal="center" vertical="center"/>
    </xf>
    <xf numFmtId="0" fontId="0" fillId="0" borderId="27" xfId="0" applyBorder="1" applyAlignment="1">
      <alignment horizontal="center" vertical="center"/>
    </xf>
    <xf numFmtId="0" fontId="9" fillId="4" borderId="2"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4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20" xfId="0" applyFont="1" applyFill="1" applyBorder="1" applyAlignment="1">
      <alignment horizontal="center" vertical="center" wrapText="1"/>
    </xf>
    <xf numFmtId="164" fontId="9" fillId="4" borderId="0" xfId="0" applyNumberFormat="1" applyFont="1" applyFill="1" applyAlignment="1">
      <alignment horizontal="center" vertical="center" wrapText="1"/>
    </xf>
    <xf numFmtId="164" fontId="9" fillId="4" borderId="40" xfId="0" applyNumberFormat="1" applyFont="1" applyFill="1" applyBorder="1" applyAlignment="1">
      <alignment horizontal="center" vertical="center" wrapText="1"/>
    </xf>
    <xf numFmtId="0" fontId="24" fillId="0" borderId="50" xfId="12" applyAlignment="1">
      <alignment horizontal="left" vertical="center"/>
    </xf>
    <xf numFmtId="0" fontId="24" fillId="0" borderId="51" xfId="12" applyBorder="1" applyAlignment="1">
      <alignment horizontal="left" vertical="center"/>
    </xf>
    <xf numFmtId="0" fontId="24" fillId="0" borderId="52" xfId="12" applyBorder="1" applyAlignment="1">
      <alignment horizontal="left"/>
    </xf>
    <xf numFmtId="0" fontId="24" fillId="0" borderId="53" xfId="12" applyBorder="1" applyAlignment="1">
      <alignment horizontal="left"/>
    </xf>
    <xf numFmtId="0" fontId="9" fillId="4" borderId="11" xfId="2" applyFont="1" applyFill="1" applyBorder="1" applyAlignment="1">
      <alignment horizontal="center" vertical="center"/>
    </xf>
    <xf numFmtId="0" fontId="9" fillId="4" borderId="7" xfId="2" applyFont="1" applyFill="1" applyBorder="1" applyAlignment="1">
      <alignment horizontal="center" vertical="center"/>
    </xf>
    <xf numFmtId="0" fontId="4" fillId="0" borderId="22" xfId="0" applyFont="1" applyBorder="1" applyAlignment="1">
      <alignment horizontal="center" vertical="center"/>
    </xf>
    <xf numFmtId="0" fontId="4" fillId="0" borderId="39" xfId="0" applyFont="1" applyBorder="1" applyAlignment="1">
      <alignment horizontal="center" vertical="center"/>
    </xf>
    <xf numFmtId="0" fontId="9" fillId="6" borderId="18" xfId="7" applyFont="1" applyFill="1" applyBorder="1" applyAlignment="1">
      <alignment horizontal="center" vertical="center" wrapText="1"/>
    </xf>
    <xf numFmtId="0" fontId="9" fillId="6" borderId="0" xfId="7" applyFont="1" applyFill="1" applyAlignment="1">
      <alignment horizontal="center" vertical="center" wrapText="1"/>
    </xf>
    <xf numFmtId="0" fontId="9" fillId="6" borderId="40" xfId="7" applyFont="1" applyFill="1" applyBorder="1" applyAlignment="1">
      <alignment horizontal="center" vertical="center" wrapText="1"/>
    </xf>
    <xf numFmtId="0" fontId="13" fillId="4" borderId="18" xfId="0" applyFont="1" applyFill="1" applyBorder="1" applyAlignment="1">
      <alignment horizontal="center" vertical="center" wrapText="1"/>
    </xf>
    <xf numFmtId="0" fontId="9" fillId="6" borderId="11" xfId="7" applyFont="1" applyFill="1" applyBorder="1" applyAlignment="1">
      <alignment horizontal="center" vertical="center" wrapText="1"/>
    </xf>
    <xf numFmtId="0" fontId="9" fillId="6" borderId="12" xfId="7" applyFont="1" applyFill="1" applyBorder="1" applyAlignment="1">
      <alignment horizontal="center" vertical="center" wrapText="1"/>
    </xf>
    <xf numFmtId="0" fontId="9" fillId="6" borderId="7" xfId="7" applyFont="1" applyFill="1" applyBorder="1" applyAlignment="1">
      <alignment horizontal="center" vertical="center" wrapText="1"/>
    </xf>
    <xf numFmtId="166" fontId="9" fillId="6" borderId="18" xfId="4" applyNumberFormat="1" applyFont="1" applyFill="1" applyBorder="1" applyAlignment="1">
      <alignment horizontal="center" vertical="center" wrapText="1"/>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7" xfId="0" applyFont="1" applyFill="1" applyBorder="1" applyAlignment="1">
      <alignment horizontal="center" vertical="center"/>
    </xf>
    <xf numFmtId="41" fontId="9" fillId="4" borderId="11" xfId="8"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8" xfId="0" applyFont="1" applyFill="1" applyBorder="1" applyAlignment="1">
      <alignment horizontal="left" vertical="center" wrapText="1"/>
    </xf>
    <xf numFmtId="41" fontId="9" fillId="4" borderId="18" xfId="8" applyFont="1" applyFill="1" applyBorder="1" applyAlignment="1">
      <alignment horizontal="center" vertical="center" wrapText="1"/>
    </xf>
    <xf numFmtId="0" fontId="9" fillId="4" borderId="44"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41" fillId="4" borderId="32" xfId="0" applyFont="1" applyFill="1" applyBorder="1" applyAlignment="1">
      <alignment horizontal="center" vertical="center" wrapText="1"/>
    </xf>
    <xf numFmtId="0" fontId="41" fillId="4" borderId="47" xfId="0" applyFont="1" applyFill="1" applyBorder="1" applyAlignment="1">
      <alignment horizontal="center" vertical="center" wrapText="1"/>
    </xf>
    <xf numFmtId="0" fontId="41" fillId="4" borderId="49" xfId="0" applyFont="1" applyFill="1" applyBorder="1" applyAlignment="1">
      <alignment horizontal="center" vertical="center" wrapText="1"/>
    </xf>
    <xf numFmtId="0" fontId="9" fillId="4" borderId="2" xfId="3" applyFont="1" applyFill="1" applyBorder="1" applyAlignment="1">
      <alignment horizontal="center" vertical="center"/>
    </xf>
    <xf numFmtId="0" fontId="9" fillId="4" borderId="2" xfId="0" applyFont="1" applyFill="1" applyBorder="1" applyAlignment="1">
      <alignment horizontal="center" vertical="center"/>
    </xf>
    <xf numFmtId="166" fontId="9" fillId="4" borderId="2" xfId="4" applyNumberFormat="1" applyFont="1" applyFill="1" applyBorder="1" applyAlignment="1">
      <alignment horizontal="center" vertical="center" wrapText="1"/>
    </xf>
    <xf numFmtId="0" fontId="22" fillId="0" borderId="2" xfId="2" applyFont="1" applyBorder="1" applyAlignment="1">
      <alignment horizontal="left" vertical="center"/>
    </xf>
    <xf numFmtId="0" fontId="22" fillId="0" borderId="2" xfId="2" applyFont="1" applyBorder="1" applyAlignment="1">
      <alignment horizontal="center" vertical="center"/>
    </xf>
    <xf numFmtId="0" fontId="22" fillId="0" borderId="13" xfId="2" applyFont="1" applyBorder="1" applyAlignment="1">
      <alignment horizontal="left" vertical="center" wrapText="1"/>
    </xf>
    <xf numFmtId="0" fontId="22" fillId="0" borderId="15" xfId="2" applyFont="1" applyBorder="1" applyAlignment="1">
      <alignment horizontal="left" vertical="center" wrapText="1"/>
    </xf>
    <xf numFmtId="0" fontId="22" fillId="0" borderId="14" xfId="2" applyFont="1" applyBorder="1" applyAlignment="1">
      <alignment horizontal="left" vertical="center"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2" applyFont="1" applyBorder="1" applyAlignment="1">
      <alignment horizontal="center" vertical="center"/>
    </xf>
    <xf numFmtId="0" fontId="22" fillId="0" borderId="15" xfId="2" applyFont="1" applyBorder="1" applyAlignment="1">
      <alignment horizontal="center" vertical="center"/>
    </xf>
    <xf numFmtId="0" fontId="22" fillId="0" borderId="14" xfId="2" applyFont="1" applyBorder="1" applyAlignment="1">
      <alignment horizontal="center" vertical="center"/>
    </xf>
    <xf numFmtId="0" fontId="9" fillId="4" borderId="2" xfId="2" applyFont="1" applyFill="1" applyBorder="1" applyAlignment="1">
      <alignment horizontal="center" vertical="center" wrapText="1"/>
    </xf>
    <xf numFmtId="0" fontId="9" fillId="4" borderId="13" xfId="2"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horizontal="left" vertical="center"/>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8" borderId="2" xfId="0" applyFont="1" applyFill="1" applyBorder="1" applyAlignment="1">
      <alignment horizontal="left" vertical="center" wrapText="1"/>
    </xf>
    <xf numFmtId="0" fontId="22" fillId="8" borderId="2" xfId="0" applyFont="1" applyFill="1" applyBorder="1" applyAlignment="1">
      <alignment horizontal="left" vertical="center" wrapText="1"/>
    </xf>
    <xf numFmtId="0" fontId="4" fillId="0" borderId="30" xfId="0" applyFont="1" applyBorder="1" applyAlignment="1">
      <alignment horizontal="center" vertical="center"/>
    </xf>
    <xf numFmtId="0" fontId="4" fillId="0" borderId="26" xfId="0" applyFont="1" applyBorder="1" applyAlignment="1">
      <alignment horizontal="center" vertical="center"/>
    </xf>
    <xf numFmtId="0" fontId="4" fillId="0" borderId="13" xfId="2" applyFont="1" applyBorder="1" applyAlignment="1">
      <alignment horizontal="center" vertical="center" wrapText="1"/>
    </xf>
    <xf numFmtId="0" fontId="4" fillId="0" borderId="14" xfId="2" applyFont="1" applyBorder="1" applyAlignment="1">
      <alignment horizontal="center" vertical="center" wrapText="1"/>
    </xf>
    <xf numFmtId="0" fontId="4" fillId="3" borderId="13" xfId="0" applyFont="1" applyFill="1" applyBorder="1" applyAlignment="1">
      <alignment horizontal="right" vertical="center"/>
    </xf>
    <xf numFmtId="0" fontId="4" fillId="3" borderId="14" xfId="0" applyFont="1" applyFill="1" applyBorder="1" applyAlignment="1">
      <alignment horizontal="right" vertical="center"/>
    </xf>
    <xf numFmtId="0" fontId="4" fillId="0" borderId="13" xfId="2" applyFont="1" applyBorder="1" applyAlignment="1">
      <alignment horizontal="left" vertical="center" wrapText="1"/>
    </xf>
    <xf numFmtId="0" fontId="4" fillId="0" borderId="14" xfId="2" applyFont="1" applyBorder="1" applyAlignment="1">
      <alignment horizontal="left" vertical="center" wrapText="1"/>
    </xf>
    <xf numFmtId="0" fontId="4" fillId="0" borderId="2" xfId="2" applyFont="1" applyBorder="1" applyAlignment="1">
      <alignment horizontal="left" vertical="center"/>
    </xf>
    <xf numFmtId="0" fontId="4" fillId="3" borderId="15" xfId="0" applyFont="1" applyFill="1" applyBorder="1" applyAlignment="1">
      <alignment horizontal="right" vertical="center"/>
    </xf>
    <xf numFmtId="0" fontId="4" fillId="0" borderId="13" xfId="0" applyFont="1" applyBorder="1" applyAlignment="1">
      <alignment horizontal="center"/>
    </xf>
    <xf numFmtId="0" fontId="4" fillId="0" borderId="15" xfId="0" applyFont="1" applyBorder="1" applyAlignment="1">
      <alignment horizontal="center"/>
    </xf>
    <xf numFmtId="0" fontId="4" fillId="0" borderId="14" xfId="0" applyFont="1" applyBorder="1" applyAlignment="1">
      <alignment horizontal="center"/>
    </xf>
    <xf numFmtId="0" fontId="4" fillId="0" borderId="2" xfId="0" applyFont="1" applyBorder="1" applyAlignment="1">
      <alignment horizontal="right" vertical="center"/>
    </xf>
    <xf numFmtId="0" fontId="4" fillId="0" borderId="13" xfId="0" applyFont="1" applyBorder="1" applyAlignment="1">
      <alignment horizontal="right" vertical="center"/>
    </xf>
    <xf numFmtId="0" fontId="4" fillId="0" borderId="14" xfId="0" applyFont="1" applyBorder="1" applyAlignment="1">
      <alignment horizontal="right" vertical="center"/>
    </xf>
    <xf numFmtId="0" fontId="4" fillId="0" borderId="15" xfId="0" applyFont="1" applyBorder="1" applyAlignment="1">
      <alignment horizontal="right" vertical="center"/>
    </xf>
    <xf numFmtId="0" fontId="9" fillId="4" borderId="54" xfId="0" applyFont="1" applyFill="1" applyBorder="1" applyAlignment="1">
      <alignment horizontal="center" vertical="center" wrapText="1"/>
    </xf>
    <xf numFmtId="0" fontId="11" fillId="0" borderId="3" xfId="3" applyFont="1" applyAlignment="1">
      <alignment horizontal="left" vertical="center"/>
    </xf>
    <xf numFmtId="0" fontId="11" fillId="3" borderId="3" xfId="3" applyFont="1" applyFill="1" applyAlignment="1">
      <alignment horizontal="left" vertical="center"/>
    </xf>
    <xf numFmtId="0" fontId="11" fillId="0" borderId="0" xfId="3" applyFont="1" applyBorder="1" applyAlignment="1">
      <alignment horizontal="left" vertical="center"/>
    </xf>
  </cellXfs>
  <cellStyles count="14">
    <cellStyle name="Accent3" xfId="13" builtinId="37"/>
    <cellStyle name="Comma" xfId="4" builtinId="3"/>
    <cellStyle name="Comma [0]" xfId="8" builtinId="6"/>
    <cellStyle name="Comma 4 2" xfId="10" xr:uid="{8BF4BD15-75B4-4C2E-AF83-1C820B3D211B}"/>
    <cellStyle name="Heading 1" xfId="1" builtinId="16"/>
    <cellStyle name="Hyperlink" xfId="9" builtinId="8"/>
    <cellStyle name="Normal" xfId="0" builtinId="0"/>
    <cellStyle name="Normal 2" xfId="6" xr:uid="{409A898C-9FE7-4A27-A432-26CBFC85EFE9}"/>
    <cellStyle name="Normal 2 2" xfId="11" xr:uid="{22292C03-F57A-439A-B06D-5971830B0F1E}"/>
    <cellStyle name="Normal 2 3" xfId="5" xr:uid="{F37F223A-21FA-4A48-BA79-27C893871B77}"/>
    <cellStyle name="Normal 4 2" xfId="2" xr:uid="{5C089CDC-71BD-4B91-9B55-C5DC4D65B494}"/>
    <cellStyle name="Normal 7 2" xfId="7" xr:uid="{B7B46793-20FD-4C81-BC32-1A6ECA7BF592}"/>
    <cellStyle name="Style 1" xfId="3" xr:uid="{3D0DD757-ECEA-4F1C-AF27-A0BA19F3DB84}"/>
    <cellStyle name="Total" xfId="12" builtinId="25"/>
  </cellStyles>
  <dxfs count="5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4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ainbayar\Downloads\SICA%20LLC_Zalruulgiin_medeelel_20241020.xlsx" TargetMode="External"/><Relationship Id="rId1" Type="http://schemas.openxmlformats.org/officeDocument/2006/relationships/externalLinkPath" Target="file:///C:\Users\sainbayar\Downloads\SICA%20LLC_Zalruulgiin_medeelel_20241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Анхны нэгтгэл"/>
      <sheetName val="Нэгтгэл"/>
      <sheetName val="7"/>
      <sheetName val="8"/>
      <sheetName val="9"/>
      <sheetName val="10"/>
      <sheetName val="11"/>
      <sheetName val="12"/>
      <sheetName val="13"/>
      <sheetName val="24Б"/>
    </sheetNames>
    <sheetDataSet>
      <sheetData sheetId="0">
        <row r="2">
          <cell r="B2" t="str">
            <v>Компанийн регистр</v>
          </cell>
          <cell r="EE2" t="str">
            <v>Нийт /Засгийн газар+ОНТ</v>
          </cell>
          <cell r="EF2" t="str">
            <v>Нийт /Компани</v>
          </cell>
          <cell r="EG2" t="str">
            <v>Нийт зөрүү</v>
          </cell>
        </row>
        <row r="3">
          <cell r="B3">
            <v>5036127</v>
          </cell>
          <cell r="EE3">
            <v>0</v>
          </cell>
          <cell r="EF3">
            <v>0</v>
          </cell>
          <cell r="EG3">
            <v>0</v>
          </cell>
        </row>
        <row r="4">
          <cell r="B4">
            <v>3069567</v>
          </cell>
          <cell r="EE4">
            <v>145735433.602808</v>
          </cell>
          <cell r="EF4">
            <v>1960000</v>
          </cell>
          <cell r="EG4">
            <v>143775433.602808</v>
          </cell>
        </row>
        <row r="5">
          <cell r="B5">
            <v>5588359</v>
          </cell>
          <cell r="EE5">
            <v>11519999.99</v>
          </cell>
          <cell r="EF5">
            <v>0</v>
          </cell>
          <cell r="EG5">
            <v>11519999.99</v>
          </cell>
        </row>
        <row r="6">
          <cell r="B6">
            <v>2798247</v>
          </cell>
          <cell r="EE6">
            <v>0</v>
          </cell>
          <cell r="EF6">
            <v>0</v>
          </cell>
          <cell r="EG6">
            <v>0</v>
          </cell>
        </row>
        <row r="7">
          <cell r="B7">
            <v>5994993</v>
          </cell>
          <cell r="EE7">
            <v>2000</v>
          </cell>
          <cell r="EF7">
            <v>2151859</v>
          </cell>
          <cell r="EG7">
            <v>-2149859</v>
          </cell>
        </row>
        <row r="8">
          <cell r="B8">
            <v>6009328</v>
          </cell>
          <cell r="EE8">
            <v>0</v>
          </cell>
          <cell r="EF8">
            <v>3361680</v>
          </cell>
          <cell r="EG8">
            <v>-3361680</v>
          </cell>
        </row>
        <row r="9">
          <cell r="B9">
            <v>5183871</v>
          </cell>
          <cell r="EE9">
            <v>0</v>
          </cell>
          <cell r="EF9">
            <v>0</v>
          </cell>
          <cell r="EG9">
            <v>0</v>
          </cell>
        </row>
        <row r="10">
          <cell r="B10">
            <v>6847846</v>
          </cell>
          <cell r="EE10">
            <v>489940</v>
          </cell>
          <cell r="EF10">
            <v>0</v>
          </cell>
          <cell r="EG10">
            <v>489940</v>
          </cell>
        </row>
        <row r="11">
          <cell r="B11">
            <v>2660954</v>
          </cell>
          <cell r="EE11">
            <v>310484029.71326005</v>
          </cell>
          <cell r="EF11">
            <v>0</v>
          </cell>
          <cell r="EG11">
            <v>310484029.71326005</v>
          </cell>
        </row>
        <row r="12">
          <cell r="B12">
            <v>6677371</v>
          </cell>
          <cell r="EE12">
            <v>0</v>
          </cell>
          <cell r="EF12">
            <v>1219200</v>
          </cell>
          <cell r="EG12">
            <v>-1219200</v>
          </cell>
        </row>
        <row r="13">
          <cell r="B13">
            <v>6847773</v>
          </cell>
          <cell r="EE13">
            <v>489932</v>
          </cell>
          <cell r="EF13">
            <v>0</v>
          </cell>
          <cell r="EG13">
            <v>489932</v>
          </cell>
        </row>
        <row r="14">
          <cell r="B14">
            <v>2597977</v>
          </cell>
          <cell r="EE14">
            <v>0</v>
          </cell>
          <cell r="EF14">
            <v>6919093</v>
          </cell>
          <cell r="EG14">
            <v>-6919093</v>
          </cell>
        </row>
        <row r="15">
          <cell r="B15">
            <v>5176727</v>
          </cell>
          <cell r="EE15">
            <v>45214657.469999999</v>
          </cell>
          <cell r="EF15">
            <v>87291610</v>
          </cell>
          <cell r="EG15">
            <v>-42076952.530000001</v>
          </cell>
        </row>
        <row r="16">
          <cell r="B16">
            <v>2724286</v>
          </cell>
          <cell r="EE16">
            <v>0</v>
          </cell>
          <cell r="EF16">
            <v>45169095</v>
          </cell>
          <cell r="EG16">
            <v>-45169095</v>
          </cell>
        </row>
        <row r="17">
          <cell r="B17">
            <v>2672146</v>
          </cell>
          <cell r="EE17">
            <v>6836539.9000000004</v>
          </cell>
          <cell r="EF17">
            <v>0</v>
          </cell>
          <cell r="EG17">
            <v>6836539.9000000004</v>
          </cell>
        </row>
        <row r="18">
          <cell r="B18">
            <v>5098564</v>
          </cell>
          <cell r="EE18">
            <v>10545737.699999999</v>
          </cell>
          <cell r="EF18">
            <v>15513789</v>
          </cell>
          <cell r="EG18">
            <v>-4968051.3000000007</v>
          </cell>
        </row>
        <row r="19">
          <cell r="B19">
            <v>5607841</v>
          </cell>
          <cell r="EE19">
            <v>0</v>
          </cell>
          <cell r="EF19">
            <v>302000</v>
          </cell>
          <cell r="EG19">
            <v>-302000</v>
          </cell>
        </row>
        <row r="20">
          <cell r="B20">
            <v>5876826</v>
          </cell>
          <cell r="EE20">
            <v>0</v>
          </cell>
          <cell r="EF20">
            <v>0</v>
          </cell>
          <cell r="EG20">
            <v>0</v>
          </cell>
        </row>
        <row r="21">
          <cell r="B21">
            <v>2707969</v>
          </cell>
          <cell r="EE21">
            <v>339708994.90999997</v>
          </cell>
          <cell r="EF21">
            <v>0</v>
          </cell>
          <cell r="EG21">
            <v>339708994.90999997</v>
          </cell>
        </row>
        <row r="22">
          <cell r="B22">
            <v>5070554</v>
          </cell>
          <cell r="EE22">
            <v>0</v>
          </cell>
          <cell r="EF22">
            <v>0</v>
          </cell>
          <cell r="EG22">
            <v>0</v>
          </cell>
        </row>
        <row r="23">
          <cell r="B23">
            <v>5468582</v>
          </cell>
          <cell r="EE23">
            <v>27801454.240000002</v>
          </cell>
          <cell r="EF23">
            <v>21000000</v>
          </cell>
          <cell r="EG23">
            <v>6801454.2400000002</v>
          </cell>
        </row>
        <row r="24">
          <cell r="B24">
            <v>2011239</v>
          </cell>
          <cell r="EE24">
            <v>869329406.43999994</v>
          </cell>
          <cell r="EF24">
            <v>115828273</v>
          </cell>
          <cell r="EG24">
            <v>753501133.43999994</v>
          </cell>
        </row>
        <row r="25">
          <cell r="B25">
            <v>6411169</v>
          </cell>
          <cell r="EE25">
            <v>0</v>
          </cell>
          <cell r="EF25">
            <v>0</v>
          </cell>
          <cell r="EG25">
            <v>0</v>
          </cell>
        </row>
        <row r="26">
          <cell r="B26">
            <v>6634966</v>
          </cell>
          <cell r="EE26">
            <v>2743500</v>
          </cell>
          <cell r="EF26">
            <v>500000</v>
          </cell>
          <cell r="EG26">
            <v>2243500</v>
          </cell>
        </row>
        <row r="27">
          <cell r="B27">
            <v>6005403</v>
          </cell>
          <cell r="EE27">
            <v>0</v>
          </cell>
          <cell r="EF27">
            <v>0</v>
          </cell>
          <cell r="EG27">
            <v>0</v>
          </cell>
        </row>
        <row r="28">
          <cell r="B28">
            <v>6847196</v>
          </cell>
          <cell r="EE28">
            <v>403771.7</v>
          </cell>
          <cell r="EF28">
            <v>0</v>
          </cell>
          <cell r="EG28">
            <v>403771.7</v>
          </cell>
        </row>
        <row r="29">
          <cell r="B29">
            <v>5097517</v>
          </cell>
          <cell r="EE29">
            <v>0</v>
          </cell>
          <cell r="EF29">
            <v>0</v>
          </cell>
          <cell r="EG29">
            <v>0</v>
          </cell>
        </row>
        <row r="30">
          <cell r="B30">
            <v>6788882</v>
          </cell>
          <cell r="EE30">
            <v>0</v>
          </cell>
          <cell r="EF30">
            <v>7522932</v>
          </cell>
          <cell r="EG30">
            <v>-7522932</v>
          </cell>
        </row>
        <row r="31">
          <cell r="B31">
            <v>5070678</v>
          </cell>
          <cell r="EE31">
            <v>0</v>
          </cell>
          <cell r="EF31">
            <v>2812500</v>
          </cell>
          <cell r="EG31">
            <v>-2812500</v>
          </cell>
        </row>
        <row r="32">
          <cell r="B32">
            <v>6729193</v>
          </cell>
          <cell r="EE32">
            <v>225418931.86000001</v>
          </cell>
          <cell r="EF32">
            <v>1000</v>
          </cell>
          <cell r="EG32">
            <v>225417931.86000001</v>
          </cell>
        </row>
        <row r="33">
          <cell r="B33">
            <v>5346339</v>
          </cell>
          <cell r="EE33">
            <v>17483900</v>
          </cell>
          <cell r="EF33">
            <v>2615570</v>
          </cell>
          <cell r="EG33">
            <v>14868330</v>
          </cell>
        </row>
        <row r="34">
          <cell r="B34">
            <v>5809797</v>
          </cell>
          <cell r="EE34">
            <v>2324027703.3199997</v>
          </cell>
          <cell r="EF34">
            <v>4478573203</v>
          </cell>
          <cell r="EG34">
            <v>-2154545499.6800003</v>
          </cell>
        </row>
        <row r="35">
          <cell r="B35">
            <v>6298028</v>
          </cell>
          <cell r="EE35">
            <v>0</v>
          </cell>
          <cell r="EF35">
            <v>0</v>
          </cell>
          <cell r="EG35">
            <v>0</v>
          </cell>
        </row>
        <row r="36">
          <cell r="B36">
            <v>5955343</v>
          </cell>
          <cell r="EE36">
            <v>0</v>
          </cell>
          <cell r="EF36">
            <v>0</v>
          </cell>
          <cell r="EG36">
            <v>0</v>
          </cell>
        </row>
        <row r="37">
          <cell r="B37">
            <v>6260632</v>
          </cell>
          <cell r="EE37">
            <v>15258900</v>
          </cell>
          <cell r="EF37">
            <v>0</v>
          </cell>
          <cell r="EG37">
            <v>15258900</v>
          </cell>
        </row>
        <row r="38">
          <cell r="B38">
            <v>5194032</v>
          </cell>
          <cell r="EE38">
            <v>0</v>
          </cell>
          <cell r="EF38">
            <v>0</v>
          </cell>
          <cell r="EG38">
            <v>0</v>
          </cell>
        </row>
        <row r="39">
          <cell r="B39">
            <v>5083265</v>
          </cell>
          <cell r="EE39">
            <v>90733300.679999992</v>
          </cell>
          <cell r="EF39">
            <v>200534982</v>
          </cell>
          <cell r="EG39">
            <v>-109801681.31999999</v>
          </cell>
        </row>
        <row r="40">
          <cell r="B40">
            <v>5601703</v>
          </cell>
          <cell r="EE40">
            <v>0</v>
          </cell>
          <cell r="EF40">
            <v>0</v>
          </cell>
          <cell r="EG40">
            <v>0</v>
          </cell>
        </row>
        <row r="41">
          <cell r="B41">
            <v>2741288</v>
          </cell>
          <cell r="EE41">
            <v>20016444.590000004</v>
          </cell>
          <cell r="EF41">
            <v>9396200</v>
          </cell>
          <cell r="EG41">
            <v>10620244.59</v>
          </cell>
        </row>
        <row r="42">
          <cell r="B42">
            <v>6082513</v>
          </cell>
          <cell r="EE42">
            <v>0</v>
          </cell>
          <cell r="EF42">
            <v>0</v>
          </cell>
          <cell r="EG42">
            <v>0</v>
          </cell>
        </row>
        <row r="43">
          <cell r="B43">
            <v>5234751</v>
          </cell>
          <cell r="EE43">
            <v>0</v>
          </cell>
          <cell r="EF43">
            <v>0</v>
          </cell>
          <cell r="EG43">
            <v>0</v>
          </cell>
        </row>
        <row r="44">
          <cell r="B44">
            <v>6721494</v>
          </cell>
          <cell r="EE44">
            <v>0</v>
          </cell>
          <cell r="EF44">
            <v>0</v>
          </cell>
          <cell r="EG44">
            <v>0</v>
          </cell>
        </row>
        <row r="45">
          <cell r="B45">
            <v>6395805</v>
          </cell>
          <cell r="EE45">
            <v>8014001.2000000002</v>
          </cell>
          <cell r="EF45">
            <v>0</v>
          </cell>
          <cell r="EG45">
            <v>8014001.2000000002</v>
          </cell>
        </row>
        <row r="46">
          <cell r="B46">
            <v>6522297</v>
          </cell>
          <cell r="EE46">
            <v>1197500</v>
          </cell>
          <cell r="EF46">
            <v>0</v>
          </cell>
          <cell r="EG46">
            <v>1197500</v>
          </cell>
        </row>
        <row r="47">
          <cell r="B47">
            <v>2872544</v>
          </cell>
          <cell r="EE47">
            <v>0</v>
          </cell>
          <cell r="EF47">
            <v>0</v>
          </cell>
          <cell r="EG47">
            <v>0</v>
          </cell>
        </row>
        <row r="48">
          <cell r="B48">
            <v>5161312</v>
          </cell>
          <cell r="EE48">
            <v>1150018.5</v>
          </cell>
          <cell r="EF48">
            <v>0</v>
          </cell>
          <cell r="EG48">
            <v>1150018.5</v>
          </cell>
        </row>
        <row r="49">
          <cell r="B49">
            <v>5530725</v>
          </cell>
          <cell r="EE49">
            <v>7000</v>
          </cell>
          <cell r="EF49">
            <v>0</v>
          </cell>
          <cell r="EG49">
            <v>7000</v>
          </cell>
        </row>
        <row r="50">
          <cell r="B50">
            <v>5872049</v>
          </cell>
          <cell r="EE50">
            <v>0</v>
          </cell>
          <cell r="EF50">
            <v>0</v>
          </cell>
          <cell r="EG50">
            <v>0</v>
          </cell>
        </row>
        <row r="51">
          <cell r="B51">
            <v>6023886</v>
          </cell>
          <cell r="EE51">
            <v>0</v>
          </cell>
          <cell r="EF51">
            <v>0</v>
          </cell>
          <cell r="EG51">
            <v>0</v>
          </cell>
        </row>
        <row r="52">
          <cell r="B52">
            <v>5941792</v>
          </cell>
          <cell r="EE52">
            <v>0</v>
          </cell>
          <cell r="EF52">
            <v>0</v>
          </cell>
          <cell r="EG52">
            <v>0</v>
          </cell>
        </row>
        <row r="53">
          <cell r="B53">
            <v>5940583</v>
          </cell>
          <cell r="EE53">
            <v>0</v>
          </cell>
          <cell r="EF53">
            <v>0</v>
          </cell>
          <cell r="EG53">
            <v>0</v>
          </cell>
        </row>
        <row r="54">
          <cell r="B54">
            <v>5953626</v>
          </cell>
          <cell r="EE54">
            <v>0</v>
          </cell>
          <cell r="EF54">
            <v>0</v>
          </cell>
          <cell r="EG54">
            <v>0</v>
          </cell>
        </row>
        <row r="55">
          <cell r="B55">
            <v>2877694</v>
          </cell>
          <cell r="EE55">
            <v>12145187.48</v>
          </cell>
          <cell r="EF55">
            <v>14276320</v>
          </cell>
          <cell r="EG55">
            <v>-2131132.52</v>
          </cell>
        </row>
        <row r="56">
          <cell r="B56">
            <v>5102545</v>
          </cell>
          <cell r="EE56">
            <v>0</v>
          </cell>
          <cell r="EF56">
            <v>0</v>
          </cell>
          <cell r="EG56">
            <v>0</v>
          </cell>
        </row>
        <row r="57">
          <cell r="B57">
            <v>5118344</v>
          </cell>
          <cell r="EE57">
            <v>65814741.289999999</v>
          </cell>
          <cell r="EF57">
            <v>78954559</v>
          </cell>
          <cell r="EG57">
            <v>-13139817.710000001</v>
          </cell>
        </row>
        <row r="58">
          <cell r="B58">
            <v>5095549</v>
          </cell>
          <cell r="EE58">
            <v>6659287595.7700005</v>
          </cell>
          <cell r="EF58">
            <v>381831955</v>
          </cell>
          <cell r="EG58">
            <v>6277455640.7700005</v>
          </cell>
        </row>
        <row r="59">
          <cell r="B59">
            <v>5029953</v>
          </cell>
          <cell r="EE59">
            <v>39350</v>
          </cell>
          <cell r="EF59">
            <v>0</v>
          </cell>
          <cell r="EG59">
            <v>39350</v>
          </cell>
        </row>
        <row r="60">
          <cell r="B60">
            <v>5226775</v>
          </cell>
          <cell r="EE60">
            <v>21835331.939999998</v>
          </cell>
          <cell r="EF60">
            <v>0</v>
          </cell>
          <cell r="EG60">
            <v>21835331.939999998</v>
          </cell>
        </row>
        <row r="61">
          <cell r="B61">
            <v>6207359</v>
          </cell>
          <cell r="EE61">
            <v>0</v>
          </cell>
          <cell r="EF61">
            <v>500000</v>
          </cell>
          <cell r="EG61">
            <v>-500000</v>
          </cell>
        </row>
        <row r="62">
          <cell r="B62">
            <v>4613724</v>
          </cell>
          <cell r="EE62">
            <v>34435251.130280003</v>
          </cell>
          <cell r="EF62">
            <v>0</v>
          </cell>
          <cell r="EG62">
            <v>34435251.130280003</v>
          </cell>
        </row>
        <row r="63">
          <cell r="B63">
            <v>5579215</v>
          </cell>
          <cell r="EE63">
            <v>0</v>
          </cell>
          <cell r="EF63">
            <v>0</v>
          </cell>
          <cell r="EG63">
            <v>0</v>
          </cell>
        </row>
        <row r="64">
          <cell r="B64">
            <v>5978378</v>
          </cell>
          <cell r="EE64">
            <v>0</v>
          </cell>
          <cell r="EF64">
            <v>0</v>
          </cell>
          <cell r="EG64">
            <v>0</v>
          </cell>
        </row>
        <row r="65">
          <cell r="B65">
            <v>6604277</v>
          </cell>
          <cell r="EE65">
            <v>115265302.448</v>
          </cell>
          <cell r="EF65">
            <v>0</v>
          </cell>
          <cell r="EG65">
            <v>115265302.448</v>
          </cell>
        </row>
        <row r="66">
          <cell r="B66">
            <v>5984696</v>
          </cell>
          <cell r="EE66">
            <v>0</v>
          </cell>
          <cell r="EF66">
            <v>0</v>
          </cell>
          <cell r="EG66">
            <v>0</v>
          </cell>
        </row>
        <row r="67">
          <cell r="B67">
            <v>6331475</v>
          </cell>
          <cell r="EE67">
            <v>0</v>
          </cell>
          <cell r="EF67">
            <v>0</v>
          </cell>
          <cell r="EG67">
            <v>0</v>
          </cell>
        </row>
        <row r="68">
          <cell r="B68">
            <v>6198414</v>
          </cell>
          <cell r="EE68">
            <v>0</v>
          </cell>
          <cell r="EF68">
            <v>0</v>
          </cell>
          <cell r="EG68">
            <v>0</v>
          </cell>
        </row>
        <row r="69">
          <cell r="B69">
            <v>6155278</v>
          </cell>
          <cell r="EE69">
            <v>0</v>
          </cell>
          <cell r="EF69">
            <v>16611553</v>
          </cell>
          <cell r="EG69">
            <v>-16611553</v>
          </cell>
        </row>
        <row r="70">
          <cell r="B70">
            <v>5941857</v>
          </cell>
          <cell r="EE70">
            <v>0</v>
          </cell>
          <cell r="EF70">
            <v>0</v>
          </cell>
          <cell r="EG70">
            <v>0</v>
          </cell>
        </row>
        <row r="71">
          <cell r="B71">
            <v>6158927</v>
          </cell>
          <cell r="EE71">
            <v>2618000</v>
          </cell>
          <cell r="EF71">
            <v>0</v>
          </cell>
          <cell r="EG71">
            <v>2618000</v>
          </cell>
        </row>
        <row r="72">
          <cell r="B72">
            <v>6207626</v>
          </cell>
          <cell r="EE72">
            <v>101117900</v>
          </cell>
          <cell r="EF72">
            <v>0</v>
          </cell>
          <cell r="EG72">
            <v>101117900</v>
          </cell>
        </row>
        <row r="73">
          <cell r="B73">
            <v>5941601</v>
          </cell>
          <cell r="EE73">
            <v>0</v>
          </cell>
          <cell r="EF73">
            <v>0</v>
          </cell>
          <cell r="EG73">
            <v>0</v>
          </cell>
        </row>
        <row r="74">
          <cell r="B74">
            <v>6170757</v>
          </cell>
          <cell r="EE74">
            <v>6798232.1600000001</v>
          </cell>
          <cell r="EF74">
            <v>0</v>
          </cell>
          <cell r="EG74">
            <v>6798232.1600000001</v>
          </cell>
        </row>
        <row r="75">
          <cell r="B75">
            <v>5317312</v>
          </cell>
          <cell r="EE75">
            <v>62192228.888914995</v>
          </cell>
          <cell r="EF75">
            <v>0</v>
          </cell>
          <cell r="EG75">
            <v>62192228.888914995</v>
          </cell>
        </row>
        <row r="76">
          <cell r="B76">
            <v>5311918</v>
          </cell>
          <cell r="EE76">
            <v>0</v>
          </cell>
          <cell r="EF76">
            <v>0</v>
          </cell>
          <cell r="EG76">
            <v>0</v>
          </cell>
        </row>
        <row r="77">
          <cell r="B77">
            <v>2739135</v>
          </cell>
          <cell r="EE77">
            <v>398974.5</v>
          </cell>
          <cell r="EF77">
            <v>0</v>
          </cell>
          <cell r="EG77">
            <v>398974.5</v>
          </cell>
        </row>
        <row r="78">
          <cell r="B78">
            <v>5259673</v>
          </cell>
          <cell r="EE78">
            <v>6443091.5999999996</v>
          </cell>
          <cell r="EF78">
            <v>0</v>
          </cell>
          <cell r="EG78">
            <v>6443091.5999999996</v>
          </cell>
        </row>
        <row r="79">
          <cell r="B79">
            <v>6943446</v>
          </cell>
          <cell r="EE79">
            <v>0</v>
          </cell>
          <cell r="EF79">
            <v>0</v>
          </cell>
          <cell r="EG79">
            <v>0</v>
          </cell>
        </row>
        <row r="80">
          <cell r="B80">
            <v>2784165</v>
          </cell>
          <cell r="EE80">
            <v>994021603.1500001</v>
          </cell>
          <cell r="EF80">
            <v>794840971</v>
          </cell>
          <cell r="EG80">
            <v>199180632.15000001</v>
          </cell>
        </row>
        <row r="81">
          <cell r="B81">
            <v>2112868</v>
          </cell>
          <cell r="EE81">
            <v>39803294.340000004</v>
          </cell>
          <cell r="EF81">
            <v>61961411</v>
          </cell>
          <cell r="EG81">
            <v>-22158116.66</v>
          </cell>
        </row>
        <row r="82">
          <cell r="B82">
            <v>5345626</v>
          </cell>
          <cell r="EE82">
            <v>15002669.799999999</v>
          </cell>
          <cell r="EF82">
            <v>0</v>
          </cell>
          <cell r="EG82">
            <v>15002669.799999999</v>
          </cell>
        </row>
        <row r="83">
          <cell r="B83">
            <v>2726793</v>
          </cell>
          <cell r="EE83">
            <v>0</v>
          </cell>
          <cell r="EF83">
            <v>0</v>
          </cell>
          <cell r="EG83">
            <v>0</v>
          </cell>
        </row>
        <row r="84">
          <cell r="B84">
            <v>2860708</v>
          </cell>
          <cell r="EE84">
            <v>0</v>
          </cell>
          <cell r="EF84">
            <v>31590360</v>
          </cell>
          <cell r="EG84">
            <v>-31590360</v>
          </cell>
        </row>
        <row r="85">
          <cell r="B85">
            <v>5323843</v>
          </cell>
          <cell r="EE85">
            <v>44323759.299999997</v>
          </cell>
          <cell r="EF85">
            <v>42850175</v>
          </cell>
          <cell r="EG85">
            <v>1473584.3</v>
          </cell>
        </row>
        <row r="86">
          <cell r="B86">
            <v>2840995</v>
          </cell>
          <cell r="EE86">
            <v>0</v>
          </cell>
          <cell r="EF86">
            <v>0</v>
          </cell>
          <cell r="EG86">
            <v>0</v>
          </cell>
        </row>
        <row r="87">
          <cell r="B87">
            <v>2662213</v>
          </cell>
          <cell r="EE87">
            <v>0</v>
          </cell>
          <cell r="EF87">
            <v>0</v>
          </cell>
          <cell r="EG87">
            <v>0</v>
          </cell>
        </row>
        <row r="88">
          <cell r="B88">
            <v>2862522</v>
          </cell>
          <cell r="EE88">
            <v>0</v>
          </cell>
          <cell r="EF88">
            <v>0</v>
          </cell>
          <cell r="EG88">
            <v>0</v>
          </cell>
        </row>
        <row r="89">
          <cell r="B89">
            <v>5133351</v>
          </cell>
          <cell r="EE89">
            <v>31518247</v>
          </cell>
          <cell r="EF89">
            <v>147994737</v>
          </cell>
          <cell r="EG89">
            <v>-116476490</v>
          </cell>
        </row>
        <row r="90">
          <cell r="B90">
            <v>8404453</v>
          </cell>
          <cell r="EE90">
            <v>0</v>
          </cell>
          <cell r="EF90">
            <v>0</v>
          </cell>
          <cell r="EG90">
            <v>0</v>
          </cell>
        </row>
        <row r="91">
          <cell r="B91">
            <v>2681692</v>
          </cell>
          <cell r="EE91">
            <v>2231092.0699999998</v>
          </cell>
          <cell r="EF91">
            <v>0</v>
          </cell>
          <cell r="EG91">
            <v>2231092.0699999998</v>
          </cell>
        </row>
        <row r="92">
          <cell r="B92">
            <v>2742039</v>
          </cell>
          <cell r="EE92">
            <v>0</v>
          </cell>
          <cell r="EF92">
            <v>0</v>
          </cell>
          <cell r="EG92">
            <v>0</v>
          </cell>
        </row>
        <row r="93">
          <cell r="B93">
            <v>5267994</v>
          </cell>
          <cell r="EE93">
            <v>41126683.130000003</v>
          </cell>
          <cell r="EF93">
            <v>0</v>
          </cell>
          <cell r="EG93">
            <v>41126683.130000003</v>
          </cell>
        </row>
        <row r="94">
          <cell r="B94">
            <v>6494854</v>
          </cell>
          <cell r="EE94">
            <v>0</v>
          </cell>
          <cell r="EF94">
            <v>0</v>
          </cell>
          <cell r="EG94">
            <v>0</v>
          </cell>
        </row>
        <row r="95">
          <cell r="B95">
            <v>2869594</v>
          </cell>
          <cell r="EE95">
            <v>31929198.829999998</v>
          </cell>
          <cell r="EF95">
            <v>177606707</v>
          </cell>
          <cell r="EG95">
            <v>-145677508.17000002</v>
          </cell>
        </row>
        <row r="96">
          <cell r="B96">
            <v>2633086</v>
          </cell>
          <cell r="EE96">
            <v>116381431.18000001</v>
          </cell>
          <cell r="EF96">
            <v>111931789</v>
          </cell>
          <cell r="EG96">
            <v>4449642.1800000034</v>
          </cell>
        </row>
        <row r="97">
          <cell r="B97">
            <v>2005522</v>
          </cell>
          <cell r="EE97">
            <v>1100000</v>
          </cell>
          <cell r="EF97">
            <v>0</v>
          </cell>
          <cell r="EG97">
            <v>1100000</v>
          </cell>
        </row>
        <row r="98">
          <cell r="B98">
            <v>3435172</v>
          </cell>
          <cell r="EE98">
            <v>0</v>
          </cell>
          <cell r="EF98">
            <v>0</v>
          </cell>
          <cell r="EG98">
            <v>0</v>
          </cell>
        </row>
        <row r="99">
          <cell r="B99">
            <v>5634946</v>
          </cell>
          <cell r="EE99">
            <v>1019452</v>
          </cell>
          <cell r="EF99">
            <v>0</v>
          </cell>
          <cell r="EG99">
            <v>1019452</v>
          </cell>
        </row>
        <row r="100">
          <cell r="B100">
            <v>5111676</v>
          </cell>
          <cell r="EE100">
            <v>0</v>
          </cell>
          <cell r="EF100">
            <v>0</v>
          </cell>
          <cell r="EG100">
            <v>0</v>
          </cell>
        </row>
        <row r="101">
          <cell r="B101">
            <v>4490886</v>
          </cell>
          <cell r="EE101">
            <v>2285003.4500000002</v>
          </cell>
          <cell r="EF101">
            <v>12759222</v>
          </cell>
          <cell r="EG101">
            <v>-10474218.549999999</v>
          </cell>
        </row>
        <row r="102">
          <cell r="B102">
            <v>5373298</v>
          </cell>
          <cell r="EE102">
            <v>229295661.75582901</v>
          </cell>
          <cell r="EF102">
            <v>0</v>
          </cell>
          <cell r="EG102">
            <v>229295661.75582901</v>
          </cell>
        </row>
        <row r="103">
          <cell r="B103">
            <v>5218624</v>
          </cell>
          <cell r="EE103">
            <v>55752600</v>
          </cell>
          <cell r="EF103">
            <v>0</v>
          </cell>
          <cell r="EG103">
            <v>55752600</v>
          </cell>
        </row>
        <row r="104">
          <cell r="B104">
            <v>5851149</v>
          </cell>
          <cell r="EE104">
            <v>0</v>
          </cell>
          <cell r="EF104">
            <v>0</v>
          </cell>
          <cell r="EG104">
            <v>0</v>
          </cell>
        </row>
        <row r="105">
          <cell r="B105">
            <v>5244501</v>
          </cell>
          <cell r="EE105">
            <v>636000</v>
          </cell>
          <cell r="EF105">
            <v>0</v>
          </cell>
          <cell r="EG105">
            <v>636000</v>
          </cell>
        </row>
        <row r="106">
          <cell r="B106">
            <v>5205581</v>
          </cell>
          <cell r="EE106">
            <v>40786671.950000003</v>
          </cell>
          <cell r="EF106">
            <v>5848000</v>
          </cell>
          <cell r="EG106">
            <v>34938671.950000003</v>
          </cell>
        </row>
        <row r="107">
          <cell r="B107">
            <v>2874229</v>
          </cell>
          <cell r="EE107">
            <v>92786039.75</v>
          </cell>
          <cell r="EF107">
            <v>157382736</v>
          </cell>
          <cell r="EG107">
            <v>-64596696.250000007</v>
          </cell>
        </row>
        <row r="108">
          <cell r="B108">
            <v>2056763</v>
          </cell>
          <cell r="EE108">
            <v>113157870</v>
          </cell>
          <cell r="EF108">
            <v>0</v>
          </cell>
          <cell r="EG108">
            <v>113157870</v>
          </cell>
        </row>
        <row r="109">
          <cell r="B109">
            <v>4251679</v>
          </cell>
          <cell r="EE109">
            <v>608495381.623806</v>
          </cell>
          <cell r="EF109">
            <v>335204019</v>
          </cell>
          <cell r="EG109">
            <v>273291362.62380594</v>
          </cell>
        </row>
        <row r="110">
          <cell r="B110">
            <v>2711818</v>
          </cell>
          <cell r="EE110">
            <v>0</v>
          </cell>
          <cell r="EF110">
            <v>0</v>
          </cell>
          <cell r="EG110">
            <v>0</v>
          </cell>
        </row>
        <row r="111">
          <cell r="B111">
            <v>6292747</v>
          </cell>
          <cell r="EE111">
            <v>74730825.520000011</v>
          </cell>
          <cell r="EF111">
            <v>0</v>
          </cell>
          <cell r="EG111">
            <v>74730825.520000011</v>
          </cell>
        </row>
        <row r="112">
          <cell r="B112">
            <v>6169317</v>
          </cell>
          <cell r="EE112">
            <v>0</v>
          </cell>
          <cell r="EF112">
            <v>11148000</v>
          </cell>
          <cell r="EG112">
            <v>-11148000</v>
          </cell>
        </row>
        <row r="113">
          <cell r="B113">
            <v>6454526</v>
          </cell>
          <cell r="EE113">
            <v>0</v>
          </cell>
          <cell r="EF113">
            <v>0</v>
          </cell>
          <cell r="EG113">
            <v>0</v>
          </cell>
        </row>
        <row r="114">
          <cell r="B114">
            <v>5163048</v>
          </cell>
          <cell r="EE114">
            <v>43889537.079999998</v>
          </cell>
          <cell r="EF114">
            <v>0</v>
          </cell>
          <cell r="EG114">
            <v>43889537.079999998</v>
          </cell>
        </row>
        <row r="115">
          <cell r="B115">
            <v>5955297</v>
          </cell>
          <cell r="EE115">
            <v>0</v>
          </cell>
          <cell r="EF115">
            <v>0</v>
          </cell>
          <cell r="EG115">
            <v>0</v>
          </cell>
        </row>
        <row r="116">
          <cell r="B116">
            <v>5250684</v>
          </cell>
          <cell r="EE116">
            <v>2354733.46</v>
          </cell>
          <cell r="EF116">
            <v>241078098</v>
          </cell>
          <cell r="EG116">
            <v>-238723364.53999999</v>
          </cell>
        </row>
        <row r="117">
          <cell r="B117">
            <v>5945674</v>
          </cell>
          <cell r="EE117">
            <v>0</v>
          </cell>
          <cell r="EF117">
            <v>0</v>
          </cell>
          <cell r="EG117">
            <v>0</v>
          </cell>
        </row>
        <row r="118">
          <cell r="B118">
            <v>6782302</v>
          </cell>
          <cell r="EE118">
            <v>0</v>
          </cell>
          <cell r="EF118">
            <v>0</v>
          </cell>
          <cell r="EG118">
            <v>0</v>
          </cell>
        </row>
        <row r="119">
          <cell r="B119">
            <v>4375149</v>
          </cell>
          <cell r="EE119">
            <v>8743572.8399999999</v>
          </cell>
          <cell r="EF119">
            <v>0</v>
          </cell>
          <cell r="EG119">
            <v>8743572.8399999999</v>
          </cell>
        </row>
        <row r="120">
          <cell r="B120">
            <v>5942136</v>
          </cell>
          <cell r="EE120">
            <v>0</v>
          </cell>
          <cell r="EF120">
            <v>24387424</v>
          </cell>
          <cell r="EG120">
            <v>-24387424</v>
          </cell>
        </row>
        <row r="121">
          <cell r="B121">
            <v>5990661</v>
          </cell>
          <cell r="EE121">
            <v>365063500.38</v>
          </cell>
          <cell r="EF121">
            <v>157211161</v>
          </cell>
          <cell r="EG121">
            <v>207852339.38</v>
          </cell>
        </row>
        <row r="122">
          <cell r="B122">
            <v>6473806</v>
          </cell>
          <cell r="EE122">
            <v>0</v>
          </cell>
          <cell r="EF122">
            <v>0</v>
          </cell>
          <cell r="EG122">
            <v>0</v>
          </cell>
        </row>
        <row r="123">
          <cell r="B123">
            <v>5305403</v>
          </cell>
          <cell r="EE123">
            <v>357663240.09000003</v>
          </cell>
          <cell r="EF123">
            <v>366308216</v>
          </cell>
          <cell r="EG123">
            <v>-8644975.9099999666</v>
          </cell>
        </row>
        <row r="124">
          <cell r="B124">
            <v>5571138</v>
          </cell>
          <cell r="EE124">
            <v>0</v>
          </cell>
          <cell r="EF124">
            <v>4305260</v>
          </cell>
          <cell r="EG124">
            <v>-4305260</v>
          </cell>
        </row>
        <row r="125">
          <cell r="B125">
            <v>3567648</v>
          </cell>
          <cell r="EE125">
            <v>10688190</v>
          </cell>
          <cell r="EF125">
            <v>0</v>
          </cell>
          <cell r="EG125">
            <v>10688190</v>
          </cell>
        </row>
        <row r="126">
          <cell r="B126">
            <v>6740189</v>
          </cell>
          <cell r="EE126">
            <v>0</v>
          </cell>
          <cell r="EF126">
            <v>0</v>
          </cell>
          <cell r="EG126">
            <v>0</v>
          </cell>
        </row>
        <row r="127">
          <cell r="B127">
            <v>5172152</v>
          </cell>
          <cell r="EE127">
            <v>44566766.789266005</v>
          </cell>
          <cell r="EF127">
            <v>0</v>
          </cell>
          <cell r="EG127">
            <v>44566766.789266005</v>
          </cell>
        </row>
        <row r="128">
          <cell r="B128">
            <v>5940621</v>
          </cell>
          <cell r="EE128">
            <v>0</v>
          </cell>
          <cell r="EF128">
            <v>0</v>
          </cell>
          <cell r="EG128">
            <v>0</v>
          </cell>
        </row>
        <row r="129">
          <cell r="B129">
            <v>6172768</v>
          </cell>
          <cell r="EE129">
            <v>810166504.88018906</v>
          </cell>
          <cell r="EF129">
            <v>78322083</v>
          </cell>
          <cell r="EG129">
            <v>731844421.88018906</v>
          </cell>
        </row>
        <row r="130">
          <cell r="B130">
            <v>4247949</v>
          </cell>
          <cell r="EE130">
            <v>14000</v>
          </cell>
          <cell r="EF130">
            <v>0</v>
          </cell>
          <cell r="EG130">
            <v>14000</v>
          </cell>
        </row>
        <row r="131">
          <cell r="B131">
            <v>3437345</v>
          </cell>
          <cell r="EE131">
            <v>0</v>
          </cell>
          <cell r="EF131">
            <v>0</v>
          </cell>
          <cell r="EG131">
            <v>0</v>
          </cell>
        </row>
        <row r="132">
          <cell r="B132">
            <v>6859178</v>
          </cell>
          <cell r="EE132">
            <v>0</v>
          </cell>
          <cell r="EF132">
            <v>3923940</v>
          </cell>
          <cell r="EG132">
            <v>-3923940</v>
          </cell>
        </row>
        <row r="133">
          <cell r="B133">
            <v>5368456</v>
          </cell>
          <cell r="EE133">
            <v>0</v>
          </cell>
          <cell r="EF133">
            <v>4542510</v>
          </cell>
          <cell r="EG133">
            <v>-4542510</v>
          </cell>
        </row>
        <row r="134">
          <cell r="B134">
            <v>5201896</v>
          </cell>
          <cell r="EE134">
            <v>0</v>
          </cell>
          <cell r="EF134">
            <v>0</v>
          </cell>
          <cell r="EG134">
            <v>0</v>
          </cell>
        </row>
        <row r="135">
          <cell r="B135">
            <v>2683083</v>
          </cell>
          <cell r="EE135">
            <v>123088173.8</v>
          </cell>
          <cell r="EF135">
            <v>165055565</v>
          </cell>
          <cell r="EG135">
            <v>-41967391.200000003</v>
          </cell>
        </row>
        <row r="136">
          <cell r="B136">
            <v>5723876</v>
          </cell>
          <cell r="EE136">
            <v>25413443.420000002</v>
          </cell>
          <cell r="EF136">
            <v>0</v>
          </cell>
          <cell r="EG136">
            <v>25413443.420000002</v>
          </cell>
        </row>
        <row r="137">
          <cell r="B137">
            <v>5849934</v>
          </cell>
          <cell r="EE137">
            <v>0</v>
          </cell>
          <cell r="EF137">
            <v>0</v>
          </cell>
          <cell r="EG137">
            <v>0</v>
          </cell>
        </row>
        <row r="138">
          <cell r="B138">
            <v>2012677</v>
          </cell>
          <cell r="EE138">
            <v>0</v>
          </cell>
          <cell r="EF138">
            <v>0</v>
          </cell>
          <cell r="EG138">
            <v>0</v>
          </cell>
        </row>
        <row r="139">
          <cell r="B139">
            <v>6058698</v>
          </cell>
          <cell r="EE139">
            <v>0</v>
          </cell>
          <cell r="EF139">
            <v>0</v>
          </cell>
          <cell r="EG139">
            <v>0</v>
          </cell>
        </row>
        <row r="140">
          <cell r="B140">
            <v>5924596</v>
          </cell>
          <cell r="EE140">
            <v>0</v>
          </cell>
          <cell r="EF140">
            <v>0</v>
          </cell>
          <cell r="EG140">
            <v>0</v>
          </cell>
        </row>
        <row r="141">
          <cell r="B141">
            <v>6187846</v>
          </cell>
          <cell r="EE141">
            <v>435280961.01999998</v>
          </cell>
          <cell r="EF141">
            <v>0</v>
          </cell>
          <cell r="EG141">
            <v>435280961.01999998</v>
          </cell>
        </row>
        <row r="142">
          <cell r="B142">
            <v>2816555</v>
          </cell>
          <cell r="EE142">
            <v>2342050</v>
          </cell>
          <cell r="EF142">
            <v>4538838</v>
          </cell>
          <cell r="EG142">
            <v>-2196788</v>
          </cell>
        </row>
        <row r="143">
          <cell r="B143">
            <v>2007916</v>
          </cell>
          <cell r="EE143">
            <v>17600260</v>
          </cell>
          <cell r="EF143">
            <v>0</v>
          </cell>
          <cell r="EG143">
            <v>17600260</v>
          </cell>
        </row>
        <row r="144">
          <cell r="B144">
            <v>5122856</v>
          </cell>
          <cell r="EE144">
            <v>0</v>
          </cell>
          <cell r="EF144">
            <v>0</v>
          </cell>
          <cell r="EG144">
            <v>0</v>
          </cell>
        </row>
        <row r="145">
          <cell r="B145">
            <v>2085399</v>
          </cell>
          <cell r="EE145">
            <v>0</v>
          </cell>
          <cell r="EF145">
            <v>0</v>
          </cell>
          <cell r="EG145">
            <v>0</v>
          </cell>
        </row>
        <row r="146">
          <cell r="B146">
            <v>6204759</v>
          </cell>
          <cell r="EE146">
            <v>387000</v>
          </cell>
          <cell r="EF146">
            <v>512000</v>
          </cell>
          <cell r="EG146">
            <v>-125000</v>
          </cell>
        </row>
        <row r="147">
          <cell r="B147">
            <v>4249682</v>
          </cell>
          <cell r="EE147">
            <v>35093782.219221003</v>
          </cell>
          <cell r="EF147">
            <v>0</v>
          </cell>
          <cell r="EG147">
            <v>35093782.219221003</v>
          </cell>
        </row>
        <row r="148">
          <cell r="B148">
            <v>5266386</v>
          </cell>
          <cell r="EE148">
            <v>0</v>
          </cell>
          <cell r="EF148">
            <v>0</v>
          </cell>
          <cell r="EG148">
            <v>0</v>
          </cell>
        </row>
        <row r="149">
          <cell r="B149">
            <v>5535565</v>
          </cell>
          <cell r="EE149">
            <v>16000328</v>
          </cell>
          <cell r="EF149">
            <v>16420478</v>
          </cell>
          <cell r="EG149">
            <v>-420150</v>
          </cell>
        </row>
        <row r="150">
          <cell r="B150">
            <v>6783295</v>
          </cell>
          <cell r="EE150">
            <v>0</v>
          </cell>
          <cell r="EF150">
            <v>0</v>
          </cell>
          <cell r="EG150">
            <v>0</v>
          </cell>
        </row>
        <row r="151">
          <cell r="B151">
            <v>2793016</v>
          </cell>
          <cell r="EE151">
            <v>0</v>
          </cell>
          <cell r="EF151">
            <v>0</v>
          </cell>
          <cell r="EG151">
            <v>0</v>
          </cell>
        </row>
        <row r="152">
          <cell r="B152">
            <v>6322328</v>
          </cell>
          <cell r="EE152">
            <v>0</v>
          </cell>
          <cell r="EF152">
            <v>0</v>
          </cell>
          <cell r="EG152">
            <v>0</v>
          </cell>
        </row>
        <row r="153">
          <cell r="B153">
            <v>3555763</v>
          </cell>
          <cell r="EE153">
            <v>381246513.58809203</v>
          </cell>
          <cell r="EF153">
            <v>464658018</v>
          </cell>
          <cell r="EG153">
            <v>-83411504.411908001</v>
          </cell>
        </row>
        <row r="154">
          <cell r="B154">
            <v>5005094</v>
          </cell>
          <cell r="EE154">
            <v>660756001.54504395</v>
          </cell>
          <cell r="EF154">
            <v>952865998</v>
          </cell>
          <cell r="EG154">
            <v>-292109996.454956</v>
          </cell>
        </row>
        <row r="155">
          <cell r="B155">
            <v>5113636</v>
          </cell>
          <cell r="EE155">
            <v>0</v>
          </cell>
          <cell r="EF155">
            <v>0</v>
          </cell>
          <cell r="EG155">
            <v>0</v>
          </cell>
        </row>
        <row r="156">
          <cell r="B156">
            <v>6182526</v>
          </cell>
          <cell r="EE156">
            <v>120253389.13000001</v>
          </cell>
          <cell r="EF156">
            <v>0</v>
          </cell>
          <cell r="EG156">
            <v>120253389.13000001</v>
          </cell>
        </row>
        <row r="157">
          <cell r="B157">
            <v>2788705</v>
          </cell>
          <cell r="EE157">
            <v>49776715861.379997</v>
          </cell>
          <cell r="EF157">
            <v>0</v>
          </cell>
          <cell r="EG157">
            <v>49776715861.379997</v>
          </cell>
        </row>
        <row r="158">
          <cell r="B158">
            <v>5959462</v>
          </cell>
          <cell r="EE158">
            <v>0</v>
          </cell>
          <cell r="EF158">
            <v>0</v>
          </cell>
          <cell r="EG158">
            <v>0</v>
          </cell>
        </row>
        <row r="159">
          <cell r="B159">
            <v>2555409</v>
          </cell>
          <cell r="EE159">
            <v>0</v>
          </cell>
          <cell r="EF159">
            <v>0</v>
          </cell>
          <cell r="EG159">
            <v>0</v>
          </cell>
        </row>
        <row r="160">
          <cell r="B160">
            <v>6273505</v>
          </cell>
          <cell r="EE160">
            <v>0</v>
          </cell>
          <cell r="EF160">
            <v>0</v>
          </cell>
          <cell r="EG160">
            <v>0</v>
          </cell>
        </row>
        <row r="161">
          <cell r="B161">
            <v>3014231</v>
          </cell>
          <cell r="EE161">
            <v>260340529.74400002</v>
          </cell>
          <cell r="EF161">
            <v>753868580</v>
          </cell>
          <cell r="EG161">
            <v>-493528050.25599998</v>
          </cell>
        </row>
        <row r="162">
          <cell r="B162">
            <v>8383863</v>
          </cell>
          <cell r="EE162">
            <v>0</v>
          </cell>
          <cell r="EF162">
            <v>0</v>
          </cell>
          <cell r="EG162">
            <v>0</v>
          </cell>
        </row>
        <row r="163">
          <cell r="B163">
            <v>5984173</v>
          </cell>
          <cell r="EE163">
            <v>0</v>
          </cell>
          <cell r="EF163">
            <v>0</v>
          </cell>
          <cell r="EG163">
            <v>0</v>
          </cell>
        </row>
        <row r="164">
          <cell r="B164">
            <v>6009018</v>
          </cell>
          <cell r="EE164">
            <v>2500</v>
          </cell>
          <cell r="EF164">
            <v>0</v>
          </cell>
          <cell r="EG164">
            <v>2500</v>
          </cell>
        </row>
        <row r="165">
          <cell r="B165">
            <v>5439183</v>
          </cell>
          <cell r="EE165">
            <v>2307525674.0977259</v>
          </cell>
          <cell r="EF165">
            <v>1396300426</v>
          </cell>
          <cell r="EG165">
            <v>911225248.09772599</v>
          </cell>
        </row>
        <row r="166">
          <cell r="B166">
            <v>2008572</v>
          </cell>
          <cell r="EE166">
            <v>23970827911.128502</v>
          </cell>
          <cell r="EF166">
            <v>49485115134</v>
          </cell>
          <cell r="EG166">
            <v>-25514287222.871498</v>
          </cell>
        </row>
        <row r="167">
          <cell r="B167">
            <v>3675491</v>
          </cell>
          <cell r="EE167">
            <v>110555528.26000001</v>
          </cell>
          <cell r="EF167">
            <v>0</v>
          </cell>
          <cell r="EG167">
            <v>110555528.26000001</v>
          </cell>
        </row>
        <row r="168">
          <cell r="B168">
            <v>2099551</v>
          </cell>
          <cell r="EE168">
            <v>107367105.53999999</v>
          </cell>
          <cell r="EF168">
            <v>0</v>
          </cell>
          <cell r="EG168">
            <v>107367105.53999999</v>
          </cell>
        </row>
        <row r="169">
          <cell r="B169">
            <v>5253608</v>
          </cell>
          <cell r="EE169">
            <v>0</v>
          </cell>
          <cell r="EF169">
            <v>0</v>
          </cell>
          <cell r="EG169">
            <v>0</v>
          </cell>
        </row>
        <row r="170">
          <cell r="B170">
            <v>5215919</v>
          </cell>
          <cell r="EE170">
            <v>3498923450.9900002</v>
          </cell>
          <cell r="EF170">
            <v>1569239890</v>
          </cell>
          <cell r="EG170">
            <v>1929683560.9900005</v>
          </cell>
        </row>
        <row r="171">
          <cell r="B171">
            <v>5502977</v>
          </cell>
          <cell r="EE171">
            <v>2477568017.538815</v>
          </cell>
          <cell r="EF171">
            <v>3067297238</v>
          </cell>
          <cell r="EG171">
            <v>-589729220.4611851</v>
          </cell>
        </row>
        <row r="172">
          <cell r="B172">
            <v>5416914</v>
          </cell>
          <cell r="EE172">
            <v>25296017</v>
          </cell>
          <cell r="EF172">
            <v>4650000</v>
          </cell>
          <cell r="EG172">
            <v>20646017</v>
          </cell>
        </row>
        <row r="173">
          <cell r="B173">
            <v>3072487</v>
          </cell>
          <cell r="EE173">
            <v>9097571</v>
          </cell>
          <cell r="EF173">
            <v>0</v>
          </cell>
          <cell r="EG173">
            <v>9097571</v>
          </cell>
        </row>
        <row r="174">
          <cell r="B174">
            <v>4271033</v>
          </cell>
          <cell r="EE174">
            <v>0</v>
          </cell>
          <cell r="EF174">
            <v>0</v>
          </cell>
          <cell r="EG174">
            <v>0</v>
          </cell>
        </row>
        <row r="175">
          <cell r="B175">
            <v>2547333</v>
          </cell>
          <cell r="EE175">
            <v>0</v>
          </cell>
          <cell r="EF175">
            <v>0</v>
          </cell>
          <cell r="EG175">
            <v>0</v>
          </cell>
        </row>
        <row r="176">
          <cell r="B176">
            <v>8391556</v>
          </cell>
          <cell r="EE176">
            <v>563200</v>
          </cell>
          <cell r="EF176">
            <v>0</v>
          </cell>
          <cell r="EG176">
            <v>563200</v>
          </cell>
        </row>
        <row r="177">
          <cell r="B177">
            <v>2640635</v>
          </cell>
          <cell r="EE177">
            <v>50391281.799999997</v>
          </cell>
          <cell r="EF177">
            <v>0</v>
          </cell>
          <cell r="EG177">
            <v>50391281.799999997</v>
          </cell>
        </row>
        <row r="178">
          <cell r="B178">
            <v>5266637</v>
          </cell>
          <cell r="EE178">
            <v>5192945.82</v>
          </cell>
          <cell r="EF178">
            <v>14883136</v>
          </cell>
          <cell r="EG178">
            <v>-9690190.1799999997</v>
          </cell>
        </row>
        <row r="179">
          <cell r="B179">
            <v>5994349</v>
          </cell>
          <cell r="EE179">
            <v>0</v>
          </cell>
          <cell r="EF179">
            <v>0</v>
          </cell>
          <cell r="EG179">
            <v>0</v>
          </cell>
        </row>
        <row r="180">
          <cell r="B180">
            <v>3621332</v>
          </cell>
          <cell r="EE180">
            <v>150000</v>
          </cell>
          <cell r="EF180">
            <v>59424</v>
          </cell>
          <cell r="EG180">
            <v>90576</v>
          </cell>
        </row>
        <row r="181">
          <cell r="B181">
            <v>5237408</v>
          </cell>
          <cell r="EE181">
            <v>84320953.400000006</v>
          </cell>
          <cell r="EF181">
            <v>0</v>
          </cell>
          <cell r="EG181">
            <v>84320953.400000006</v>
          </cell>
        </row>
        <row r="182">
          <cell r="B182">
            <v>6009565</v>
          </cell>
          <cell r="EE182">
            <v>250000</v>
          </cell>
          <cell r="EF182">
            <v>500000</v>
          </cell>
          <cell r="EG182">
            <v>-250000</v>
          </cell>
        </row>
        <row r="183">
          <cell r="B183">
            <v>6131999</v>
          </cell>
          <cell r="EE183">
            <v>0</v>
          </cell>
          <cell r="EF183">
            <v>6585900</v>
          </cell>
          <cell r="EG183">
            <v>-6585900</v>
          </cell>
        </row>
        <row r="184">
          <cell r="B184">
            <v>4127447</v>
          </cell>
          <cell r="EE184">
            <v>0</v>
          </cell>
          <cell r="EF184">
            <v>0</v>
          </cell>
          <cell r="EG184">
            <v>0</v>
          </cell>
        </row>
        <row r="185">
          <cell r="B185">
            <v>2574233</v>
          </cell>
          <cell r="EE185">
            <v>0</v>
          </cell>
          <cell r="EF185">
            <v>0</v>
          </cell>
          <cell r="EG185">
            <v>0</v>
          </cell>
        </row>
        <row r="186">
          <cell r="B186">
            <v>6192939</v>
          </cell>
          <cell r="EE186">
            <v>60385542.799999997</v>
          </cell>
          <cell r="EF186">
            <v>0</v>
          </cell>
          <cell r="EG186">
            <v>60385542.799999997</v>
          </cell>
        </row>
        <row r="187">
          <cell r="B187">
            <v>5793564</v>
          </cell>
          <cell r="EE187">
            <v>0</v>
          </cell>
          <cell r="EF187">
            <v>0</v>
          </cell>
          <cell r="EG187">
            <v>0</v>
          </cell>
        </row>
        <row r="188">
          <cell r="B188">
            <v>2738961</v>
          </cell>
          <cell r="EE188">
            <v>3000000</v>
          </cell>
          <cell r="EF188">
            <v>3669900</v>
          </cell>
          <cell r="EG188">
            <v>-669900</v>
          </cell>
        </row>
        <row r="189">
          <cell r="B189">
            <v>2646455</v>
          </cell>
          <cell r="EE189">
            <v>9121835</v>
          </cell>
          <cell r="EF189">
            <v>0</v>
          </cell>
          <cell r="EG189">
            <v>9121835</v>
          </cell>
        </row>
        <row r="190">
          <cell r="B190">
            <v>2871289</v>
          </cell>
          <cell r="EE190">
            <v>106976487.93726501</v>
          </cell>
          <cell r="EF190">
            <v>0</v>
          </cell>
          <cell r="EG190">
            <v>106976487.93726501</v>
          </cell>
        </row>
        <row r="191">
          <cell r="B191">
            <v>5208513</v>
          </cell>
          <cell r="EE191">
            <v>0</v>
          </cell>
          <cell r="EF191">
            <v>0</v>
          </cell>
          <cell r="EG191">
            <v>0</v>
          </cell>
        </row>
        <row r="192">
          <cell r="B192">
            <v>5609372</v>
          </cell>
          <cell r="EE192">
            <v>124067424.50999999</v>
          </cell>
          <cell r="EF192">
            <v>129924882</v>
          </cell>
          <cell r="EG192">
            <v>-5857457.4900000058</v>
          </cell>
        </row>
        <row r="193">
          <cell r="B193">
            <v>5059755</v>
          </cell>
          <cell r="EE193">
            <v>0</v>
          </cell>
          <cell r="EF193">
            <v>0</v>
          </cell>
          <cell r="EG193">
            <v>0</v>
          </cell>
        </row>
        <row r="194">
          <cell r="B194">
            <v>2861429</v>
          </cell>
          <cell r="EE194">
            <v>0</v>
          </cell>
          <cell r="EF194">
            <v>1033560</v>
          </cell>
          <cell r="EG194">
            <v>-1033560</v>
          </cell>
        </row>
        <row r="195">
          <cell r="B195">
            <v>5938805</v>
          </cell>
          <cell r="EE195">
            <v>1716000</v>
          </cell>
          <cell r="EF195">
            <v>0</v>
          </cell>
          <cell r="EG195">
            <v>1716000</v>
          </cell>
        </row>
        <row r="196">
          <cell r="B196">
            <v>4026608</v>
          </cell>
          <cell r="EE196">
            <v>0</v>
          </cell>
          <cell r="EF196">
            <v>230051</v>
          </cell>
          <cell r="EG196">
            <v>-230051</v>
          </cell>
        </row>
        <row r="197">
          <cell r="B197">
            <v>3122212</v>
          </cell>
          <cell r="EE197">
            <v>8460380</v>
          </cell>
          <cell r="EF197">
            <v>0</v>
          </cell>
          <cell r="EG197">
            <v>8460380</v>
          </cell>
        </row>
        <row r="198">
          <cell r="B198">
            <v>2874482</v>
          </cell>
          <cell r="EE198">
            <v>178336926.09</v>
          </cell>
          <cell r="EF198">
            <v>123379919</v>
          </cell>
          <cell r="EG198">
            <v>54957007.090000004</v>
          </cell>
        </row>
        <row r="199">
          <cell r="B199">
            <v>2007126</v>
          </cell>
          <cell r="EE199">
            <v>529321363.71999997</v>
          </cell>
          <cell r="EF199">
            <v>406228987</v>
          </cell>
          <cell r="EG199">
            <v>123092376.71999997</v>
          </cell>
        </row>
        <row r="200">
          <cell r="B200">
            <v>5332982</v>
          </cell>
          <cell r="EE200">
            <v>0</v>
          </cell>
          <cell r="EF200">
            <v>0</v>
          </cell>
          <cell r="EG200">
            <v>0</v>
          </cell>
        </row>
        <row r="201">
          <cell r="B201">
            <v>6670504</v>
          </cell>
          <cell r="EE201">
            <v>2974340</v>
          </cell>
          <cell r="EF201">
            <v>9016528</v>
          </cell>
          <cell r="EG201">
            <v>-6042188</v>
          </cell>
        </row>
        <row r="202">
          <cell r="B202">
            <v>6707645</v>
          </cell>
          <cell r="EE202">
            <v>0</v>
          </cell>
          <cell r="EF202">
            <v>0</v>
          </cell>
          <cell r="EG202">
            <v>0</v>
          </cell>
        </row>
        <row r="203">
          <cell r="B203">
            <v>3250628</v>
          </cell>
          <cell r="EE203">
            <v>2515575</v>
          </cell>
          <cell r="EF203">
            <v>0</v>
          </cell>
          <cell r="EG203">
            <v>2515575</v>
          </cell>
        </row>
        <row r="204">
          <cell r="B204">
            <v>5881854</v>
          </cell>
          <cell r="EE204">
            <v>8800000</v>
          </cell>
          <cell r="EF204">
            <v>0</v>
          </cell>
          <cell r="EG204">
            <v>8800000</v>
          </cell>
        </row>
        <row r="205">
          <cell r="B205">
            <v>6188419</v>
          </cell>
          <cell r="EE205">
            <v>7000</v>
          </cell>
          <cell r="EF205">
            <v>1610058</v>
          </cell>
          <cell r="EG205">
            <v>-1603058</v>
          </cell>
        </row>
        <row r="206">
          <cell r="B206">
            <v>5991439</v>
          </cell>
          <cell r="EE206">
            <v>0</v>
          </cell>
          <cell r="EF206">
            <v>0</v>
          </cell>
          <cell r="EG206">
            <v>0</v>
          </cell>
        </row>
        <row r="207">
          <cell r="B207">
            <v>5962242</v>
          </cell>
          <cell r="EE207">
            <v>34000000</v>
          </cell>
          <cell r="EF207">
            <v>0</v>
          </cell>
          <cell r="EG207">
            <v>34000000</v>
          </cell>
        </row>
        <row r="208">
          <cell r="B208">
            <v>6016138</v>
          </cell>
          <cell r="EE208">
            <v>0</v>
          </cell>
          <cell r="EF208">
            <v>0</v>
          </cell>
          <cell r="EG208">
            <v>0</v>
          </cell>
        </row>
        <row r="209">
          <cell r="B209">
            <v>6043593</v>
          </cell>
          <cell r="EE209">
            <v>0</v>
          </cell>
          <cell r="EF209">
            <v>0</v>
          </cell>
          <cell r="EG209">
            <v>0</v>
          </cell>
        </row>
        <row r="210">
          <cell r="B210">
            <v>6134254</v>
          </cell>
          <cell r="EE210">
            <v>0</v>
          </cell>
          <cell r="EF210">
            <v>0</v>
          </cell>
          <cell r="EG210">
            <v>0</v>
          </cell>
        </row>
        <row r="211">
          <cell r="B211">
            <v>5878705</v>
          </cell>
          <cell r="EE211">
            <v>19398746.990000002</v>
          </cell>
          <cell r="EF211">
            <v>0</v>
          </cell>
          <cell r="EG211">
            <v>19398746.990000002</v>
          </cell>
        </row>
        <row r="212">
          <cell r="B212">
            <v>3557197</v>
          </cell>
          <cell r="EE212">
            <v>9430731.120000001</v>
          </cell>
          <cell r="EF212">
            <v>0</v>
          </cell>
          <cell r="EG212">
            <v>9430731.120000001</v>
          </cell>
        </row>
        <row r="213">
          <cell r="B213">
            <v>5495296</v>
          </cell>
          <cell r="EE213">
            <v>23027660.59</v>
          </cell>
          <cell r="EF213">
            <v>48976745</v>
          </cell>
          <cell r="EG213">
            <v>-25949084.41</v>
          </cell>
        </row>
        <row r="214">
          <cell r="B214">
            <v>5316316</v>
          </cell>
          <cell r="EE214">
            <v>17829197.620000001</v>
          </cell>
          <cell r="EF214">
            <v>12485580</v>
          </cell>
          <cell r="EG214">
            <v>5343617.62</v>
          </cell>
        </row>
        <row r="215">
          <cell r="B215">
            <v>6528732</v>
          </cell>
          <cell r="EE215">
            <v>8200</v>
          </cell>
          <cell r="EF215">
            <v>0</v>
          </cell>
          <cell r="EG215">
            <v>8200</v>
          </cell>
        </row>
        <row r="216">
          <cell r="B216">
            <v>2708701</v>
          </cell>
          <cell r="EE216">
            <v>12593031717.368696</v>
          </cell>
          <cell r="EF216">
            <v>11119290295</v>
          </cell>
          <cell r="EG216">
            <v>1473741422.3686943</v>
          </cell>
        </row>
        <row r="217">
          <cell r="B217">
            <v>6580386</v>
          </cell>
          <cell r="EE217">
            <v>0</v>
          </cell>
          <cell r="EF217">
            <v>0</v>
          </cell>
          <cell r="EG217">
            <v>0</v>
          </cell>
        </row>
        <row r="218">
          <cell r="B218">
            <v>6385656</v>
          </cell>
          <cell r="EE218">
            <v>0</v>
          </cell>
          <cell r="EF218">
            <v>0</v>
          </cell>
          <cell r="EG218">
            <v>0</v>
          </cell>
        </row>
        <row r="219">
          <cell r="B219">
            <v>5906865</v>
          </cell>
          <cell r="EE219">
            <v>581813055.57522607</v>
          </cell>
          <cell r="EF219">
            <v>230928089</v>
          </cell>
          <cell r="EG219">
            <v>350884966.57522601</v>
          </cell>
        </row>
        <row r="220">
          <cell r="B220">
            <v>3552489</v>
          </cell>
          <cell r="EE220">
            <v>57793075.067166999</v>
          </cell>
          <cell r="EF220">
            <v>0</v>
          </cell>
          <cell r="EG220">
            <v>57793075.067166999</v>
          </cell>
        </row>
        <row r="221">
          <cell r="B221">
            <v>2696304</v>
          </cell>
          <cell r="EE221">
            <v>388614010.95999998</v>
          </cell>
          <cell r="EF221">
            <v>598739</v>
          </cell>
          <cell r="EG221">
            <v>388015271.95999998</v>
          </cell>
        </row>
        <row r="222">
          <cell r="B222">
            <v>5068762</v>
          </cell>
          <cell r="EE222">
            <v>52149870.710000001</v>
          </cell>
          <cell r="EF222">
            <v>14000000</v>
          </cell>
          <cell r="EG222">
            <v>38149870.710000001</v>
          </cell>
        </row>
        <row r="223">
          <cell r="B223">
            <v>2680858</v>
          </cell>
          <cell r="EE223">
            <v>42019831.25</v>
          </cell>
          <cell r="EF223">
            <v>0</v>
          </cell>
          <cell r="EG223">
            <v>42019831.25</v>
          </cell>
        </row>
        <row r="224">
          <cell r="B224">
            <v>5113342</v>
          </cell>
          <cell r="EE224">
            <v>3966000</v>
          </cell>
          <cell r="EF224">
            <v>0</v>
          </cell>
          <cell r="EG224">
            <v>3966000</v>
          </cell>
        </row>
        <row r="225">
          <cell r="B225">
            <v>5586526</v>
          </cell>
          <cell r="EE225">
            <v>0</v>
          </cell>
          <cell r="EF225">
            <v>0</v>
          </cell>
          <cell r="EG225">
            <v>0</v>
          </cell>
        </row>
        <row r="226">
          <cell r="B226">
            <v>3554694</v>
          </cell>
          <cell r="EE226">
            <v>0</v>
          </cell>
          <cell r="EF226">
            <v>0</v>
          </cell>
          <cell r="EG226">
            <v>0</v>
          </cell>
        </row>
        <row r="227">
          <cell r="B227">
            <v>5065844</v>
          </cell>
          <cell r="EE227">
            <v>0</v>
          </cell>
          <cell r="EF227">
            <v>0</v>
          </cell>
          <cell r="EG227">
            <v>0</v>
          </cell>
        </row>
        <row r="228">
          <cell r="B228">
            <v>2609436</v>
          </cell>
          <cell r="EE228">
            <v>900045977.18902004</v>
          </cell>
          <cell r="EF228">
            <v>710669135</v>
          </cell>
          <cell r="EG228">
            <v>189376842.18902004</v>
          </cell>
        </row>
        <row r="229">
          <cell r="B229">
            <v>2014491</v>
          </cell>
          <cell r="EE229">
            <v>2388779324.5099998</v>
          </cell>
          <cell r="EF229">
            <v>0</v>
          </cell>
          <cell r="EG229">
            <v>2388779324.5099998</v>
          </cell>
        </row>
        <row r="230">
          <cell r="B230">
            <v>5102316</v>
          </cell>
          <cell r="EE230">
            <v>0</v>
          </cell>
          <cell r="EF230">
            <v>0</v>
          </cell>
          <cell r="EG230">
            <v>0</v>
          </cell>
        </row>
        <row r="231">
          <cell r="B231">
            <v>5564689</v>
          </cell>
          <cell r="EE231">
            <v>0</v>
          </cell>
          <cell r="EF231">
            <v>36720000</v>
          </cell>
          <cell r="EG231">
            <v>-36720000</v>
          </cell>
        </row>
        <row r="232">
          <cell r="B232">
            <v>5328918</v>
          </cell>
          <cell r="EE232">
            <v>12359854.5</v>
          </cell>
          <cell r="EF232">
            <v>0</v>
          </cell>
          <cell r="EG232">
            <v>12359854.5</v>
          </cell>
        </row>
        <row r="233">
          <cell r="B233">
            <v>2551764</v>
          </cell>
          <cell r="EE233">
            <v>64899083.619999997</v>
          </cell>
          <cell r="EF233">
            <v>0</v>
          </cell>
          <cell r="EG233">
            <v>64899083.619999997</v>
          </cell>
        </row>
        <row r="234">
          <cell r="B234">
            <v>5023998</v>
          </cell>
          <cell r="EE234">
            <v>143981640.25000003</v>
          </cell>
          <cell r="EF234">
            <v>156995347</v>
          </cell>
          <cell r="EG234">
            <v>-13013706.75</v>
          </cell>
        </row>
        <row r="235">
          <cell r="B235">
            <v>2578077</v>
          </cell>
          <cell r="EE235">
            <v>0</v>
          </cell>
          <cell r="EF235">
            <v>12684300</v>
          </cell>
          <cell r="EG235">
            <v>-12684300</v>
          </cell>
        </row>
        <row r="236">
          <cell r="B236">
            <v>5099854</v>
          </cell>
          <cell r="EE236">
            <v>81753546.129999995</v>
          </cell>
          <cell r="EF236">
            <v>0</v>
          </cell>
          <cell r="EG236">
            <v>81753546.129999995</v>
          </cell>
        </row>
        <row r="237">
          <cell r="B237">
            <v>2061899</v>
          </cell>
          <cell r="EE237">
            <v>295214697.48000002</v>
          </cell>
          <cell r="EF237">
            <v>206740073</v>
          </cell>
          <cell r="EG237">
            <v>88474624.479999989</v>
          </cell>
        </row>
        <row r="238">
          <cell r="B238">
            <v>5503299</v>
          </cell>
          <cell r="EE238">
            <v>0</v>
          </cell>
          <cell r="EF238">
            <v>0</v>
          </cell>
          <cell r="EG238">
            <v>0</v>
          </cell>
        </row>
        <row r="239">
          <cell r="B239">
            <v>6628621</v>
          </cell>
          <cell r="EE239">
            <v>0</v>
          </cell>
          <cell r="EF239">
            <v>0</v>
          </cell>
          <cell r="EG239">
            <v>0</v>
          </cell>
        </row>
        <row r="240">
          <cell r="B240">
            <v>6010822</v>
          </cell>
          <cell r="EE240">
            <v>19086271</v>
          </cell>
          <cell r="EF240">
            <v>15168709</v>
          </cell>
          <cell r="EG240">
            <v>3917562</v>
          </cell>
        </row>
        <row r="241">
          <cell r="B241">
            <v>5434254</v>
          </cell>
          <cell r="EE241">
            <v>0</v>
          </cell>
          <cell r="EF241">
            <v>0</v>
          </cell>
          <cell r="EG241">
            <v>0</v>
          </cell>
        </row>
        <row r="242">
          <cell r="B242">
            <v>3435903</v>
          </cell>
          <cell r="EE242">
            <v>0</v>
          </cell>
          <cell r="EF242">
            <v>0</v>
          </cell>
          <cell r="EG242">
            <v>0</v>
          </cell>
        </row>
        <row r="243">
          <cell r="B243">
            <v>5957869</v>
          </cell>
          <cell r="EE243">
            <v>0</v>
          </cell>
          <cell r="EF243">
            <v>0</v>
          </cell>
          <cell r="EG243">
            <v>0</v>
          </cell>
        </row>
        <row r="244">
          <cell r="B244">
            <v>2038609</v>
          </cell>
          <cell r="EE244">
            <v>568637358.10570598</v>
          </cell>
          <cell r="EF244">
            <v>0</v>
          </cell>
          <cell r="EG244">
            <v>568637358.10570598</v>
          </cell>
        </row>
        <row r="245">
          <cell r="B245">
            <v>5523974</v>
          </cell>
          <cell r="EE245">
            <v>0</v>
          </cell>
          <cell r="EF245">
            <v>0</v>
          </cell>
          <cell r="EG245">
            <v>0</v>
          </cell>
        </row>
        <row r="246">
          <cell r="B246">
            <v>6550371</v>
          </cell>
          <cell r="EE246">
            <v>0</v>
          </cell>
          <cell r="EF246">
            <v>389529791</v>
          </cell>
          <cell r="EG246">
            <v>-389529791</v>
          </cell>
        </row>
        <row r="247">
          <cell r="B247">
            <v>6352189</v>
          </cell>
          <cell r="EE247">
            <v>0</v>
          </cell>
          <cell r="EF247">
            <v>0</v>
          </cell>
          <cell r="EG247">
            <v>0</v>
          </cell>
        </row>
        <row r="248">
          <cell r="B248">
            <v>5545366</v>
          </cell>
          <cell r="EE248">
            <v>0</v>
          </cell>
          <cell r="EF248">
            <v>0</v>
          </cell>
          <cell r="EG248">
            <v>0</v>
          </cell>
        </row>
        <row r="249">
          <cell r="B249">
            <v>6204767</v>
          </cell>
          <cell r="EE249">
            <v>0</v>
          </cell>
          <cell r="EF249">
            <v>13612268</v>
          </cell>
          <cell r="EG249">
            <v>-13612268</v>
          </cell>
        </row>
        <row r="250">
          <cell r="B250">
            <v>6274749</v>
          </cell>
          <cell r="EE250">
            <v>0</v>
          </cell>
          <cell r="EF250">
            <v>0</v>
          </cell>
          <cell r="EG250">
            <v>0</v>
          </cell>
        </row>
        <row r="251">
          <cell r="B251">
            <v>5968674</v>
          </cell>
          <cell r="EE251">
            <v>0</v>
          </cell>
          <cell r="EF251">
            <v>0</v>
          </cell>
          <cell r="EG251">
            <v>0</v>
          </cell>
        </row>
        <row r="252">
          <cell r="B252">
            <v>6275052</v>
          </cell>
          <cell r="EE252">
            <v>2653166624.931426</v>
          </cell>
          <cell r="EF252">
            <v>0</v>
          </cell>
          <cell r="EG252">
            <v>2653166624.931426</v>
          </cell>
        </row>
        <row r="253">
          <cell r="B253">
            <v>5315425</v>
          </cell>
          <cell r="EE253">
            <v>35215075.189999998</v>
          </cell>
          <cell r="EF253">
            <v>0</v>
          </cell>
          <cell r="EG253">
            <v>35215075.189999998</v>
          </cell>
        </row>
        <row r="254">
          <cell r="B254">
            <v>6033407</v>
          </cell>
          <cell r="EE254">
            <v>838625</v>
          </cell>
          <cell r="EF254">
            <v>0</v>
          </cell>
          <cell r="EG254">
            <v>838625</v>
          </cell>
        </row>
        <row r="255">
          <cell r="B255">
            <v>6414877</v>
          </cell>
          <cell r="EE255">
            <v>140444122.59999999</v>
          </cell>
          <cell r="EF255">
            <v>44831515</v>
          </cell>
          <cell r="EG255">
            <v>95612607.599999994</v>
          </cell>
        </row>
        <row r="256">
          <cell r="B256">
            <v>8332959</v>
          </cell>
          <cell r="EE256">
            <v>0</v>
          </cell>
          <cell r="EF256">
            <v>0</v>
          </cell>
          <cell r="EG256">
            <v>0</v>
          </cell>
        </row>
        <row r="257">
          <cell r="B257">
            <v>6038034</v>
          </cell>
          <cell r="EE257">
            <v>0</v>
          </cell>
          <cell r="EF257">
            <v>194880</v>
          </cell>
          <cell r="EG257">
            <v>-194880</v>
          </cell>
        </row>
        <row r="258">
          <cell r="B258">
            <v>6116868</v>
          </cell>
          <cell r="EE258">
            <v>0</v>
          </cell>
          <cell r="EF258">
            <v>0</v>
          </cell>
          <cell r="EG258">
            <v>0</v>
          </cell>
        </row>
        <row r="259">
          <cell r="B259">
            <v>2657449</v>
          </cell>
          <cell r="EE259">
            <v>24898761.039999999</v>
          </cell>
          <cell r="EF259">
            <v>0</v>
          </cell>
          <cell r="EG259">
            <v>24898761.039999999</v>
          </cell>
        </row>
        <row r="260">
          <cell r="B260">
            <v>3625389</v>
          </cell>
          <cell r="EE260">
            <v>0</v>
          </cell>
          <cell r="EF260">
            <v>0</v>
          </cell>
          <cell r="EG260">
            <v>0</v>
          </cell>
        </row>
        <row r="261">
          <cell r="B261">
            <v>5172055</v>
          </cell>
          <cell r="EE261">
            <v>5000000</v>
          </cell>
          <cell r="EF261">
            <v>0</v>
          </cell>
          <cell r="EG261">
            <v>5000000</v>
          </cell>
        </row>
        <row r="262">
          <cell r="B262">
            <v>5990572</v>
          </cell>
          <cell r="EE262">
            <v>0</v>
          </cell>
          <cell r="EF262">
            <v>0</v>
          </cell>
          <cell r="EG262">
            <v>0</v>
          </cell>
        </row>
        <row r="263">
          <cell r="B263">
            <v>6337082</v>
          </cell>
          <cell r="EE263">
            <v>1467466266.9099998</v>
          </cell>
          <cell r="EF263">
            <v>0</v>
          </cell>
          <cell r="EG263">
            <v>1467466266.9099998</v>
          </cell>
        </row>
        <row r="264">
          <cell r="B264">
            <v>5035503</v>
          </cell>
          <cell r="EE264">
            <v>83018639.290000007</v>
          </cell>
          <cell r="EF264">
            <v>0</v>
          </cell>
          <cell r="EG264">
            <v>83018639.290000007</v>
          </cell>
        </row>
        <row r="265">
          <cell r="B265">
            <v>6081827</v>
          </cell>
          <cell r="EE265">
            <v>0</v>
          </cell>
          <cell r="EF265">
            <v>0</v>
          </cell>
          <cell r="EG265">
            <v>0</v>
          </cell>
        </row>
        <row r="266">
          <cell r="B266">
            <v>8451109</v>
          </cell>
          <cell r="EE266">
            <v>0</v>
          </cell>
          <cell r="EF266">
            <v>0</v>
          </cell>
          <cell r="EG266">
            <v>0</v>
          </cell>
        </row>
        <row r="267">
          <cell r="B267">
            <v>5369223</v>
          </cell>
          <cell r="EE267">
            <v>2892885743.6745</v>
          </cell>
          <cell r="EF267">
            <v>2765392427</v>
          </cell>
          <cell r="EG267">
            <v>127493316.67449996</v>
          </cell>
        </row>
        <row r="268">
          <cell r="B268">
            <v>5106893</v>
          </cell>
          <cell r="EE268">
            <v>5502290</v>
          </cell>
          <cell r="EF268">
            <v>2845880</v>
          </cell>
          <cell r="EG268">
            <v>2656410</v>
          </cell>
        </row>
        <row r="269">
          <cell r="B269">
            <v>5072085</v>
          </cell>
          <cell r="EE269">
            <v>19146413</v>
          </cell>
          <cell r="EF269">
            <v>0</v>
          </cell>
          <cell r="EG269">
            <v>19146413</v>
          </cell>
        </row>
        <row r="270">
          <cell r="B270">
            <v>6319092</v>
          </cell>
          <cell r="EE270">
            <v>0</v>
          </cell>
          <cell r="EF270">
            <v>0</v>
          </cell>
          <cell r="EG270">
            <v>0</v>
          </cell>
        </row>
        <row r="271">
          <cell r="B271">
            <v>6164706</v>
          </cell>
          <cell r="EE271">
            <v>0</v>
          </cell>
          <cell r="EF271">
            <v>0</v>
          </cell>
          <cell r="EG271">
            <v>0</v>
          </cell>
        </row>
        <row r="272">
          <cell r="B272">
            <v>2088967</v>
          </cell>
          <cell r="EE272">
            <v>73757535.979999989</v>
          </cell>
          <cell r="EF272">
            <v>0</v>
          </cell>
          <cell r="EG272">
            <v>73757535.979999989</v>
          </cell>
        </row>
        <row r="273">
          <cell r="B273">
            <v>5079942</v>
          </cell>
          <cell r="EE273">
            <v>494910</v>
          </cell>
          <cell r="EF273">
            <v>0</v>
          </cell>
          <cell r="EG273">
            <v>494910</v>
          </cell>
        </row>
        <row r="274">
          <cell r="B274">
            <v>8374007</v>
          </cell>
          <cell r="EE274">
            <v>0</v>
          </cell>
          <cell r="EF274">
            <v>0</v>
          </cell>
          <cell r="EG274">
            <v>0</v>
          </cell>
        </row>
        <row r="275">
          <cell r="B275">
            <v>5976367</v>
          </cell>
          <cell r="EE275">
            <v>0</v>
          </cell>
          <cell r="EF275">
            <v>0</v>
          </cell>
          <cell r="EG275">
            <v>0</v>
          </cell>
        </row>
        <row r="276">
          <cell r="B276">
            <v>5211956</v>
          </cell>
          <cell r="EE276">
            <v>29272000</v>
          </cell>
          <cell r="EF276">
            <v>0</v>
          </cell>
          <cell r="EG276">
            <v>29272000</v>
          </cell>
        </row>
        <row r="277">
          <cell r="B277">
            <v>5980232</v>
          </cell>
          <cell r="EE277">
            <v>0</v>
          </cell>
          <cell r="EF277">
            <v>26872800</v>
          </cell>
          <cell r="EG277">
            <v>-26872800</v>
          </cell>
        </row>
        <row r="278">
          <cell r="B278">
            <v>5294088</v>
          </cell>
          <cell r="EE278">
            <v>2753160392.9872131</v>
          </cell>
          <cell r="EF278">
            <v>2871254139</v>
          </cell>
          <cell r="EG278">
            <v>-118093746.01278707</v>
          </cell>
        </row>
        <row r="279">
          <cell r="B279">
            <v>3437469</v>
          </cell>
          <cell r="EE279">
            <v>0</v>
          </cell>
          <cell r="EF279">
            <v>0</v>
          </cell>
          <cell r="EG279">
            <v>0</v>
          </cell>
        </row>
        <row r="280">
          <cell r="B280">
            <v>5747139</v>
          </cell>
          <cell r="EE280">
            <v>10042960</v>
          </cell>
          <cell r="EF280">
            <v>0</v>
          </cell>
          <cell r="EG280">
            <v>10042960</v>
          </cell>
        </row>
        <row r="281">
          <cell r="B281">
            <v>5111668</v>
          </cell>
          <cell r="EE281">
            <v>22046228</v>
          </cell>
          <cell r="EF281">
            <v>6142110</v>
          </cell>
          <cell r="EG281">
            <v>15904118</v>
          </cell>
        </row>
        <row r="282">
          <cell r="B282">
            <v>5678838</v>
          </cell>
          <cell r="EE282">
            <v>8807849.9700000007</v>
          </cell>
          <cell r="EF282">
            <v>0</v>
          </cell>
          <cell r="EG282">
            <v>8807849.9700000007</v>
          </cell>
        </row>
        <row r="283">
          <cell r="B283">
            <v>5376467</v>
          </cell>
          <cell r="EE283">
            <v>75374111.340000004</v>
          </cell>
          <cell r="EF283">
            <v>429018222</v>
          </cell>
          <cell r="EG283">
            <v>-353644110.66000003</v>
          </cell>
        </row>
        <row r="284">
          <cell r="B284">
            <v>3130444</v>
          </cell>
          <cell r="EE284">
            <v>0</v>
          </cell>
          <cell r="EF284">
            <v>0</v>
          </cell>
          <cell r="EG284">
            <v>0</v>
          </cell>
        </row>
        <row r="285">
          <cell r="B285">
            <v>5698154</v>
          </cell>
          <cell r="EE285">
            <v>0</v>
          </cell>
          <cell r="EF285">
            <v>0</v>
          </cell>
          <cell r="EG285">
            <v>0</v>
          </cell>
        </row>
        <row r="286">
          <cell r="B286">
            <v>6743323</v>
          </cell>
          <cell r="EE286">
            <v>0</v>
          </cell>
          <cell r="EF286">
            <v>0</v>
          </cell>
          <cell r="EG286">
            <v>0</v>
          </cell>
        </row>
        <row r="287">
          <cell r="B287">
            <v>6567452</v>
          </cell>
          <cell r="EE287">
            <v>31356743.48</v>
          </cell>
          <cell r="EF287">
            <v>0</v>
          </cell>
          <cell r="EG287">
            <v>31356743.48</v>
          </cell>
        </row>
        <row r="288">
          <cell r="B288">
            <v>5364051</v>
          </cell>
          <cell r="EE288">
            <v>1080000</v>
          </cell>
          <cell r="EF288">
            <v>0</v>
          </cell>
          <cell r="EG288">
            <v>1080000</v>
          </cell>
        </row>
        <row r="289">
          <cell r="B289">
            <v>6309003</v>
          </cell>
          <cell r="EE289">
            <v>0</v>
          </cell>
          <cell r="EF289">
            <v>0</v>
          </cell>
          <cell r="EG289">
            <v>0</v>
          </cell>
        </row>
        <row r="290">
          <cell r="B290">
            <v>6690912</v>
          </cell>
          <cell r="EE290">
            <v>0</v>
          </cell>
          <cell r="EF290">
            <v>4739147</v>
          </cell>
          <cell r="EG290">
            <v>-4739147</v>
          </cell>
        </row>
        <row r="291">
          <cell r="B291">
            <v>2771179</v>
          </cell>
          <cell r="EE291">
            <v>37492473</v>
          </cell>
          <cell r="EF291">
            <v>0</v>
          </cell>
          <cell r="EG291">
            <v>37492473</v>
          </cell>
        </row>
        <row r="292">
          <cell r="B292">
            <v>3311007</v>
          </cell>
          <cell r="EE292">
            <v>56977505.880000003</v>
          </cell>
          <cell r="EF292">
            <v>0</v>
          </cell>
          <cell r="EG292">
            <v>56977505.880000003</v>
          </cell>
        </row>
        <row r="293">
          <cell r="B293">
            <v>6064116</v>
          </cell>
          <cell r="EE293">
            <v>206915983.94999999</v>
          </cell>
          <cell r="EF293">
            <v>86267794</v>
          </cell>
          <cell r="EG293">
            <v>120648189.95</v>
          </cell>
        </row>
        <row r="294">
          <cell r="B294">
            <v>6836437</v>
          </cell>
          <cell r="EE294">
            <v>32105010.719999999</v>
          </cell>
          <cell r="EF294">
            <v>0</v>
          </cell>
          <cell r="EG294">
            <v>32105010.719999999</v>
          </cell>
        </row>
        <row r="295">
          <cell r="B295">
            <v>6662595</v>
          </cell>
          <cell r="EE295">
            <v>7717500</v>
          </cell>
          <cell r="EF295">
            <v>5875000</v>
          </cell>
          <cell r="EG295">
            <v>1842500</v>
          </cell>
        </row>
        <row r="296">
          <cell r="B296">
            <v>5477301</v>
          </cell>
          <cell r="EE296">
            <v>1693500</v>
          </cell>
          <cell r="EF296">
            <v>39589733</v>
          </cell>
          <cell r="EG296">
            <v>-37896233</v>
          </cell>
        </row>
        <row r="297">
          <cell r="B297">
            <v>5513766</v>
          </cell>
          <cell r="EE297">
            <v>0</v>
          </cell>
          <cell r="EF297">
            <v>0</v>
          </cell>
          <cell r="EG297">
            <v>0</v>
          </cell>
        </row>
        <row r="298">
          <cell r="B298">
            <v>5150167</v>
          </cell>
          <cell r="EE298">
            <v>0</v>
          </cell>
          <cell r="EF298">
            <v>0</v>
          </cell>
          <cell r="EG298">
            <v>0</v>
          </cell>
        </row>
        <row r="299">
          <cell r="B299">
            <v>5192269</v>
          </cell>
          <cell r="EE299">
            <v>37896248.719999999</v>
          </cell>
          <cell r="EF299">
            <v>0</v>
          </cell>
          <cell r="EG299">
            <v>37896248.719999999</v>
          </cell>
        </row>
        <row r="300">
          <cell r="B300">
            <v>5097428</v>
          </cell>
          <cell r="EE300">
            <v>16504922.359999999</v>
          </cell>
          <cell r="EF300">
            <v>0</v>
          </cell>
          <cell r="EG300">
            <v>16504922.359999999</v>
          </cell>
        </row>
        <row r="301">
          <cell r="B301">
            <v>2801299</v>
          </cell>
          <cell r="EE301">
            <v>660664407.546</v>
          </cell>
          <cell r="EF301">
            <v>732683978</v>
          </cell>
          <cell r="EG301">
            <v>-72019570.453999966</v>
          </cell>
        </row>
        <row r="302">
          <cell r="B302">
            <v>3631486</v>
          </cell>
          <cell r="EE302">
            <v>0</v>
          </cell>
          <cell r="EF302">
            <v>0</v>
          </cell>
          <cell r="EG302">
            <v>0</v>
          </cell>
        </row>
        <row r="303">
          <cell r="B303">
            <v>6026303</v>
          </cell>
          <cell r="EE303">
            <v>1.476</v>
          </cell>
          <cell r="EF303">
            <v>0</v>
          </cell>
          <cell r="EG303">
            <v>1.476</v>
          </cell>
        </row>
        <row r="304">
          <cell r="B304">
            <v>5265827</v>
          </cell>
          <cell r="EE304">
            <v>0</v>
          </cell>
          <cell r="EF304">
            <v>0</v>
          </cell>
          <cell r="EG304">
            <v>0</v>
          </cell>
        </row>
        <row r="305">
          <cell r="B305">
            <v>5914094</v>
          </cell>
          <cell r="EE305">
            <v>0</v>
          </cell>
          <cell r="EF305">
            <v>0</v>
          </cell>
          <cell r="EG305">
            <v>0</v>
          </cell>
        </row>
        <row r="306">
          <cell r="B306">
            <v>2622912</v>
          </cell>
          <cell r="EE306">
            <v>92782430.409999996</v>
          </cell>
          <cell r="EF306">
            <v>0</v>
          </cell>
          <cell r="EG306">
            <v>92782430.409999996</v>
          </cell>
        </row>
        <row r="307">
          <cell r="B307">
            <v>5884098</v>
          </cell>
          <cell r="EE307">
            <v>0</v>
          </cell>
          <cell r="EF307">
            <v>0</v>
          </cell>
          <cell r="EG307">
            <v>0</v>
          </cell>
        </row>
        <row r="308">
          <cell r="B308">
            <v>2855119</v>
          </cell>
          <cell r="EE308">
            <v>42773876302.09729</v>
          </cell>
          <cell r="EF308">
            <v>41884127810</v>
          </cell>
          <cell r="EG308">
            <v>889748492.09729099</v>
          </cell>
        </row>
        <row r="309">
          <cell r="B309">
            <v>5095638</v>
          </cell>
          <cell r="EE309">
            <v>18088020.149999999</v>
          </cell>
          <cell r="EF309">
            <v>60959367</v>
          </cell>
          <cell r="EG309">
            <v>-42871346.850000001</v>
          </cell>
        </row>
        <row r="310">
          <cell r="B310">
            <v>8354049</v>
          </cell>
          <cell r="EE310">
            <v>400000</v>
          </cell>
          <cell r="EF310">
            <v>0</v>
          </cell>
          <cell r="EG310">
            <v>400000</v>
          </cell>
        </row>
        <row r="311">
          <cell r="B311">
            <v>5986478</v>
          </cell>
          <cell r="EE311">
            <v>0</v>
          </cell>
          <cell r="EF311">
            <v>0</v>
          </cell>
          <cell r="EG311">
            <v>0</v>
          </cell>
        </row>
        <row r="312">
          <cell r="B312">
            <v>6444318</v>
          </cell>
          <cell r="EE312">
            <v>50589086.979999997</v>
          </cell>
          <cell r="EF312">
            <v>0</v>
          </cell>
          <cell r="EG312">
            <v>50589086.979999997</v>
          </cell>
        </row>
        <row r="313">
          <cell r="B313">
            <v>6076408</v>
          </cell>
          <cell r="EE313">
            <v>0</v>
          </cell>
          <cell r="EF313">
            <v>0</v>
          </cell>
          <cell r="EG313">
            <v>0</v>
          </cell>
        </row>
        <row r="314">
          <cell r="B314">
            <v>2830701</v>
          </cell>
          <cell r="EE314">
            <v>672043734.97565198</v>
          </cell>
          <cell r="EF314">
            <v>908622670</v>
          </cell>
          <cell r="EG314">
            <v>-236578935.02434802</v>
          </cell>
        </row>
        <row r="315">
          <cell r="B315">
            <v>5199174</v>
          </cell>
          <cell r="EE315">
            <v>0</v>
          </cell>
          <cell r="EF315">
            <v>0</v>
          </cell>
          <cell r="EG315">
            <v>0</v>
          </cell>
        </row>
        <row r="316">
          <cell r="B316">
            <v>2778378</v>
          </cell>
          <cell r="EE316">
            <v>35991226.829999998</v>
          </cell>
          <cell r="EF316">
            <v>0</v>
          </cell>
          <cell r="EG316">
            <v>35991226.829999998</v>
          </cell>
        </row>
        <row r="317">
          <cell r="B317">
            <v>3434885</v>
          </cell>
          <cell r="EE317">
            <v>0</v>
          </cell>
          <cell r="EF317">
            <v>0</v>
          </cell>
          <cell r="EG317">
            <v>0</v>
          </cell>
        </row>
        <row r="318">
          <cell r="B318">
            <v>3867803</v>
          </cell>
          <cell r="EE318">
            <v>0</v>
          </cell>
          <cell r="EF318">
            <v>101687779</v>
          </cell>
          <cell r="EG318">
            <v>-101687779</v>
          </cell>
        </row>
        <row r="319">
          <cell r="B319">
            <v>2603365</v>
          </cell>
          <cell r="EE319">
            <v>7727457</v>
          </cell>
          <cell r="EF319">
            <v>0</v>
          </cell>
          <cell r="EG319">
            <v>7727457</v>
          </cell>
        </row>
        <row r="320">
          <cell r="B320">
            <v>6150365</v>
          </cell>
          <cell r="EE320">
            <v>0</v>
          </cell>
          <cell r="EF320">
            <v>0</v>
          </cell>
          <cell r="EG320">
            <v>0</v>
          </cell>
        </row>
        <row r="321">
          <cell r="B321">
            <v>5816815</v>
          </cell>
          <cell r="EE321">
            <v>38397611.349999994</v>
          </cell>
          <cell r="EF321">
            <v>25689803</v>
          </cell>
          <cell r="EG321">
            <v>12707808.349999998</v>
          </cell>
        </row>
        <row r="322">
          <cell r="B322">
            <v>5241359</v>
          </cell>
          <cell r="EE322">
            <v>59343555.873438001</v>
          </cell>
          <cell r="EF322">
            <v>0</v>
          </cell>
          <cell r="EG322">
            <v>59343555.873438001</v>
          </cell>
        </row>
        <row r="323">
          <cell r="B323">
            <v>5203678</v>
          </cell>
          <cell r="EE323">
            <v>469022.65</v>
          </cell>
          <cell r="EF323">
            <v>3890358</v>
          </cell>
          <cell r="EG323">
            <v>-3421335.35</v>
          </cell>
        </row>
        <row r="324">
          <cell r="B324">
            <v>2085976</v>
          </cell>
          <cell r="EE324">
            <v>25813404.559999999</v>
          </cell>
          <cell r="EF324">
            <v>23585538</v>
          </cell>
          <cell r="EG324">
            <v>2227866.5599999987</v>
          </cell>
        </row>
        <row r="325">
          <cell r="B325">
            <v>2094533</v>
          </cell>
          <cell r="EE325">
            <v>46032377027.689964</v>
          </cell>
          <cell r="EF325">
            <v>71199821174</v>
          </cell>
          <cell r="EG325">
            <v>-25167444146.310028</v>
          </cell>
        </row>
        <row r="326">
          <cell r="B326">
            <v>5025397</v>
          </cell>
          <cell r="EE326">
            <v>10711000.700000001</v>
          </cell>
          <cell r="EF326">
            <v>2923121</v>
          </cell>
          <cell r="EG326">
            <v>7787879.7000000002</v>
          </cell>
        </row>
        <row r="327">
          <cell r="B327">
            <v>4371267</v>
          </cell>
          <cell r="EE327">
            <v>0</v>
          </cell>
          <cell r="EF327">
            <v>0</v>
          </cell>
          <cell r="EG327">
            <v>0</v>
          </cell>
        </row>
        <row r="328">
          <cell r="B328">
            <v>6944884</v>
          </cell>
          <cell r="EE328">
            <v>250000</v>
          </cell>
          <cell r="EF328">
            <v>0</v>
          </cell>
          <cell r="EG328">
            <v>250000</v>
          </cell>
        </row>
        <row r="329">
          <cell r="B329">
            <v>6039596</v>
          </cell>
          <cell r="EE329">
            <v>0</v>
          </cell>
          <cell r="EF329">
            <v>0</v>
          </cell>
          <cell r="EG329">
            <v>0</v>
          </cell>
        </row>
        <row r="330">
          <cell r="B330">
            <v>5554411</v>
          </cell>
          <cell r="EE330">
            <v>0</v>
          </cell>
          <cell r="EF330">
            <v>55173162</v>
          </cell>
          <cell r="EG330">
            <v>-55173162</v>
          </cell>
        </row>
        <row r="331">
          <cell r="B331">
            <v>2822601</v>
          </cell>
          <cell r="EE331">
            <v>23345650</v>
          </cell>
          <cell r="EF331">
            <v>23126506</v>
          </cell>
          <cell r="EG331">
            <v>219144</v>
          </cell>
        </row>
        <row r="332">
          <cell r="B332">
            <v>6621376</v>
          </cell>
          <cell r="EE332">
            <v>24000000</v>
          </cell>
          <cell r="EF332">
            <v>0</v>
          </cell>
          <cell r="EG332">
            <v>24000000</v>
          </cell>
        </row>
        <row r="333">
          <cell r="B333">
            <v>2593009</v>
          </cell>
          <cell r="EE333">
            <v>1366774434.9331839</v>
          </cell>
          <cell r="EF333">
            <v>0</v>
          </cell>
          <cell r="EG333">
            <v>1366774434.9331839</v>
          </cell>
        </row>
        <row r="334">
          <cell r="B334">
            <v>5224942</v>
          </cell>
          <cell r="EE334">
            <v>0</v>
          </cell>
          <cell r="EF334">
            <v>30452610</v>
          </cell>
          <cell r="EG334">
            <v>-30452610</v>
          </cell>
        </row>
        <row r="335">
          <cell r="B335">
            <v>5209307</v>
          </cell>
          <cell r="EE335">
            <v>3454790</v>
          </cell>
          <cell r="EF335">
            <v>0</v>
          </cell>
          <cell r="EG335">
            <v>3454790</v>
          </cell>
        </row>
        <row r="336">
          <cell r="B336">
            <v>5407761</v>
          </cell>
          <cell r="EE336">
            <v>0</v>
          </cell>
          <cell r="EF336">
            <v>0</v>
          </cell>
          <cell r="EG336">
            <v>0</v>
          </cell>
        </row>
        <row r="337">
          <cell r="B337">
            <v>6470416</v>
          </cell>
          <cell r="EE337">
            <v>0</v>
          </cell>
          <cell r="EF337">
            <v>0</v>
          </cell>
          <cell r="EG337">
            <v>0</v>
          </cell>
        </row>
        <row r="338">
          <cell r="B338">
            <v>5030986</v>
          </cell>
          <cell r="EE338">
            <v>0</v>
          </cell>
          <cell r="EF338">
            <v>0</v>
          </cell>
          <cell r="EG338">
            <v>0</v>
          </cell>
        </row>
        <row r="339">
          <cell r="B339">
            <v>2797836</v>
          </cell>
          <cell r="EE339">
            <v>0</v>
          </cell>
          <cell r="EF339">
            <v>0</v>
          </cell>
          <cell r="EG339">
            <v>0</v>
          </cell>
        </row>
        <row r="340">
          <cell r="B340">
            <v>5197376</v>
          </cell>
          <cell r="EE340">
            <v>23442668.989999998</v>
          </cell>
          <cell r="EF340">
            <v>0</v>
          </cell>
          <cell r="EG340">
            <v>23442668.989999998</v>
          </cell>
        </row>
        <row r="341">
          <cell r="B341">
            <v>2881934</v>
          </cell>
          <cell r="EE341">
            <v>0</v>
          </cell>
          <cell r="EF341">
            <v>0</v>
          </cell>
          <cell r="EG341">
            <v>0</v>
          </cell>
        </row>
        <row r="342">
          <cell r="B342">
            <v>3737373</v>
          </cell>
          <cell r="EE342">
            <v>440166376.70000005</v>
          </cell>
          <cell r="EF342">
            <v>317553277</v>
          </cell>
          <cell r="EG342">
            <v>122613099.70000003</v>
          </cell>
        </row>
        <row r="343">
          <cell r="B343">
            <v>5938953</v>
          </cell>
          <cell r="EE343">
            <v>0</v>
          </cell>
          <cell r="EF343">
            <v>0</v>
          </cell>
          <cell r="EG343">
            <v>0</v>
          </cell>
        </row>
        <row r="344">
          <cell r="B344">
            <v>3553779</v>
          </cell>
          <cell r="EE344">
            <v>12287250</v>
          </cell>
          <cell r="EF344">
            <v>0</v>
          </cell>
          <cell r="EG344">
            <v>12287250</v>
          </cell>
        </row>
        <row r="345">
          <cell r="B345">
            <v>6163351</v>
          </cell>
          <cell r="EE345">
            <v>38335100</v>
          </cell>
          <cell r="EF345">
            <v>27777480</v>
          </cell>
          <cell r="EG345">
            <v>10557620</v>
          </cell>
        </row>
        <row r="346">
          <cell r="B346">
            <v>9011706</v>
          </cell>
          <cell r="EE346">
            <v>187862370.84</v>
          </cell>
          <cell r="EF346">
            <v>0</v>
          </cell>
          <cell r="EG346">
            <v>187862370.84</v>
          </cell>
        </row>
        <row r="347">
          <cell r="B347">
            <v>6047424</v>
          </cell>
          <cell r="EE347">
            <v>1052429.3799999999</v>
          </cell>
          <cell r="EF347">
            <v>0</v>
          </cell>
          <cell r="EG347">
            <v>1052429.3799999999</v>
          </cell>
        </row>
        <row r="348">
          <cell r="B348">
            <v>6052118</v>
          </cell>
          <cell r="EE348">
            <v>0</v>
          </cell>
          <cell r="EF348">
            <v>0</v>
          </cell>
          <cell r="EG348">
            <v>0</v>
          </cell>
        </row>
        <row r="349">
          <cell r="B349">
            <v>6006124</v>
          </cell>
          <cell r="EE349">
            <v>120200000</v>
          </cell>
          <cell r="EF349">
            <v>0</v>
          </cell>
          <cell r="EG349">
            <v>120200000</v>
          </cell>
        </row>
        <row r="350">
          <cell r="B350">
            <v>5931193</v>
          </cell>
          <cell r="EE350">
            <v>0</v>
          </cell>
          <cell r="EF350">
            <v>0</v>
          </cell>
          <cell r="EG350">
            <v>0</v>
          </cell>
        </row>
        <row r="351">
          <cell r="B351">
            <v>5581435</v>
          </cell>
          <cell r="EE351">
            <v>0</v>
          </cell>
          <cell r="EF351">
            <v>0</v>
          </cell>
          <cell r="EG351">
            <v>0</v>
          </cell>
        </row>
        <row r="352">
          <cell r="B352">
            <v>6790216</v>
          </cell>
          <cell r="EE352">
            <v>0</v>
          </cell>
          <cell r="EF352">
            <v>0</v>
          </cell>
          <cell r="EG352">
            <v>0</v>
          </cell>
        </row>
        <row r="353">
          <cell r="B353">
            <v>5581486</v>
          </cell>
          <cell r="EE353">
            <v>0</v>
          </cell>
          <cell r="EF353">
            <v>0</v>
          </cell>
          <cell r="EG353">
            <v>0</v>
          </cell>
        </row>
        <row r="354">
          <cell r="B354">
            <v>5914892</v>
          </cell>
          <cell r="EE354">
            <v>0</v>
          </cell>
          <cell r="EF354">
            <v>0</v>
          </cell>
          <cell r="EG354">
            <v>0</v>
          </cell>
        </row>
        <row r="355">
          <cell r="B355">
            <v>5108799</v>
          </cell>
          <cell r="EE355">
            <v>58897779.469999999</v>
          </cell>
          <cell r="EF355">
            <v>0</v>
          </cell>
          <cell r="EG355">
            <v>58897779.469999999</v>
          </cell>
        </row>
        <row r="356">
          <cell r="B356">
            <v>2075652</v>
          </cell>
          <cell r="EE356">
            <v>0</v>
          </cell>
          <cell r="EF356">
            <v>5007938</v>
          </cell>
          <cell r="EG356">
            <v>-5007938</v>
          </cell>
        </row>
        <row r="357">
          <cell r="B357">
            <v>5839114</v>
          </cell>
          <cell r="EE357">
            <v>0</v>
          </cell>
          <cell r="EF357">
            <v>0</v>
          </cell>
          <cell r="EG357">
            <v>0</v>
          </cell>
        </row>
        <row r="358">
          <cell r="B358">
            <v>2542714</v>
          </cell>
          <cell r="EE358">
            <v>0</v>
          </cell>
          <cell r="EF358">
            <v>67200</v>
          </cell>
          <cell r="EG358">
            <v>-67200</v>
          </cell>
        </row>
        <row r="359">
          <cell r="B359">
            <v>5529417</v>
          </cell>
          <cell r="EE359">
            <v>1665200</v>
          </cell>
          <cell r="EF359">
            <v>0</v>
          </cell>
          <cell r="EG359">
            <v>1665200</v>
          </cell>
        </row>
        <row r="360">
          <cell r="B360">
            <v>5060419</v>
          </cell>
          <cell r="EE360">
            <v>0</v>
          </cell>
          <cell r="EF360">
            <v>0</v>
          </cell>
          <cell r="EG360">
            <v>0</v>
          </cell>
        </row>
        <row r="361">
          <cell r="B361">
            <v>5111803</v>
          </cell>
          <cell r="EE361">
            <v>0</v>
          </cell>
          <cell r="EF361">
            <v>1350000</v>
          </cell>
          <cell r="EG361">
            <v>-1350000</v>
          </cell>
        </row>
        <row r="362">
          <cell r="B362">
            <v>5194199</v>
          </cell>
          <cell r="EE362">
            <v>0</v>
          </cell>
          <cell r="EF362">
            <v>0</v>
          </cell>
          <cell r="EG362">
            <v>0</v>
          </cell>
        </row>
        <row r="363">
          <cell r="B363">
            <v>5152518</v>
          </cell>
          <cell r="EE363">
            <v>5290145</v>
          </cell>
          <cell r="EF363">
            <v>0</v>
          </cell>
          <cell r="EG363">
            <v>5290145</v>
          </cell>
        </row>
        <row r="364">
          <cell r="B364">
            <v>5715253</v>
          </cell>
          <cell r="EE364">
            <v>0</v>
          </cell>
          <cell r="EF364">
            <v>0</v>
          </cell>
          <cell r="EG364">
            <v>0</v>
          </cell>
        </row>
        <row r="365">
          <cell r="B365">
            <v>4068955</v>
          </cell>
          <cell r="EE365">
            <v>19750780.810000002</v>
          </cell>
          <cell r="EF365">
            <v>0</v>
          </cell>
          <cell r="EG365">
            <v>19750780.810000002</v>
          </cell>
        </row>
        <row r="366">
          <cell r="B366">
            <v>5343712</v>
          </cell>
          <cell r="EE366">
            <v>0</v>
          </cell>
          <cell r="EF366">
            <v>0</v>
          </cell>
          <cell r="EG366">
            <v>0</v>
          </cell>
        </row>
        <row r="367">
          <cell r="B367">
            <v>6149731</v>
          </cell>
          <cell r="EE367">
            <v>0</v>
          </cell>
          <cell r="EF367">
            <v>0</v>
          </cell>
          <cell r="EG367">
            <v>0</v>
          </cell>
        </row>
        <row r="368">
          <cell r="B368">
            <v>5101468</v>
          </cell>
          <cell r="EE368">
            <v>0</v>
          </cell>
          <cell r="EF368">
            <v>0</v>
          </cell>
          <cell r="EG368">
            <v>0</v>
          </cell>
        </row>
        <row r="369">
          <cell r="B369">
            <v>5722942</v>
          </cell>
          <cell r="EE369">
            <v>1042292827.057934</v>
          </cell>
          <cell r="EF369">
            <v>0</v>
          </cell>
          <cell r="EG369">
            <v>1042292827.057934</v>
          </cell>
        </row>
        <row r="370">
          <cell r="B370">
            <v>2003732</v>
          </cell>
          <cell r="EE370">
            <v>0</v>
          </cell>
          <cell r="EF370">
            <v>0</v>
          </cell>
          <cell r="EG370">
            <v>0</v>
          </cell>
        </row>
        <row r="371">
          <cell r="B371">
            <v>6169325</v>
          </cell>
          <cell r="EE371">
            <v>19028000</v>
          </cell>
          <cell r="EF371">
            <v>0</v>
          </cell>
          <cell r="EG371">
            <v>19028000</v>
          </cell>
        </row>
        <row r="372">
          <cell r="B372">
            <v>5429196</v>
          </cell>
          <cell r="EE372">
            <v>1882170</v>
          </cell>
          <cell r="EF372">
            <v>0</v>
          </cell>
          <cell r="EG372">
            <v>1882170</v>
          </cell>
        </row>
        <row r="373">
          <cell r="B373">
            <v>6132111</v>
          </cell>
          <cell r="EE373">
            <v>0</v>
          </cell>
          <cell r="EF373">
            <v>0</v>
          </cell>
          <cell r="EG373">
            <v>0</v>
          </cell>
        </row>
        <row r="374">
          <cell r="B374">
            <v>5007127</v>
          </cell>
          <cell r="EE374">
            <v>19649256.989999998</v>
          </cell>
          <cell r="EF374">
            <v>89304734</v>
          </cell>
          <cell r="EG374">
            <v>-69655477.00999999</v>
          </cell>
        </row>
        <row r="375">
          <cell r="B375">
            <v>5111145</v>
          </cell>
          <cell r="EE375">
            <v>0</v>
          </cell>
          <cell r="EF375">
            <v>0</v>
          </cell>
          <cell r="EG375">
            <v>0</v>
          </cell>
        </row>
        <row r="376">
          <cell r="B376">
            <v>5210402</v>
          </cell>
          <cell r="EE376">
            <v>3345300</v>
          </cell>
          <cell r="EF376">
            <v>0</v>
          </cell>
          <cell r="EG376">
            <v>3345300</v>
          </cell>
        </row>
        <row r="377">
          <cell r="B377">
            <v>2643928</v>
          </cell>
          <cell r="EE377">
            <v>433549088.31999993</v>
          </cell>
          <cell r="EF377">
            <v>185094</v>
          </cell>
          <cell r="EG377">
            <v>433363994.31999993</v>
          </cell>
        </row>
        <row r="378">
          <cell r="B378">
            <v>2063182</v>
          </cell>
          <cell r="EE378">
            <v>278350482.5</v>
          </cell>
          <cell r="EF378">
            <v>0</v>
          </cell>
          <cell r="EG378">
            <v>278350482.5</v>
          </cell>
        </row>
        <row r="379">
          <cell r="B379">
            <v>2886219</v>
          </cell>
          <cell r="EE379">
            <v>5126100.8</v>
          </cell>
          <cell r="EF379">
            <v>0</v>
          </cell>
          <cell r="EG379">
            <v>5126100.8</v>
          </cell>
        </row>
        <row r="380">
          <cell r="B380">
            <v>2827891</v>
          </cell>
          <cell r="EE380">
            <v>394983.05</v>
          </cell>
          <cell r="EF380">
            <v>0</v>
          </cell>
          <cell r="EG380">
            <v>394983.05</v>
          </cell>
        </row>
        <row r="381">
          <cell r="B381">
            <v>5462304</v>
          </cell>
          <cell r="EE381">
            <v>0</v>
          </cell>
          <cell r="EF381">
            <v>0</v>
          </cell>
          <cell r="EG381">
            <v>0</v>
          </cell>
        </row>
        <row r="382">
          <cell r="B382">
            <v>5303265</v>
          </cell>
          <cell r="EE382">
            <v>34328199.789999999</v>
          </cell>
          <cell r="EF382">
            <v>338534</v>
          </cell>
          <cell r="EG382">
            <v>33989665.789999999</v>
          </cell>
        </row>
        <row r="383">
          <cell r="B383">
            <v>2677121</v>
          </cell>
          <cell r="EE383">
            <v>169388.05</v>
          </cell>
          <cell r="EF383">
            <v>0</v>
          </cell>
          <cell r="EG383">
            <v>169388.05</v>
          </cell>
        </row>
        <row r="384">
          <cell r="B384">
            <v>6561438</v>
          </cell>
          <cell r="EE384">
            <v>172745656.26999998</v>
          </cell>
          <cell r="EF384">
            <v>0</v>
          </cell>
          <cell r="EG384">
            <v>172745656.26999998</v>
          </cell>
        </row>
        <row r="385">
          <cell r="B385">
            <v>6723535</v>
          </cell>
          <cell r="EE385">
            <v>23085806.210000001</v>
          </cell>
          <cell r="EF385">
            <v>37989026</v>
          </cell>
          <cell r="EG385">
            <v>-14903219.789999999</v>
          </cell>
        </row>
        <row r="386">
          <cell r="B386">
            <v>5309085</v>
          </cell>
          <cell r="EE386">
            <v>0</v>
          </cell>
          <cell r="EF386">
            <v>0</v>
          </cell>
          <cell r="EG386">
            <v>0</v>
          </cell>
        </row>
        <row r="387">
          <cell r="B387">
            <v>5136512</v>
          </cell>
          <cell r="EE387">
            <v>0</v>
          </cell>
          <cell r="EF387">
            <v>3194205</v>
          </cell>
          <cell r="EG387">
            <v>-3194205</v>
          </cell>
        </row>
        <row r="388">
          <cell r="B388">
            <v>6171346</v>
          </cell>
          <cell r="EE388">
            <v>42134026.93</v>
          </cell>
          <cell r="EF388">
            <v>0</v>
          </cell>
          <cell r="EG388">
            <v>42134026.93</v>
          </cell>
        </row>
        <row r="389">
          <cell r="B389">
            <v>8413908</v>
          </cell>
          <cell r="EE389">
            <v>0</v>
          </cell>
          <cell r="EF389">
            <v>0</v>
          </cell>
          <cell r="EG389">
            <v>0</v>
          </cell>
        </row>
        <row r="390">
          <cell r="B390">
            <v>5247462</v>
          </cell>
          <cell r="EE390">
            <v>62623111.25</v>
          </cell>
          <cell r="EF390">
            <v>172651835</v>
          </cell>
          <cell r="EG390">
            <v>-110028723.75</v>
          </cell>
        </row>
        <row r="391">
          <cell r="B391">
            <v>6676332</v>
          </cell>
          <cell r="EE391">
            <v>0</v>
          </cell>
          <cell r="EF391">
            <v>0</v>
          </cell>
          <cell r="EG391">
            <v>0</v>
          </cell>
        </row>
        <row r="392">
          <cell r="B392">
            <v>5097657</v>
          </cell>
          <cell r="EE392">
            <v>0</v>
          </cell>
          <cell r="EF392">
            <v>9271228</v>
          </cell>
          <cell r="EG392">
            <v>-9271228</v>
          </cell>
        </row>
        <row r="393">
          <cell r="B393">
            <v>5438217</v>
          </cell>
          <cell r="EE393">
            <v>0</v>
          </cell>
          <cell r="EF393">
            <v>0</v>
          </cell>
          <cell r="EG393">
            <v>0</v>
          </cell>
        </row>
        <row r="394">
          <cell r="B394">
            <v>6003761</v>
          </cell>
          <cell r="EE394">
            <v>0</v>
          </cell>
          <cell r="EF394">
            <v>0</v>
          </cell>
          <cell r="EG394">
            <v>0</v>
          </cell>
        </row>
        <row r="395">
          <cell r="B395">
            <v>5356806</v>
          </cell>
          <cell r="EE395">
            <v>0</v>
          </cell>
          <cell r="EF395">
            <v>0</v>
          </cell>
          <cell r="EG395">
            <v>0</v>
          </cell>
        </row>
        <row r="396">
          <cell r="B396">
            <v>2888696</v>
          </cell>
          <cell r="EE396">
            <v>831555190.59700012</v>
          </cell>
          <cell r="EF396">
            <v>239578067</v>
          </cell>
          <cell r="EG396">
            <v>591977123.59700012</v>
          </cell>
        </row>
        <row r="397">
          <cell r="B397">
            <v>2848066</v>
          </cell>
          <cell r="EE397">
            <v>573603186.19999993</v>
          </cell>
          <cell r="EF397">
            <v>785582</v>
          </cell>
          <cell r="EG397">
            <v>572817604.19999993</v>
          </cell>
        </row>
        <row r="398">
          <cell r="B398">
            <v>4065115</v>
          </cell>
          <cell r="EE398">
            <v>2668712123.316328</v>
          </cell>
          <cell r="EF398">
            <v>0</v>
          </cell>
          <cell r="EG398">
            <v>2668712123.316328</v>
          </cell>
        </row>
        <row r="399">
          <cell r="B399">
            <v>6412424</v>
          </cell>
          <cell r="EE399">
            <v>0</v>
          </cell>
          <cell r="EF399">
            <v>0</v>
          </cell>
          <cell r="EG399">
            <v>0</v>
          </cell>
        </row>
        <row r="400">
          <cell r="B400">
            <v>5142636</v>
          </cell>
          <cell r="EE400">
            <v>13336457</v>
          </cell>
          <cell r="EF400">
            <v>50860000</v>
          </cell>
          <cell r="EG400">
            <v>-37523543</v>
          </cell>
        </row>
        <row r="401">
          <cell r="B401">
            <v>5876834</v>
          </cell>
          <cell r="EE401">
            <v>0</v>
          </cell>
          <cell r="EF401">
            <v>0</v>
          </cell>
          <cell r="EG401">
            <v>0</v>
          </cell>
        </row>
        <row r="402">
          <cell r="B402">
            <v>6168019</v>
          </cell>
          <cell r="EE402">
            <v>0</v>
          </cell>
          <cell r="EF402">
            <v>103840075</v>
          </cell>
          <cell r="EG402">
            <v>-103840075</v>
          </cell>
        </row>
        <row r="403">
          <cell r="B403">
            <v>5613086</v>
          </cell>
          <cell r="EE403">
            <v>0</v>
          </cell>
          <cell r="EF403">
            <v>0</v>
          </cell>
          <cell r="EG403">
            <v>0</v>
          </cell>
        </row>
        <row r="404">
          <cell r="B404">
            <v>6174248</v>
          </cell>
          <cell r="EE404">
            <v>18012126.73</v>
          </cell>
          <cell r="EF404">
            <v>0</v>
          </cell>
          <cell r="EG404">
            <v>18012126.73</v>
          </cell>
        </row>
        <row r="405">
          <cell r="B405">
            <v>3318486</v>
          </cell>
          <cell r="EE405">
            <v>0</v>
          </cell>
          <cell r="EF405">
            <v>103763865</v>
          </cell>
          <cell r="EG405">
            <v>-103763865</v>
          </cell>
        </row>
        <row r="406">
          <cell r="B406">
            <v>3076008</v>
          </cell>
          <cell r="EE406">
            <v>239238</v>
          </cell>
          <cell r="EF406">
            <v>0</v>
          </cell>
          <cell r="EG406">
            <v>239238</v>
          </cell>
        </row>
        <row r="407">
          <cell r="B407">
            <v>8405883</v>
          </cell>
          <cell r="EE407">
            <v>24216181.399999999</v>
          </cell>
          <cell r="EF407">
            <v>2500</v>
          </cell>
          <cell r="EG407">
            <v>24213681.399999999</v>
          </cell>
        </row>
        <row r="408">
          <cell r="B408">
            <v>5026016</v>
          </cell>
          <cell r="EE408">
            <v>17558300</v>
          </cell>
          <cell r="EF408">
            <v>0</v>
          </cell>
          <cell r="EG408">
            <v>17558300</v>
          </cell>
        </row>
        <row r="409">
          <cell r="B409">
            <v>5807697</v>
          </cell>
          <cell r="EE409">
            <v>0</v>
          </cell>
          <cell r="EF409">
            <v>0</v>
          </cell>
          <cell r="EG409">
            <v>0</v>
          </cell>
        </row>
        <row r="410">
          <cell r="B410">
            <v>5502292</v>
          </cell>
          <cell r="EE410">
            <v>625487728.15549994</v>
          </cell>
          <cell r="EF410">
            <v>492131303</v>
          </cell>
          <cell r="EG410">
            <v>133356425.15549999</v>
          </cell>
        </row>
        <row r="411">
          <cell r="B411">
            <v>5228026</v>
          </cell>
          <cell r="EE411">
            <v>1267275</v>
          </cell>
          <cell r="EF411">
            <v>0</v>
          </cell>
          <cell r="EG411">
            <v>1267275</v>
          </cell>
        </row>
        <row r="412">
          <cell r="B412">
            <v>5250218</v>
          </cell>
          <cell r="EE412">
            <v>4390909.08</v>
          </cell>
          <cell r="EF412">
            <v>0</v>
          </cell>
          <cell r="EG412">
            <v>4390909.08</v>
          </cell>
        </row>
        <row r="413">
          <cell r="B413">
            <v>5311349</v>
          </cell>
          <cell r="EE413">
            <v>0</v>
          </cell>
          <cell r="EF413">
            <v>0</v>
          </cell>
          <cell r="EG413">
            <v>0</v>
          </cell>
        </row>
        <row r="414">
          <cell r="B414">
            <v>6167616</v>
          </cell>
          <cell r="EE414">
            <v>0</v>
          </cell>
          <cell r="EF414">
            <v>0</v>
          </cell>
          <cell r="EG414">
            <v>0</v>
          </cell>
        </row>
        <row r="415">
          <cell r="B415">
            <v>8396124</v>
          </cell>
          <cell r="EE415">
            <v>1001000</v>
          </cell>
          <cell r="EF415">
            <v>0</v>
          </cell>
          <cell r="EG415">
            <v>1001000</v>
          </cell>
        </row>
        <row r="416">
          <cell r="B416">
            <v>5584469</v>
          </cell>
          <cell r="EE416">
            <v>6471200</v>
          </cell>
          <cell r="EF416">
            <v>0</v>
          </cell>
          <cell r="EG416">
            <v>6471200</v>
          </cell>
        </row>
        <row r="417">
          <cell r="B417">
            <v>6847889</v>
          </cell>
          <cell r="EE417">
            <v>1239922</v>
          </cell>
          <cell r="EF417">
            <v>0</v>
          </cell>
          <cell r="EG417">
            <v>1239922</v>
          </cell>
        </row>
        <row r="418">
          <cell r="B418">
            <v>5162696</v>
          </cell>
          <cell r="EE418">
            <v>68213437.932500005</v>
          </cell>
          <cell r="EF418">
            <v>0</v>
          </cell>
          <cell r="EG418">
            <v>68213437.932500005</v>
          </cell>
        </row>
        <row r="419">
          <cell r="B419">
            <v>5023033</v>
          </cell>
          <cell r="EE419">
            <v>0</v>
          </cell>
          <cell r="EF419">
            <v>0</v>
          </cell>
          <cell r="EG419">
            <v>0</v>
          </cell>
        </row>
        <row r="420">
          <cell r="B420">
            <v>2016567</v>
          </cell>
          <cell r="EE420">
            <v>5329934</v>
          </cell>
          <cell r="EF420">
            <v>0</v>
          </cell>
          <cell r="EG420">
            <v>5329934</v>
          </cell>
        </row>
        <row r="421">
          <cell r="B421">
            <v>5600499</v>
          </cell>
          <cell r="EE421">
            <v>2844348</v>
          </cell>
          <cell r="EF421">
            <v>7429555</v>
          </cell>
          <cell r="EG421">
            <v>-4585207</v>
          </cell>
        </row>
        <row r="422">
          <cell r="B422">
            <v>5254469</v>
          </cell>
          <cell r="EE422">
            <v>16125000</v>
          </cell>
          <cell r="EF422">
            <v>0</v>
          </cell>
          <cell r="EG422">
            <v>16125000</v>
          </cell>
        </row>
        <row r="423">
          <cell r="B423">
            <v>5269571</v>
          </cell>
          <cell r="EE423">
            <v>137500</v>
          </cell>
          <cell r="EF423">
            <v>0</v>
          </cell>
          <cell r="EG423">
            <v>137500</v>
          </cell>
        </row>
        <row r="424">
          <cell r="B424">
            <v>6202543</v>
          </cell>
          <cell r="EE424">
            <v>0</v>
          </cell>
          <cell r="EF424">
            <v>0</v>
          </cell>
          <cell r="EG424">
            <v>0</v>
          </cell>
        </row>
        <row r="425">
          <cell r="B425">
            <v>6559085</v>
          </cell>
          <cell r="EE425">
            <v>6625600</v>
          </cell>
          <cell r="EF425">
            <v>2981910</v>
          </cell>
          <cell r="EG425">
            <v>3643690</v>
          </cell>
        </row>
        <row r="426">
          <cell r="B426">
            <v>5748933</v>
          </cell>
          <cell r="EE426">
            <v>3343850</v>
          </cell>
          <cell r="EF426">
            <v>0</v>
          </cell>
          <cell r="EG426">
            <v>3343850</v>
          </cell>
        </row>
        <row r="427">
          <cell r="B427">
            <v>4251148</v>
          </cell>
          <cell r="EE427">
            <v>805284770.44921005</v>
          </cell>
          <cell r="EF427">
            <v>0</v>
          </cell>
          <cell r="EG427">
            <v>805284770.44921005</v>
          </cell>
        </row>
        <row r="428">
          <cell r="B428">
            <v>4282779</v>
          </cell>
          <cell r="EE428">
            <v>500807163.75999999</v>
          </cell>
          <cell r="EF428">
            <v>0</v>
          </cell>
          <cell r="EG428">
            <v>500807163.75999999</v>
          </cell>
        </row>
        <row r="429">
          <cell r="B429">
            <v>2095092</v>
          </cell>
          <cell r="EE429">
            <v>642252811.28999996</v>
          </cell>
          <cell r="EF429">
            <v>0</v>
          </cell>
          <cell r="EG429">
            <v>642252811.28999996</v>
          </cell>
        </row>
        <row r="430">
          <cell r="B430">
            <v>5003105</v>
          </cell>
          <cell r="EE430">
            <v>0</v>
          </cell>
          <cell r="EF430">
            <v>1859590</v>
          </cell>
          <cell r="EG430">
            <v>-1859590</v>
          </cell>
        </row>
        <row r="431">
          <cell r="B431">
            <v>2544695</v>
          </cell>
          <cell r="EE431">
            <v>695469241.13999999</v>
          </cell>
          <cell r="EF431">
            <v>0</v>
          </cell>
          <cell r="EG431">
            <v>695469241.13999999</v>
          </cell>
        </row>
        <row r="432">
          <cell r="B432">
            <v>2085844</v>
          </cell>
          <cell r="EE432">
            <v>0</v>
          </cell>
          <cell r="EF432">
            <v>0</v>
          </cell>
          <cell r="EG432">
            <v>0</v>
          </cell>
        </row>
        <row r="433">
          <cell r="B433">
            <v>2010097</v>
          </cell>
          <cell r="EE433">
            <v>3131823051.8601341</v>
          </cell>
          <cell r="EF433">
            <v>4058237199</v>
          </cell>
          <cell r="EG433">
            <v>-926414147.13986588</v>
          </cell>
        </row>
        <row r="434">
          <cell r="B434">
            <v>4261097</v>
          </cell>
          <cell r="EE434">
            <v>10000000</v>
          </cell>
          <cell r="EF434">
            <v>0</v>
          </cell>
          <cell r="EG434">
            <v>10000000</v>
          </cell>
        </row>
        <row r="435">
          <cell r="B435">
            <v>4373022</v>
          </cell>
          <cell r="EE435">
            <v>6639251</v>
          </cell>
          <cell r="EF435">
            <v>0</v>
          </cell>
          <cell r="EG435">
            <v>6639251</v>
          </cell>
        </row>
        <row r="436">
          <cell r="B436">
            <v>5122392</v>
          </cell>
          <cell r="EE436">
            <v>0</v>
          </cell>
          <cell r="EF436">
            <v>0</v>
          </cell>
          <cell r="EG436">
            <v>0</v>
          </cell>
        </row>
        <row r="437">
          <cell r="B437">
            <v>6212182</v>
          </cell>
          <cell r="EE437">
            <v>0</v>
          </cell>
          <cell r="EF437">
            <v>0</v>
          </cell>
          <cell r="EG437">
            <v>0</v>
          </cell>
        </row>
        <row r="438">
          <cell r="B438">
            <v>2054701</v>
          </cell>
          <cell r="EE438">
            <v>1360517944.2243853</v>
          </cell>
          <cell r="EF438">
            <v>182442604</v>
          </cell>
          <cell r="EG438">
            <v>1178075340.2243853</v>
          </cell>
        </row>
        <row r="439">
          <cell r="B439">
            <v>2615797</v>
          </cell>
          <cell r="EE439">
            <v>471192738.07150394</v>
          </cell>
          <cell r="EF439">
            <v>105454446</v>
          </cell>
          <cell r="EG439">
            <v>365738292.071504</v>
          </cell>
        </row>
        <row r="440">
          <cell r="B440">
            <v>6087892</v>
          </cell>
          <cell r="EE440">
            <v>0</v>
          </cell>
          <cell r="EF440">
            <v>0</v>
          </cell>
          <cell r="EG440">
            <v>0</v>
          </cell>
        </row>
        <row r="441">
          <cell r="B441">
            <v>2867494</v>
          </cell>
          <cell r="EE441">
            <v>25172111.84</v>
          </cell>
          <cell r="EF441">
            <v>5810300</v>
          </cell>
          <cell r="EG441">
            <v>19361811.84</v>
          </cell>
        </row>
        <row r="442">
          <cell r="B442">
            <v>5228506</v>
          </cell>
          <cell r="EE442">
            <v>29564841.530000001</v>
          </cell>
          <cell r="EF442">
            <v>113239514</v>
          </cell>
          <cell r="EG442">
            <v>-83674672.470000014</v>
          </cell>
        </row>
        <row r="443">
          <cell r="B443">
            <v>6396682</v>
          </cell>
          <cell r="EE443">
            <v>0</v>
          </cell>
          <cell r="EF443">
            <v>0</v>
          </cell>
          <cell r="EG443">
            <v>0</v>
          </cell>
        </row>
        <row r="444">
          <cell r="B444">
            <v>5957567</v>
          </cell>
          <cell r="EE444">
            <v>0</v>
          </cell>
          <cell r="EF444">
            <v>0</v>
          </cell>
          <cell r="EG444">
            <v>0</v>
          </cell>
        </row>
        <row r="445">
          <cell r="B445">
            <v>6023576</v>
          </cell>
          <cell r="EE445">
            <v>1424000</v>
          </cell>
          <cell r="EF445">
            <v>0</v>
          </cell>
          <cell r="EG445">
            <v>1424000</v>
          </cell>
        </row>
        <row r="446">
          <cell r="B446">
            <v>2885425</v>
          </cell>
          <cell r="EE446">
            <v>3655200</v>
          </cell>
          <cell r="EF446">
            <v>0</v>
          </cell>
          <cell r="EG446">
            <v>3655200</v>
          </cell>
        </row>
        <row r="447">
          <cell r="B447">
            <v>2773589</v>
          </cell>
          <cell r="EE447">
            <v>0</v>
          </cell>
          <cell r="EF447">
            <v>0</v>
          </cell>
          <cell r="EG447">
            <v>0</v>
          </cell>
        </row>
        <row r="448">
          <cell r="B448">
            <v>6318088</v>
          </cell>
          <cell r="EE448">
            <v>0</v>
          </cell>
          <cell r="EF448">
            <v>0</v>
          </cell>
          <cell r="EG448">
            <v>0</v>
          </cell>
        </row>
        <row r="449">
          <cell r="B449">
            <v>5858828</v>
          </cell>
          <cell r="EE449">
            <v>0</v>
          </cell>
          <cell r="EF449">
            <v>0</v>
          </cell>
          <cell r="EG449">
            <v>0</v>
          </cell>
        </row>
        <row r="450">
          <cell r="B450">
            <v>5185874</v>
          </cell>
          <cell r="EE450">
            <v>0</v>
          </cell>
          <cell r="EF450">
            <v>0</v>
          </cell>
          <cell r="EG450">
            <v>0</v>
          </cell>
        </row>
        <row r="451">
          <cell r="B451">
            <v>6161669</v>
          </cell>
          <cell r="EE451">
            <v>12250000</v>
          </cell>
          <cell r="EF451">
            <v>24022000</v>
          </cell>
          <cell r="EG451">
            <v>-11772000</v>
          </cell>
        </row>
        <row r="452">
          <cell r="B452">
            <v>5648629</v>
          </cell>
          <cell r="EE452">
            <v>4704405</v>
          </cell>
          <cell r="EF452">
            <v>0</v>
          </cell>
          <cell r="EG452">
            <v>4704405</v>
          </cell>
        </row>
        <row r="453">
          <cell r="B453">
            <v>2867931</v>
          </cell>
          <cell r="EE453">
            <v>77085446.640000001</v>
          </cell>
          <cell r="EF453">
            <v>0</v>
          </cell>
          <cell r="EG453">
            <v>77085446.640000001</v>
          </cell>
        </row>
        <row r="454">
          <cell r="B454">
            <v>5209447</v>
          </cell>
          <cell r="EE454">
            <v>38359325.539999999</v>
          </cell>
          <cell r="EF454">
            <v>39900416</v>
          </cell>
          <cell r="EG454">
            <v>-1541090.4600000009</v>
          </cell>
        </row>
        <row r="455">
          <cell r="B455">
            <v>5603455</v>
          </cell>
          <cell r="EE455">
            <v>0</v>
          </cell>
          <cell r="EF455">
            <v>0</v>
          </cell>
          <cell r="EG455">
            <v>0</v>
          </cell>
        </row>
        <row r="456">
          <cell r="B456">
            <v>5347548</v>
          </cell>
          <cell r="EE456">
            <v>0</v>
          </cell>
          <cell r="EF456">
            <v>25933930</v>
          </cell>
          <cell r="EG456">
            <v>-25933930</v>
          </cell>
        </row>
        <row r="457">
          <cell r="B457">
            <v>5418674</v>
          </cell>
          <cell r="EE457">
            <v>662187095.14300501</v>
          </cell>
          <cell r="EF457">
            <v>80</v>
          </cell>
          <cell r="EG457">
            <v>662187015.14300501</v>
          </cell>
        </row>
        <row r="458">
          <cell r="B458">
            <v>5197414</v>
          </cell>
          <cell r="EE458">
            <v>0</v>
          </cell>
          <cell r="EF458">
            <v>0</v>
          </cell>
          <cell r="EG458">
            <v>0</v>
          </cell>
        </row>
        <row r="459">
          <cell r="B459">
            <v>5530172</v>
          </cell>
          <cell r="EE459">
            <v>1726212.55</v>
          </cell>
          <cell r="EF459">
            <v>0</v>
          </cell>
          <cell r="EG459">
            <v>1726212.55</v>
          </cell>
        </row>
        <row r="460">
          <cell r="B460">
            <v>5984238</v>
          </cell>
          <cell r="EE460">
            <v>0</v>
          </cell>
          <cell r="EF460">
            <v>2000000</v>
          </cell>
          <cell r="EG460">
            <v>-2000000</v>
          </cell>
        </row>
        <row r="461">
          <cell r="B461">
            <v>6225241</v>
          </cell>
          <cell r="EE461">
            <v>0</v>
          </cell>
          <cell r="EF461">
            <v>2124925</v>
          </cell>
          <cell r="EG461">
            <v>-2124925</v>
          </cell>
        </row>
        <row r="462">
          <cell r="B462">
            <v>5755212</v>
          </cell>
          <cell r="EE462">
            <v>0</v>
          </cell>
          <cell r="EF462">
            <v>0</v>
          </cell>
          <cell r="EG462">
            <v>0</v>
          </cell>
        </row>
        <row r="463">
          <cell r="B463">
            <v>5106648</v>
          </cell>
          <cell r="EE463">
            <v>0</v>
          </cell>
          <cell r="EF463">
            <v>0</v>
          </cell>
          <cell r="EG463">
            <v>0</v>
          </cell>
        </row>
        <row r="464">
          <cell r="B464">
            <v>8332614</v>
          </cell>
          <cell r="EE464">
            <v>0</v>
          </cell>
          <cell r="EF464">
            <v>0</v>
          </cell>
          <cell r="EG464">
            <v>0</v>
          </cell>
        </row>
        <row r="465">
          <cell r="B465">
            <v>6361021</v>
          </cell>
          <cell r="EE465">
            <v>0</v>
          </cell>
          <cell r="EF465">
            <v>0</v>
          </cell>
          <cell r="EG465">
            <v>0</v>
          </cell>
        </row>
        <row r="466">
          <cell r="B466">
            <v>5434041</v>
          </cell>
          <cell r="EE466">
            <v>0</v>
          </cell>
          <cell r="EF466">
            <v>5404600</v>
          </cell>
          <cell r="EG466">
            <v>-5404600</v>
          </cell>
        </row>
        <row r="467">
          <cell r="B467">
            <v>6463932</v>
          </cell>
          <cell r="EE467">
            <v>4682932249.9755478</v>
          </cell>
          <cell r="EF467">
            <v>1503919685</v>
          </cell>
          <cell r="EG467">
            <v>3179012564.9755478</v>
          </cell>
        </row>
        <row r="468">
          <cell r="B468">
            <v>6777015</v>
          </cell>
          <cell r="EE468">
            <v>340469605.53648895</v>
          </cell>
          <cell r="EF468">
            <v>257513704</v>
          </cell>
          <cell r="EG468">
            <v>82955901.536488995</v>
          </cell>
        </row>
        <row r="469">
          <cell r="B469">
            <v>3644693</v>
          </cell>
          <cell r="EE469">
            <v>0</v>
          </cell>
          <cell r="EF469">
            <v>0</v>
          </cell>
          <cell r="EG469">
            <v>0</v>
          </cell>
        </row>
        <row r="470">
          <cell r="B470">
            <v>6831834</v>
          </cell>
          <cell r="EE470">
            <v>0</v>
          </cell>
          <cell r="EF470">
            <v>0</v>
          </cell>
          <cell r="EG470">
            <v>0</v>
          </cell>
        </row>
        <row r="471">
          <cell r="B471">
            <v>5519365</v>
          </cell>
          <cell r="EE471">
            <v>104811088.13</v>
          </cell>
          <cell r="EF471">
            <v>0</v>
          </cell>
          <cell r="EG471">
            <v>104811088.13</v>
          </cell>
        </row>
        <row r="472">
          <cell r="B472">
            <v>5528437</v>
          </cell>
          <cell r="EE472">
            <v>357406920.60000002</v>
          </cell>
          <cell r="EF472">
            <v>171728905</v>
          </cell>
          <cell r="EG472">
            <v>185678015.60000002</v>
          </cell>
        </row>
        <row r="473">
          <cell r="B473">
            <v>2577992</v>
          </cell>
          <cell r="EE473">
            <v>0</v>
          </cell>
          <cell r="EF473">
            <v>0</v>
          </cell>
          <cell r="EG473">
            <v>0</v>
          </cell>
        </row>
        <row r="474">
          <cell r="B474">
            <v>5212448</v>
          </cell>
          <cell r="EE474">
            <v>0</v>
          </cell>
          <cell r="EF474">
            <v>0</v>
          </cell>
          <cell r="EG474">
            <v>0</v>
          </cell>
        </row>
        <row r="475">
          <cell r="B475">
            <v>5095719</v>
          </cell>
          <cell r="EE475">
            <v>132208229.005869</v>
          </cell>
          <cell r="EF475">
            <v>14972175</v>
          </cell>
          <cell r="EG475">
            <v>117236054.005869</v>
          </cell>
        </row>
        <row r="476">
          <cell r="B476">
            <v>5307031</v>
          </cell>
          <cell r="EE476">
            <v>9506764.5500000007</v>
          </cell>
          <cell r="EF476">
            <v>147300548</v>
          </cell>
          <cell r="EG476">
            <v>-137793783.44999999</v>
          </cell>
        </row>
        <row r="477">
          <cell r="B477">
            <v>5060338</v>
          </cell>
          <cell r="EE477">
            <v>63860976.396903001</v>
          </cell>
          <cell r="EF477">
            <v>43</v>
          </cell>
          <cell r="EG477">
            <v>63860933.396903001</v>
          </cell>
        </row>
        <row r="478">
          <cell r="B478">
            <v>5260833</v>
          </cell>
          <cell r="EE478">
            <v>3726400</v>
          </cell>
          <cell r="EF478">
            <v>0</v>
          </cell>
          <cell r="EG478">
            <v>3726400</v>
          </cell>
        </row>
        <row r="479">
          <cell r="B479">
            <v>5236517</v>
          </cell>
          <cell r="EE479">
            <v>19311219.039999999</v>
          </cell>
          <cell r="EF479">
            <v>0</v>
          </cell>
          <cell r="EG479">
            <v>19311219.039999999</v>
          </cell>
        </row>
        <row r="480">
          <cell r="B480">
            <v>5971144</v>
          </cell>
          <cell r="EE480">
            <v>0</v>
          </cell>
          <cell r="EF480">
            <v>82389</v>
          </cell>
          <cell r="EG480">
            <v>-82389</v>
          </cell>
        </row>
        <row r="481">
          <cell r="B481">
            <v>6031803</v>
          </cell>
          <cell r="EE481">
            <v>0</v>
          </cell>
          <cell r="EF481">
            <v>0</v>
          </cell>
          <cell r="EG481">
            <v>0</v>
          </cell>
        </row>
        <row r="482">
          <cell r="B482">
            <v>6300693</v>
          </cell>
          <cell r="EE482">
            <v>0</v>
          </cell>
          <cell r="EF482">
            <v>25615301</v>
          </cell>
          <cell r="EG482">
            <v>-25615301</v>
          </cell>
        </row>
        <row r="483">
          <cell r="B483">
            <v>3865258</v>
          </cell>
          <cell r="EE483">
            <v>0</v>
          </cell>
          <cell r="EF483">
            <v>0</v>
          </cell>
          <cell r="EG483">
            <v>0</v>
          </cell>
        </row>
        <row r="484">
          <cell r="B484">
            <v>8451567</v>
          </cell>
          <cell r="EE484">
            <v>0</v>
          </cell>
          <cell r="EF484">
            <v>0</v>
          </cell>
          <cell r="EG484">
            <v>0</v>
          </cell>
        </row>
        <row r="485">
          <cell r="B485">
            <v>5129184</v>
          </cell>
          <cell r="EE485">
            <v>6445890</v>
          </cell>
          <cell r="EF485">
            <v>0</v>
          </cell>
          <cell r="EG485">
            <v>6445890</v>
          </cell>
        </row>
        <row r="486">
          <cell r="B486">
            <v>5310598</v>
          </cell>
          <cell r="EE486">
            <v>107716319.59</v>
          </cell>
          <cell r="EF486">
            <v>0</v>
          </cell>
          <cell r="EG486">
            <v>107716319.59</v>
          </cell>
        </row>
        <row r="487">
          <cell r="B487">
            <v>5103878</v>
          </cell>
          <cell r="EE487">
            <v>0</v>
          </cell>
          <cell r="EF487">
            <v>0</v>
          </cell>
          <cell r="EG487">
            <v>0</v>
          </cell>
        </row>
        <row r="488">
          <cell r="B488">
            <v>5101492</v>
          </cell>
          <cell r="EE488">
            <v>0</v>
          </cell>
          <cell r="EF488">
            <v>0</v>
          </cell>
          <cell r="EG488">
            <v>0</v>
          </cell>
        </row>
        <row r="489">
          <cell r="B489">
            <v>5111625</v>
          </cell>
          <cell r="EE489">
            <v>0</v>
          </cell>
          <cell r="EF489">
            <v>5766214</v>
          </cell>
          <cell r="EG489">
            <v>-5766214</v>
          </cell>
        </row>
        <row r="490">
          <cell r="B490">
            <v>5481341</v>
          </cell>
          <cell r="EE490">
            <v>29946562.190000001</v>
          </cell>
          <cell r="EF490">
            <v>37060030</v>
          </cell>
          <cell r="EG490">
            <v>-7113467.8100000005</v>
          </cell>
        </row>
        <row r="491">
          <cell r="B491">
            <v>5045894</v>
          </cell>
          <cell r="EE491">
            <v>552312310.39999998</v>
          </cell>
          <cell r="EF491">
            <v>126619325</v>
          </cell>
          <cell r="EG491">
            <v>425692985.39999998</v>
          </cell>
        </row>
        <row r="492">
          <cell r="B492">
            <v>5060222</v>
          </cell>
          <cell r="EE492">
            <v>0</v>
          </cell>
          <cell r="EF492">
            <v>0</v>
          </cell>
          <cell r="EG492">
            <v>0</v>
          </cell>
        </row>
        <row r="493">
          <cell r="B493">
            <v>5199409</v>
          </cell>
          <cell r="EE493">
            <v>91687871.060000002</v>
          </cell>
          <cell r="EF493">
            <v>42512386</v>
          </cell>
          <cell r="EG493">
            <v>49175485.060000002</v>
          </cell>
        </row>
        <row r="494">
          <cell r="B494">
            <v>6354394</v>
          </cell>
          <cell r="EE494">
            <v>0</v>
          </cell>
          <cell r="EF494">
            <v>0</v>
          </cell>
          <cell r="EG494">
            <v>0</v>
          </cell>
        </row>
        <row r="495">
          <cell r="B495">
            <v>6650384</v>
          </cell>
          <cell r="EE495">
            <v>0</v>
          </cell>
          <cell r="EF495">
            <v>2817800</v>
          </cell>
          <cell r="EG495">
            <v>-2817800</v>
          </cell>
        </row>
        <row r="496">
          <cell r="B496">
            <v>2668548</v>
          </cell>
          <cell r="EE496">
            <v>81373323.409999996</v>
          </cell>
          <cell r="EF496">
            <v>132092785</v>
          </cell>
          <cell r="EG496">
            <v>-50719461.590000004</v>
          </cell>
        </row>
        <row r="497">
          <cell r="B497">
            <v>8399123</v>
          </cell>
          <cell r="EE497">
            <v>0</v>
          </cell>
          <cell r="EF497">
            <v>0</v>
          </cell>
          <cell r="EG497">
            <v>0</v>
          </cell>
        </row>
        <row r="498">
          <cell r="B498">
            <v>5885345</v>
          </cell>
          <cell r="EE498">
            <v>0</v>
          </cell>
          <cell r="EF498">
            <v>0</v>
          </cell>
          <cell r="EG498">
            <v>0</v>
          </cell>
        </row>
        <row r="499">
          <cell r="B499">
            <v>5097215</v>
          </cell>
          <cell r="EE499">
            <v>56954984</v>
          </cell>
          <cell r="EF499">
            <v>52302941</v>
          </cell>
          <cell r="EG499">
            <v>4652043</v>
          </cell>
        </row>
        <row r="500">
          <cell r="B500">
            <v>2871505</v>
          </cell>
          <cell r="EE500">
            <v>0</v>
          </cell>
          <cell r="EF500">
            <v>0</v>
          </cell>
          <cell r="EG500">
            <v>0</v>
          </cell>
        </row>
        <row r="501">
          <cell r="B501">
            <v>4377443</v>
          </cell>
          <cell r="EE501">
            <v>0</v>
          </cell>
          <cell r="EF501">
            <v>0</v>
          </cell>
          <cell r="EG501">
            <v>0</v>
          </cell>
        </row>
        <row r="502">
          <cell r="B502">
            <v>6760899</v>
          </cell>
          <cell r="EE502">
            <v>0</v>
          </cell>
          <cell r="EF502">
            <v>0</v>
          </cell>
          <cell r="EG502">
            <v>0</v>
          </cell>
        </row>
        <row r="503">
          <cell r="B503">
            <v>6714692</v>
          </cell>
          <cell r="EE503">
            <v>0</v>
          </cell>
          <cell r="EF503">
            <v>0</v>
          </cell>
          <cell r="EG503">
            <v>0</v>
          </cell>
        </row>
        <row r="504">
          <cell r="B504">
            <v>8391661</v>
          </cell>
          <cell r="EE504">
            <v>0</v>
          </cell>
          <cell r="EF504">
            <v>0</v>
          </cell>
          <cell r="EG504">
            <v>0</v>
          </cell>
        </row>
        <row r="505">
          <cell r="B505">
            <v>6874908</v>
          </cell>
          <cell r="EE505">
            <v>0</v>
          </cell>
          <cell r="EF505">
            <v>0</v>
          </cell>
          <cell r="EG505">
            <v>0</v>
          </cell>
        </row>
        <row r="506">
          <cell r="B506">
            <v>6033229</v>
          </cell>
          <cell r="EE506">
            <v>1541910</v>
          </cell>
          <cell r="EF506">
            <v>0</v>
          </cell>
          <cell r="EG506">
            <v>1541910</v>
          </cell>
        </row>
        <row r="507">
          <cell r="B507">
            <v>5967791</v>
          </cell>
          <cell r="EE507">
            <v>0</v>
          </cell>
          <cell r="EF507">
            <v>869000</v>
          </cell>
          <cell r="EG507">
            <v>-869000</v>
          </cell>
        </row>
        <row r="508">
          <cell r="B508">
            <v>6006744</v>
          </cell>
          <cell r="EE508">
            <v>0</v>
          </cell>
          <cell r="EF508">
            <v>0</v>
          </cell>
          <cell r="EG508">
            <v>0</v>
          </cell>
        </row>
        <row r="509">
          <cell r="B509">
            <v>6361404</v>
          </cell>
          <cell r="EE509">
            <v>0</v>
          </cell>
          <cell r="EF509">
            <v>0</v>
          </cell>
          <cell r="EG509">
            <v>0</v>
          </cell>
        </row>
        <row r="510">
          <cell r="B510">
            <v>3623068</v>
          </cell>
          <cell r="EE510">
            <v>33931823.149999999</v>
          </cell>
          <cell r="EF510">
            <v>51852242</v>
          </cell>
          <cell r="EG510">
            <v>-17920418.850000001</v>
          </cell>
        </row>
        <row r="511">
          <cell r="B511">
            <v>5548284</v>
          </cell>
          <cell r="EE511">
            <v>91513078.226838008</v>
          </cell>
          <cell r="EF511">
            <v>0</v>
          </cell>
          <cell r="EG511">
            <v>91513078.226838008</v>
          </cell>
        </row>
        <row r="512">
          <cell r="B512">
            <v>5873665</v>
          </cell>
          <cell r="EE512">
            <v>0</v>
          </cell>
          <cell r="EF512">
            <v>0</v>
          </cell>
          <cell r="EG512">
            <v>0</v>
          </cell>
        </row>
        <row r="513">
          <cell r="B513">
            <v>6730582</v>
          </cell>
          <cell r="EE513">
            <v>0</v>
          </cell>
          <cell r="EF513">
            <v>14853293</v>
          </cell>
          <cell r="EG513">
            <v>-14853293</v>
          </cell>
        </row>
        <row r="514">
          <cell r="B514">
            <v>5103797</v>
          </cell>
          <cell r="EE514">
            <v>260998078.03</v>
          </cell>
          <cell r="EF514">
            <v>178766542</v>
          </cell>
          <cell r="EG514">
            <v>82231536.030000001</v>
          </cell>
        </row>
        <row r="515">
          <cell r="B515">
            <v>5084458</v>
          </cell>
          <cell r="EE515">
            <v>1053673.27</v>
          </cell>
          <cell r="EF515">
            <v>143985664</v>
          </cell>
          <cell r="EG515">
            <v>-142931990.72999999</v>
          </cell>
        </row>
        <row r="516">
          <cell r="B516">
            <v>5184827</v>
          </cell>
          <cell r="EE516">
            <v>0</v>
          </cell>
          <cell r="EF516">
            <v>0</v>
          </cell>
          <cell r="EG516">
            <v>0</v>
          </cell>
        </row>
        <row r="517">
          <cell r="B517">
            <v>5039932</v>
          </cell>
          <cell r="EE517">
            <v>38331556.100000001</v>
          </cell>
          <cell r="EF517">
            <v>0</v>
          </cell>
          <cell r="EG517">
            <v>38331556.100000001</v>
          </cell>
        </row>
        <row r="518">
          <cell r="B518">
            <v>2024594</v>
          </cell>
          <cell r="EE518">
            <v>0</v>
          </cell>
          <cell r="EF518">
            <v>0</v>
          </cell>
          <cell r="EG518">
            <v>0</v>
          </cell>
        </row>
        <row r="519">
          <cell r="B519">
            <v>5947413</v>
          </cell>
          <cell r="EE519">
            <v>0</v>
          </cell>
          <cell r="EF519">
            <v>68586</v>
          </cell>
          <cell r="EG519">
            <v>-68586</v>
          </cell>
        </row>
        <row r="520">
          <cell r="B520">
            <v>5877318</v>
          </cell>
          <cell r="EE520">
            <v>259019210.41360402</v>
          </cell>
          <cell r="EF520">
            <v>0</v>
          </cell>
          <cell r="EG520">
            <v>259019210.41360402</v>
          </cell>
        </row>
        <row r="521">
          <cell r="B521">
            <v>5026628</v>
          </cell>
          <cell r="EE521">
            <v>29782701.080000002</v>
          </cell>
          <cell r="EF521">
            <v>0</v>
          </cell>
          <cell r="EG521">
            <v>29782701.080000002</v>
          </cell>
        </row>
        <row r="522">
          <cell r="B522">
            <v>2074737</v>
          </cell>
          <cell r="EE522">
            <v>429463678.53999996</v>
          </cell>
          <cell r="EF522">
            <v>379224852</v>
          </cell>
          <cell r="EG522">
            <v>50238826.539999977</v>
          </cell>
        </row>
        <row r="523">
          <cell r="B523">
            <v>2091798</v>
          </cell>
          <cell r="EE523">
            <v>407476937.56999999</v>
          </cell>
          <cell r="EF523">
            <v>570511516</v>
          </cell>
          <cell r="EG523">
            <v>-163034578.43000001</v>
          </cell>
        </row>
        <row r="524">
          <cell r="B524">
            <v>2086166</v>
          </cell>
          <cell r="EE524">
            <v>18691689.469999999</v>
          </cell>
          <cell r="EF524">
            <v>0</v>
          </cell>
          <cell r="EG524">
            <v>18691689.469999999</v>
          </cell>
        </row>
        <row r="525">
          <cell r="B525">
            <v>5298091</v>
          </cell>
          <cell r="EE525">
            <v>51351532.480000004</v>
          </cell>
          <cell r="EF525">
            <v>64206498</v>
          </cell>
          <cell r="EG525">
            <v>-12854965.52</v>
          </cell>
        </row>
        <row r="526">
          <cell r="B526">
            <v>5215757</v>
          </cell>
          <cell r="EE526">
            <v>0</v>
          </cell>
          <cell r="EF526">
            <v>0</v>
          </cell>
          <cell r="EG526">
            <v>0</v>
          </cell>
        </row>
        <row r="527">
          <cell r="B527">
            <v>2765853</v>
          </cell>
          <cell r="EE527">
            <v>0</v>
          </cell>
          <cell r="EF527">
            <v>0</v>
          </cell>
          <cell r="EG527">
            <v>0</v>
          </cell>
        </row>
        <row r="528">
          <cell r="B528">
            <v>5554535</v>
          </cell>
          <cell r="EE528">
            <v>0</v>
          </cell>
          <cell r="EF528">
            <v>0</v>
          </cell>
          <cell r="EG528">
            <v>0</v>
          </cell>
        </row>
        <row r="529">
          <cell r="B529">
            <v>5564913</v>
          </cell>
          <cell r="EE529">
            <v>0</v>
          </cell>
          <cell r="EF529">
            <v>0</v>
          </cell>
          <cell r="EG529">
            <v>0</v>
          </cell>
        </row>
        <row r="530">
          <cell r="B530">
            <v>2845458</v>
          </cell>
          <cell r="EE530">
            <v>0</v>
          </cell>
          <cell r="EF530">
            <v>0</v>
          </cell>
          <cell r="EG530">
            <v>0</v>
          </cell>
        </row>
        <row r="531">
          <cell r="B531">
            <v>5287707</v>
          </cell>
          <cell r="EE531">
            <v>1784157.69</v>
          </cell>
          <cell r="EF531">
            <v>0</v>
          </cell>
          <cell r="EG531">
            <v>1784157.69</v>
          </cell>
        </row>
        <row r="532">
          <cell r="B532">
            <v>5615097</v>
          </cell>
          <cell r="EE532">
            <v>0</v>
          </cell>
          <cell r="EF532">
            <v>697500</v>
          </cell>
          <cell r="EG532">
            <v>-697500</v>
          </cell>
        </row>
        <row r="533">
          <cell r="B533">
            <v>6255671</v>
          </cell>
          <cell r="EE533">
            <v>4719000</v>
          </cell>
          <cell r="EF533">
            <v>0</v>
          </cell>
          <cell r="EG533">
            <v>4719000</v>
          </cell>
        </row>
        <row r="534">
          <cell r="B534">
            <v>5947243</v>
          </cell>
          <cell r="EE534">
            <v>0</v>
          </cell>
          <cell r="EF534">
            <v>2669550</v>
          </cell>
          <cell r="EG534">
            <v>-2669550</v>
          </cell>
        </row>
        <row r="535">
          <cell r="B535">
            <v>2152924</v>
          </cell>
          <cell r="EE535">
            <v>22940587.379999999</v>
          </cell>
          <cell r="EF535">
            <v>0</v>
          </cell>
          <cell r="EG535">
            <v>22940587.379999999</v>
          </cell>
        </row>
        <row r="536">
          <cell r="B536">
            <v>5046483</v>
          </cell>
          <cell r="EE536">
            <v>33904845.580000006</v>
          </cell>
          <cell r="EF536">
            <v>8871214</v>
          </cell>
          <cell r="EG536">
            <v>25033631.579999998</v>
          </cell>
        </row>
        <row r="537">
          <cell r="B537">
            <v>5234018</v>
          </cell>
          <cell r="EE537">
            <v>9069454.2599999998</v>
          </cell>
          <cell r="EF537">
            <v>0</v>
          </cell>
          <cell r="EG537">
            <v>9069454.2599999998</v>
          </cell>
        </row>
        <row r="538">
          <cell r="B538">
            <v>5938988</v>
          </cell>
          <cell r="EE538">
            <v>30189934.41</v>
          </cell>
          <cell r="EF538">
            <v>110740045</v>
          </cell>
          <cell r="EG538">
            <v>-80550110.590000004</v>
          </cell>
        </row>
        <row r="539">
          <cell r="B539">
            <v>5088321</v>
          </cell>
          <cell r="EE539">
            <v>0</v>
          </cell>
          <cell r="EF539">
            <v>0</v>
          </cell>
          <cell r="EG539">
            <v>0</v>
          </cell>
        </row>
        <row r="540">
          <cell r="B540">
            <v>5936845</v>
          </cell>
          <cell r="EE540">
            <v>0</v>
          </cell>
          <cell r="EF540">
            <v>0</v>
          </cell>
          <cell r="EG540">
            <v>0</v>
          </cell>
        </row>
        <row r="541">
          <cell r="B541">
            <v>2143097</v>
          </cell>
          <cell r="EE541">
            <v>1326318.94</v>
          </cell>
          <cell r="EF541">
            <v>0</v>
          </cell>
          <cell r="EG541">
            <v>1326318.94</v>
          </cell>
        </row>
        <row r="542">
          <cell r="B542">
            <v>6135536</v>
          </cell>
          <cell r="EE542">
            <v>0</v>
          </cell>
          <cell r="EF542">
            <v>2435800</v>
          </cell>
          <cell r="EG542">
            <v>-2435800</v>
          </cell>
        </row>
        <row r="543">
          <cell r="B543">
            <v>2293323</v>
          </cell>
          <cell r="EE543">
            <v>39105951.340000004</v>
          </cell>
          <cell r="EF543">
            <v>0</v>
          </cell>
          <cell r="EG543">
            <v>39105951.340000004</v>
          </cell>
        </row>
        <row r="544">
          <cell r="B544">
            <v>2585367</v>
          </cell>
          <cell r="EE544">
            <v>1831796.18</v>
          </cell>
          <cell r="EF544">
            <v>0</v>
          </cell>
          <cell r="EG544">
            <v>1831796.18</v>
          </cell>
        </row>
        <row r="545">
          <cell r="B545">
            <v>5115809</v>
          </cell>
          <cell r="EE545">
            <v>0</v>
          </cell>
          <cell r="EF545">
            <v>0</v>
          </cell>
          <cell r="EG545">
            <v>0</v>
          </cell>
        </row>
        <row r="546">
          <cell r="B546">
            <v>5179173</v>
          </cell>
          <cell r="EE546">
            <v>0</v>
          </cell>
          <cell r="EF546">
            <v>0</v>
          </cell>
          <cell r="EG546">
            <v>0</v>
          </cell>
        </row>
        <row r="547">
          <cell r="B547">
            <v>4396847</v>
          </cell>
          <cell r="EE547">
            <v>0</v>
          </cell>
          <cell r="EF547">
            <v>0</v>
          </cell>
          <cell r="EG547">
            <v>0</v>
          </cell>
        </row>
        <row r="548">
          <cell r="B548">
            <v>5995418</v>
          </cell>
          <cell r="EE548">
            <v>2802.2</v>
          </cell>
          <cell r="EF548">
            <v>0</v>
          </cell>
          <cell r="EG548">
            <v>2802.2</v>
          </cell>
        </row>
        <row r="549">
          <cell r="B549">
            <v>2608073</v>
          </cell>
          <cell r="EE549">
            <v>5670620</v>
          </cell>
          <cell r="EF549">
            <v>0</v>
          </cell>
          <cell r="EG549">
            <v>5670620</v>
          </cell>
        </row>
        <row r="550">
          <cell r="B550">
            <v>3252973</v>
          </cell>
          <cell r="EE550">
            <v>0</v>
          </cell>
          <cell r="EF550">
            <v>0</v>
          </cell>
          <cell r="EG550">
            <v>0</v>
          </cell>
        </row>
        <row r="551">
          <cell r="B551">
            <v>5327229</v>
          </cell>
          <cell r="EE551">
            <v>0</v>
          </cell>
          <cell r="EF551">
            <v>0</v>
          </cell>
          <cell r="EG551">
            <v>0</v>
          </cell>
        </row>
        <row r="552">
          <cell r="B552">
            <v>2618532</v>
          </cell>
          <cell r="EE552">
            <v>426582294</v>
          </cell>
          <cell r="EF552">
            <v>83607721</v>
          </cell>
          <cell r="EG552">
            <v>342974573</v>
          </cell>
        </row>
        <row r="553">
          <cell r="B553">
            <v>2682702</v>
          </cell>
          <cell r="EE553">
            <v>0</v>
          </cell>
          <cell r="EF553">
            <v>0</v>
          </cell>
          <cell r="EG553">
            <v>0</v>
          </cell>
        </row>
        <row r="554">
          <cell r="B554">
            <v>2774771</v>
          </cell>
          <cell r="EE554">
            <v>43280017.240000002</v>
          </cell>
          <cell r="EF554">
            <v>0</v>
          </cell>
          <cell r="EG554">
            <v>43280017.240000002</v>
          </cell>
        </row>
        <row r="555">
          <cell r="B555">
            <v>5109884</v>
          </cell>
          <cell r="EE555">
            <v>5101764.43</v>
          </cell>
          <cell r="EF555">
            <v>0</v>
          </cell>
          <cell r="EG555">
            <v>5101764.43</v>
          </cell>
        </row>
        <row r="556">
          <cell r="B556">
            <v>2016265</v>
          </cell>
          <cell r="EE556">
            <v>382075190.56999999</v>
          </cell>
          <cell r="EF556">
            <v>0</v>
          </cell>
          <cell r="EG556">
            <v>382075190.56999999</v>
          </cell>
        </row>
        <row r="557">
          <cell r="B557">
            <v>4249429</v>
          </cell>
          <cell r="EE557">
            <v>32386540.050000001</v>
          </cell>
          <cell r="EF557">
            <v>0</v>
          </cell>
          <cell r="EG557">
            <v>32386540.050000001</v>
          </cell>
        </row>
        <row r="558">
          <cell r="B558">
            <v>2051303</v>
          </cell>
          <cell r="EE558">
            <v>37978093262.971909</v>
          </cell>
          <cell r="EF558">
            <v>0</v>
          </cell>
          <cell r="EG558">
            <v>37978093262.971909</v>
          </cell>
        </row>
        <row r="559">
          <cell r="B559">
            <v>5039274</v>
          </cell>
          <cell r="EE559">
            <v>0</v>
          </cell>
          <cell r="EF559">
            <v>0</v>
          </cell>
          <cell r="EG559">
            <v>0</v>
          </cell>
        </row>
        <row r="560">
          <cell r="B560">
            <v>2061848</v>
          </cell>
          <cell r="EE560">
            <v>171603664.22000003</v>
          </cell>
          <cell r="EF560">
            <v>203311490</v>
          </cell>
          <cell r="EG560">
            <v>-31707825.779999986</v>
          </cell>
        </row>
        <row r="561">
          <cell r="B561">
            <v>2068133</v>
          </cell>
          <cell r="EE561">
            <v>0</v>
          </cell>
          <cell r="EF561">
            <v>192400</v>
          </cell>
          <cell r="EG561">
            <v>-192400</v>
          </cell>
        </row>
        <row r="562">
          <cell r="B562">
            <v>6240151</v>
          </cell>
          <cell r="EE562">
            <v>0</v>
          </cell>
          <cell r="EF562">
            <v>0</v>
          </cell>
          <cell r="EG562">
            <v>0</v>
          </cell>
        </row>
        <row r="563">
          <cell r="B563">
            <v>2060825</v>
          </cell>
          <cell r="EE563">
            <v>70677598</v>
          </cell>
          <cell r="EF563">
            <v>0</v>
          </cell>
          <cell r="EG563">
            <v>70677598</v>
          </cell>
        </row>
        <row r="564">
          <cell r="B564">
            <v>6420559</v>
          </cell>
          <cell r="EE564">
            <v>12036800</v>
          </cell>
          <cell r="EF564">
            <v>0</v>
          </cell>
          <cell r="EG564">
            <v>12036800</v>
          </cell>
        </row>
        <row r="565">
          <cell r="B565">
            <v>2800128</v>
          </cell>
          <cell r="EE565">
            <v>0</v>
          </cell>
          <cell r="EF565">
            <v>0</v>
          </cell>
          <cell r="EG565">
            <v>0</v>
          </cell>
        </row>
        <row r="566">
          <cell r="B566">
            <v>5369703</v>
          </cell>
          <cell r="EE566">
            <v>0</v>
          </cell>
          <cell r="EF566">
            <v>0</v>
          </cell>
          <cell r="EG566">
            <v>0</v>
          </cell>
        </row>
        <row r="567">
          <cell r="B567">
            <v>2096277</v>
          </cell>
          <cell r="EE567">
            <v>0</v>
          </cell>
          <cell r="EF567">
            <v>917415</v>
          </cell>
          <cell r="EG567">
            <v>-917415</v>
          </cell>
        </row>
        <row r="568">
          <cell r="B568">
            <v>2711184</v>
          </cell>
          <cell r="EE568">
            <v>0</v>
          </cell>
          <cell r="EF568">
            <v>0</v>
          </cell>
          <cell r="EG568">
            <v>0</v>
          </cell>
        </row>
        <row r="569">
          <cell r="B569">
            <v>5303303</v>
          </cell>
          <cell r="EE569">
            <v>49421566.950000003</v>
          </cell>
          <cell r="EF569">
            <v>0</v>
          </cell>
          <cell r="EG569">
            <v>49421566.950000003</v>
          </cell>
        </row>
        <row r="570">
          <cell r="B570">
            <v>5460441</v>
          </cell>
          <cell r="EE570">
            <v>308234307.00999999</v>
          </cell>
          <cell r="EF570">
            <v>0</v>
          </cell>
          <cell r="EG570">
            <v>308234307.00999999</v>
          </cell>
        </row>
        <row r="571">
          <cell r="B571">
            <v>6123317</v>
          </cell>
          <cell r="EE571">
            <v>8356990</v>
          </cell>
          <cell r="EF571">
            <v>0</v>
          </cell>
          <cell r="EG571">
            <v>8356990</v>
          </cell>
        </row>
        <row r="572">
          <cell r="B572">
            <v>3327728</v>
          </cell>
          <cell r="EE572">
            <v>18810444.52</v>
          </cell>
          <cell r="EF572">
            <v>0</v>
          </cell>
          <cell r="EG572">
            <v>18810444.52</v>
          </cell>
        </row>
        <row r="573">
          <cell r="B573">
            <v>5853583</v>
          </cell>
          <cell r="EE573">
            <v>33370761.289999999</v>
          </cell>
          <cell r="EF573">
            <v>27208822</v>
          </cell>
          <cell r="EG573">
            <v>6161939.2899999982</v>
          </cell>
        </row>
        <row r="574">
          <cell r="B574">
            <v>3310132</v>
          </cell>
          <cell r="EE574">
            <v>60380145.524489</v>
          </cell>
          <cell r="EF574">
            <v>0</v>
          </cell>
          <cell r="EG574">
            <v>60380145.524489</v>
          </cell>
        </row>
        <row r="575">
          <cell r="B575">
            <v>2570769</v>
          </cell>
          <cell r="EE575">
            <v>49169209.710000001</v>
          </cell>
          <cell r="EF575">
            <v>181083882</v>
          </cell>
          <cell r="EG575">
            <v>-131914672.29000001</v>
          </cell>
        </row>
        <row r="576">
          <cell r="B576">
            <v>5946107</v>
          </cell>
          <cell r="EE576">
            <v>0</v>
          </cell>
          <cell r="EF576">
            <v>0</v>
          </cell>
          <cell r="EG576">
            <v>0</v>
          </cell>
        </row>
        <row r="577">
          <cell r="B577">
            <v>5071569</v>
          </cell>
          <cell r="EE577">
            <v>0</v>
          </cell>
          <cell r="EF577">
            <v>0</v>
          </cell>
          <cell r="EG577">
            <v>0</v>
          </cell>
        </row>
        <row r="578">
          <cell r="B578">
            <v>5166187</v>
          </cell>
          <cell r="EE578">
            <v>0</v>
          </cell>
          <cell r="EF578">
            <v>0</v>
          </cell>
          <cell r="EG578">
            <v>0</v>
          </cell>
        </row>
        <row r="579">
          <cell r="B579">
            <v>5229413</v>
          </cell>
          <cell r="EE579">
            <v>0</v>
          </cell>
          <cell r="EF579">
            <v>0</v>
          </cell>
          <cell r="EG579">
            <v>0</v>
          </cell>
        </row>
        <row r="580">
          <cell r="B580">
            <v>6215769</v>
          </cell>
          <cell r="EE580">
            <v>5407916.2000000002</v>
          </cell>
          <cell r="EF580">
            <v>0</v>
          </cell>
          <cell r="EG580">
            <v>5407916.2000000002</v>
          </cell>
        </row>
        <row r="581">
          <cell r="B581">
            <v>5930499</v>
          </cell>
          <cell r="EE581">
            <v>720000</v>
          </cell>
          <cell r="EF581">
            <v>0</v>
          </cell>
          <cell r="EG581">
            <v>720000</v>
          </cell>
        </row>
        <row r="582">
          <cell r="B582">
            <v>2766337</v>
          </cell>
          <cell r="EE582">
            <v>1604380947.24</v>
          </cell>
          <cell r="EF582">
            <v>0</v>
          </cell>
          <cell r="EG582">
            <v>1604380947.24</v>
          </cell>
        </row>
        <row r="583">
          <cell r="B583">
            <v>5596106</v>
          </cell>
          <cell r="EE583">
            <v>0</v>
          </cell>
          <cell r="EF583">
            <v>0</v>
          </cell>
          <cell r="EG583">
            <v>0</v>
          </cell>
        </row>
        <row r="584">
          <cell r="B584">
            <v>5473748</v>
          </cell>
          <cell r="EE584">
            <v>874025</v>
          </cell>
          <cell r="EF584">
            <v>782000</v>
          </cell>
          <cell r="EG584">
            <v>92025</v>
          </cell>
        </row>
        <row r="585">
          <cell r="B585">
            <v>5877458</v>
          </cell>
          <cell r="EE585">
            <v>0</v>
          </cell>
          <cell r="EF585">
            <v>0</v>
          </cell>
          <cell r="EG585">
            <v>0</v>
          </cell>
        </row>
        <row r="586">
          <cell r="B586">
            <v>2010259</v>
          </cell>
          <cell r="EE586">
            <v>284769742.45999998</v>
          </cell>
          <cell r="EF586">
            <v>0</v>
          </cell>
          <cell r="EG586">
            <v>284769742.45999998</v>
          </cell>
        </row>
        <row r="587">
          <cell r="B587">
            <v>6271626</v>
          </cell>
          <cell r="EE587">
            <v>4878454.41</v>
          </cell>
          <cell r="EF587">
            <v>0</v>
          </cell>
          <cell r="EG587">
            <v>4878454.41</v>
          </cell>
        </row>
        <row r="588">
          <cell r="B588">
            <v>2824302</v>
          </cell>
          <cell r="EE588">
            <v>4903715.8</v>
          </cell>
          <cell r="EF588">
            <v>0</v>
          </cell>
          <cell r="EG588">
            <v>4903715.8</v>
          </cell>
        </row>
        <row r="589">
          <cell r="B589">
            <v>8358362</v>
          </cell>
          <cell r="EE589">
            <v>1560000</v>
          </cell>
          <cell r="EF589">
            <v>0</v>
          </cell>
          <cell r="EG589">
            <v>1560000</v>
          </cell>
        </row>
        <row r="590">
          <cell r="B590">
            <v>5197201</v>
          </cell>
          <cell r="EE590">
            <v>205843048.37</v>
          </cell>
          <cell r="EF590">
            <v>0</v>
          </cell>
          <cell r="EG590">
            <v>205843048.37</v>
          </cell>
        </row>
        <row r="591">
          <cell r="B591">
            <v>5197554</v>
          </cell>
          <cell r="EE591">
            <v>16986036.530000001</v>
          </cell>
          <cell r="EF591">
            <v>6227738</v>
          </cell>
          <cell r="EG591">
            <v>10758298.530000001</v>
          </cell>
        </row>
        <row r="592">
          <cell r="B592">
            <v>5070287</v>
          </cell>
          <cell r="EE592">
            <v>291075974.910725</v>
          </cell>
          <cell r="EF592">
            <v>13494367</v>
          </cell>
          <cell r="EG592">
            <v>277581607.910725</v>
          </cell>
        </row>
        <row r="593">
          <cell r="B593">
            <v>5256267</v>
          </cell>
          <cell r="EE593">
            <v>0</v>
          </cell>
          <cell r="EF593">
            <v>0</v>
          </cell>
          <cell r="EG593">
            <v>0</v>
          </cell>
        </row>
        <row r="594">
          <cell r="B594">
            <v>5200334</v>
          </cell>
          <cell r="EE594">
            <v>2000000</v>
          </cell>
          <cell r="EF594">
            <v>354002</v>
          </cell>
          <cell r="EG594">
            <v>1645998</v>
          </cell>
        </row>
        <row r="595">
          <cell r="B595">
            <v>2011506</v>
          </cell>
          <cell r="EE595">
            <v>149122172.370318</v>
          </cell>
          <cell r="EF595">
            <v>0</v>
          </cell>
          <cell r="EG595">
            <v>149122172.370318</v>
          </cell>
        </row>
        <row r="596">
          <cell r="B596">
            <v>5944694</v>
          </cell>
          <cell r="EE596">
            <v>0</v>
          </cell>
          <cell r="EF596">
            <v>0</v>
          </cell>
          <cell r="EG596">
            <v>0</v>
          </cell>
        </row>
        <row r="597">
          <cell r="B597">
            <v>2024128</v>
          </cell>
          <cell r="EE597">
            <v>0</v>
          </cell>
          <cell r="EF597">
            <v>0</v>
          </cell>
          <cell r="EG597">
            <v>0</v>
          </cell>
        </row>
        <row r="598">
          <cell r="B598">
            <v>2267438</v>
          </cell>
          <cell r="EE598">
            <v>0</v>
          </cell>
          <cell r="EF598">
            <v>0</v>
          </cell>
          <cell r="EG598">
            <v>0</v>
          </cell>
        </row>
        <row r="599">
          <cell r="B599">
            <v>5112486</v>
          </cell>
          <cell r="EE599">
            <v>0</v>
          </cell>
          <cell r="EF599">
            <v>0</v>
          </cell>
          <cell r="EG599">
            <v>0</v>
          </cell>
        </row>
        <row r="600">
          <cell r="B600">
            <v>6927025</v>
          </cell>
          <cell r="EE600">
            <v>0</v>
          </cell>
          <cell r="EF600">
            <v>8982480</v>
          </cell>
          <cell r="EG600">
            <v>-8982480</v>
          </cell>
        </row>
        <row r="601">
          <cell r="B601">
            <v>2619504</v>
          </cell>
          <cell r="EE601">
            <v>0</v>
          </cell>
          <cell r="EF601">
            <v>0</v>
          </cell>
          <cell r="EG601">
            <v>0</v>
          </cell>
        </row>
        <row r="602">
          <cell r="B602">
            <v>5249007</v>
          </cell>
          <cell r="EE602">
            <v>3315200</v>
          </cell>
          <cell r="EF602">
            <v>3315200</v>
          </cell>
          <cell r="EG602">
            <v>0</v>
          </cell>
        </row>
        <row r="603">
          <cell r="B603">
            <v>8337098</v>
          </cell>
          <cell r="EE603">
            <v>0</v>
          </cell>
          <cell r="EF603">
            <v>0</v>
          </cell>
          <cell r="EG603">
            <v>0</v>
          </cell>
        </row>
        <row r="604">
          <cell r="B604">
            <v>2544938</v>
          </cell>
          <cell r="EE604">
            <v>50394427.640000001</v>
          </cell>
          <cell r="EF604">
            <v>0</v>
          </cell>
          <cell r="EG604">
            <v>50394427.640000001</v>
          </cell>
        </row>
        <row r="605">
          <cell r="B605">
            <v>5455219</v>
          </cell>
          <cell r="EE605">
            <v>2000000.19</v>
          </cell>
          <cell r="EF605">
            <v>87282763</v>
          </cell>
          <cell r="EG605">
            <v>-85282762.810000002</v>
          </cell>
        </row>
        <row r="606">
          <cell r="B606">
            <v>6140327</v>
          </cell>
          <cell r="EE606">
            <v>4175000</v>
          </cell>
          <cell r="EF606">
            <v>0</v>
          </cell>
          <cell r="EG606">
            <v>4175000</v>
          </cell>
        </row>
        <row r="607">
          <cell r="B607">
            <v>2574209</v>
          </cell>
          <cell r="EE607">
            <v>15906423.66</v>
          </cell>
          <cell r="EF607">
            <v>0</v>
          </cell>
          <cell r="EG607">
            <v>15906423.66</v>
          </cell>
        </row>
        <row r="608">
          <cell r="B608">
            <v>3557588</v>
          </cell>
          <cell r="EE608">
            <v>17226825</v>
          </cell>
          <cell r="EF608">
            <v>47749900</v>
          </cell>
          <cell r="EG608">
            <v>-30523075</v>
          </cell>
        </row>
        <row r="609">
          <cell r="B609">
            <v>5180953</v>
          </cell>
          <cell r="EE609">
            <v>286000</v>
          </cell>
          <cell r="EF609">
            <v>7460738</v>
          </cell>
          <cell r="EG609">
            <v>-7174738</v>
          </cell>
        </row>
        <row r="610">
          <cell r="B610">
            <v>2010933</v>
          </cell>
          <cell r="EE610">
            <v>12400256.66</v>
          </cell>
          <cell r="EF610">
            <v>0</v>
          </cell>
          <cell r="EG610">
            <v>12400256.66</v>
          </cell>
        </row>
        <row r="611">
          <cell r="B611">
            <v>2724146</v>
          </cell>
          <cell r="EE611">
            <v>32446560</v>
          </cell>
          <cell r="EF611">
            <v>0</v>
          </cell>
          <cell r="EG611">
            <v>32446560</v>
          </cell>
        </row>
        <row r="612">
          <cell r="B612">
            <v>8376115</v>
          </cell>
          <cell r="EE612">
            <v>3258300</v>
          </cell>
          <cell r="EF612">
            <v>0</v>
          </cell>
          <cell r="EG612">
            <v>3258300</v>
          </cell>
        </row>
        <row r="613">
          <cell r="B613">
            <v>5087163</v>
          </cell>
          <cell r="EE613">
            <v>284980664.96000004</v>
          </cell>
          <cell r="EF613">
            <v>970532577</v>
          </cell>
          <cell r="EG613">
            <v>-685551912.03999996</v>
          </cell>
        </row>
        <row r="614">
          <cell r="B614">
            <v>2160757</v>
          </cell>
          <cell r="EE614">
            <v>0</v>
          </cell>
          <cell r="EF614">
            <v>0</v>
          </cell>
          <cell r="EG614">
            <v>0</v>
          </cell>
        </row>
        <row r="615">
          <cell r="B615">
            <v>5877156</v>
          </cell>
          <cell r="EE615">
            <v>0</v>
          </cell>
          <cell r="EF615">
            <v>0</v>
          </cell>
          <cell r="EG615">
            <v>0</v>
          </cell>
        </row>
        <row r="616">
          <cell r="B616">
            <v>5822181</v>
          </cell>
          <cell r="EE616">
            <v>0</v>
          </cell>
          <cell r="EF616">
            <v>0</v>
          </cell>
          <cell r="EG616">
            <v>0</v>
          </cell>
        </row>
        <row r="617">
          <cell r="B617">
            <v>2819252</v>
          </cell>
          <cell r="EE617">
            <v>0</v>
          </cell>
          <cell r="EF617">
            <v>0</v>
          </cell>
          <cell r="EG617">
            <v>0</v>
          </cell>
        </row>
        <row r="618">
          <cell r="B618">
            <v>6572227</v>
          </cell>
          <cell r="EE618">
            <v>0</v>
          </cell>
          <cell r="EF618">
            <v>0</v>
          </cell>
          <cell r="EG618">
            <v>0</v>
          </cell>
        </row>
        <row r="619">
          <cell r="B619">
            <v>5108713</v>
          </cell>
          <cell r="EE619">
            <v>42039679.539999999</v>
          </cell>
          <cell r="EF619">
            <v>0</v>
          </cell>
          <cell r="EG619">
            <v>42039679.539999999</v>
          </cell>
        </row>
        <row r="620">
          <cell r="B620">
            <v>5893372</v>
          </cell>
          <cell r="EE620">
            <v>0</v>
          </cell>
          <cell r="EF620">
            <v>24264220</v>
          </cell>
          <cell r="EG620">
            <v>-24264220</v>
          </cell>
        </row>
        <row r="621">
          <cell r="B621">
            <v>3199142</v>
          </cell>
          <cell r="EE621">
            <v>0</v>
          </cell>
          <cell r="EF621">
            <v>0</v>
          </cell>
          <cell r="EG621">
            <v>0</v>
          </cell>
        </row>
        <row r="622">
          <cell r="B622">
            <v>5941113</v>
          </cell>
          <cell r="EE622">
            <v>0</v>
          </cell>
          <cell r="EF622">
            <v>0</v>
          </cell>
          <cell r="EG622">
            <v>0</v>
          </cell>
        </row>
        <row r="623">
          <cell r="B623">
            <v>2736578</v>
          </cell>
          <cell r="EE623">
            <v>0</v>
          </cell>
          <cell r="EF623">
            <v>0</v>
          </cell>
          <cell r="EG623">
            <v>0</v>
          </cell>
        </row>
        <row r="624">
          <cell r="B624">
            <v>2008726</v>
          </cell>
          <cell r="EE624">
            <v>0</v>
          </cell>
          <cell r="EF624">
            <v>8700000</v>
          </cell>
          <cell r="EG624">
            <v>-8700000</v>
          </cell>
        </row>
        <row r="625">
          <cell r="B625">
            <v>6447996</v>
          </cell>
          <cell r="EE625">
            <v>0</v>
          </cell>
          <cell r="EF625">
            <v>0</v>
          </cell>
          <cell r="EG625">
            <v>0</v>
          </cell>
        </row>
        <row r="626">
          <cell r="B626">
            <v>5535271</v>
          </cell>
          <cell r="EE626">
            <v>0</v>
          </cell>
          <cell r="EF626">
            <v>25870123</v>
          </cell>
          <cell r="EG626">
            <v>-25870123</v>
          </cell>
        </row>
        <row r="627">
          <cell r="B627">
            <v>6447627</v>
          </cell>
          <cell r="EE627">
            <v>567000</v>
          </cell>
          <cell r="EF627">
            <v>0</v>
          </cell>
          <cell r="EG627">
            <v>567000</v>
          </cell>
        </row>
        <row r="628">
          <cell r="B628">
            <v>6447643</v>
          </cell>
          <cell r="EE628">
            <v>326200</v>
          </cell>
          <cell r="EF628">
            <v>295200</v>
          </cell>
          <cell r="EG628">
            <v>31000</v>
          </cell>
        </row>
        <row r="629">
          <cell r="B629">
            <v>3076776</v>
          </cell>
          <cell r="EE629">
            <v>0</v>
          </cell>
          <cell r="EF629">
            <v>0</v>
          </cell>
          <cell r="EG629">
            <v>0</v>
          </cell>
        </row>
        <row r="630">
          <cell r="B630">
            <v>5066646</v>
          </cell>
          <cell r="EE630">
            <v>3175628.2</v>
          </cell>
          <cell r="EF630">
            <v>0</v>
          </cell>
          <cell r="EG630">
            <v>3175628.2</v>
          </cell>
        </row>
        <row r="631">
          <cell r="B631">
            <v>2687968</v>
          </cell>
          <cell r="EE631">
            <v>649136458.5382489</v>
          </cell>
          <cell r="EF631">
            <v>89243250</v>
          </cell>
          <cell r="EG631">
            <v>559893208.5382489</v>
          </cell>
        </row>
        <row r="632">
          <cell r="B632">
            <v>6914357</v>
          </cell>
          <cell r="EE632">
            <v>86611373.25</v>
          </cell>
          <cell r="EF632">
            <v>0</v>
          </cell>
          <cell r="EG632">
            <v>86611373.25</v>
          </cell>
        </row>
        <row r="633">
          <cell r="B633">
            <v>5810086</v>
          </cell>
          <cell r="EE633">
            <v>1266685507.4100001</v>
          </cell>
          <cell r="EF633">
            <v>0</v>
          </cell>
          <cell r="EG633">
            <v>1266685507.4100001</v>
          </cell>
        </row>
        <row r="634">
          <cell r="B634">
            <v>5175739</v>
          </cell>
          <cell r="EE634">
            <v>0</v>
          </cell>
          <cell r="EF634">
            <v>0</v>
          </cell>
          <cell r="EG634">
            <v>0</v>
          </cell>
        </row>
        <row r="635">
          <cell r="B635">
            <v>2001004</v>
          </cell>
          <cell r="EE635">
            <v>0</v>
          </cell>
          <cell r="EF635">
            <v>0</v>
          </cell>
          <cell r="EG635">
            <v>0</v>
          </cell>
        </row>
        <row r="636">
          <cell r="B636">
            <v>5108616</v>
          </cell>
          <cell r="EE636">
            <v>0</v>
          </cell>
          <cell r="EF636">
            <v>0</v>
          </cell>
          <cell r="EG636">
            <v>0</v>
          </cell>
        </row>
        <row r="637">
          <cell r="B637">
            <v>5877539</v>
          </cell>
          <cell r="EE637">
            <v>0</v>
          </cell>
          <cell r="EF637">
            <v>0</v>
          </cell>
          <cell r="EG637">
            <v>0</v>
          </cell>
        </row>
        <row r="638">
          <cell r="B638">
            <v>5217652</v>
          </cell>
          <cell r="EE638">
            <v>16138770655.838137</v>
          </cell>
          <cell r="EF638">
            <v>27834125140</v>
          </cell>
          <cell r="EG638">
            <v>-11695354484.161863</v>
          </cell>
        </row>
        <row r="639">
          <cell r="B639">
            <v>2081547</v>
          </cell>
          <cell r="EE639">
            <v>207000000</v>
          </cell>
          <cell r="EF639">
            <v>0</v>
          </cell>
          <cell r="EG639">
            <v>207000000</v>
          </cell>
        </row>
        <row r="640">
          <cell r="B640">
            <v>5722616</v>
          </cell>
          <cell r="EE640">
            <v>80411858.069999993</v>
          </cell>
          <cell r="EF640">
            <v>0</v>
          </cell>
          <cell r="EG640">
            <v>80411858.069999993</v>
          </cell>
        </row>
        <row r="641">
          <cell r="B641">
            <v>3066096</v>
          </cell>
          <cell r="EE641">
            <v>0</v>
          </cell>
          <cell r="EF641">
            <v>0</v>
          </cell>
          <cell r="EG641">
            <v>0</v>
          </cell>
        </row>
        <row r="642">
          <cell r="B642">
            <v>6451225</v>
          </cell>
          <cell r="EE642">
            <v>1290131.6499999999</v>
          </cell>
          <cell r="EF642">
            <v>0</v>
          </cell>
          <cell r="EG642">
            <v>1290131.6499999999</v>
          </cell>
        </row>
        <row r="643">
          <cell r="B643">
            <v>5194997</v>
          </cell>
          <cell r="EE643">
            <v>12625778.189999999</v>
          </cell>
          <cell r="EF643">
            <v>30466257</v>
          </cell>
          <cell r="EG643">
            <v>-17840478.809999999</v>
          </cell>
        </row>
        <row r="644">
          <cell r="B644">
            <v>3859738</v>
          </cell>
          <cell r="EE644">
            <v>0</v>
          </cell>
          <cell r="EF644">
            <v>0</v>
          </cell>
          <cell r="EG644">
            <v>0</v>
          </cell>
        </row>
        <row r="645">
          <cell r="B645">
            <v>6766129</v>
          </cell>
          <cell r="EE645">
            <v>0</v>
          </cell>
          <cell r="EF645">
            <v>579597</v>
          </cell>
          <cell r="EG645">
            <v>-579597</v>
          </cell>
        </row>
        <row r="646">
          <cell r="B646">
            <v>5443431</v>
          </cell>
          <cell r="EE646">
            <v>0</v>
          </cell>
          <cell r="EF646">
            <v>0</v>
          </cell>
          <cell r="EG646">
            <v>0</v>
          </cell>
        </row>
        <row r="647">
          <cell r="B647">
            <v>6511147</v>
          </cell>
          <cell r="EE647">
            <v>0</v>
          </cell>
          <cell r="EF647">
            <v>0</v>
          </cell>
          <cell r="EG647">
            <v>0</v>
          </cell>
        </row>
        <row r="648">
          <cell r="B648">
            <v>2638185</v>
          </cell>
          <cell r="EE648">
            <v>0</v>
          </cell>
          <cell r="EF648">
            <v>0</v>
          </cell>
          <cell r="EG648">
            <v>0</v>
          </cell>
        </row>
        <row r="649">
          <cell r="B649">
            <v>5661447</v>
          </cell>
          <cell r="EE649">
            <v>2425321.75</v>
          </cell>
          <cell r="EF649">
            <v>0</v>
          </cell>
          <cell r="EG649">
            <v>2425321.75</v>
          </cell>
        </row>
        <row r="650">
          <cell r="B650">
            <v>5929229</v>
          </cell>
          <cell r="EE650">
            <v>29411967.600000001</v>
          </cell>
          <cell r="EF650">
            <v>0</v>
          </cell>
          <cell r="EG650">
            <v>29411967.600000001</v>
          </cell>
        </row>
        <row r="651">
          <cell r="B651">
            <v>2081342</v>
          </cell>
          <cell r="EE651">
            <v>0</v>
          </cell>
          <cell r="EF651">
            <v>0</v>
          </cell>
          <cell r="EG651">
            <v>0</v>
          </cell>
        </row>
        <row r="652">
          <cell r="B652">
            <v>5108195</v>
          </cell>
          <cell r="EE652">
            <v>0</v>
          </cell>
          <cell r="EF652">
            <v>0</v>
          </cell>
          <cell r="EG652">
            <v>0</v>
          </cell>
        </row>
        <row r="653">
          <cell r="B653">
            <v>2578778</v>
          </cell>
          <cell r="EE653">
            <v>0</v>
          </cell>
          <cell r="EF653">
            <v>0</v>
          </cell>
          <cell r="EG653">
            <v>0</v>
          </cell>
        </row>
        <row r="654">
          <cell r="B654">
            <v>5081416</v>
          </cell>
          <cell r="EE654">
            <v>2500000</v>
          </cell>
          <cell r="EF654">
            <v>0</v>
          </cell>
          <cell r="EG654">
            <v>2500000</v>
          </cell>
        </row>
        <row r="655">
          <cell r="B655">
            <v>5131618</v>
          </cell>
          <cell r="EE655">
            <v>0</v>
          </cell>
          <cell r="EF655">
            <v>0</v>
          </cell>
          <cell r="EG655">
            <v>0</v>
          </cell>
        </row>
        <row r="656">
          <cell r="B656">
            <v>5041589</v>
          </cell>
          <cell r="EE656">
            <v>6462300</v>
          </cell>
          <cell r="EF656">
            <v>0</v>
          </cell>
          <cell r="EG656">
            <v>6462300</v>
          </cell>
        </row>
        <row r="657">
          <cell r="B657">
            <v>5511844</v>
          </cell>
          <cell r="EE657">
            <v>786429506.48999989</v>
          </cell>
          <cell r="EF657">
            <v>0</v>
          </cell>
          <cell r="EG657">
            <v>786429506.48999989</v>
          </cell>
        </row>
        <row r="658">
          <cell r="B658">
            <v>2047071</v>
          </cell>
          <cell r="EE658">
            <v>42336504.439999998</v>
          </cell>
          <cell r="EF658">
            <v>0</v>
          </cell>
          <cell r="EG658">
            <v>42336504.439999998</v>
          </cell>
        </row>
        <row r="659">
          <cell r="B659">
            <v>2073013</v>
          </cell>
          <cell r="EE659">
            <v>0</v>
          </cell>
          <cell r="EF659">
            <v>0</v>
          </cell>
          <cell r="EG659">
            <v>0</v>
          </cell>
        </row>
        <row r="660">
          <cell r="B660">
            <v>5036577</v>
          </cell>
          <cell r="EE660">
            <v>1560000</v>
          </cell>
          <cell r="EF660">
            <v>0</v>
          </cell>
          <cell r="EG660">
            <v>1560000</v>
          </cell>
        </row>
        <row r="661">
          <cell r="B661">
            <v>5596165</v>
          </cell>
          <cell r="EE661">
            <v>0</v>
          </cell>
          <cell r="EF661">
            <v>0</v>
          </cell>
          <cell r="EG661">
            <v>0</v>
          </cell>
        </row>
        <row r="662">
          <cell r="B662">
            <v>2675471</v>
          </cell>
          <cell r="EE662">
            <v>541290355.43311906</v>
          </cell>
          <cell r="EF662">
            <v>1264202177</v>
          </cell>
          <cell r="EG662">
            <v>-722911821.56688094</v>
          </cell>
        </row>
        <row r="663">
          <cell r="B663">
            <v>5439574</v>
          </cell>
          <cell r="EE663">
            <v>10551649</v>
          </cell>
          <cell r="EF663">
            <v>7823791</v>
          </cell>
          <cell r="EG663">
            <v>2727858</v>
          </cell>
        </row>
        <row r="664">
          <cell r="B664">
            <v>5517176</v>
          </cell>
          <cell r="EE664">
            <v>1960671</v>
          </cell>
          <cell r="EF664">
            <v>0</v>
          </cell>
          <cell r="EG664">
            <v>1960671</v>
          </cell>
        </row>
        <row r="665">
          <cell r="B665">
            <v>5511577</v>
          </cell>
          <cell r="EE665">
            <v>10479550</v>
          </cell>
          <cell r="EF665">
            <v>0</v>
          </cell>
          <cell r="EG665">
            <v>10479550</v>
          </cell>
        </row>
        <row r="666">
          <cell r="B666">
            <v>5034396</v>
          </cell>
          <cell r="EE666">
            <v>0</v>
          </cell>
          <cell r="EF666">
            <v>8225000</v>
          </cell>
          <cell r="EG666">
            <v>-8225000</v>
          </cell>
        </row>
        <row r="667">
          <cell r="B667">
            <v>8413851</v>
          </cell>
          <cell r="EE667">
            <v>0</v>
          </cell>
          <cell r="EF667">
            <v>0</v>
          </cell>
          <cell r="EG667">
            <v>0</v>
          </cell>
        </row>
        <row r="668">
          <cell r="B668">
            <v>5006864</v>
          </cell>
          <cell r="EE668">
            <v>2947500</v>
          </cell>
          <cell r="EF668">
            <v>0</v>
          </cell>
          <cell r="EG668">
            <v>2947500</v>
          </cell>
        </row>
        <row r="669">
          <cell r="B669">
            <v>6008194</v>
          </cell>
          <cell r="EE669">
            <v>381824857.24581897</v>
          </cell>
          <cell r="EF669">
            <v>0</v>
          </cell>
          <cell r="EG669">
            <v>381824857.24581897</v>
          </cell>
        </row>
        <row r="670">
          <cell r="B670">
            <v>5002486</v>
          </cell>
          <cell r="EE670">
            <v>161819233.27000001</v>
          </cell>
          <cell r="EF670">
            <v>0</v>
          </cell>
          <cell r="EG670">
            <v>161819233.27000001</v>
          </cell>
        </row>
        <row r="671">
          <cell r="B671">
            <v>5637791</v>
          </cell>
          <cell r="EE671">
            <v>1000.1</v>
          </cell>
          <cell r="EF671">
            <v>0</v>
          </cell>
          <cell r="EG671">
            <v>1000.1</v>
          </cell>
        </row>
        <row r="672">
          <cell r="B672">
            <v>5076021</v>
          </cell>
          <cell r="EE672">
            <v>0</v>
          </cell>
          <cell r="EF672">
            <v>0</v>
          </cell>
          <cell r="EG672">
            <v>0</v>
          </cell>
        </row>
        <row r="673">
          <cell r="B673">
            <v>5834716</v>
          </cell>
          <cell r="EE673">
            <v>0</v>
          </cell>
          <cell r="EF673">
            <v>0</v>
          </cell>
          <cell r="EG673">
            <v>0</v>
          </cell>
        </row>
        <row r="674">
          <cell r="B674">
            <v>2688123</v>
          </cell>
          <cell r="EE674">
            <v>54630347.930000007</v>
          </cell>
          <cell r="EF674">
            <v>4560000</v>
          </cell>
          <cell r="EG674">
            <v>50070347.930000007</v>
          </cell>
        </row>
        <row r="675">
          <cell r="B675">
            <v>2003864</v>
          </cell>
          <cell r="EE675">
            <v>652796299.89137101</v>
          </cell>
          <cell r="EF675">
            <v>0</v>
          </cell>
          <cell r="EG675">
            <v>652796299.89137101</v>
          </cell>
        </row>
        <row r="676">
          <cell r="B676">
            <v>2793512</v>
          </cell>
          <cell r="EE676">
            <v>27562542.039999999</v>
          </cell>
          <cell r="EF676">
            <v>28692750</v>
          </cell>
          <cell r="EG676">
            <v>-1130207.959999999</v>
          </cell>
        </row>
        <row r="677">
          <cell r="B677">
            <v>5089417</v>
          </cell>
          <cell r="EE677">
            <v>83156689.920000002</v>
          </cell>
          <cell r="EF677">
            <v>48862746</v>
          </cell>
          <cell r="EG677">
            <v>34293943.920000002</v>
          </cell>
        </row>
        <row r="678">
          <cell r="B678">
            <v>2780518</v>
          </cell>
          <cell r="EE678">
            <v>1052864887.1399999</v>
          </cell>
          <cell r="EF678">
            <v>1285033153</v>
          </cell>
          <cell r="EG678">
            <v>-232168265.86000004</v>
          </cell>
        </row>
        <row r="679">
          <cell r="B679">
            <v>5088755</v>
          </cell>
          <cell r="EE679">
            <v>137305936</v>
          </cell>
          <cell r="EF679">
            <v>978750</v>
          </cell>
          <cell r="EG679">
            <v>136327186</v>
          </cell>
        </row>
        <row r="680">
          <cell r="B680">
            <v>5039681</v>
          </cell>
          <cell r="EE680">
            <v>70717618.090000004</v>
          </cell>
          <cell r="EF680">
            <v>185385205</v>
          </cell>
          <cell r="EG680">
            <v>-114667586.91</v>
          </cell>
        </row>
        <row r="681">
          <cell r="B681">
            <v>2812231</v>
          </cell>
          <cell r="EE681">
            <v>88267239</v>
          </cell>
          <cell r="EF681">
            <v>0</v>
          </cell>
          <cell r="EG681">
            <v>88267239</v>
          </cell>
        </row>
        <row r="682">
          <cell r="B682">
            <v>5599695</v>
          </cell>
          <cell r="EE682">
            <v>6447150</v>
          </cell>
          <cell r="EF682">
            <v>0</v>
          </cell>
          <cell r="EG682">
            <v>6447150</v>
          </cell>
        </row>
        <row r="683">
          <cell r="B683">
            <v>5281857</v>
          </cell>
          <cell r="EE683">
            <v>0</v>
          </cell>
          <cell r="EF683">
            <v>0</v>
          </cell>
          <cell r="EG683">
            <v>0</v>
          </cell>
        </row>
        <row r="684">
          <cell r="B684">
            <v>5308488</v>
          </cell>
          <cell r="EE684">
            <v>13038273.560000001</v>
          </cell>
          <cell r="EF684">
            <v>0</v>
          </cell>
          <cell r="EG684">
            <v>13038273.560000001</v>
          </cell>
        </row>
        <row r="685">
          <cell r="B685">
            <v>5344441</v>
          </cell>
          <cell r="EE685">
            <v>0</v>
          </cell>
          <cell r="EF685">
            <v>96300</v>
          </cell>
          <cell r="EG685">
            <v>-96300</v>
          </cell>
        </row>
        <row r="686">
          <cell r="B686">
            <v>8336776</v>
          </cell>
          <cell r="EE686">
            <v>0</v>
          </cell>
          <cell r="EF686">
            <v>0</v>
          </cell>
          <cell r="EG686">
            <v>0</v>
          </cell>
        </row>
        <row r="687">
          <cell r="B687">
            <v>6373801</v>
          </cell>
          <cell r="EE687">
            <v>0</v>
          </cell>
          <cell r="EF687">
            <v>0</v>
          </cell>
          <cell r="EG687">
            <v>0</v>
          </cell>
        </row>
        <row r="688">
          <cell r="B688">
            <v>5987652</v>
          </cell>
          <cell r="EE688">
            <v>27294890</v>
          </cell>
          <cell r="EF688">
            <v>0</v>
          </cell>
          <cell r="EG688">
            <v>27294890</v>
          </cell>
        </row>
        <row r="689">
          <cell r="B689">
            <v>2893401</v>
          </cell>
          <cell r="EE689">
            <v>0</v>
          </cell>
          <cell r="EF689">
            <v>0</v>
          </cell>
          <cell r="EG689">
            <v>0</v>
          </cell>
        </row>
        <row r="690">
          <cell r="B690">
            <v>3863689</v>
          </cell>
          <cell r="EE690">
            <v>88912426.469999999</v>
          </cell>
          <cell r="EF690">
            <v>0</v>
          </cell>
          <cell r="EG690">
            <v>88912426.469999999</v>
          </cell>
        </row>
        <row r="691">
          <cell r="B691">
            <v>5935539</v>
          </cell>
          <cell r="EE691">
            <v>147746591.38999999</v>
          </cell>
          <cell r="EF691">
            <v>259975655</v>
          </cell>
          <cell r="EG691">
            <v>-112229063.61000001</v>
          </cell>
        </row>
        <row r="692">
          <cell r="B692">
            <v>2670801</v>
          </cell>
          <cell r="EE692">
            <v>0</v>
          </cell>
          <cell r="EF692">
            <v>20010547</v>
          </cell>
          <cell r="EG692">
            <v>-20010547</v>
          </cell>
        </row>
        <row r="693">
          <cell r="B693">
            <v>3551083</v>
          </cell>
          <cell r="EE693">
            <v>0</v>
          </cell>
          <cell r="EF693">
            <v>0</v>
          </cell>
          <cell r="EG693">
            <v>0</v>
          </cell>
        </row>
        <row r="694">
          <cell r="B694">
            <v>5294487</v>
          </cell>
          <cell r="EE694">
            <v>25617435</v>
          </cell>
          <cell r="EF694">
            <v>27186403</v>
          </cell>
          <cell r="EG694">
            <v>-1568968</v>
          </cell>
        </row>
        <row r="695">
          <cell r="B695">
            <v>5168171</v>
          </cell>
          <cell r="EE695">
            <v>0</v>
          </cell>
          <cell r="EF695">
            <v>0</v>
          </cell>
          <cell r="EG695">
            <v>0</v>
          </cell>
        </row>
        <row r="696">
          <cell r="B696">
            <v>5040639</v>
          </cell>
          <cell r="EE696">
            <v>0</v>
          </cell>
          <cell r="EF696">
            <v>0</v>
          </cell>
          <cell r="EG696">
            <v>0</v>
          </cell>
        </row>
        <row r="697">
          <cell r="B697">
            <v>5341205</v>
          </cell>
          <cell r="EE697">
            <v>59837323</v>
          </cell>
          <cell r="EF697">
            <v>0</v>
          </cell>
          <cell r="EG697">
            <v>59837323</v>
          </cell>
        </row>
        <row r="698">
          <cell r="B698">
            <v>5382432</v>
          </cell>
          <cell r="EE698">
            <v>0</v>
          </cell>
          <cell r="EF698">
            <v>0</v>
          </cell>
          <cell r="EG698">
            <v>0</v>
          </cell>
        </row>
        <row r="699">
          <cell r="B699">
            <v>2049902</v>
          </cell>
          <cell r="EE699">
            <v>257685.64</v>
          </cell>
          <cell r="EF699">
            <v>0</v>
          </cell>
          <cell r="EG699">
            <v>257685.64</v>
          </cell>
        </row>
        <row r="700">
          <cell r="B700">
            <v>5408857</v>
          </cell>
          <cell r="EE700">
            <v>0</v>
          </cell>
          <cell r="EF700">
            <v>0</v>
          </cell>
          <cell r="EG700">
            <v>0</v>
          </cell>
        </row>
        <row r="701">
          <cell r="B701">
            <v>5213789</v>
          </cell>
          <cell r="EE701">
            <v>421362.46</v>
          </cell>
          <cell r="EF701">
            <v>0</v>
          </cell>
          <cell r="EG701">
            <v>421362.46</v>
          </cell>
        </row>
        <row r="702">
          <cell r="B702">
            <v>5098297</v>
          </cell>
          <cell r="EE702">
            <v>704405318.97000003</v>
          </cell>
          <cell r="EF702">
            <v>0</v>
          </cell>
          <cell r="EG702">
            <v>704405318.97000003</v>
          </cell>
        </row>
        <row r="703">
          <cell r="B703">
            <v>5210453</v>
          </cell>
          <cell r="EE703">
            <v>0</v>
          </cell>
          <cell r="EF703">
            <v>0</v>
          </cell>
          <cell r="EG703">
            <v>0</v>
          </cell>
        </row>
        <row r="704">
          <cell r="B704">
            <v>5015553</v>
          </cell>
          <cell r="EE704">
            <v>39445252.920000002</v>
          </cell>
          <cell r="EF704">
            <v>0</v>
          </cell>
          <cell r="EG704">
            <v>39445252.920000002</v>
          </cell>
        </row>
        <row r="705">
          <cell r="B705">
            <v>6741657</v>
          </cell>
          <cell r="EE705">
            <v>0</v>
          </cell>
          <cell r="EF705">
            <v>3117000</v>
          </cell>
          <cell r="EG705">
            <v>-3117000</v>
          </cell>
        </row>
        <row r="706">
          <cell r="B706">
            <v>4270177</v>
          </cell>
          <cell r="EE706">
            <v>100000000</v>
          </cell>
          <cell r="EF706">
            <v>0</v>
          </cell>
          <cell r="EG706">
            <v>100000000</v>
          </cell>
        </row>
        <row r="707">
          <cell r="B707">
            <v>6701523</v>
          </cell>
          <cell r="EE707">
            <v>29357568.32</v>
          </cell>
          <cell r="EF707">
            <v>15565600</v>
          </cell>
          <cell r="EG707">
            <v>13791968.32</v>
          </cell>
        </row>
        <row r="708">
          <cell r="B708">
            <v>6741584</v>
          </cell>
          <cell r="EE708">
            <v>600000</v>
          </cell>
          <cell r="EF708">
            <v>0</v>
          </cell>
          <cell r="EG708">
            <v>600000</v>
          </cell>
        </row>
        <row r="709">
          <cell r="B709">
            <v>6563635</v>
          </cell>
          <cell r="EE709">
            <v>31600759.93</v>
          </cell>
          <cell r="EF709">
            <v>53216386</v>
          </cell>
          <cell r="EG709">
            <v>-21615626.07</v>
          </cell>
        </row>
        <row r="710">
          <cell r="B710">
            <v>5016665</v>
          </cell>
          <cell r="EE710">
            <v>3594.4</v>
          </cell>
          <cell r="EF710">
            <v>0</v>
          </cell>
          <cell r="EG710">
            <v>3594.4</v>
          </cell>
        </row>
        <row r="711">
          <cell r="B711">
            <v>5110297</v>
          </cell>
          <cell r="EE711">
            <v>0</v>
          </cell>
          <cell r="EF711">
            <v>0</v>
          </cell>
          <cell r="EG711">
            <v>0</v>
          </cell>
        </row>
        <row r="712">
          <cell r="B712">
            <v>3550583</v>
          </cell>
          <cell r="EE712">
            <v>43258364.789999992</v>
          </cell>
          <cell r="EF712">
            <v>0</v>
          </cell>
          <cell r="EG712">
            <v>43258364.789999992</v>
          </cell>
        </row>
        <row r="713">
          <cell r="B713">
            <v>3618501</v>
          </cell>
          <cell r="EE713">
            <v>58376382.890000001</v>
          </cell>
          <cell r="EF713">
            <v>0</v>
          </cell>
          <cell r="EG713">
            <v>58376382.890000001</v>
          </cell>
        </row>
        <row r="714">
          <cell r="B714">
            <v>6301843</v>
          </cell>
          <cell r="EE714">
            <v>26628355.199999999</v>
          </cell>
          <cell r="EF714">
            <v>0</v>
          </cell>
          <cell r="EG714">
            <v>26628355.199999999</v>
          </cell>
        </row>
        <row r="715">
          <cell r="B715">
            <v>2724391</v>
          </cell>
          <cell r="EE715">
            <v>15150000</v>
          </cell>
          <cell r="EF715">
            <v>0</v>
          </cell>
          <cell r="EG715">
            <v>15150000</v>
          </cell>
        </row>
        <row r="716">
          <cell r="B716">
            <v>3749509</v>
          </cell>
          <cell r="EE716">
            <v>2258890</v>
          </cell>
          <cell r="EF716">
            <v>0</v>
          </cell>
          <cell r="EG716">
            <v>2258890</v>
          </cell>
        </row>
        <row r="717">
          <cell r="B717">
            <v>3308456</v>
          </cell>
          <cell r="EE717">
            <v>0</v>
          </cell>
          <cell r="EF717">
            <v>1163060</v>
          </cell>
          <cell r="EG717">
            <v>-1163060</v>
          </cell>
        </row>
        <row r="718">
          <cell r="B718">
            <v>2854384</v>
          </cell>
          <cell r="EE718">
            <v>0</v>
          </cell>
          <cell r="EF718">
            <v>0</v>
          </cell>
          <cell r="EG718">
            <v>0</v>
          </cell>
        </row>
        <row r="719">
          <cell r="B719">
            <v>6626165</v>
          </cell>
          <cell r="EE719">
            <v>0</v>
          </cell>
          <cell r="EF719">
            <v>0</v>
          </cell>
          <cell r="EG719">
            <v>0</v>
          </cell>
        </row>
        <row r="720">
          <cell r="B720">
            <v>6750966</v>
          </cell>
          <cell r="EE720">
            <v>0</v>
          </cell>
          <cell r="EF720">
            <v>0</v>
          </cell>
          <cell r="EG720">
            <v>0</v>
          </cell>
        </row>
        <row r="721">
          <cell r="B721">
            <v>6525377</v>
          </cell>
          <cell r="EE721">
            <v>0</v>
          </cell>
          <cell r="EF721">
            <v>0</v>
          </cell>
          <cell r="EG721">
            <v>0</v>
          </cell>
        </row>
        <row r="722">
          <cell r="B722">
            <v>5101883</v>
          </cell>
          <cell r="EE722">
            <v>20911105.68</v>
          </cell>
          <cell r="EF722">
            <v>7323786</v>
          </cell>
          <cell r="EG722">
            <v>13587319.679999998</v>
          </cell>
        </row>
        <row r="723">
          <cell r="B723">
            <v>6742599</v>
          </cell>
          <cell r="EE723">
            <v>16331653.35</v>
          </cell>
          <cell r="EF723">
            <v>0</v>
          </cell>
          <cell r="EG723">
            <v>16331653.35</v>
          </cell>
        </row>
        <row r="724">
          <cell r="B724">
            <v>5110475</v>
          </cell>
          <cell r="EE724">
            <v>0</v>
          </cell>
          <cell r="EF724">
            <v>0</v>
          </cell>
          <cell r="EG724">
            <v>0</v>
          </cell>
        </row>
        <row r="725">
          <cell r="B725">
            <v>5759722</v>
          </cell>
          <cell r="EE725">
            <v>84006950.255466998</v>
          </cell>
          <cell r="EF725">
            <v>0</v>
          </cell>
          <cell r="EG725">
            <v>84006950.255466998</v>
          </cell>
        </row>
        <row r="726">
          <cell r="B726">
            <v>5297591</v>
          </cell>
          <cell r="EE726">
            <v>70937135.640000001</v>
          </cell>
          <cell r="EF726">
            <v>126373047</v>
          </cell>
          <cell r="EG726">
            <v>-55435911.359999999</v>
          </cell>
        </row>
        <row r="727">
          <cell r="B727">
            <v>5152674</v>
          </cell>
          <cell r="EE727">
            <v>0</v>
          </cell>
          <cell r="EF727">
            <v>23942000</v>
          </cell>
          <cell r="EG727">
            <v>-23942000</v>
          </cell>
        </row>
        <row r="728">
          <cell r="B728">
            <v>2844915</v>
          </cell>
          <cell r="EE728">
            <v>0</v>
          </cell>
          <cell r="EF728">
            <v>0</v>
          </cell>
          <cell r="EG728">
            <v>0</v>
          </cell>
        </row>
        <row r="729">
          <cell r="B729">
            <v>6631665</v>
          </cell>
          <cell r="EE729">
            <v>0</v>
          </cell>
          <cell r="EF729">
            <v>0</v>
          </cell>
          <cell r="EG729">
            <v>0</v>
          </cell>
        </row>
        <row r="730">
          <cell r="B730">
            <v>6630618</v>
          </cell>
          <cell r="EE730">
            <v>0</v>
          </cell>
          <cell r="EF730">
            <v>0</v>
          </cell>
          <cell r="EG730">
            <v>0</v>
          </cell>
        </row>
        <row r="731">
          <cell r="B731">
            <v>5198909</v>
          </cell>
          <cell r="EE731">
            <v>0</v>
          </cell>
          <cell r="EF731">
            <v>0</v>
          </cell>
          <cell r="EG731">
            <v>0</v>
          </cell>
        </row>
        <row r="732">
          <cell r="B732">
            <v>5154456</v>
          </cell>
          <cell r="EE732">
            <v>9952913</v>
          </cell>
          <cell r="EF732">
            <v>7457005</v>
          </cell>
          <cell r="EG732">
            <v>2495908</v>
          </cell>
        </row>
        <row r="733">
          <cell r="B733">
            <v>6209955</v>
          </cell>
          <cell r="EE733">
            <v>0</v>
          </cell>
          <cell r="EF733">
            <v>0</v>
          </cell>
          <cell r="EG733">
            <v>0</v>
          </cell>
        </row>
        <row r="734">
          <cell r="B734">
            <v>6750974</v>
          </cell>
          <cell r="EE734">
            <v>100000000</v>
          </cell>
          <cell r="EF734">
            <v>285421</v>
          </cell>
          <cell r="EG734">
            <v>99714579</v>
          </cell>
        </row>
        <row r="735">
          <cell r="B735">
            <v>2542633</v>
          </cell>
          <cell r="EE735">
            <v>0</v>
          </cell>
          <cell r="EF735">
            <v>0</v>
          </cell>
          <cell r="EG735">
            <v>0</v>
          </cell>
        </row>
        <row r="736">
          <cell r="B736">
            <v>6471919</v>
          </cell>
          <cell r="EE736">
            <v>648463045.66721499</v>
          </cell>
          <cell r="EF736">
            <v>0</v>
          </cell>
          <cell r="EG736">
            <v>648463045.66721499</v>
          </cell>
        </row>
        <row r="737">
          <cell r="B737">
            <v>2627663</v>
          </cell>
          <cell r="EE737">
            <v>0</v>
          </cell>
          <cell r="EF737">
            <v>0</v>
          </cell>
          <cell r="EG737">
            <v>0</v>
          </cell>
        </row>
        <row r="738">
          <cell r="B738">
            <v>2169967</v>
          </cell>
          <cell r="EE738">
            <v>354487040.38</v>
          </cell>
          <cell r="EF738">
            <v>0</v>
          </cell>
          <cell r="EG738">
            <v>354487040.38</v>
          </cell>
        </row>
        <row r="739">
          <cell r="B739">
            <v>6776493</v>
          </cell>
          <cell r="EE739">
            <v>6569578</v>
          </cell>
          <cell r="EF739">
            <v>13137067</v>
          </cell>
          <cell r="EG739">
            <v>-6567489</v>
          </cell>
        </row>
        <row r="740">
          <cell r="B740">
            <v>5406145</v>
          </cell>
          <cell r="EE740">
            <v>0</v>
          </cell>
          <cell r="EF740">
            <v>0</v>
          </cell>
          <cell r="EG740">
            <v>0</v>
          </cell>
        </row>
        <row r="741">
          <cell r="B741">
            <v>5074622</v>
          </cell>
          <cell r="EE741">
            <v>0</v>
          </cell>
          <cell r="EF741">
            <v>0</v>
          </cell>
          <cell r="EG741">
            <v>0</v>
          </cell>
        </row>
        <row r="742">
          <cell r="B742">
            <v>8339856</v>
          </cell>
          <cell r="EE742">
            <v>0</v>
          </cell>
          <cell r="EF742">
            <v>0</v>
          </cell>
          <cell r="EG742">
            <v>0</v>
          </cell>
        </row>
        <row r="743">
          <cell r="B743">
            <v>5073189</v>
          </cell>
          <cell r="EE743">
            <v>868488255.63999999</v>
          </cell>
          <cell r="EF743">
            <v>0</v>
          </cell>
          <cell r="EG743">
            <v>868488255.63999999</v>
          </cell>
        </row>
        <row r="744">
          <cell r="B744">
            <v>5289173</v>
          </cell>
          <cell r="EE744">
            <v>510000</v>
          </cell>
          <cell r="EF744">
            <v>0</v>
          </cell>
          <cell r="EG744">
            <v>510000</v>
          </cell>
        </row>
        <row r="745">
          <cell r="B745">
            <v>5457912</v>
          </cell>
          <cell r="EE745">
            <v>25118743.728819001</v>
          </cell>
          <cell r="EF745">
            <v>0</v>
          </cell>
          <cell r="EG745">
            <v>25118743.728819001</v>
          </cell>
        </row>
        <row r="746">
          <cell r="B746">
            <v>2784041</v>
          </cell>
          <cell r="EE746">
            <v>63247326.380000003</v>
          </cell>
          <cell r="EF746">
            <v>0</v>
          </cell>
          <cell r="EG746">
            <v>63247326.380000003</v>
          </cell>
        </row>
        <row r="747">
          <cell r="B747">
            <v>5055105</v>
          </cell>
          <cell r="EE747">
            <v>2876325</v>
          </cell>
          <cell r="EF747">
            <v>0</v>
          </cell>
          <cell r="EG747">
            <v>2876325</v>
          </cell>
        </row>
        <row r="748">
          <cell r="B748">
            <v>5168724</v>
          </cell>
          <cell r="EE748">
            <v>0</v>
          </cell>
          <cell r="EF748">
            <v>0</v>
          </cell>
          <cell r="EG748">
            <v>0</v>
          </cell>
        </row>
        <row r="749">
          <cell r="B749">
            <v>6423922</v>
          </cell>
          <cell r="EE749">
            <v>11037682</v>
          </cell>
          <cell r="EF749">
            <v>0</v>
          </cell>
          <cell r="EG749">
            <v>11037682</v>
          </cell>
        </row>
        <row r="750">
          <cell r="B750">
            <v>6171788</v>
          </cell>
          <cell r="EE750">
            <v>20516500</v>
          </cell>
          <cell r="EF750">
            <v>323239417</v>
          </cell>
          <cell r="EG750">
            <v>-302722917</v>
          </cell>
        </row>
        <row r="751">
          <cell r="B751">
            <v>5625254</v>
          </cell>
          <cell r="EE751">
            <v>0</v>
          </cell>
          <cell r="EF751">
            <v>114641640</v>
          </cell>
          <cell r="EG751">
            <v>-114641640</v>
          </cell>
        </row>
        <row r="752">
          <cell r="B752">
            <v>6613713</v>
          </cell>
          <cell r="EE752">
            <v>7841600</v>
          </cell>
          <cell r="EF752">
            <v>174616073</v>
          </cell>
          <cell r="EG752">
            <v>-166774473</v>
          </cell>
        </row>
        <row r="753">
          <cell r="B753">
            <v>5942144</v>
          </cell>
          <cell r="EE753">
            <v>11744100.779999999</v>
          </cell>
          <cell r="EF753">
            <v>0</v>
          </cell>
          <cell r="EG753">
            <v>11744100.779999999</v>
          </cell>
        </row>
        <row r="754">
          <cell r="B754">
            <v>6081169</v>
          </cell>
          <cell r="EE754">
            <v>101124214.55</v>
          </cell>
          <cell r="EF754">
            <v>60042003</v>
          </cell>
          <cell r="EG754">
            <v>41082211.549999997</v>
          </cell>
        </row>
        <row r="755">
          <cell r="B755">
            <v>5718902</v>
          </cell>
          <cell r="EE755">
            <v>56419299.230000004</v>
          </cell>
          <cell r="EF755">
            <v>212529041</v>
          </cell>
          <cell r="EG755">
            <v>-156109741.77000001</v>
          </cell>
        </row>
        <row r="756">
          <cell r="B756">
            <v>6058132</v>
          </cell>
          <cell r="EE756">
            <v>266815705.48787004</v>
          </cell>
          <cell r="EF756">
            <v>187035744</v>
          </cell>
          <cell r="EG756">
            <v>79779961.487870023</v>
          </cell>
        </row>
        <row r="757">
          <cell r="B757">
            <v>5921694</v>
          </cell>
          <cell r="EE757">
            <v>0</v>
          </cell>
          <cell r="EF757">
            <v>0</v>
          </cell>
          <cell r="EG757">
            <v>0</v>
          </cell>
        </row>
        <row r="758">
          <cell r="B758">
            <v>6755291</v>
          </cell>
          <cell r="EE758">
            <v>0</v>
          </cell>
          <cell r="EF758">
            <v>1672742</v>
          </cell>
          <cell r="EG758">
            <v>-1672742</v>
          </cell>
        </row>
        <row r="759">
          <cell r="B759">
            <v>6493467</v>
          </cell>
          <cell r="EE759">
            <v>0</v>
          </cell>
          <cell r="EF759">
            <v>0</v>
          </cell>
          <cell r="EG759">
            <v>0</v>
          </cell>
        </row>
        <row r="760">
          <cell r="B760">
            <v>6765335</v>
          </cell>
          <cell r="EE760">
            <v>0</v>
          </cell>
          <cell r="EF760">
            <v>1681950</v>
          </cell>
          <cell r="EG760">
            <v>-1681950</v>
          </cell>
        </row>
        <row r="761">
          <cell r="B761">
            <v>5467268</v>
          </cell>
          <cell r="EE761">
            <v>17865932370.400517</v>
          </cell>
          <cell r="EF761">
            <v>15657891951</v>
          </cell>
          <cell r="EG761">
            <v>2208040419.4005198</v>
          </cell>
        </row>
        <row r="762">
          <cell r="B762">
            <v>6233309</v>
          </cell>
          <cell r="EE762">
            <v>193790437.08000001</v>
          </cell>
          <cell r="EF762">
            <v>88661672</v>
          </cell>
          <cell r="EG762">
            <v>105128765.08000001</v>
          </cell>
        </row>
        <row r="763">
          <cell r="B763">
            <v>6296424</v>
          </cell>
          <cell r="EE763">
            <v>0</v>
          </cell>
          <cell r="EF763">
            <v>0</v>
          </cell>
          <cell r="EG763">
            <v>0</v>
          </cell>
        </row>
        <row r="764">
          <cell r="B764">
            <v>2065606</v>
          </cell>
          <cell r="EE764">
            <v>79914090</v>
          </cell>
          <cell r="EF764">
            <v>15675</v>
          </cell>
          <cell r="EG764">
            <v>79898415</v>
          </cell>
        </row>
        <row r="765">
          <cell r="B765">
            <v>5396786</v>
          </cell>
          <cell r="EE765">
            <v>492277230.37</v>
          </cell>
          <cell r="EF765">
            <v>145608376</v>
          </cell>
          <cell r="EG765">
            <v>346668854.37</v>
          </cell>
        </row>
        <row r="766">
          <cell r="B766">
            <v>5118611</v>
          </cell>
          <cell r="EE766">
            <v>0</v>
          </cell>
          <cell r="EF766">
            <v>45561063</v>
          </cell>
          <cell r="EG766">
            <v>-45561063</v>
          </cell>
        </row>
        <row r="767">
          <cell r="B767">
            <v>5550505</v>
          </cell>
          <cell r="EE767">
            <v>0</v>
          </cell>
          <cell r="EF767">
            <v>6692610</v>
          </cell>
          <cell r="EG767">
            <v>-6692610</v>
          </cell>
        </row>
        <row r="768">
          <cell r="B768">
            <v>8327734</v>
          </cell>
          <cell r="EE768">
            <v>0</v>
          </cell>
          <cell r="EF768">
            <v>0</v>
          </cell>
          <cell r="EG768">
            <v>0</v>
          </cell>
        </row>
        <row r="769">
          <cell r="B769">
            <v>3760863</v>
          </cell>
          <cell r="EE769">
            <v>15000</v>
          </cell>
          <cell r="EF769">
            <v>0</v>
          </cell>
          <cell r="EG769">
            <v>15000</v>
          </cell>
        </row>
        <row r="770">
          <cell r="B770">
            <v>5063329</v>
          </cell>
          <cell r="EE770">
            <v>40571452.279789999</v>
          </cell>
          <cell r="EF770">
            <v>0</v>
          </cell>
          <cell r="EG770">
            <v>40571452.279789999</v>
          </cell>
        </row>
        <row r="771">
          <cell r="B771">
            <v>6916686</v>
          </cell>
          <cell r="EE771">
            <v>0</v>
          </cell>
          <cell r="EF771">
            <v>0</v>
          </cell>
          <cell r="EG771">
            <v>0</v>
          </cell>
        </row>
        <row r="772">
          <cell r="B772">
            <v>6858422</v>
          </cell>
          <cell r="EE772">
            <v>126300306.75</v>
          </cell>
          <cell r="EF772">
            <v>0</v>
          </cell>
          <cell r="EG772">
            <v>126300306.75</v>
          </cell>
        </row>
        <row r="773">
          <cell r="B773">
            <v>6347401</v>
          </cell>
          <cell r="EE773">
            <v>0</v>
          </cell>
          <cell r="EF773">
            <v>0</v>
          </cell>
          <cell r="EG773">
            <v>0</v>
          </cell>
        </row>
        <row r="774">
          <cell r="B774">
            <v>5221056</v>
          </cell>
          <cell r="EE774">
            <v>0</v>
          </cell>
          <cell r="EF774">
            <v>10324500</v>
          </cell>
          <cell r="EG774">
            <v>-10324500</v>
          </cell>
        </row>
        <row r="775">
          <cell r="B775">
            <v>2006324</v>
          </cell>
          <cell r="EE775">
            <v>7500000</v>
          </cell>
          <cell r="EF775">
            <v>0</v>
          </cell>
          <cell r="EG775">
            <v>7500000</v>
          </cell>
        </row>
        <row r="776">
          <cell r="B776">
            <v>5621089</v>
          </cell>
          <cell r="EE776">
            <v>576316883.09329903</v>
          </cell>
          <cell r="EF776">
            <v>0</v>
          </cell>
          <cell r="EG776">
            <v>576316883.09329903</v>
          </cell>
        </row>
        <row r="777">
          <cell r="B777">
            <v>6358144</v>
          </cell>
          <cell r="EE777">
            <v>0</v>
          </cell>
          <cell r="EF777">
            <v>0</v>
          </cell>
          <cell r="EG777">
            <v>0</v>
          </cell>
        </row>
        <row r="778">
          <cell r="B778">
            <v>6670687</v>
          </cell>
          <cell r="EE778">
            <v>0</v>
          </cell>
          <cell r="EF778">
            <v>0</v>
          </cell>
          <cell r="EG778">
            <v>0</v>
          </cell>
        </row>
        <row r="779">
          <cell r="B779">
            <v>6386244</v>
          </cell>
          <cell r="EE779">
            <v>0</v>
          </cell>
          <cell r="EF779">
            <v>0</v>
          </cell>
          <cell r="EG779">
            <v>0</v>
          </cell>
        </row>
        <row r="780">
          <cell r="B780">
            <v>5883393</v>
          </cell>
          <cell r="EE780">
            <v>0</v>
          </cell>
          <cell r="EF780">
            <v>0</v>
          </cell>
          <cell r="EG780">
            <v>0</v>
          </cell>
        </row>
        <row r="781">
          <cell r="B781">
            <v>5644011</v>
          </cell>
          <cell r="EE781">
            <v>68199999.409999996</v>
          </cell>
          <cell r="EF781">
            <v>0</v>
          </cell>
          <cell r="EG781">
            <v>68199999.409999996</v>
          </cell>
        </row>
        <row r="782">
          <cell r="B782">
            <v>5975298</v>
          </cell>
          <cell r="EE782">
            <v>4269000</v>
          </cell>
          <cell r="EF782">
            <v>0</v>
          </cell>
          <cell r="EG782">
            <v>4269000</v>
          </cell>
        </row>
        <row r="783">
          <cell r="B783">
            <v>6708986</v>
          </cell>
          <cell r="EE783">
            <v>480000</v>
          </cell>
          <cell r="EF783">
            <v>0</v>
          </cell>
          <cell r="EG783">
            <v>480000</v>
          </cell>
        </row>
        <row r="784">
          <cell r="B784">
            <v>6077315</v>
          </cell>
          <cell r="EE784">
            <v>0</v>
          </cell>
          <cell r="EF784">
            <v>0</v>
          </cell>
          <cell r="EG784">
            <v>0</v>
          </cell>
        </row>
        <row r="785">
          <cell r="B785">
            <v>6375839</v>
          </cell>
          <cell r="EE785">
            <v>43188777.010000005</v>
          </cell>
          <cell r="EF785">
            <v>44578091</v>
          </cell>
          <cell r="EG785">
            <v>-1389313.9899999984</v>
          </cell>
        </row>
        <row r="786">
          <cell r="B786">
            <v>6254713</v>
          </cell>
          <cell r="EE786">
            <v>27643882.109999999</v>
          </cell>
          <cell r="EF786">
            <v>28257800</v>
          </cell>
          <cell r="EG786">
            <v>-613917.88999999966</v>
          </cell>
        </row>
        <row r="787">
          <cell r="B787">
            <v>3192067</v>
          </cell>
          <cell r="EE787">
            <v>0</v>
          </cell>
          <cell r="EF787">
            <v>0</v>
          </cell>
          <cell r="EG787">
            <v>0</v>
          </cell>
        </row>
        <row r="788">
          <cell r="B788">
            <v>5286808</v>
          </cell>
          <cell r="EE788">
            <v>26134530</v>
          </cell>
          <cell r="EF788">
            <v>8482082</v>
          </cell>
          <cell r="EG788">
            <v>17652448</v>
          </cell>
        </row>
        <row r="789">
          <cell r="B789">
            <v>5896746</v>
          </cell>
          <cell r="EE789">
            <v>6000000</v>
          </cell>
          <cell r="EF789">
            <v>0</v>
          </cell>
          <cell r="EG789">
            <v>6000000</v>
          </cell>
        </row>
        <row r="790">
          <cell r="B790">
            <v>3867234</v>
          </cell>
          <cell r="EE790">
            <v>0</v>
          </cell>
          <cell r="EF790">
            <v>0</v>
          </cell>
          <cell r="EG790">
            <v>0</v>
          </cell>
        </row>
        <row r="791">
          <cell r="B791">
            <v>5522935</v>
          </cell>
          <cell r="EE791">
            <v>781108434.81480002</v>
          </cell>
          <cell r="EF791">
            <v>592932444</v>
          </cell>
          <cell r="EG791">
            <v>188175990.81480002</v>
          </cell>
        </row>
        <row r="792">
          <cell r="B792">
            <v>5306892</v>
          </cell>
          <cell r="EE792">
            <v>0</v>
          </cell>
          <cell r="EF792">
            <v>37786080</v>
          </cell>
          <cell r="EG792">
            <v>-37786080</v>
          </cell>
        </row>
        <row r="793">
          <cell r="B793">
            <v>5626412</v>
          </cell>
          <cell r="EE793">
            <v>0</v>
          </cell>
          <cell r="EF793">
            <v>0</v>
          </cell>
          <cell r="EG793">
            <v>0</v>
          </cell>
        </row>
        <row r="794">
          <cell r="B794">
            <v>5399017</v>
          </cell>
          <cell r="EE794">
            <v>55061499.850000001</v>
          </cell>
          <cell r="EF794">
            <v>0</v>
          </cell>
          <cell r="EG794">
            <v>55061499.850000001</v>
          </cell>
        </row>
        <row r="795">
          <cell r="B795">
            <v>2784262</v>
          </cell>
          <cell r="EE795">
            <v>0</v>
          </cell>
          <cell r="EF795">
            <v>729278</v>
          </cell>
          <cell r="EG795">
            <v>-729278</v>
          </cell>
        </row>
        <row r="796">
          <cell r="B796">
            <v>5495369</v>
          </cell>
          <cell r="EE796">
            <v>0</v>
          </cell>
          <cell r="EF796">
            <v>0</v>
          </cell>
          <cell r="EG796">
            <v>0</v>
          </cell>
        </row>
        <row r="797">
          <cell r="B797">
            <v>2067684</v>
          </cell>
          <cell r="EE797">
            <v>0</v>
          </cell>
          <cell r="EF797">
            <v>1370250</v>
          </cell>
          <cell r="EG797">
            <v>-1370250</v>
          </cell>
        </row>
        <row r="798">
          <cell r="B798">
            <v>2542579</v>
          </cell>
          <cell r="EE798">
            <v>1147952.7</v>
          </cell>
          <cell r="EF798">
            <v>0</v>
          </cell>
          <cell r="EG798">
            <v>1147952.7</v>
          </cell>
        </row>
        <row r="799">
          <cell r="B799">
            <v>5322448</v>
          </cell>
          <cell r="EE799">
            <v>0</v>
          </cell>
          <cell r="EF799">
            <v>0</v>
          </cell>
          <cell r="EG799">
            <v>0</v>
          </cell>
        </row>
        <row r="800">
          <cell r="B800">
            <v>5219485</v>
          </cell>
          <cell r="EE800">
            <v>7079171.9900000002</v>
          </cell>
          <cell r="EF800">
            <v>0</v>
          </cell>
          <cell r="EG800">
            <v>7079171.9900000002</v>
          </cell>
        </row>
        <row r="801">
          <cell r="B801">
            <v>5320569</v>
          </cell>
          <cell r="EE801">
            <v>54000000</v>
          </cell>
          <cell r="EF801">
            <v>0</v>
          </cell>
          <cell r="EG801">
            <v>54000000</v>
          </cell>
        </row>
        <row r="802">
          <cell r="B802">
            <v>2698013</v>
          </cell>
          <cell r="EE802">
            <v>0</v>
          </cell>
          <cell r="EF802">
            <v>0</v>
          </cell>
          <cell r="EG802">
            <v>0</v>
          </cell>
        </row>
        <row r="803">
          <cell r="B803">
            <v>5308534</v>
          </cell>
          <cell r="EE803">
            <v>4896373</v>
          </cell>
          <cell r="EF803">
            <v>23191123</v>
          </cell>
          <cell r="EG803">
            <v>-18294750</v>
          </cell>
        </row>
        <row r="804">
          <cell r="B804">
            <v>5114039</v>
          </cell>
          <cell r="EE804">
            <v>0</v>
          </cell>
          <cell r="EF804">
            <v>0</v>
          </cell>
          <cell r="EG804">
            <v>0</v>
          </cell>
        </row>
        <row r="805">
          <cell r="B805">
            <v>5199123</v>
          </cell>
          <cell r="EE805">
            <v>13000000</v>
          </cell>
          <cell r="EF805">
            <v>13000000</v>
          </cell>
          <cell r="EG805">
            <v>0</v>
          </cell>
        </row>
        <row r="806">
          <cell r="B806">
            <v>2844001</v>
          </cell>
          <cell r="EE806">
            <v>13369640</v>
          </cell>
          <cell r="EF806">
            <v>33932883</v>
          </cell>
          <cell r="EG806">
            <v>-20563243</v>
          </cell>
        </row>
        <row r="807">
          <cell r="B807">
            <v>6097553</v>
          </cell>
          <cell r="EE807">
            <v>0</v>
          </cell>
          <cell r="EF807">
            <v>0</v>
          </cell>
          <cell r="EG807">
            <v>0</v>
          </cell>
        </row>
        <row r="808">
          <cell r="B808">
            <v>2698161</v>
          </cell>
          <cell r="EE808">
            <v>25940240.359999999</v>
          </cell>
          <cell r="EF808">
            <v>0</v>
          </cell>
          <cell r="EG808">
            <v>25940240.359999999</v>
          </cell>
        </row>
        <row r="809">
          <cell r="B809">
            <v>5077982</v>
          </cell>
          <cell r="EE809">
            <v>896233671.85000002</v>
          </cell>
          <cell r="EF809">
            <v>0</v>
          </cell>
          <cell r="EG809">
            <v>896233671.85000002</v>
          </cell>
        </row>
        <row r="810">
          <cell r="B810">
            <v>4252829</v>
          </cell>
          <cell r="EE810">
            <v>19102401</v>
          </cell>
          <cell r="EF810">
            <v>0</v>
          </cell>
          <cell r="EG810">
            <v>19102401</v>
          </cell>
        </row>
        <row r="811">
          <cell r="B811">
            <v>5463599</v>
          </cell>
          <cell r="EE811">
            <v>185507742.66</v>
          </cell>
          <cell r="EF811">
            <v>172159008</v>
          </cell>
          <cell r="EG811">
            <v>13348734.659999987</v>
          </cell>
        </row>
        <row r="812">
          <cell r="B812">
            <v>2580462</v>
          </cell>
          <cell r="EE812">
            <v>0</v>
          </cell>
          <cell r="EF812">
            <v>0</v>
          </cell>
          <cell r="EG812">
            <v>0</v>
          </cell>
        </row>
        <row r="813">
          <cell r="B813">
            <v>5931312</v>
          </cell>
          <cell r="EE813">
            <v>0</v>
          </cell>
          <cell r="EF813">
            <v>2424000</v>
          </cell>
          <cell r="EG813">
            <v>-2424000</v>
          </cell>
        </row>
        <row r="814">
          <cell r="B814">
            <v>3866033</v>
          </cell>
          <cell r="EE814">
            <v>0</v>
          </cell>
          <cell r="EF814">
            <v>0</v>
          </cell>
          <cell r="EG814">
            <v>0</v>
          </cell>
        </row>
        <row r="815">
          <cell r="B815">
            <v>2025736</v>
          </cell>
          <cell r="EE815">
            <v>21874774.41</v>
          </cell>
          <cell r="EF815">
            <v>49456889</v>
          </cell>
          <cell r="EG815">
            <v>-27582114.589999996</v>
          </cell>
        </row>
        <row r="816">
          <cell r="B816">
            <v>5303478</v>
          </cell>
          <cell r="EE816">
            <v>0</v>
          </cell>
          <cell r="EF816">
            <v>0</v>
          </cell>
          <cell r="EG816">
            <v>0</v>
          </cell>
        </row>
        <row r="817">
          <cell r="B817">
            <v>5860318</v>
          </cell>
          <cell r="EE817">
            <v>131934355.54885399</v>
          </cell>
          <cell r="EF817">
            <v>84036565</v>
          </cell>
          <cell r="EG817">
            <v>47897790.548853993</v>
          </cell>
        </row>
        <row r="818">
          <cell r="B818">
            <v>5826918</v>
          </cell>
          <cell r="EE818">
            <v>30094554.449999999</v>
          </cell>
          <cell r="EF818">
            <v>0</v>
          </cell>
          <cell r="EG818">
            <v>30094554.449999999</v>
          </cell>
        </row>
        <row r="819">
          <cell r="B819">
            <v>5338271</v>
          </cell>
          <cell r="EE819">
            <v>15697200</v>
          </cell>
          <cell r="EF819">
            <v>0</v>
          </cell>
          <cell r="EG819">
            <v>15697200</v>
          </cell>
        </row>
        <row r="820">
          <cell r="B820">
            <v>6996825</v>
          </cell>
          <cell r="EE820">
            <v>17815778.920000002</v>
          </cell>
          <cell r="EF820">
            <v>6397760</v>
          </cell>
          <cell r="EG820">
            <v>11418018.92</v>
          </cell>
        </row>
        <row r="821">
          <cell r="B821">
            <v>5937272</v>
          </cell>
          <cell r="EE821">
            <v>0</v>
          </cell>
          <cell r="EF821">
            <v>0</v>
          </cell>
          <cell r="EG821">
            <v>0</v>
          </cell>
        </row>
        <row r="822">
          <cell r="B822">
            <v>5942934</v>
          </cell>
          <cell r="EE822">
            <v>0</v>
          </cell>
          <cell r="EF822">
            <v>0</v>
          </cell>
          <cell r="EG822">
            <v>0</v>
          </cell>
        </row>
        <row r="823">
          <cell r="B823">
            <v>5132053</v>
          </cell>
          <cell r="EE823">
            <v>57049865.079999998</v>
          </cell>
          <cell r="EF823">
            <v>0</v>
          </cell>
          <cell r="EG823">
            <v>57049865.079999998</v>
          </cell>
        </row>
        <row r="824">
          <cell r="B824">
            <v>5874157</v>
          </cell>
          <cell r="EE824">
            <v>0</v>
          </cell>
          <cell r="EF824">
            <v>11718422</v>
          </cell>
          <cell r="EG824">
            <v>-11718422</v>
          </cell>
        </row>
        <row r="825">
          <cell r="B825">
            <v>5244552</v>
          </cell>
          <cell r="EE825">
            <v>0</v>
          </cell>
          <cell r="EF825">
            <v>0</v>
          </cell>
          <cell r="EG825">
            <v>0</v>
          </cell>
        </row>
        <row r="826">
          <cell r="B826">
            <v>5944767</v>
          </cell>
          <cell r="EE826">
            <v>0</v>
          </cell>
          <cell r="EF826">
            <v>0</v>
          </cell>
          <cell r="EG826">
            <v>0</v>
          </cell>
        </row>
        <row r="827">
          <cell r="B827">
            <v>6720102</v>
          </cell>
          <cell r="EE827">
            <v>0</v>
          </cell>
          <cell r="EF827">
            <v>0</v>
          </cell>
          <cell r="EG827">
            <v>0</v>
          </cell>
        </row>
        <row r="828">
          <cell r="B828">
            <v>6208576</v>
          </cell>
          <cell r="EE828">
            <v>0</v>
          </cell>
          <cell r="EF828">
            <v>58318</v>
          </cell>
          <cell r="EG828">
            <v>-58318</v>
          </cell>
        </row>
        <row r="829">
          <cell r="B829">
            <v>5229634</v>
          </cell>
          <cell r="EE829">
            <v>0</v>
          </cell>
          <cell r="EF829">
            <v>0</v>
          </cell>
          <cell r="EG829">
            <v>0</v>
          </cell>
        </row>
        <row r="830">
          <cell r="B830">
            <v>5814588</v>
          </cell>
          <cell r="EE830">
            <v>0</v>
          </cell>
          <cell r="EF830">
            <v>0</v>
          </cell>
          <cell r="EG830">
            <v>0</v>
          </cell>
        </row>
        <row r="831">
          <cell r="B831">
            <v>6118143</v>
          </cell>
          <cell r="EE831">
            <v>25517165.720000003</v>
          </cell>
          <cell r="EF831">
            <v>31314084</v>
          </cell>
          <cell r="EG831">
            <v>-5796918.2799999984</v>
          </cell>
        </row>
        <row r="832">
          <cell r="B832">
            <v>5673569</v>
          </cell>
          <cell r="EE832">
            <v>30000</v>
          </cell>
          <cell r="EF832">
            <v>97530480</v>
          </cell>
          <cell r="EG832">
            <v>-97500480</v>
          </cell>
        </row>
        <row r="833">
          <cell r="B833">
            <v>2571498</v>
          </cell>
          <cell r="EE833">
            <v>2734026.68</v>
          </cell>
          <cell r="EF833">
            <v>2394993</v>
          </cell>
          <cell r="EG833">
            <v>339033.68000000017</v>
          </cell>
        </row>
        <row r="834">
          <cell r="B834">
            <v>2672685</v>
          </cell>
          <cell r="EE834">
            <v>0</v>
          </cell>
          <cell r="EF834">
            <v>0</v>
          </cell>
          <cell r="EG834">
            <v>0</v>
          </cell>
        </row>
        <row r="835">
          <cell r="B835">
            <v>5882036</v>
          </cell>
          <cell r="EE835">
            <v>0</v>
          </cell>
          <cell r="EF835">
            <v>0</v>
          </cell>
          <cell r="EG835">
            <v>0</v>
          </cell>
        </row>
        <row r="836">
          <cell r="B836">
            <v>6250483</v>
          </cell>
          <cell r="EE836">
            <v>9869226.0700000003</v>
          </cell>
          <cell r="EF836">
            <v>0</v>
          </cell>
          <cell r="EG836">
            <v>9869226.0700000003</v>
          </cell>
        </row>
        <row r="837">
          <cell r="B837">
            <v>5951062</v>
          </cell>
          <cell r="EE837">
            <v>0</v>
          </cell>
          <cell r="EF837">
            <v>0</v>
          </cell>
          <cell r="EG837">
            <v>0</v>
          </cell>
        </row>
        <row r="838">
          <cell r="B838">
            <v>5051665</v>
          </cell>
          <cell r="EE838">
            <v>0</v>
          </cell>
          <cell r="EF838">
            <v>0</v>
          </cell>
          <cell r="EG838">
            <v>0</v>
          </cell>
        </row>
        <row r="839">
          <cell r="B839">
            <v>6503217</v>
          </cell>
          <cell r="EE839">
            <v>0</v>
          </cell>
          <cell r="EF839">
            <v>5843268</v>
          </cell>
          <cell r="EG839">
            <v>-5843268</v>
          </cell>
        </row>
        <row r="840">
          <cell r="B840">
            <v>5984041</v>
          </cell>
          <cell r="EE840">
            <v>0</v>
          </cell>
          <cell r="EF840">
            <v>0</v>
          </cell>
          <cell r="EG840">
            <v>0</v>
          </cell>
        </row>
        <row r="841">
          <cell r="B841">
            <v>5864801</v>
          </cell>
          <cell r="EE841">
            <v>1500000</v>
          </cell>
          <cell r="EF841">
            <v>0</v>
          </cell>
          <cell r="EG841">
            <v>1500000</v>
          </cell>
        </row>
        <row r="842">
          <cell r="B842">
            <v>5864232</v>
          </cell>
          <cell r="EE842">
            <v>0</v>
          </cell>
          <cell r="EF842">
            <v>855617</v>
          </cell>
          <cell r="EG842">
            <v>-855617</v>
          </cell>
        </row>
        <row r="843">
          <cell r="B843">
            <v>6298958</v>
          </cell>
          <cell r="EE843">
            <v>0</v>
          </cell>
          <cell r="EF843">
            <v>0</v>
          </cell>
          <cell r="EG843">
            <v>0</v>
          </cell>
        </row>
        <row r="844">
          <cell r="B844">
            <v>2745534</v>
          </cell>
          <cell r="EE844">
            <v>105303152.05000001</v>
          </cell>
          <cell r="EF844">
            <v>134182671</v>
          </cell>
          <cell r="EG844">
            <v>-28879518.949999992</v>
          </cell>
        </row>
        <row r="845">
          <cell r="B845">
            <v>5636655</v>
          </cell>
          <cell r="EE845">
            <v>11612000</v>
          </cell>
          <cell r="EF845">
            <v>0</v>
          </cell>
          <cell r="EG845">
            <v>11612000</v>
          </cell>
        </row>
        <row r="846">
          <cell r="B846">
            <v>5991625</v>
          </cell>
          <cell r="EE846">
            <v>0</v>
          </cell>
          <cell r="EF846">
            <v>0</v>
          </cell>
          <cell r="EG846">
            <v>0</v>
          </cell>
        </row>
        <row r="847">
          <cell r="B847">
            <v>2824752</v>
          </cell>
          <cell r="EE847">
            <v>0</v>
          </cell>
          <cell r="EF847">
            <v>0</v>
          </cell>
          <cell r="EG847">
            <v>0</v>
          </cell>
        </row>
        <row r="848">
          <cell r="B848">
            <v>8358176</v>
          </cell>
          <cell r="EE848">
            <v>0</v>
          </cell>
          <cell r="EF848">
            <v>0</v>
          </cell>
          <cell r="EG848">
            <v>0</v>
          </cell>
        </row>
        <row r="849">
          <cell r="B849">
            <v>8355738</v>
          </cell>
          <cell r="EE849">
            <v>0</v>
          </cell>
          <cell r="EF849">
            <v>121100000</v>
          </cell>
          <cell r="EG849">
            <v>-121100000</v>
          </cell>
        </row>
        <row r="850">
          <cell r="B850">
            <v>5080312</v>
          </cell>
          <cell r="EE850">
            <v>0</v>
          </cell>
          <cell r="EF850">
            <v>0</v>
          </cell>
          <cell r="EG850">
            <v>0</v>
          </cell>
        </row>
        <row r="851">
          <cell r="B851">
            <v>5429617</v>
          </cell>
          <cell r="EE851">
            <v>54066742.599999994</v>
          </cell>
          <cell r="EF851">
            <v>102271932</v>
          </cell>
          <cell r="EG851">
            <v>-48205189.400000006</v>
          </cell>
        </row>
        <row r="852">
          <cell r="B852">
            <v>6737501</v>
          </cell>
          <cell r="EE852">
            <v>0</v>
          </cell>
          <cell r="EF852">
            <v>12970280</v>
          </cell>
          <cell r="EG852">
            <v>-12970280</v>
          </cell>
        </row>
        <row r="853">
          <cell r="B853">
            <v>5597552</v>
          </cell>
          <cell r="EE853">
            <v>0</v>
          </cell>
          <cell r="EF853">
            <v>0</v>
          </cell>
          <cell r="EG853">
            <v>0</v>
          </cell>
        </row>
        <row r="854">
          <cell r="B854">
            <v>6424031</v>
          </cell>
          <cell r="EE854">
            <v>5000000</v>
          </cell>
          <cell r="EF854">
            <v>0</v>
          </cell>
          <cell r="EG854">
            <v>5000000</v>
          </cell>
        </row>
        <row r="855">
          <cell r="B855">
            <v>6183077</v>
          </cell>
          <cell r="EE855">
            <v>10417200</v>
          </cell>
          <cell r="EF855">
            <v>11671935</v>
          </cell>
          <cell r="EG855">
            <v>-1254735</v>
          </cell>
        </row>
        <row r="856">
          <cell r="B856">
            <v>2837129</v>
          </cell>
          <cell r="EE856">
            <v>17083416</v>
          </cell>
          <cell r="EF856">
            <v>0</v>
          </cell>
          <cell r="EG856">
            <v>17083416</v>
          </cell>
        </row>
        <row r="857">
          <cell r="B857">
            <v>5265789</v>
          </cell>
          <cell r="EE857">
            <v>7156324.9500000002</v>
          </cell>
          <cell r="EF857">
            <v>0</v>
          </cell>
          <cell r="EG857">
            <v>7156324.9500000002</v>
          </cell>
        </row>
        <row r="858">
          <cell r="B858">
            <v>5932483</v>
          </cell>
          <cell r="EE858">
            <v>0</v>
          </cell>
          <cell r="EF858">
            <v>0</v>
          </cell>
          <cell r="EG858">
            <v>0</v>
          </cell>
        </row>
        <row r="859">
          <cell r="B859">
            <v>8390681</v>
          </cell>
          <cell r="EE859">
            <v>0</v>
          </cell>
          <cell r="EF859">
            <v>0</v>
          </cell>
          <cell r="EG859">
            <v>0</v>
          </cell>
        </row>
        <row r="860">
          <cell r="B860">
            <v>6708978</v>
          </cell>
          <cell r="EE860">
            <v>0</v>
          </cell>
          <cell r="EF860">
            <v>3064369</v>
          </cell>
          <cell r="EG860">
            <v>-3064369</v>
          </cell>
        </row>
        <row r="861">
          <cell r="B861">
            <v>5619483</v>
          </cell>
          <cell r="EE861">
            <v>0</v>
          </cell>
          <cell r="EF861">
            <v>0</v>
          </cell>
          <cell r="EG861">
            <v>0</v>
          </cell>
        </row>
        <row r="862">
          <cell r="B862">
            <v>5084024</v>
          </cell>
          <cell r="EE862">
            <v>0</v>
          </cell>
          <cell r="EF862">
            <v>20125426</v>
          </cell>
          <cell r="EG862">
            <v>-20125426</v>
          </cell>
        </row>
        <row r="863">
          <cell r="B863">
            <v>5309069</v>
          </cell>
          <cell r="EE863">
            <v>0</v>
          </cell>
          <cell r="EF863">
            <v>1314415</v>
          </cell>
          <cell r="EG863">
            <v>-1314415</v>
          </cell>
        </row>
        <row r="864">
          <cell r="B864">
            <v>5288126</v>
          </cell>
          <cell r="EE864">
            <v>0</v>
          </cell>
          <cell r="EF864">
            <v>3128388</v>
          </cell>
          <cell r="EG864">
            <v>-3128388</v>
          </cell>
        </row>
        <row r="865">
          <cell r="B865">
            <v>5313341</v>
          </cell>
          <cell r="EE865">
            <v>0</v>
          </cell>
          <cell r="EF865">
            <v>0</v>
          </cell>
          <cell r="EG865">
            <v>0</v>
          </cell>
        </row>
        <row r="866">
          <cell r="B866">
            <v>5266084</v>
          </cell>
          <cell r="EE866">
            <v>2761665.23</v>
          </cell>
          <cell r="EF866">
            <v>5108530</v>
          </cell>
          <cell r="EG866">
            <v>-2346864.77</v>
          </cell>
        </row>
        <row r="867">
          <cell r="B867">
            <v>5396662</v>
          </cell>
          <cell r="EE867">
            <v>4938746397.7887344</v>
          </cell>
          <cell r="EF867">
            <v>1743314115</v>
          </cell>
          <cell r="EG867">
            <v>3195432282.7887344</v>
          </cell>
        </row>
        <row r="868">
          <cell r="B868">
            <v>5048486</v>
          </cell>
          <cell r="EE868">
            <v>0</v>
          </cell>
          <cell r="EF868">
            <v>0</v>
          </cell>
          <cell r="EG868">
            <v>0</v>
          </cell>
        </row>
        <row r="869">
          <cell r="B869">
            <v>5857066</v>
          </cell>
          <cell r="EE869">
            <v>90000000</v>
          </cell>
          <cell r="EF869">
            <v>0</v>
          </cell>
          <cell r="EG869">
            <v>90000000</v>
          </cell>
        </row>
        <row r="870">
          <cell r="B870">
            <v>2708345</v>
          </cell>
          <cell r="EE870">
            <v>0</v>
          </cell>
          <cell r="EF870">
            <v>0</v>
          </cell>
          <cell r="EG870">
            <v>0</v>
          </cell>
        </row>
        <row r="871">
          <cell r="B871">
            <v>6131204</v>
          </cell>
          <cell r="EE871">
            <v>86730912.359999999</v>
          </cell>
          <cell r="EF871">
            <v>0</v>
          </cell>
          <cell r="EG871">
            <v>86730912.359999999</v>
          </cell>
        </row>
        <row r="872">
          <cell r="B872">
            <v>8374066</v>
          </cell>
          <cell r="EE872">
            <v>0</v>
          </cell>
          <cell r="EF872">
            <v>6138265</v>
          </cell>
          <cell r="EG872">
            <v>-6138265</v>
          </cell>
        </row>
        <row r="873">
          <cell r="B873">
            <v>2567741</v>
          </cell>
          <cell r="EE873">
            <v>0</v>
          </cell>
          <cell r="EF873">
            <v>3029000</v>
          </cell>
          <cell r="EG873">
            <v>-3029000</v>
          </cell>
        </row>
        <row r="874">
          <cell r="B874">
            <v>2687305</v>
          </cell>
          <cell r="EE874">
            <v>276395806.359007</v>
          </cell>
          <cell r="EF874">
            <v>0</v>
          </cell>
          <cell r="EG874">
            <v>276395806.359007</v>
          </cell>
        </row>
        <row r="875">
          <cell r="B875">
            <v>2565587</v>
          </cell>
          <cell r="EE875">
            <v>0</v>
          </cell>
          <cell r="EF875">
            <v>0</v>
          </cell>
          <cell r="EG875">
            <v>0</v>
          </cell>
        </row>
        <row r="876">
          <cell r="B876">
            <v>6986579</v>
          </cell>
          <cell r="EE876">
            <v>286000</v>
          </cell>
          <cell r="EF876">
            <v>0</v>
          </cell>
          <cell r="EG876">
            <v>286000</v>
          </cell>
        </row>
        <row r="877">
          <cell r="B877">
            <v>4257456</v>
          </cell>
          <cell r="EE877">
            <v>0</v>
          </cell>
          <cell r="EF877">
            <v>650000</v>
          </cell>
          <cell r="EG877">
            <v>-650000</v>
          </cell>
        </row>
        <row r="878">
          <cell r="B878">
            <v>5921732</v>
          </cell>
          <cell r="EE878">
            <v>0</v>
          </cell>
          <cell r="EF878">
            <v>0</v>
          </cell>
          <cell r="EG878">
            <v>0</v>
          </cell>
        </row>
        <row r="879">
          <cell r="B879">
            <v>5921112</v>
          </cell>
          <cell r="EE879">
            <v>0</v>
          </cell>
          <cell r="EF879">
            <v>0</v>
          </cell>
          <cell r="EG879">
            <v>0</v>
          </cell>
        </row>
        <row r="880">
          <cell r="B880">
            <v>6162711</v>
          </cell>
          <cell r="EE880">
            <v>36738764</v>
          </cell>
          <cell r="EF880">
            <v>0</v>
          </cell>
          <cell r="EG880">
            <v>36738764</v>
          </cell>
        </row>
        <row r="881">
          <cell r="B881">
            <v>5236932</v>
          </cell>
          <cell r="EE881">
            <v>0</v>
          </cell>
          <cell r="EF881">
            <v>201758</v>
          </cell>
          <cell r="EG881">
            <v>-201758</v>
          </cell>
        </row>
        <row r="882">
          <cell r="B882">
            <v>5799899</v>
          </cell>
          <cell r="EE882">
            <v>0</v>
          </cell>
          <cell r="EF882">
            <v>0</v>
          </cell>
          <cell r="EG882">
            <v>0</v>
          </cell>
        </row>
        <row r="883">
          <cell r="B883">
            <v>6159737</v>
          </cell>
          <cell r="EE883">
            <v>0</v>
          </cell>
          <cell r="EF883">
            <v>0</v>
          </cell>
          <cell r="EG883">
            <v>0</v>
          </cell>
        </row>
        <row r="884">
          <cell r="B884">
            <v>5889103</v>
          </cell>
          <cell r="EE884">
            <v>3326263.71</v>
          </cell>
          <cell r="EF884">
            <v>0</v>
          </cell>
          <cell r="EG884">
            <v>3326263.71</v>
          </cell>
        </row>
        <row r="885">
          <cell r="B885">
            <v>5921244</v>
          </cell>
          <cell r="EE885">
            <v>0</v>
          </cell>
          <cell r="EF885">
            <v>0</v>
          </cell>
          <cell r="EG885">
            <v>0</v>
          </cell>
        </row>
        <row r="886">
          <cell r="B886">
            <v>5473055</v>
          </cell>
          <cell r="EE886">
            <v>0</v>
          </cell>
          <cell r="EF886">
            <v>0</v>
          </cell>
          <cell r="EG886">
            <v>0</v>
          </cell>
        </row>
        <row r="887">
          <cell r="B887">
            <v>6140416</v>
          </cell>
          <cell r="EE887">
            <v>0</v>
          </cell>
          <cell r="EF887">
            <v>0</v>
          </cell>
          <cell r="EG887">
            <v>0</v>
          </cell>
        </row>
        <row r="888">
          <cell r="B888">
            <v>5830974</v>
          </cell>
          <cell r="EE888">
            <v>37006248050.46817</v>
          </cell>
          <cell r="EF888">
            <v>70757204763</v>
          </cell>
          <cell r="EG888">
            <v>-33750956712.531837</v>
          </cell>
        </row>
        <row r="889">
          <cell r="B889">
            <v>5673372</v>
          </cell>
          <cell r="EE889">
            <v>0</v>
          </cell>
          <cell r="EF889">
            <v>0</v>
          </cell>
          <cell r="EG889">
            <v>0</v>
          </cell>
        </row>
        <row r="890">
          <cell r="B890">
            <v>2057573</v>
          </cell>
          <cell r="EE890">
            <v>1128306578.1504982</v>
          </cell>
          <cell r="EF890">
            <v>926054338</v>
          </cell>
          <cell r="EG890">
            <v>202252240.15049803</v>
          </cell>
        </row>
        <row r="891">
          <cell r="B891">
            <v>5689945</v>
          </cell>
          <cell r="EE891">
            <v>191966660.63999999</v>
          </cell>
          <cell r="EF891">
            <v>18467982</v>
          </cell>
          <cell r="EG891">
            <v>173498678.63999999</v>
          </cell>
        </row>
        <row r="892">
          <cell r="B892">
            <v>5366941</v>
          </cell>
          <cell r="EE892">
            <v>260998441.82674599</v>
          </cell>
          <cell r="EF892">
            <v>557373859</v>
          </cell>
          <cell r="EG892">
            <v>-296375417.17325401</v>
          </cell>
        </row>
        <row r="893">
          <cell r="B893">
            <v>6077846</v>
          </cell>
          <cell r="EE893">
            <v>0</v>
          </cell>
          <cell r="EF893">
            <v>0</v>
          </cell>
          <cell r="EG893">
            <v>0</v>
          </cell>
        </row>
        <row r="894">
          <cell r="B894">
            <v>5699134</v>
          </cell>
          <cell r="EE894">
            <v>2364931269.704555</v>
          </cell>
          <cell r="EF894">
            <v>1958177402</v>
          </cell>
          <cell r="EG894">
            <v>406753867.70455492</v>
          </cell>
        </row>
        <row r="895">
          <cell r="B895">
            <v>2023202</v>
          </cell>
          <cell r="EE895">
            <v>143615324.19999999</v>
          </cell>
          <cell r="EF895">
            <v>0</v>
          </cell>
          <cell r="EG895">
            <v>143615324.19999999</v>
          </cell>
        </row>
        <row r="896">
          <cell r="B896">
            <v>5337402</v>
          </cell>
          <cell r="EE896">
            <v>0</v>
          </cell>
          <cell r="EF896">
            <v>0</v>
          </cell>
          <cell r="EG896">
            <v>0</v>
          </cell>
        </row>
        <row r="897">
          <cell r="B897">
            <v>5497272</v>
          </cell>
          <cell r="EE897">
            <v>92312691.399361014</v>
          </cell>
          <cell r="EF897">
            <v>154094996</v>
          </cell>
          <cell r="EG897">
            <v>-61782304.600638993</v>
          </cell>
        </row>
        <row r="898">
          <cell r="B898">
            <v>6438261</v>
          </cell>
          <cell r="EE898">
            <v>6300000</v>
          </cell>
          <cell r="EF898">
            <v>0</v>
          </cell>
          <cell r="EG898">
            <v>6300000</v>
          </cell>
        </row>
        <row r="899">
          <cell r="B899">
            <v>2662507</v>
          </cell>
          <cell r="EE899">
            <v>39680231.030000001</v>
          </cell>
          <cell r="EF899">
            <v>0</v>
          </cell>
          <cell r="EG899">
            <v>39680231.030000001</v>
          </cell>
        </row>
        <row r="900">
          <cell r="B900">
            <v>2861852</v>
          </cell>
          <cell r="EE900">
            <v>0</v>
          </cell>
          <cell r="EF900">
            <v>0</v>
          </cell>
          <cell r="EG900">
            <v>0</v>
          </cell>
        </row>
        <row r="901">
          <cell r="B901">
            <v>6172601</v>
          </cell>
          <cell r="EE901">
            <v>33286414</v>
          </cell>
          <cell r="EF901">
            <v>13765000</v>
          </cell>
          <cell r="EG901">
            <v>19521414</v>
          </cell>
        </row>
        <row r="902">
          <cell r="B902">
            <v>6294286</v>
          </cell>
          <cell r="EE902">
            <v>0</v>
          </cell>
          <cell r="EF902">
            <v>0</v>
          </cell>
          <cell r="EG902">
            <v>0</v>
          </cell>
        </row>
        <row r="903">
          <cell r="B903">
            <v>5417791</v>
          </cell>
          <cell r="EE903">
            <v>0</v>
          </cell>
          <cell r="EF903">
            <v>0</v>
          </cell>
          <cell r="EG903">
            <v>0</v>
          </cell>
        </row>
        <row r="904">
          <cell r="B904">
            <v>5588871</v>
          </cell>
          <cell r="EE904">
            <v>0</v>
          </cell>
          <cell r="EF904">
            <v>0</v>
          </cell>
          <cell r="EG904">
            <v>0</v>
          </cell>
        </row>
        <row r="905">
          <cell r="B905">
            <v>5065003</v>
          </cell>
          <cell r="EE905">
            <v>279074226.61000001</v>
          </cell>
          <cell r="EF905">
            <v>0</v>
          </cell>
          <cell r="EG905">
            <v>279074226.61000001</v>
          </cell>
        </row>
        <row r="906">
          <cell r="B906">
            <v>5199913</v>
          </cell>
          <cell r="EE906">
            <v>34176599.319699995</v>
          </cell>
          <cell r="EF906">
            <v>0</v>
          </cell>
          <cell r="EG906">
            <v>34176599.319699995</v>
          </cell>
        </row>
        <row r="907">
          <cell r="B907">
            <v>5168805</v>
          </cell>
          <cell r="EE907">
            <v>23596587.780000001</v>
          </cell>
          <cell r="EF907">
            <v>0</v>
          </cell>
          <cell r="EG907">
            <v>23596587.780000001</v>
          </cell>
        </row>
        <row r="908">
          <cell r="B908">
            <v>5955963</v>
          </cell>
          <cell r="EE908">
            <v>0</v>
          </cell>
          <cell r="EF908">
            <v>8766600</v>
          </cell>
          <cell r="EG908">
            <v>-8766600</v>
          </cell>
        </row>
        <row r="909">
          <cell r="B909">
            <v>5546753</v>
          </cell>
          <cell r="EE909">
            <v>1000000</v>
          </cell>
          <cell r="EF909">
            <v>0</v>
          </cell>
          <cell r="EG909">
            <v>1000000</v>
          </cell>
        </row>
        <row r="910">
          <cell r="B910">
            <v>2069792</v>
          </cell>
          <cell r="EE910">
            <v>1438034</v>
          </cell>
          <cell r="EF910">
            <v>284117000</v>
          </cell>
          <cell r="EG910">
            <v>-282678966</v>
          </cell>
        </row>
        <row r="911">
          <cell r="B911">
            <v>3378721</v>
          </cell>
          <cell r="EE911">
            <v>485000</v>
          </cell>
          <cell r="EF911">
            <v>0</v>
          </cell>
          <cell r="EG911">
            <v>485000</v>
          </cell>
        </row>
        <row r="912">
          <cell r="B912">
            <v>3622932</v>
          </cell>
          <cell r="EE912">
            <v>0</v>
          </cell>
          <cell r="EF912">
            <v>0</v>
          </cell>
          <cell r="EG912">
            <v>0</v>
          </cell>
        </row>
        <row r="913">
          <cell r="B913">
            <v>5108357</v>
          </cell>
          <cell r="EE913">
            <v>0</v>
          </cell>
          <cell r="EF913">
            <v>0</v>
          </cell>
          <cell r="EG913">
            <v>0</v>
          </cell>
        </row>
        <row r="914">
          <cell r="B914">
            <v>5206006</v>
          </cell>
          <cell r="EE914">
            <v>0</v>
          </cell>
          <cell r="EF914">
            <v>0</v>
          </cell>
          <cell r="EG914">
            <v>0</v>
          </cell>
        </row>
        <row r="915">
          <cell r="B915">
            <v>5789931</v>
          </cell>
          <cell r="EE915">
            <v>24580979.788989</v>
          </cell>
          <cell r="EF915">
            <v>0</v>
          </cell>
          <cell r="EG915">
            <v>24580979.788989</v>
          </cell>
        </row>
        <row r="916">
          <cell r="B916">
            <v>5962862</v>
          </cell>
          <cell r="EE916">
            <v>474072485.08460003</v>
          </cell>
          <cell r="EF916">
            <v>0</v>
          </cell>
          <cell r="EG916">
            <v>474072485.08460003</v>
          </cell>
        </row>
        <row r="917">
          <cell r="B917">
            <v>5412153</v>
          </cell>
          <cell r="EE917">
            <v>1006860745.0865</v>
          </cell>
          <cell r="EF917">
            <v>1307060000</v>
          </cell>
          <cell r="EG917">
            <v>-300199254.91350007</v>
          </cell>
        </row>
        <row r="918">
          <cell r="B918">
            <v>5224993</v>
          </cell>
          <cell r="EE918">
            <v>0</v>
          </cell>
          <cell r="EF918">
            <v>8969660</v>
          </cell>
          <cell r="EG918">
            <v>-8969660</v>
          </cell>
        </row>
        <row r="919">
          <cell r="B919">
            <v>2561662</v>
          </cell>
          <cell r="EE919">
            <v>28839800</v>
          </cell>
          <cell r="EF919">
            <v>0</v>
          </cell>
          <cell r="EG919">
            <v>28839800</v>
          </cell>
        </row>
        <row r="920">
          <cell r="B920">
            <v>2579634</v>
          </cell>
          <cell r="EE920">
            <v>754185480.13999999</v>
          </cell>
          <cell r="EF920">
            <v>0</v>
          </cell>
          <cell r="EG920">
            <v>754185480.13999999</v>
          </cell>
        </row>
        <row r="921">
          <cell r="B921">
            <v>2669218</v>
          </cell>
          <cell r="EE921">
            <v>8100660</v>
          </cell>
          <cell r="EF921">
            <v>0</v>
          </cell>
          <cell r="EG921">
            <v>8100660</v>
          </cell>
        </row>
        <row r="922">
          <cell r="B922">
            <v>5222907</v>
          </cell>
          <cell r="EE922">
            <v>126022388.45457099</v>
          </cell>
          <cell r="EF922">
            <v>0</v>
          </cell>
          <cell r="EG922">
            <v>126022388.45457099</v>
          </cell>
        </row>
        <row r="923">
          <cell r="B923">
            <v>2699869</v>
          </cell>
          <cell r="EE923">
            <v>135795302.75999999</v>
          </cell>
          <cell r="EF923">
            <v>0</v>
          </cell>
          <cell r="EG923">
            <v>135795302.75999999</v>
          </cell>
        </row>
        <row r="924">
          <cell r="B924">
            <v>2090511</v>
          </cell>
          <cell r="EE924">
            <v>16494232.23</v>
          </cell>
          <cell r="EF924">
            <v>0</v>
          </cell>
          <cell r="EG924">
            <v>16494232.23</v>
          </cell>
        </row>
        <row r="925">
          <cell r="B925">
            <v>3069222</v>
          </cell>
          <cell r="EE925">
            <v>484700</v>
          </cell>
          <cell r="EF925">
            <v>0</v>
          </cell>
          <cell r="EG925">
            <v>484700</v>
          </cell>
        </row>
        <row r="926">
          <cell r="B926">
            <v>6435254</v>
          </cell>
          <cell r="EE926">
            <v>911932865.24000001</v>
          </cell>
          <cell r="EF926">
            <v>0</v>
          </cell>
          <cell r="EG926">
            <v>911932865.24000001</v>
          </cell>
        </row>
        <row r="927">
          <cell r="B927">
            <v>2004798</v>
          </cell>
          <cell r="EE927">
            <v>214000</v>
          </cell>
          <cell r="EF927">
            <v>0</v>
          </cell>
          <cell r="EG927">
            <v>214000</v>
          </cell>
        </row>
        <row r="928">
          <cell r="B928">
            <v>6280161</v>
          </cell>
          <cell r="EE928">
            <v>189207245.62904</v>
          </cell>
          <cell r="EF928">
            <v>0</v>
          </cell>
          <cell r="EG928">
            <v>189207245.62904</v>
          </cell>
        </row>
        <row r="929">
          <cell r="B929">
            <v>5506816</v>
          </cell>
          <cell r="EE929">
            <v>0</v>
          </cell>
          <cell r="EF929">
            <v>0</v>
          </cell>
          <cell r="EG929">
            <v>0</v>
          </cell>
        </row>
        <row r="930">
          <cell r="B930">
            <v>6485839</v>
          </cell>
          <cell r="EE930">
            <v>0</v>
          </cell>
          <cell r="EF930">
            <v>7071446</v>
          </cell>
          <cell r="EG930">
            <v>-7071446</v>
          </cell>
        </row>
        <row r="931">
          <cell r="B931">
            <v>5035619</v>
          </cell>
          <cell r="EE931">
            <v>0</v>
          </cell>
          <cell r="EF931">
            <v>0</v>
          </cell>
          <cell r="EG931">
            <v>0</v>
          </cell>
        </row>
        <row r="932">
          <cell r="B932">
            <v>5480256</v>
          </cell>
          <cell r="EE932">
            <v>0</v>
          </cell>
          <cell r="EF932">
            <v>0</v>
          </cell>
          <cell r="EG932">
            <v>0</v>
          </cell>
        </row>
        <row r="933">
          <cell r="B933">
            <v>2670232</v>
          </cell>
          <cell r="EE933">
            <v>0</v>
          </cell>
          <cell r="EF933">
            <v>0</v>
          </cell>
          <cell r="EG933">
            <v>0</v>
          </cell>
        </row>
        <row r="934">
          <cell r="B934">
            <v>5324947</v>
          </cell>
          <cell r="EE934">
            <v>23794.37</v>
          </cell>
          <cell r="EF934">
            <v>17979944</v>
          </cell>
          <cell r="EG934">
            <v>-17956149.629999999</v>
          </cell>
        </row>
        <row r="935">
          <cell r="B935">
            <v>5328772</v>
          </cell>
          <cell r="EE935">
            <v>128907437.290408</v>
          </cell>
          <cell r="EF935">
            <v>146215817</v>
          </cell>
          <cell r="EG935">
            <v>-17308379.709592</v>
          </cell>
        </row>
        <row r="936">
          <cell r="B936">
            <v>6157971</v>
          </cell>
          <cell r="EE936">
            <v>2174427</v>
          </cell>
          <cell r="EF936">
            <v>4214</v>
          </cell>
          <cell r="EG936">
            <v>2170213</v>
          </cell>
        </row>
        <row r="937">
          <cell r="B937">
            <v>5082544</v>
          </cell>
          <cell r="EE937">
            <v>69657062.378978997</v>
          </cell>
          <cell r="EF937">
            <v>0</v>
          </cell>
          <cell r="EG937">
            <v>69657062.378978997</v>
          </cell>
        </row>
        <row r="938">
          <cell r="B938">
            <v>6302513</v>
          </cell>
          <cell r="EE938">
            <v>572355523.88608801</v>
          </cell>
          <cell r="EF938">
            <v>18777846</v>
          </cell>
          <cell r="EG938">
            <v>553577677.88608801</v>
          </cell>
        </row>
        <row r="939">
          <cell r="B939">
            <v>6232671</v>
          </cell>
          <cell r="EE939">
            <v>9690103.1699999999</v>
          </cell>
          <cell r="EF939">
            <v>0</v>
          </cell>
          <cell r="EG939">
            <v>9690103.1699999999</v>
          </cell>
        </row>
        <row r="940">
          <cell r="B940">
            <v>5151651</v>
          </cell>
          <cell r="EE940">
            <v>0</v>
          </cell>
          <cell r="EF940">
            <v>0</v>
          </cell>
          <cell r="EG940">
            <v>0</v>
          </cell>
        </row>
        <row r="941">
          <cell r="B941">
            <v>5082986</v>
          </cell>
          <cell r="EE941">
            <v>523965825.15071297</v>
          </cell>
          <cell r="EF941">
            <v>1404198036</v>
          </cell>
          <cell r="EG941">
            <v>-880232210.84928703</v>
          </cell>
        </row>
        <row r="942">
          <cell r="B942">
            <v>5042836</v>
          </cell>
          <cell r="EE942">
            <v>0</v>
          </cell>
          <cell r="EF942">
            <v>0</v>
          </cell>
          <cell r="EG942">
            <v>0</v>
          </cell>
        </row>
        <row r="943">
          <cell r="B943">
            <v>5982588</v>
          </cell>
          <cell r="EE943">
            <v>0</v>
          </cell>
          <cell r="EF943">
            <v>0</v>
          </cell>
          <cell r="EG943">
            <v>0</v>
          </cell>
        </row>
        <row r="944">
          <cell r="B944">
            <v>5273366</v>
          </cell>
          <cell r="EE944">
            <v>15200</v>
          </cell>
          <cell r="EF944">
            <v>6021925</v>
          </cell>
          <cell r="EG944">
            <v>-6006725</v>
          </cell>
        </row>
        <row r="945">
          <cell r="B945">
            <v>5005221</v>
          </cell>
          <cell r="EE945">
            <v>10412700</v>
          </cell>
          <cell r="EF945">
            <v>10884200</v>
          </cell>
          <cell r="EG945">
            <v>-471500</v>
          </cell>
        </row>
        <row r="946">
          <cell r="B946">
            <v>5446317</v>
          </cell>
          <cell r="EE946">
            <v>68277204.669999987</v>
          </cell>
          <cell r="EF946">
            <v>103686000</v>
          </cell>
          <cell r="EG946">
            <v>-35408795.330000006</v>
          </cell>
        </row>
        <row r="947">
          <cell r="B947">
            <v>2041278</v>
          </cell>
          <cell r="EE947">
            <v>0</v>
          </cell>
          <cell r="EF947">
            <v>0</v>
          </cell>
          <cell r="EG947">
            <v>0</v>
          </cell>
        </row>
        <row r="948">
          <cell r="B948">
            <v>5070651</v>
          </cell>
          <cell r="EE948">
            <v>0</v>
          </cell>
          <cell r="EF948">
            <v>0</v>
          </cell>
          <cell r="EG948">
            <v>0</v>
          </cell>
        </row>
        <row r="949">
          <cell r="B949">
            <v>5111919</v>
          </cell>
          <cell r="EE949">
            <v>86337375.689999998</v>
          </cell>
          <cell r="EF949">
            <v>23685902</v>
          </cell>
          <cell r="EG949">
            <v>62651473.689999998</v>
          </cell>
        </row>
        <row r="950">
          <cell r="B950">
            <v>5276934</v>
          </cell>
          <cell r="EE950">
            <v>0</v>
          </cell>
          <cell r="EF950">
            <v>0</v>
          </cell>
          <cell r="EG950">
            <v>0</v>
          </cell>
        </row>
        <row r="951">
          <cell r="B951">
            <v>5050138</v>
          </cell>
          <cell r="EE951">
            <v>20606196.780000001</v>
          </cell>
          <cell r="EF951">
            <v>0</v>
          </cell>
          <cell r="EG951">
            <v>20606196.780000001</v>
          </cell>
        </row>
        <row r="952">
          <cell r="B952">
            <v>2852772</v>
          </cell>
          <cell r="EE952">
            <v>217394570.24000004</v>
          </cell>
          <cell r="EF952">
            <v>25738576</v>
          </cell>
          <cell r="EG952">
            <v>191655994.24000004</v>
          </cell>
        </row>
        <row r="953">
          <cell r="B953">
            <v>5359058</v>
          </cell>
          <cell r="EE953">
            <v>0</v>
          </cell>
          <cell r="EF953">
            <v>0</v>
          </cell>
          <cell r="EG953">
            <v>0</v>
          </cell>
        </row>
        <row r="954">
          <cell r="B954">
            <v>6729002</v>
          </cell>
          <cell r="EE954">
            <v>2686300</v>
          </cell>
          <cell r="EF954">
            <v>0</v>
          </cell>
          <cell r="EG954">
            <v>2686300</v>
          </cell>
        </row>
        <row r="955">
          <cell r="B955">
            <v>2034859</v>
          </cell>
          <cell r="EE955">
            <v>990346857.41000009</v>
          </cell>
          <cell r="EF955">
            <v>948374404</v>
          </cell>
          <cell r="EG955">
            <v>41972453.410000049</v>
          </cell>
        </row>
        <row r="956">
          <cell r="B956">
            <v>2730588</v>
          </cell>
          <cell r="EE956">
            <v>0</v>
          </cell>
          <cell r="EF956">
            <v>0</v>
          </cell>
          <cell r="EG956">
            <v>0</v>
          </cell>
        </row>
        <row r="957">
          <cell r="B957">
            <v>6082734</v>
          </cell>
          <cell r="EE957">
            <v>250000</v>
          </cell>
          <cell r="EF957">
            <v>307552</v>
          </cell>
          <cell r="EG957">
            <v>-57552</v>
          </cell>
        </row>
        <row r="958">
          <cell r="B958">
            <v>6401481</v>
          </cell>
          <cell r="EE958">
            <v>7000</v>
          </cell>
          <cell r="EF958">
            <v>0</v>
          </cell>
          <cell r="EG958">
            <v>7000</v>
          </cell>
        </row>
        <row r="959">
          <cell r="B959">
            <v>5314429</v>
          </cell>
          <cell r="EE959">
            <v>0</v>
          </cell>
          <cell r="EF959">
            <v>0</v>
          </cell>
          <cell r="EG959">
            <v>0</v>
          </cell>
        </row>
        <row r="960">
          <cell r="B960">
            <v>4248015</v>
          </cell>
          <cell r="EE960">
            <v>0</v>
          </cell>
          <cell r="EF960">
            <v>16571543</v>
          </cell>
          <cell r="EG960">
            <v>-16571543</v>
          </cell>
        </row>
        <row r="961">
          <cell r="B961">
            <v>5993288</v>
          </cell>
          <cell r="EE961">
            <v>0</v>
          </cell>
          <cell r="EF961">
            <v>0</v>
          </cell>
          <cell r="EG961">
            <v>0</v>
          </cell>
        </row>
        <row r="962">
          <cell r="B962">
            <v>5508606</v>
          </cell>
          <cell r="EE962">
            <v>166778.4</v>
          </cell>
          <cell r="EF962">
            <v>18538112</v>
          </cell>
          <cell r="EG962">
            <v>-18371333.600000001</v>
          </cell>
        </row>
        <row r="963">
          <cell r="B963">
            <v>6461107</v>
          </cell>
          <cell r="EE963">
            <v>0</v>
          </cell>
          <cell r="EF963">
            <v>5441154</v>
          </cell>
          <cell r="EG963">
            <v>-5441154</v>
          </cell>
        </row>
        <row r="964">
          <cell r="B964">
            <v>5036496</v>
          </cell>
          <cell r="EE964">
            <v>2713560</v>
          </cell>
          <cell r="EF964">
            <v>16398100</v>
          </cell>
          <cell r="EG964">
            <v>-13684540</v>
          </cell>
        </row>
        <row r="965">
          <cell r="B965">
            <v>3327981</v>
          </cell>
          <cell r="EE965">
            <v>0</v>
          </cell>
          <cell r="EF965">
            <v>524790</v>
          </cell>
          <cell r="EG965">
            <v>-524790</v>
          </cell>
        </row>
        <row r="966">
          <cell r="B966">
            <v>2679213</v>
          </cell>
          <cell r="EE966">
            <v>27431402.429981001</v>
          </cell>
          <cell r="EF966">
            <v>0</v>
          </cell>
          <cell r="EG966">
            <v>27431402.429981001</v>
          </cell>
        </row>
        <row r="967">
          <cell r="B967">
            <v>2571889</v>
          </cell>
          <cell r="EE967">
            <v>855795653.62505507</v>
          </cell>
          <cell r="EF967">
            <v>0</v>
          </cell>
          <cell r="EG967">
            <v>855795653.62505507</v>
          </cell>
        </row>
        <row r="968">
          <cell r="B968">
            <v>5991323</v>
          </cell>
          <cell r="EE968">
            <v>295603408.49000001</v>
          </cell>
          <cell r="EF968">
            <v>0</v>
          </cell>
          <cell r="EG968">
            <v>295603408.49000001</v>
          </cell>
        </row>
        <row r="969">
          <cell r="B969">
            <v>6342817</v>
          </cell>
          <cell r="EE969">
            <v>0</v>
          </cell>
          <cell r="EF969">
            <v>0</v>
          </cell>
          <cell r="EG969">
            <v>0</v>
          </cell>
        </row>
        <row r="970">
          <cell r="B970">
            <v>6093388</v>
          </cell>
          <cell r="EE970">
            <v>0</v>
          </cell>
          <cell r="EF970">
            <v>0</v>
          </cell>
          <cell r="EG970">
            <v>0</v>
          </cell>
        </row>
        <row r="971">
          <cell r="B971">
            <v>5237572</v>
          </cell>
          <cell r="EE971">
            <v>4769769</v>
          </cell>
          <cell r="EF971">
            <v>661418</v>
          </cell>
          <cell r="EG971">
            <v>4108351</v>
          </cell>
        </row>
        <row r="972">
          <cell r="B972">
            <v>6134335</v>
          </cell>
          <cell r="EE972">
            <v>715000</v>
          </cell>
          <cell r="EF972">
            <v>0</v>
          </cell>
          <cell r="EG972">
            <v>715000</v>
          </cell>
        </row>
        <row r="973">
          <cell r="B973">
            <v>2067544</v>
          </cell>
          <cell r="EE973">
            <v>2092670.59</v>
          </cell>
          <cell r="EF973">
            <v>36379957</v>
          </cell>
          <cell r="EG973">
            <v>-34287286.409999996</v>
          </cell>
        </row>
        <row r="974">
          <cell r="B974">
            <v>2743744</v>
          </cell>
          <cell r="EE974">
            <v>763079750.55059993</v>
          </cell>
          <cell r="EF974">
            <v>0</v>
          </cell>
          <cell r="EG974">
            <v>763079750.55059993</v>
          </cell>
        </row>
        <row r="975">
          <cell r="B975">
            <v>5112494</v>
          </cell>
          <cell r="EE975">
            <v>1027931090.7401061</v>
          </cell>
          <cell r="EF975">
            <v>0</v>
          </cell>
          <cell r="EG975">
            <v>1027931090.7401061</v>
          </cell>
        </row>
        <row r="976">
          <cell r="B976">
            <v>6952305</v>
          </cell>
          <cell r="EE976">
            <v>207982291.12</v>
          </cell>
          <cell r="EF976">
            <v>479094742</v>
          </cell>
          <cell r="EG976">
            <v>-271112450.88</v>
          </cell>
        </row>
        <row r="977">
          <cell r="B977">
            <v>4271475</v>
          </cell>
          <cell r="EE977">
            <v>0</v>
          </cell>
          <cell r="EF977">
            <v>0</v>
          </cell>
          <cell r="EG977">
            <v>0</v>
          </cell>
        </row>
        <row r="978">
          <cell r="B978">
            <v>2076675</v>
          </cell>
          <cell r="EE978">
            <v>70683860193.191986</v>
          </cell>
          <cell r="EF978">
            <v>493629000</v>
          </cell>
          <cell r="EG978">
            <v>70190231193.191986</v>
          </cell>
        </row>
        <row r="979">
          <cell r="B979">
            <v>6537669</v>
          </cell>
          <cell r="EE979">
            <v>0</v>
          </cell>
          <cell r="EF979">
            <v>0</v>
          </cell>
          <cell r="EG979">
            <v>0</v>
          </cell>
        </row>
        <row r="980">
          <cell r="B980">
            <v>5253535</v>
          </cell>
          <cell r="EE980">
            <v>6781990132.4215298</v>
          </cell>
          <cell r="EF980">
            <v>2109349170</v>
          </cell>
          <cell r="EG980">
            <v>4672640962.4215298</v>
          </cell>
        </row>
        <row r="981">
          <cell r="B981">
            <v>2886197</v>
          </cell>
          <cell r="EE981">
            <v>145833565.87721699</v>
          </cell>
          <cell r="EF981">
            <v>132913742</v>
          </cell>
          <cell r="EG981">
            <v>12919823.877216995</v>
          </cell>
        </row>
        <row r="982">
          <cell r="B982">
            <v>5946239</v>
          </cell>
          <cell r="EE982">
            <v>561734</v>
          </cell>
          <cell r="EF982">
            <v>0</v>
          </cell>
          <cell r="EG982">
            <v>561734</v>
          </cell>
        </row>
        <row r="983">
          <cell r="B983">
            <v>5936292</v>
          </cell>
          <cell r="EE983">
            <v>0</v>
          </cell>
          <cell r="EF983">
            <v>0</v>
          </cell>
          <cell r="EG983">
            <v>0</v>
          </cell>
        </row>
        <row r="984">
          <cell r="B984">
            <v>6173292</v>
          </cell>
          <cell r="EE984">
            <v>9769298.7300000004</v>
          </cell>
          <cell r="EF984">
            <v>23721734</v>
          </cell>
          <cell r="EG984">
            <v>-13952435.27</v>
          </cell>
        </row>
        <row r="985">
          <cell r="B985">
            <v>2597535</v>
          </cell>
          <cell r="EE985">
            <v>7187000</v>
          </cell>
          <cell r="EF985">
            <v>0</v>
          </cell>
          <cell r="EG985">
            <v>7187000</v>
          </cell>
        </row>
        <row r="986">
          <cell r="B986">
            <v>5997062</v>
          </cell>
          <cell r="EE986">
            <v>0</v>
          </cell>
          <cell r="EF986">
            <v>0</v>
          </cell>
          <cell r="EG986">
            <v>0</v>
          </cell>
        </row>
        <row r="987">
          <cell r="B987">
            <v>6454763</v>
          </cell>
          <cell r="EE987">
            <v>97497942.219999999</v>
          </cell>
          <cell r="EF987">
            <v>141322474</v>
          </cell>
          <cell r="EG987">
            <v>-43824531.779999994</v>
          </cell>
        </row>
        <row r="988">
          <cell r="B988">
            <v>5150884</v>
          </cell>
          <cell r="EE988">
            <v>72723000</v>
          </cell>
          <cell r="EF988">
            <v>60722000</v>
          </cell>
          <cell r="EG988">
            <v>12001000</v>
          </cell>
        </row>
        <row r="989">
          <cell r="B989">
            <v>5435951</v>
          </cell>
          <cell r="EE989">
            <v>79328236.950906008</v>
          </cell>
          <cell r="EF989">
            <v>0</v>
          </cell>
          <cell r="EG989">
            <v>79328236.950906008</v>
          </cell>
        </row>
        <row r="990">
          <cell r="B990">
            <v>6316719</v>
          </cell>
          <cell r="EE990">
            <v>15231538</v>
          </cell>
          <cell r="EF990">
            <v>0</v>
          </cell>
          <cell r="EG990">
            <v>15231538</v>
          </cell>
        </row>
        <row r="991">
          <cell r="B991">
            <v>6184812</v>
          </cell>
          <cell r="EE991">
            <v>22126076.150052</v>
          </cell>
          <cell r="EF991">
            <v>0</v>
          </cell>
          <cell r="EG991">
            <v>22126076.150052</v>
          </cell>
        </row>
        <row r="992">
          <cell r="B992">
            <v>5533538</v>
          </cell>
          <cell r="EE992">
            <v>29710098.199999999</v>
          </cell>
          <cell r="EF992">
            <v>0</v>
          </cell>
          <cell r="EG992">
            <v>29710098.199999999</v>
          </cell>
        </row>
        <row r="993">
          <cell r="B993">
            <v>2024101</v>
          </cell>
          <cell r="EE993">
            <v>262474569.61895001</v>
          </cell>
          <cell r="EF993">
            <v>0</v>
          </cell>
          <cell r="EG993">
            <v>262474569.61895001</v>
          </cell>
        </row>
        <row r="994">
          <cell r="B994">
            <v>2723344</v>
          </cell>
          <cell r="EE994">
            <v>0</v>
          </cell>
          <cell r="EF994">
            <v>0</v>
          </cell>
          <cell r="EG994">
            <v>0</v>
          </cell>
        </row>
        <row r="995">
          <cell r="B995">
            <v>2550245</v>
          </cell>
          <cell r="EE995">
            <v>168189686.60000002</v>
          </cell>
          <cell r="EF995">
            <v>325549786</v>
          </cell>
          <cell r="EG995">
            <v>-157360099.39999998</v>
          </cell>
        </row>
        <row r="996">
          <cell r="B996">
            <v>5326834</v>
          </cell>
          <cell r="EE996">
            <v>0</v>
          </cell>
          <cell r="EF996">
            <v>0</v>
          </cell>
          <cell r="EG996">
            <v>0</v>
          </cell>
        </row>
        <row r="997">
          <cell r="B997">
            <v>5051304</v>
          </cell>
          <cell r="EE997">
            <v>4977851461.5891571</v>
          </cell>
          <cell r="EF997">
            <v>3352400859</v>
          </cell>
          <cell r="EG997">
            <v>1625450602.5891571</v>
          </cell>
        </row>
        <row r="998">
          <cell r="B998">
            <v>5138868</v>
          </cell>
          <cell r="EE998">
            <v>11824419.82</v>
          </cell>
          <cell r="EF998">
            <v>0</v>
          </cell>
          <cell r="EG998">
            <v>11824419.82</v>
          </cell>
        </row>
        <row r="999">
          <cell r="B999">
            <v>5796121</v>
          </cell>
          <cell r="EE999">
            <v>0</v>
          </cell>
          <cell r="EF999">
            <v>0</v>
          </cell>
          <cell r="EG999">
            <v>0</v>
          </cell>
        </row>
        <row r="1000">
          <cell r="B1000">
            <v>6099068</v>
          </cell>
          <cell r="EE1000">
            <v>0</v>
          </cell>
          <cell r="EF1000">
            <v>0</v>
          </cell>
          <cell r="EG1000">
            <v>0</v>
          </cell>
        </row>
        <row r="1001">
          <cell r="B1001">
            <v>5387302</v>
          </cell>
          <cell r="EE1001">
            <v>31933426.649999999</v>
          </cell>
          <cell r="EF1001">
            <v>29660158</v>
          </cell>
          <cell r="EG1001">
            <v>2273268.6499999985</v>
          </cell>
        </row>
        <row r="1002">
          <cell r="B1002">
            <v>2557339</v>
          </cell>
          <cell r="EE1002">
            <v>0</v>
          </cell>
          <cell r="EF1002">
            <v>0</v>
          </cell>
          <cell r="EG1002">
            <v>0</v>
          </cell>
        </row>
        <row r="1003">
          <cell r="B1003">
            <v>6536247</v>
          </cell>
          <cell r="EE1003">
            <v>50000000</v>
          </cell>
          <cell r="EF1003">
            <v>0</v>
          </cell>
          <cell r="EG1003">
            <v>50000000</v>
          </cell>
        </row>
        <row r="1004">
          <cell r="B1004">
            <v>5488605</v>
          </cell>
          <cell r="EE1004">
            <v>0</v>
          </cell>
          <cell r="EF1004">
            <v>6384135</v>
          </cell>
          <cell r="EG1004">
            <v>-6384135</v>
          </cell>
        </row>
        <row r="1005">
          <cell r="B1005">
            <v>6697674</v>
          </cell>
          <cell r="EE1005">
            <v>53233334.939999998</v>
          </cell>
          <cell r="EF1005">
            <v>6494376</v>
          </cell>
          <cell r="EG1005">
            <v>46738958.939999998</v>
          </cell>
        </row>
        <row r="1006">
          <cell r="B1006">
            <v>5429013</v>
          </cell>
          <cell r="EE1006">
            <v>6142008.29</v>
          </cell>
          <cell r="EF1006">
            <v>0</v>
          </cell>
          <cell r="EG1006">
            <v>6142008.29</v>
          </cell>
        </row>
        <row r="1007">
          <cell r="B1007">
            <v>5458757</v>
          </cell>
          <cell r="EE1007">
            <v>911824.65</v>
          </cell>
          <cell r="EF1007">
            <v>0</v>
          </cell>
          <cell r="EG1007">
            <v>911824.65</v>
          </cell>
        </row>
        <row r="1008">
          <cell r="B1008">
            <v>6835325</v>
          </cell>
          <cell r="EE1008">
            <v>12422430.470000001</v>
          </cell>
          <cell r="EF1008">
            <v>1753295</v>
          </cell>
          <cell r="EG1008">
            <v>10669135.470000001</v>
          </cell>
        </row>
        <row r="1009">
          <cell r="B1009">
            <v>6195822</v>
          </cell>
          <cell r="EE1009">
            <v>0</v>
          </cell>
          <cell r="EF1009">
            <v>0</v>
          </cell>
          <cell r="EG1009">
            <v>0</v>
          </cell>
        </row>
        <row r="1010">
          <cell r="B1010">
            <v>5470862</v>
          </cell>
          <cell r="EE1010">
            <v>55952389.140000001</v>
          </cell>
          <cell r="EF1010">
            <v>0</v>
          </cell>
          <cell r="EG1010">
            <v>55952389.140000001</v>
          </cell>
        </row>
        <row r="1011">
          <cell r="B1011">
            <v>5481694</v>
          </cell>
          <cell r="EE1011">
            <v>0</v>
          </cell>
          <cell r="EF1011">
            <v>18102482</v>
          </cell>
          <cell r="EG1011">
            <v>-18102482</v>
          </cell>
        </row>
        <row r="1012">
          <cell r="B1012">
            <v>6805752</v>
          </cell>
          <cell r="EE1012">
            <v>130890039.92000002</v>
          </cell>
          <cell r="EF1012">
            <v>56590613</v>
          </cell>
          <cell r="EG1012">
            <v>74299426.920000017</v>
          </cell>
        </row>
        <row r="1013">
          <cell r="B1013">
            <v>5401801</v>
          </cell>
          <cell r="EE1013">
            <v>1404335247.2619998</v>
          </cell>
          <cell r="EF1013">
            <v>0</v>
          </cell>
          <cell r="EG1013">
            <v>1404335247.2619998</v>
          </cell>
        </row>
        <row r="1014">
          <cell r="B1014">
            <v>6438776</v>
          </cell>
          <cell r="EE1014">
            <v>9416800</v>
          </cell>
          <cell r="EF1014">
            <v>11832290</v>
          </cell>
          <cell r="EG1014">
            <v>-2415490</v>
          </cell>
        </row>
        <row r="1015">
          <cell r="B1015">
            <v>8351945</v>
          </cell>
          <cell r="EE1015">
            <v>1480800</v>
          </cell>
          <cell r="EF1015">
            <v>0</v>
          </cell>
          <cell r="EG1015">
            <v>1480800</v>
          </cell>
        </row>
        <row r="1016">
          <cell r="B1016">
            <v>5248809</v>
          </cell>
          <cell r="EE1016">
            <v>21839197.219999999</v>
          </cell>
          <cell r="EF1016">
            <v>8546199</v>
          </cell>
          <cell r="EG1016">
            <v>13292998.219999999</v>
          </cell>
        </row>
        <row r="1017">
          <cell r="B1017">
            <v>5702232</v>
          </cell>
          <cell r="EE1017">
            <v>20251135</v>
          </cell>
          <cell r="EF1017">
            <v>0</v>
          </cell>
          <cell r="EG1017">
            <v>20251135</v>
          </cell>
        </row>
        <row r="1018">
          <cell r="B1018">
            <v>5747392</v>
          </cell>
          <cell r="EE1018">
            <v>18481364.049999997</v>
          </cell>
          <cell r="EF1018">
            <v>99081956</v>
          </cell>
          <cell r="EG1018">
            <v>-80600591.950000003</v>
          </cell>
        </row>
        <row r="1019">
          <cell r="B1019">
            <v>5365112</v>
          </cell>
          <cell r="EE1019">
            <v>0</v>
          </cell>
          <cell r="EF1019">
            <v>35168010</v>
          </cell>
          <cell r="EG1019">
            <v>-35168010</v>
          </cell>
        </row>
        <row r="1020">
          <cell r="B1020">
            <v>2550466</v>
          </cell>
          <cell r="EE1020">
            <v>31780616127.582119</v>
          </cell>
          <cell r="EF1020">
            <v>29047402824</v>
          </cell>
          <cell r="EG1020">
            <v>2733213303.5821157</v>
          </cell>
        </row>
        <row r="1021">
          <cell r="B1021">
            <v>2771799</v>
          </cell>
          <cell r="EE1021">
            <v>0</v>
          </cell>
          <cell r="EF1021">
            <v>4020000</v>
          </cell>
          <cell r="EG1021">
            <v>-4020000</v>
          </cell>
        </row>
        <row r="1022">
          <cell r="B1022">
            <v>2317265</v>
          </cell>
          <cell r="EE1022">
            <v>26327923.109999999</v>
          </cell>
          <cell r="EF1022">
            <v>0</v>
          </cell>
          <cell r="EG1022">
            <v>26327923.109999999</v>
          </cell>
        </row>
        <row r="1023">
          <cell r="B1023">
            <v>5051134</v>
          </cell>
          <cell r="EE1023">
            <v>1845982387.4297543</v>
          </cell>
          <cell r="EF1023">
            <v>233650894</v>
          </cell>
          <cell r="EG1023">
            <v>1612331493.4297543</v>
          </cell>
        </row>
        <row r="1024">
          <cell r="B1024">
            <v>2095025</v>
          </cell>
          <cell r="EE1024">
            <v>336822820620.91876</v>
          </cell>
          <cell r="EF1024">
            <v>310530025212</v>
          </cell>
          <cell r="EG1024">
            <v>26292795408.918713</v>
          </cell>
        </row>
        <row r="1025">
          <cell r="B1025">
            <v>5287472</v>
          </cell>
          <cell r="EE1025">
            <v>12350900</v>
          </cell>
          <cell r="EF1025">
            <v>0</v>
          </cell>
          <cell r="EG1025">
            <v>12350900</v>
          </cell>
        </row>
        <row r="1026">
          <cell r="B1026">
            <v>2805871</v>
          </cell>
          <cell r="EE1026">
            <v>74006699.5</v>
          </cell>
          <cell r="EF1026">
            <v>55123865</v>
          </cell>
          <cell r="EG1026">
            <v>18882834.500000004</v>
          </cell>
        </row>
        <row r="1027">
          <cell r="B1027">
            <v>2554518</v>
          </cell>
          <cell r="EE1027">
            <v>0</v>
          </cell>
          <cell r="EF1027">
            <v>0</v>
          </cell>
          <cell r="EG1027">
            <v>0</v>
          </cell>
        </row>
        <row r="1028">
          <cell r="B1028">
            <v>6967167</v>
          </cell>
          <cell r="EE1028">
            <v>0</v>
          </cell>
          <cell r="EF1028">
            <v>0</v>
          </cell>
          <cell r="EG1028">
            <v>0</v>
          </cell>
        </row>
        <row r="1029">
          <cell r="B1029">
            <v>2851326</v>
          </cell>
          <cell r="EE1029">
            <v>19468340.350000001</v>
          </cell>
          <cell r="EF1029">
            <v>18813001</v>
          </cell>
          <cell r="EG1029">
            <v>655339.35000000009</v>
          </cell>
        </row>
        <row r="1030">
          <cell r="B1030">
            <v>2654652</v>
          </cell>
          <cell r="EE1030">
            <v>197254495.59000003</v>
          </cell>
          <cell r="EF1030">
            <v>161304606</v>
          </cell>
          <cell r="EG1030">
            <v>35949889.590000018</v>
          </cell>
        </row>
        <row r="1031">
          <cell r="B1031">
            <v>2824833</v>
          </cell>
          <cell r="EE1031">
            <v>1483145.67</v>
          </cell>
          <cell r="EF1031">
            <v>0</v>
          </cell>
          <cell r="EG1031">
            <v>1483145.67</v>
          </cell>
        </row>
        <row r="1032">
          <cell r="B1032">
            <v>5533392</v>
          </cell>
          <cell r="EE1032">
            <v>231482263.79021999</v>
          </cell>
          <cell r="EF1032">
            <v>203808365</v>
          </cell>
          <cell r="EG1032">
            <v>27673898.790219992</v>
          </cell>
        </row>
        <row r="1033">
          <cell r="B1033">
            <v>2045931</v>
          </cell>
          <cell r="EE1033">
            <v>16922513729.738073</v>
          </cell>
          <cell r="EF1033">
            <v>15246713670</v>
          </cell>
          <cell r="EG1033">
            <v>1675800059.7380724</v>
          </cell>
        </row>
        <row r="1034">
          <cell r="B1034">
            <v>2893444</v>
          </cell>
          <cell r="EE1034">
            <v>6495600</v>
          </cell>
          <cell r="EF1034">
            <v>0</v>
          </cell>
          <cell r="EG1034">
            <v>6495600</v>
          </cell>
        </row>
        <row r="1035">
          <cell r="B1035">
            <v>2064766</v>
          </cell>
          <cell r="EE1035">
            <v>0</v>
          </cell>
          <cell r="EF1035">
            <v>0</v>
          </cell>
          <cell r="EG1035">
            <v>0</v>
          </cell>
        </row>
        <row r="1036">
          <cell r="B1036">
            <v>2695421</v>
          </cell>
          <cell r="EE1036">
            <v>0</v>
          </cell>
          <cell r="EF1036">
            <v>0</v>
          </cell>
          <cell r="EG1036">
            <v>0</v>
          </cell>
        </row>
        <row r="1037">
          <cell r="B1037">
            <v>2029278</v>
          </cell>
          <cell r="EE1037">
            <v>4213309849.8894844</v>
          </cell>
          <cell r="EF1037">
            <v>6101097550</v>
          </cell>
          <cell r="EG1037">
            <v>-1887787700.1105161</v>
          </cell>
        </row>
        <row r="1038">
          <cell r="B1038">
            <v>2063123</v>
          </cell>
          <cell r="EE1038">
            <v>0</v>
          </cell>
          <cell r="EF1038">
            <v>0</v>
          </cell>
          <cell r="EG1038">
            <v>0</v>
          </cell>
        </row>
        <row r="1039">
          <cell r="B1039">
            <v>2765888</v>
          </cell>
          <cell r="EE1039">
            <v>0</v>
          </cell>
          <cell r="EF1039">
            <v>38918798</v>
          </cell>
          <cell r="EG1039">
            <v>-38918798</v>
          </cell>
        </row>
        <row r="1040">
          <cell r="B1040">
            <v>2855267</v>
          </cell>
          <cell r="EE1040">
            <v>394419303.24000001</v>
          </cell>
          <cell r="EF1040">
            <v>0</v>
          </cell>
          <cell r="EG1040">
            <v>394419303.24000001</v>
          </cell>
        </row>
        <row r="1041">
          <cell r="B1041">
            <v>2811138</v>
          </cell>
          <cell r="EE1041">
            <v>0</v>
          </cell>
          <cell r="EF1041">
            <v>0</v>
          </cell>
          <cell r="EG1041">
            <v>0</v>
          </cell>
        </row>
        <row r="1042">
          <cell r="B1042">
            <v>2611961</v>
          </cell>
          <cell r="EE1042">
            <v>86025</v>
          </cell>
          <cell r="EF1042">
            <v>0</v>
          </cell>
          <cell r="EG1042">
            <v>86025</v>
          </cell>
        </row>
        <row r="1043">
          <cell r="B1043">
            <v>2066866</v>
          </cell>
          <cell r="EE1043">
            <v>0</v>
          </cell>
          <cell r="EF1043">
            <v>0</v>
          </cell>
          <cell r="EG1043">
            <v>0</v>
          </cell>
        </row>
        <row r="1044">
          <cell r="B1044">
            <v>2652056</v>
          </cell>
          <cell r="EE1044">
            <v>48264448.769999996</v>
          </cell>
          <cell r="EF1044">
            <v>0</v>
          </cell>
          <cell r="EG1044">
            <v>48264448.769999996</v>
          </cell>
        </row>
        <row r="1045">
          <cell r="B1045">
            <v>2678586</v>
          </cell>
          <cell r="EE1045">
            <v>67621032.430000007</v>
          </cell>
          <cell r="EF1045">
            <v>36739710</v>
          </cell>
          <cell r="EG1045">
            <v>30881322.430000007</v>
          </cell>
        </row>
        <row r="1046">
          <cell r="B1046">
            <v>5106567</v>
          </cell>
          <cell r="EE1046">
            <v>14530650827.066925</v>
          </cell>
          <cell r="EF1046">
            <v>8530908140</v>
          </cell>
          <cell r="EG1046">
            <v>5999742687.066925</v>
          </cell>
        </row>
        <row r="1047">
          <cell r="B1047">
            <v>2772787</v>
          </cell>
          <cell r="EE1047">
            <v>10000000</v>
          </cell>
          <cell r="EF1047">
            <v>2509080</v>
          </cell>
          <cell r="EG1047">
            <v>7490920</v>
          </cell>
        </row>
        <row r="1048">
          <cell r="B1048">
            <v>2044838</v>
          </cell>
          <cell r="EE1048">
            <v>5297500</v>
          </cell>
          <cell r="EF1048">
            <v>0</v>
          </cell>
          <cell r="EG1048">
            <v>5297500</v>
          </cell>
        </row>
        <row r="1049">
          <cell r="B1049">
            <v>5553199</v>
          </cell>
          <cell r="EE1049">
            <v>3785000</v>
          </cell>
          <cell r="EF1049">
            <v>0</v>
          </cell>
          <cell r="EG1049">
            <v>3785000</v>
          </cell>
        </row>
        <row r="1050">
          <cell r="B1050">
            <v>5141583</v>
          </cell>
          <cell r="EE1050">
            <v>123348033352.87607</v>
          </cell>
          <cell r="EF1050">
            <v>122088183522</v>
          </cell>
          <cell r="EG1050">
            <v>1259849830.8760738</v>
          </cell>
        </row>
        <row r="1051">
          <cell r="B1051">
            <v>5951259</v>
          </cell>
          <cell r="EE1051">
            <v>240000</v>
          </cell>
          <cell r="EF1051">
            <v>5869574</v>
          </cell>
          <cell r="EG1051">
            <v>-5629574</v>
          </cell>
        </row>
        <row r="1052">
          <cell r="B1052">
            <v>6470556</v>
          </cell>
          <cell r="EE1052">
            <v>9955475</v>
          </cell>
          <cell r="EF1052">
            <v>0</v>
          </cell>
          <cell r="EG1052">
            <v>9955475</v>
          </cell>
        </row>
        <row r="1053">
          <cell r="B1053">
            <v>6306934</v>
          </cell>
          <cell r="EE1053">
            <v>0</v>
          </cell>
          <cell r="EF1053">
            <v>0</v>
          </cell>
          <cell r="EG1053">
            <v>0</v>
          </cell>
        </row>
        <row r="1054">
          <cell r="B1054">
            <v>5350182</v>
          </cell>
          <cell r="EE1054">
            <v>0</v>
          </cell>
          <cell r="EF1054">
            <v>0</v>
          </cell>
          <cell r="EG1054">
            <v>0</v>
          </cell>
        </row>
        <row r="1055">
          <cell r="B1055">
            <v>5145422</v>
          </cell>
          <cell r="EE1055">
            <v>0</v>
          </cell>
          <cell r="EF1055">
            <v>0</v>
          </cell>
          <cell r="EG1055">
            <v>0</v>
          </cell>
        </row>
        <row r="1056">
          <cell r="B1056">
            <v>5940338</v>
          </cell>
          <cell r="EE1056">
            <v>0</v>
          </cell>
          <cell r="EF1056">
            <v>0</v>
          </cell>
          <cell r="EG1056">
            <v>0</v>
          </cell>
        </row>
        <row r="1057">
          <cell r="B1057">
            <v>5383854</v>
          </cell>
          <cell r="EE1057">
            <v>925118.23</v>
          </cell>
          <cell r="EF1057">
            <v>0</v>
          </cell>
          <cell r="EG1057">
            <v>925118.23</v>
          </cell>
        </row>
        <row r="1058">
          <cell r="B1058">
            <v>5328586</v>
          </cell>
          <cell r="EE1058">
            <v>0</v>
          </cell>
          <cell r="EF1058">
            <v>0</v>
          </cell>
          <cell r="EG1058">
            <v>0</v>
          </cell>
        </row>
        <row r="1059">
          <cell r="B1059">
            <v>6079172</v>
          </cell>
          <cell r="EE1059">
            <v>104043000</v>
          </cell>
          <cell r="EF1059">
            <v>0</v>
          </cell>
          <cell r="EG1059">
            <v>104043000</v>
          </cell>
        </row>
        <row r="1060">
          <cell r="B1060">
            <v>5642108</v>
          </cell>
          <cell r="EE1060">
            <v>19966640.479999997</v>
          </cell>
          <cell r="EF1060">
            <v>0</v>
          </cell>
          <cell r="EG1060">
            <v>19966640.479999997</v>
          </cell>
        </row>
        <row r="1061">
          <cell r="B1061">
            <v>4283767</v>
          </cell>
          <cell r="EE1061">
            <v>485231822.63899195</v>
          </cell>
          <cell r="EF1061">
            <v>76068639</v>
          </cell>
          <cell r="EG1061">
            <v>409163183.63899195</v>
          </cell>
        </row>
        <row r="1062">
          <cell r="B1062">
            <v>2103869</v>
          </cell>
          <cell r="EE1062">
            <v>1650000</v>
          </cell>
          <cell r="EF1062">
            <v>0</v>
          </cell>
          <cell r="EG1062">
            <v>1650000</v>
          </cell>
        </row>
        <row r="1063">
          <cell r="B1063">
            <v>3431754</v>
          </cell>
          <cell r="EE1063">
            <v>0</v>
          </cell>
          <cell r="EF1063">
            <v>0</v>
          </cell>
          <cell r="EG1063">
            <v>0</v>
          </cell>
        </row>
        <row r="1064">
          <cell r="B1064">
            <v>6743412</v>
          </cell>
          <cell r="EE1064">
            <v>0</v>
          </cell>
          <cell r="EF1064">
            <v>0</v>
          </cell>
          <cell r="EG1064">
            <v>0</v>
          </cell>
        </row>
        <row r="1065">
          <cell r="B1065">
            <v>5981026</v>
          </cell>
          <cell r="EE1065">
            <v>190459030.862405</v>
          </cell>
          <cell r="EF1065">
            <v>0</v>
          </cell>
          <cell r="EG1065">
            <v>190459030.862405</v>
          </cell>
        </row>
        <row r="1066">
          <cell r="B1066">
            <v>6007805</v>
          </cell>
          <cell r="EE1066">
            <v>0</v>
          </cell>
          <cell r="EF1066">
            <v>0</v>
          </cell>
          <cell r="EG1066">
            <v>0</v>
          </cell>
        </row>
        <row r="1067">
          <cell r="B1067">
            <v>5979129</v>
          </cell>
          <cell r="EE1067">
            <v>39948620</v>
          </cell>
          <cell r="EF1067">
            <v>0</v>
          </cell>
          <cell r="EG1067">
            <v>39948620</v>
          </cell>
        </row>
        <row r="1068">
          <cell r="B1068">
            <v>3859797</v>
          </cell>
          <cell r="EE1068">
            <v>196920</v>
          </cell>
          <cell r="EF1068">
            <v>0</v>
          </cell>
          <cell r="EG1068">
            <v>196920</v>
          </cell>
        </row>
        <row r="1069">
          <cell r="B1069">
            <v>2871556</v>
          </cell>
          <cell r="EE1069">
            <v>75318195.859999999</v>
          </cell>
          <cell r="EF1069">
            <v>0</v>
          </cell>
          <cell r="EG1069">
            <v>75318195.859999999</v>
          </cell>
        </row>
        <row r="1070">
          <cell r="B1070">
            <v>2107848</v>
          </cell>
          <cell r="EE1070">
            <v>985800</v>
          </cell>
          <cell r="EF1070">
            <v>2209823</v>
          </cell>
          <cell r="EG1070">
            <v>-1224023</v>
          </cell>
        </row>
        <row r="1071">
          <cell r="B1071">
            <v>5466679</v>
          </cell>
          <cell r="EE1071">
            <v>4497010.9499999993</v>
          </cell>
          <cell r="EF1071">
            <v>36353178</v>
          </cell>
          <cell r="EG1071">
            <v>-31856167.050000001</v>
          </cell>
        </row>
        <row r="1072">
          <cell r="B1072">
            <v>5384915</v>
          </cell>
          <cell r="EE1072">
            <v>31013687.5</v>
          </cell>
          <cell r="EF1072">
            <v>2254743</v>
          </cell>
          <cell r="EG1072">
            <v>28758944.5</v>
          </cell>
        </row>
        <row r="1073">
          <cell r="B1073">
            <v>5314593</v>
          </cell>
          <cell r="EE1073">
            <v>4749556.4000000004</v>
          </cell>
          <cell r="EF1073">
            <v>4988083</v>
          </cell>
          <cell r="EG1073">
            <v>-238526.60000000009</v>
          </cell>
        </row>
        <row r="1074">
          <cell r="B1074">
            <v>5418925</v>
          </cell>
          <cell r="EE1074">
            <v>0</v>
          </cell>
          <cell r="EF1074">
            <v>0</v>
          </cell>
          <cell r="EG1074">
            <v>0</v>
          </cell>
        </row>
        <row r="1075">
          <cell r="B1075">
            <v>5118115</v>
          </cell>
          <cell r="EE1075">
            <v>10659602534.661135</v>
          </cell>
          <cell r="EF1075">
            <v>0</v>
          </cell>
          <cell r="EG1075">
            <v>10659602534.661135</v>
          </cell>
        </row>
        <row r="1076">
          <cell r="B1076">
            <v>5642876</v>
          </cell>
          <cell r="EE1076">
            <v>0</v>
          </cell>
          <cell r="EF1076">
            <v>0</v>
          </cell>
          <cell r="EG1076">
            <v>0</v>
          </cell>
        </row>
        <row r="1077">
          <cell r="B1077">
            <v>5145414</v>
          </cell>
          <cell r="EE1077">
            <v>0</v>
          </cell>
          <cell r="EF1077">
            <v>0</v>
          </cell>
          <cell r="EG1077">
            <v>0</v>
          </cell>
        </row>
        <row r="1078">
          <cell r="B1078">
            <v>2732548</v>
          </cell>
          <cell r="EE1078">
            <v>0</v>
          </cell>
          <cell r="EF1078">
            <v>0</v>
          </cell>
          <cell r="EG1078">
            <v>0</v>
          </cell>
        </row>
        <row r="1079">
          <cell r="B1079">
            <v>2808226</v>
          </cell>
          <cell r="EE1079">
            <v>11230140.35</v>
          </cell>
          <cell r="EF1079">
            <v>0</v>
          </cell>
          <cell r="EG1079">
            <v>11230140.35</v>
          </cell>
        </row>
        <row r="1080">
          <cell r="B1080">
            <v>5314577</v>
          </cell>
          <cell r="EE1080">
            <v>497189268.89999998</v>
          </cell>
          <cell r="EF1080">
            <v>972510707</v>
          </cell>
          <cell r="EG1080">
            <v>-475321438.10000002</v>
          </cell>
        </row>
        <row r="1081">
          <cell r="B1081">
            <v>5153077</v>
          </cell>
          <cell r="EE1081">
            <v>0</v>
          </cell>
          <cell r="EF1081">
            <v>0</v>
          </cell>
          <cell r="EG1081">
            <v>0</v>
          </cell>
        </row>
        <row r="1082">
          <cell r="B1082">
            <v>2817179</v>
          </cell>
          <cell r="EE1082">
            <v>10000</v>
          </cell>
          <cell r="EF1082">
            <v>0</v>
          </cell>
          <cell r="EG1082">
            <v>10000</v>
          </cell>
        </row>
        <row r="1083">
          <cell r="B1083">
            <v>2585871</v>
          </cell>
          <cell r="EE1083">
            <v>1827515</v>
          </cell>
          <cell r="EF1083">
            <v>5445620</v>
          </cell>
          <cell r="EG1083">
            <v>-3618105</v>
          </cell>
        </row>
        <row r="1084">
          <cell r="B1084">
            <v>2551489</v>
          </cell>
          <cell r="EE1084">
            <v>13455467.187388001</v>
          </cell>
          <cell r="EF1084">
            <v>0</v>
          </cell>
          <cell r="EG1084">
            <v>13455467.187388001</v>
          </cell>
        </row>
        <row r="1085">
          <cell r="B1085">
            <v>6156932</v>
          </cell>
          <cell r="EE1085">
            <v>143169474.95102799</v>
          </cell>
          <cell r="EF1085">
            <v>0</v>
          </cell>
          <cell r="EG1085">
            <v>143169474.95102799</v>
          </cell>
        </row>
        <row r="1086">
          <cell r="B1086">
            <v>5941911</v>
          </cell>
          <cell r="EE1086">
            <v>283597</v>
          </cell>
          <cell r="EF1086">
            <v>0</v>
          </cell>
          <cell r="EG1086">
            <v>283597</v>
          </cell>
        </row>
        <row r="1087">
          <cell r="B1087">
            <v>2827514</v>
          </cell>
          <cell r="EE1087">
            <v>24794662.910000004</v>
          </cell>
          <cell r="EF1087">
            <v>14574213</v>
          </cell>
          <cell r="EG1087">
            <v>10220449.91</v>
          </cell>
        </row>
        <row r="1088">
          <cell r="B1088">
            <v>5197783</v>
          </cell>
          <cell r="EE1088">
            <v>0</v>
          </cell>
          <cell r="EF1088">
            <v>0</v>
          </cell>
          <cell r="EG1088">
            <v>0</v>
          </cell>
        </row>
        <row r="1089">
          <cell r="B1089">
            <v>6449344</v>
          </cell>
          <cell r="EE1089">
            <v>0</v>
          </cell>
          <cell r="EF1089">
            <v>0</v>
          </cell>
          <cell r="EG1089">
            <v>0</v>
          </cell>
        </row>
        <row r="1090">
          <cell r="B1090">
            <v>5923581</v>
          </cell>
          <cell r="EE1090">
            <v>0</v>
          </cell>
          <cell r="EF1090">
            <v>0</v>
          </cell>
          <cell r="EG1090">
            <v>0</v>
          </cell>
        </row>
        <row r="1091">
          <cell r="B1091">
            <v>3307905</v>
          </cell>
          <cell r="EE1091">
            <v>132126858.98</v>
          </cell>
          <cell r="EF1091">
            <v>0</v>
          </cell>
          <cell r="EG1091">
            <v>132126858.98</v>
          </cell>
        </row>
        <row r="1092">
          <cell r="B1092">
            <v>6207642</v>
          </cell>
          <cell r="EE1092">
            <v>415918800</v>
          </cell>
          <cell r="EF1092">
            <v>0</v>
          </cell>
          <cell r="EG1092">
            <v>415918800</v>
          </cell>
        </row>
        <row r="1093">
          <cell r="B1093">
            <v>5745721</v>
          </cell>
          <cell r="EE1093">
            <v>93163930.710000008</v>
          </cell>
          <cell r="EF1093">
            <v>0</v>
          </cell>
          <cell r="EG1093">
            <v>93163930.710000008</v>
          </cell>
        </row>
        <row r="1094">
          <cell r="B1094">
            <v>5175933</v>
          </cell>
          <cell r="EE1094">
            <v>368523110.63</v>
          </cell>
          <cell r="EF1094">
            <v>36432484</v>
          </cell>
          <cell r="EG1094">
            <v>332090626.63</v>
          </cell>
        </row>
        <row r="1095">
          <cell r="B1095">
            <v>5141893</v>
          </cell>
          <cell r="EE1095">
            <v>0</v>
          </cell>
          <cell r="EF1095">
            <v>352000</v>
          </cell>
          <cell r="EG1095">
            <v>-352000</v>
          </cell>
        </row>
        <row r="1096">
          <cell r="B1096">
            <v>2839121</v>
          </cell>
          <cell r="EE1096">
            <v>0</v>
          </cell>
          <cell r="EF1096">
            <v>0</v>
          </cell>
          <cell r="EG1096">
            <v>0</v>
          </cell>
        </row>
        <row r="1097">
          <cell r="B1097">
            <v>5838266</v>
          </cell>
          <cell r="EE1097">
            <v>331194250.5115</v>
          </cell>
          <cell r="EF1097">
            <v>0</v>
          </cell>
          <cell r="EG1097">
            <v>331194250.5115</v>
          </cell>
        </row>
        <row r="1098">
          <cell r="B1098">
            <v>6062385</v>
          </cell>
          <cell r="EE1098">
            <v>0</v>
          </cell>
          <cell r="EF1098">
            <v>0</v>
          </cell>
          <cell r="EG1098">
            <v>0</v>
          </cell>
        </row>
        <row r="1099">
          <cell r="B1099">
            <v>5324238</v>
          </cell>
          <cell r="EE1099">
            <v>0</v>
          </cell>
          <cell r="EF1099">
            <v>212992</v>
          </cell>
          <cell r="EG1099">
            <v>-212992</v>
          </cell>
        </row>
        <row r="1100">
          <cell r="B1100">
            <v>6077455</v>
          </cell>
          <cell r="EE1100">
            <v>0</v>
          </cell>
          <cell r="EF1100">
            <v>0</v>
          </cell>
          <cell r="EG1100">
            <v>0</v>
          </cell>
        </row>
        <row r="1101">
          <cell r="B1101">
            <v>5150388</v>
          </cell>
          <cell r="EE1101">
            <v>7000</v>
          </cell>
          <cell r="EF1101">
            <v>0</v>
          </cell>
          <cell r="EG1101">
            <v>7000</v>
          </cell>
        </row>
        <row r="1102">
          <cell r="B1102">
            <v>5082137</v>
          </cell>
          <cell r="EE1102">
            <v>0</v>
          </cell>
          <cell r="EF1102">
            <v>0</v>
          </cell>
          <cell r="EG1102">
            <v>0</v>
          </cell>
        </row>
        <row r="1103">
          <cell r="B1103">
            <v>5106656</v>
          </cell>
          <cell r="EE1103">
            <v>1089740814.7074981</v>
          </cell>
          <cell r="EF1103">
            <v>0</v>
          </cell>
          <cell r="EG1103">
            <v>1089740814.7074981</v>
          </cell>
        </row>
        <row r="1104">
          <cell r="B1104">
            <v>3620786</v>
          </cell>
          <cell r="EE1104">
            <v>0</v>
          </cell>
          <cell r="EF1104">
            <v>0</v>
          </cell>
          <cell r="EG1104">
            <v>0</v>
          </cell>
        </row>
        <row r="1105">
          <cell r="B1105">
            <v>5343542</v>
          </cell>
          <cell r="EE1105">
            <v>112345252.27000001</v>
          </cell>
          <cell r="EF1105">
            <v>0</v>
          </cell>
          <cell r="EG1105">
            <v>112345252.27000001</v>
          </cell>
        </row>
        <row r="1106">
          <cell r="B1106">
            <v>2057417</v>
          </cell>
          <cell r="EE1106">
            <v>44947437.979999997</v>
          </cell>
          <cell r="EF1106">
            <v>51788720</v>
          </cell>
          <cell r="EG1106">
            <v>-6841282.0200000005</v>
          </cell>
        </row>
        <row r="1107">
          <cell r="B1107">
            <v>2010895</v>
          </cell>
          <cell r="EE1107">
            <v>1147844092.8413229</v>
          </cell>
          <cell r="EF1107">
            <v>1064947125</v>
          </cell>
          <cell r="EG1107">
            <v>82896967.841323018</v>
          </cell>
        </row>
        <row r="1108">
          <cell r="B1108">
            <v>6085571</v>
          </cell>
          <cell r="EE1108">
            <v>0</v>
          </cell>
          <cell r="EF1108">
            <v>0</v>
          </cell>
          <cell r="EG1108">
            <v>0</v>
          </cell>
        </row>
        <row r="1109">
          <cell r="B1109">
            <v>5267552</v>
          </cell>
          <cell r="EE1109">
            <v>0</v>
          </cell>
          <cell r="EF1109">
            <v>0</v>
          </cell>
          <cell r="EG1109">
            <v>0</v>
          </cell>
        </row>
        <row r="1110">
          <cell r="B1110">
            <v>5063795</v>
          </cell>
          <cell r="EE1110">
            <v>0</v>
          </cell>
          <cell r="EF1110">
            <v>11189280</v>
          </cell>
          <cell r="EG1110">
            <v>-11189280</v>
          </cell>
        </row>
        <row r="1111">
          <cell r="B1111">
            <v>5360951</v>
          </cell>
          <cell r="EE1111">
            <v>0</v>
          </cell>
          <cell r="EF1111">
            <v>0</v>
          </cell>
          <cell r="EG1111">
            <v>0</v>
          </cell>
        </row>
        <row r="1112">
          <cell r="B1112">
            <v>6019935</v>
          </cell>
          <cell r="EE1112">
            <v>3501.1</v>
          </cell>
          <cell r="EF1112">
            <v>0</v>
          </cell>
          <cell r="EG1112">
            <v>3501.1</v>
          </cell>
        </row>
        <row r="1113">
          <cell r="B1113">
            <v>2053179</v>
          </cell>
          <cell r="EE1113">
            <v>0</v>
          </cell>
          <cell r="EF1113">
            <v>0</v>
          </cell>
          <cell r="EG1113">
            <v>0</v>
          </cell>
        </row>
        <row r="1114">
          <cell r="B1114">
            <v>3192202</v>
          </cell>
          <cell r="EE1114">
            <v>0</v>
          </cell>
          <cell r="EF1114">
            <v>0</v>
          </cell>
          <cell r="EG1114">
            <v>0</v>
          </cell>
        </row>
        <row r="1115">
          <cell r="B1115">
            <v>2744821</v>
          </cell>
          <cell r="EE1115">
            <v>0</v>
          </cell>
          <cell r="EF1115">
            <v>0</v>
          </cell>
          <cell r="EG1115">
            <v>0</v>
          </cell>
        </row>
        <row r="1116">
          <cell r="B1116">
            <v>2070022</v>
          </cell>
          <cell r="EE1116">
            <v>8131205706.4692822</v>
          </cell>
          <cell r="EF1116">
            <v>0</v>
          </cell>
          <cell r="EG1116">
            <v>8131205706.4692822</v>
          </cell>
        </row>
        <row r="1117">
          <cell r="B1117">
            <v>5131871</v>
          </cell>
          <cell r="EE1117">
            <v>0</v>
          </cell>
          <cell r="EF1117">
            <v>0</v>
          </cell>
          <cell r="EG1117">
            <v>0</v>
          </cell>
        </row>
        <row r="1118">
          <cell r="B1118">
            <v>6943756</v>
          </cell>
          <cell r="EE1118">
            <v>0</v>
          </cell>
          <cell r="EF1118">
            <v>0</v>
          </cell>
          <cell r="EG1118">
            <v>0</v>
          </cell>
        </row>
        <row r="1119">
          <cell r="B1119">
            <v>5545129</v>
          </cell>
          <cell r="EE1119">
            <v>0</v>
          </cell>
          <cell r="EF1119">
            <v>0</v>
          </cell>
          <cell r="EG1119">
            <v>0</v>
          </cell>
        </row>
        <row r="1120">
          <cell r="B1120">
            <v>6065236</v>
          </cell>
          <cell r="EE1120">
            <v>0</v>
          </cell>
          <cell r="EF1120">
            <v>0</v>
          </cell>
          <cell r="EG1120">
            <v>0</v>
          </cell>
        </row>
        <row r="1121">
          <cell r="B1121">
            <v>6411487</v>
          </cell>
          <cell r="EE1121">
            <v>0</v>
          </cell>
          <cell r="EF1121">
            <v>0</v>
          </cell>
          <cell r="EG1121">
            <v>0</v>
          </cell>
        </row>
        <row r="1122">
          <cell r="B1122">
            <v>3124916</v>
          </cell>
          <cell r="EE1122">
            <v>0</v>
          </cell>
          <cell r="EF1122">
            <v>0</v>
          </cell>
          <cell r="EG1122">
            <v>0</v>
          </cell>
        </row>
        <row r="1123">
          <cell r="B1123">
            <v>5689481</v>
          </cell>
          <cell r="EE1123">
            <v>0</v>
          </cell>
          <cell r="EF1123">
            <v>27002771</v>
          </cell>
          <cell r="EG1123">
            <v>-27002771</v>
          </cell>
        </row>
        <row r="1124">
          <cell r="B1124">
            <v>2703068</v>
          </cell>
          <cell r="EE1124">
            <v>44005425.660000004</v>
          </cell>
          <cell r="EF1124">
            <v>35212774</v>
          </cell>
          <cell r="EG1124">
            <v>8792651.6600000001</v>
          </cell>
        </row>
        <row r="1125">
          <cell r="B1125">
            <v>5201152</v>
          </cell>
          <cell r="EE1125">
            <v>0</v>
          </cell>
          <cell r="EF1125">
            <v>0</v>
          </cell>
          <cell r="EG1125">
            <v>0</v>
          </cell>
        </row>
        <row r="1126">
          <cell r="B1126">
            <v>5920345</v>
          </cell>
          <cell r="EE1126">
            <v>23334443.980087999</v>
          </cell>
          <cell r="EF1126">
            <v>9376568</v>
          </cell>
          <cell r="EG1126">
            <v>13957875.980087999</v>
          </cell>
        </row>
        <row r="1127">
          <cell r="B1127">
            <v>3681424</v>
          </cell>
          <cell r="EE1127">
            <v>0</v>
          </cell>
          <cell r="EF1127">
            <v>0</v>
          </cell>
          <cell r="EG1127">
            <v>0</v>
          </cell>
        </row>
        <row r="1128">
          <cell r="B1128">
            <v>5988373</v>
          </cell>
          <cell r="EE1128">
            <v>0</v>
          </cell>
          <cell r="EF1128">
            <v>0</v>
          </cell>
          <cell r="EG1128">
            <v>0</v>
          </cell>
        </row>
        <row r="1129">
          <cell r="B1129">
            <v>8332517</v>
          </cell>
          <cell r="EE1129">
            <v>0</v>
          </cell>
          <cell r="EF1129">
            <v>0</v>
          </cell>
          <cell r="EG1129">
            <v>0</v>
          </cell>
        </row>
        <row r="1130">
          <cell r="B1130">
            <v>5233232</v>
          </cell>
          <cell r="EE1130">
            <v>0</v>
          </cell>
          <cell r="EF1130">
            <v>0</v>
          </cell>
          <cell r="EG1130">
            <v>0</v>
          </cell>
        </row>
        <row r="1131">
          <cell r="B1131">
            <v>2774666</v>
          </cell>
          <cell r="EE1131">
            <v>71594983.659999996</v>
          </cell>
          <cell r="EF1131">
            <v>113633110</v>
          </cell>
          <cell r="EG1131">
            <v>-42038126.339999996</v>
          </cell>
        </row>
        <row r="1132">
          <cell r="B1132">
            <v>6378781</v>
          </cell>
          <cell r="EE1132">
            <v>0</v>
          </cell>
          <cell r="EF1132">
            <v>0</v>
          </cell>
          <cell r="EG1132">
            <v>0</v>
          </cell>
        </row>
        <row r="1133">
          <cell r="B1133">
            <v>5624487</v>
          </cell>
          <cell r="EE1133">
            <v>0</v>
          </cell>
          <cell r="EF1133">
            <v>472610000</v>
          </cell>
          <cell r="EG1133">
            <v>-472610000</v>
          </cell>
        </row>
        <row r="1134">
          <cell r="B1134">
            <v>3317498</v>
          </cell>
          <cell r="EE1134">
            <v>65450444.890000001</v>
          </cell>
          <cell r="EF1134">
            <v>0</v>
          </cell>
          <cell r="EG1134">
            <v>65450444.890000001</v>
          </cell>
        </row>
        <row r="1135">
          <cell r="B1135">
            <v>5108659</v>
          </cell>
          <cell r="EE1135">
            <v>0</v>
          </cell>
          <cell r="EF1135">
            <v>0</v>
          </cell>
          <cell r="EG1135">
            <v>0</v>
          </cell>
        </row>
        <row r="1136">
          <cell r="B1136">
            <v>8381216</v>
          </cell>
          <cell r="EE1136">
            <v>14577489.560000001</v>
          </cell>
          <cell r="EF1136">
            <v>19538737</v>
          </cell>
          <cell r="EG1136">
            <v>-4961247.4399999995</v>
          </cell>
        </row>
        <row r="1137">
          <cell r="B1137">
            <v>5517893</v>
          </cell>
          <cell r="EE1137">
            <v>0</v>
          </cell>
          <cell r="EF1137">
            <v>0</v>
          </cell>
          <cell r="EG1137">
            <v>0</v>
          </cell>
        </row>
        <row r="1138">
          <cell r="B1138">
            <v>5003539</v>
          </cell>
          <cell r="EE1138">
            <v>490031611.55399996</v>
          </cell>
          <cell r="EF1138">
            <v>0</v>
          </cell>
          <cell r="EG1138">
            <v>490031611.55399996</v>
          </cell>
        </row>
        <row r="1139">
          <cell r="B1139">
            <v>6290906</v>
          </cell>
          <cell r="EE1139">
            <v>16495725.560000001</v>
          </cell>
          <cell r="EF1139">
            <v>12945568</v>
          </cell>
          <cell r="EG1139">
            <v>3550157.5600000005</v>
          </cell>
        </row>
        <row r="1140">
          <cell r="B1140">
            <v>6728731</v>
          </cell>
          <cell r="EE1140">
            <v>3252200</v>
          </cell>
          <cell r="EF1140">
            <v>0</v>
          </cell>
          <cell r="EG1140">
            <v>3252200</v>
          </cell>
        </row>
        <row r="1141">
          <cell r="B1141">
            <v>2762706</v>
          </cell>
          <cell r="EE1141">
            <v>0</v>
          </cell>
          <cell r="EF1141">
            <v>0</v>
          </cell>
          <cell r="EG1141">
            <v>0</v>
          </cell>
        </row>
        <row r="1142">
          <cell r="B1142">
            <v>3067394</v>
          </cell>
          <cell r="EE1142">
            <v>4440710</v>
          </cell>
          <cell r="EF1142">
            <v>0</v>
          </cell>
          <cell r="EG1142">
            <v>4440710</v>
          </cell>
        </row>
        <row r="1143">
          <cell r="B1143">
            <v>5196213</v>
          </cell>
          <cell r="EE1143">
            <v>19095891.900000002</v>
          </cell>
          <cell r="EF1143">
            <v>0</v>
          </cell>
          <cell r="EG1143">
            <v>19095891.900000002</v>
          </cell>
        </row>
        <row r="1144">
          <cell r="B1144">
            <v>5198003</v>
          </cell>
          <cell r="EE1144">
            <v>0</v>
          </cell>
          <cell r="EF1144">
            <v>0</v>
          </cell>
          <cell r="EG1144">
            <v>0</v>
          </cell>
        </row>
        <row r="1145">
          <cell r="B1145">
            <v>5196175</v>
          </cell>
          <cell r="EE1145">
            <v>2512051.6</v>
          </cell>
          <cell r="EF1145">
            <v>0</v>
          </cell>
          <cell r="EG1145">
            <v>2512051.6</v>
          </cell>
        </row>
        <row r="1146">
          <cell r="B1146">
            <v>5454468</v>
          </cell>
          <cell r="EE1146">
            <v>0</v>
          </cell>
          <cell r="EF1146">
            <v>0</v>
          </cell>
          <cell r="EG1146">
            <v>0</v>
          </cell>
        </row>
        <row r="1147">
          <cell r="B1147">
            <v>5442893</v>
          </cell>
          <cell r="EE1147">
            <v>418000</v>
          </cell>
          <cell r="EF1147">
            <v>883575</v>
          </cell>
          <cell r="EG1147">
            <v>-465575</v>
          </cell>
        </row>
        <row r="1148">
          <cell r="B1148">
            <v>5609143</v>
          </cell>
          <cell r="EE1148">
            <v>0</v>
          </cell>
          <cell r="EF1148">
            <v>3389935</v>
          </cell>
          <cell r="EG1148">
            <v>-3389935</v>
          </cell>
        </row>
        <row r="1149">
          <cell r="B1149">
            <v>5566738</v>
          </cell>
          <cell r="EE1149">
            <v>3920028</v>
          </cell>
          <cell r="EF1149">
            <v>0</v>
          </cell>
          <cell r="EG1149">
            <v>3920028</v>
          </cell>
        </row>
        <row r="1150">
          <cell r="B1150">
            <v>5952409</v>
          </cell>
          <cell r="EE1150">
            <v>36184475.340000004</v>
          </cell>
          <cell r="EF1150">
            <v>0</v>
          </cell>
          <cell r="EG1150">
            <v>36184475.340000004</v>
          </cell>
        </row>
        <row r="1151">
          <cell r="B1151">
            <v>5966302</v>
          </cell>
          <cell r="EE1151">
            <v>7071483.7799999993</v>
          </cell>
          <cell r="EF1151">
            <v>14516738</v>
          </cell>
          <cell r="EG1151">
            <v>-7445254.2200000007</v>
          </cell>
        </row>
        <row r="1152">
          <cell r="B1152">
            <v>6354785</v>
          </cell>
          <cell r="EE1152">
            <v>60000000</v>
          </cell>
          <cell r="EF1152">
            <v>0</v>
          </cell>
          <cell r="EG1152">
            <v>60000000</v>
          </cell>
        </row>
        <row r="1153">
          <cell r="B1153">
            <v>6922031</v>
          </cell>
          <cell r="EE1153">
            <v>0</v>
          </cell>
          <cell r="EF1153">
            <v>0</v>
          </cell>
          <cell r="EG1153">
            <v>0</v>
          </cell>
        </row>
        <row r="1154">
          <cell r="B1154">
            <v>5100127</v>
          </cell>
          <cell r="EE1154">
            <v>0</v>
          </cell>
          <cell r="EF1154">
            <v>0</v>
          </cell>
          <cell r="EG1154">
            <v>0</v>
          </cell>
        </row>
        <row r="1155">
          <cell r="B1155">
            <v>5235251</v>
          </cell>
          <cell r="EE1155">
            <v>3439800</v>
          </cell>
          <cell r="EF1155">
            <v>1458000</v>
          </cell>
          <cell r="EG1155">
            <v>1981800</v>
          </cell>
        </row>
        <row r="1156">
          <cell r="B1156">
            <v>5056853</v>
          </cell>
          <cell r="EE1156">
            <v>0</v>
          </cell>
          <cell r="EF1156">
            <v>0</v>
          </cell>
          <cell r="EG1156">
            <v>0</v>
          </cell>
        </row>
        <row r="1157">
          <cell r="B1157">
            <v>5194423</v>
          </cell>
          <cell r="EE1157">
            <v>17246633</v>
          </cell>
          <cell r="EF1157">
            <v>58396855</v>
          </cell>
          <cell r="EG1157">
            <v>-41150222</v>
          </cell>
        </row>
        <row r="1158">
          <cell r="B1158">
            <v>5631521</v>
          </cell>
          <cell r="EE1158">
            <v>0</v>
          </cell>
          <cell r="EF1158">
            <v>0</v>
          </cell>
          <cell r="EG1158">
            <v>0</v>
          </cell>
        </row>
        <row r="1159">
          <cell r="B1159">
            <v>5076307</v>
          </cell>
          <cell r="EE1159">
            <v>17358768.619999997</v>
          </cell>
          <cell r="EF1159">
            <v>5053806</v>
          </cell>
          <cell r="EG1159">
            <v>12304962.619999999</v>
          </cell>
        </row>
        <row r="1160">
          <cell r="B1160">
            <v>5229049</v>
          </cell>
          <cell r="EE1160">
            <v>55332231.549999997</v>
          </cell>
          <cell r="EF1160">
            <v>0</v>
          </cell>
          <cell r="EG1160">
            <v>55332231.549999997</v>
          </cell>
        </row>
        <row r="1161">
          <cell r="B1161">
            <v>2036347</v>
          </cell>
          <cell r="EE1161">
            <v>0</v>
          </cell>
          <cell r="EF1161">
            <v>3815500</v>
          </cell>
          <cell r="EG1161">
            <v>-3815500</v>
          </cell>
        </row>
        <row r="1162">
          <cell r="B1162">
            <v>4202384</v>
          </cell>
          <cell r="EE1162">
            <v>0</v>
          </cell>
          <cell r="EF1162">
            <v>0</v>
          </cell>
          <cell r="EG1162">
            <v>0</v>
          </cell>
        </row>
        <row r="1163">
          <cell r="B1163">
            <v>4001621</v>
          </cell>
          <cell r="EE1163">
            <v>102534903.27</v>
          </cell>
          <cell r="EF1163">
            <v>59553000</v>
          </cell>
          <cell r="EG1163">
            <v>42981903.269999996</v>
          </cell>
        </row>
        <row r="1164">
          <cell r="B1164">
            <v>5722667</v>
          </cell>
          <cell r="EE1164">
            <v>0</v>
          </cell>
          <cell r="EF1164">
            <v>3047600</v>
          </cell>
          <cell r="EG1164">
            <v>-3047600</v>
          </cell>
        </row>
        <row r="1165">
          <cell r="B1165">
            <v>6169309</v>
          </cell>
          <cell r="EE1165">
            <v>24712725</v>
          </cell>
          <cell r="EF1165">
            <v>17042750</v>
          </cell>
          <cell r="EG1165">
            <v>7669975</v>
          </cell>
        </row>
        <row r="1166">
          <cell r="B1166">
            <v>2775093</v>
          </cell>
          <cell r="EE1166">
            <v>171679.1</v>
          </cell>
          <cell r="EF1166">
            <v>0</v>
          </cell>
          <cell r="EG1166">
            <v>171679.1</v>
          </cell>
        </row>
        <row r="1167">
          <cell r="B1167">
            <v>4369548</v>
          </cell>
          <cell r="EE1167">
            <v>0</v>
          </cell>
          <cell r="EF1167">
            <v>0</v>
          </cell>
          <cell r="EG1167">
            <v>0</v>
          </cell>
        </row>
        <row r="1168">
          <cell r="B1168">
            <v>2775476</v>
          </cell>
          <cell r="EE1168">
            <v>0</v>
          </cell>
          <cell r="EF1168">
            <v>0</v>
          </cell>
          <cell r="EG1168">
            <v>0</v>
          </cell>
        </row>
        <row r="1169">
          <cell r="B1169">
            <v>5180252</v>
          </cell>
          <cell r="EE1169">
            <v>6455607.9500000002</v>
          </cell>
          <cell r="EF1169">
            <v>0</v>
          </cell>
          <cell r="EG1169">
            <v>6455607.9500000002</v>
          </cell>
        </row>
        <row r="1170">
          <cell r="B1170">
            <v>2086999</v>
          </cell>
          <cell r="EE1170">
            <v>13577.54</v>
          </cell>
          <cell r="EF1170">
            <v>0</v>
          </cell>
          <cell r="EG1170">
            <v>13577.54</v>
          </cell>
        </row>
        <row r="1171">
          <cell r="B1171">
            <v>4244796</v>
          </cell>
          <cell r="EE1171">
            <v>0</v>
          </cell>
          <cell r="EF1171">
            <v>0</v>
          </cell>
          <cell r="EG1171">
            <v>0</v>
          </cell>
        </row>
        <row r="1172">
          <cell r="B1172">
            <v>5017629</v>
          </cell>
          <cell r="EE1172">
            <v>311389520.63999999</v>
          </cell>
          <cell r="EF1172">
            <v>0</v>
          </cell>
          <cell r="EG1172">
            <v>311389520.63999999</v>
          </cell>
        </row>
        <row r="1173">
          <cell r="B1173">
            <v>5960541</v>
          </cell>
          <cell r="EE1173">
            <v>0</v>
          </cell>
          <cell r="EF1173">
            <v>0</v>
          </cell>
          <cell r="EG1173">
            <v>0</v>
          </cell>
        </row>
        <row r="1174">
          <cell r="B1174">
            <v>5489601</v>
          </cell>
          <cell r="EE1174">
            <v>44340022.260000005</v>
          </cell>
          <cell r="EF1174">
            <v>55083776</v>
          </cell>
          <cell r="EG1174">
            <v>-10743753.739999998</v>
          </cell>
        </row>
        <row r="1175">
          <cell r="B1175">
            <v>5450861</v>
          </cell>
          <cell r="EE1175">
            <v>1158632.72</v>
          </cell>
          <cell r="EF1175">
            <v>113838037</v>
          </cell>
          <cell r="EG1175">
            <v>-112679404.28</v>
          </cell>
        </row>
        <row r="1176">
          <cell r="B1176">
            <v>2337231</v>
          </cell>
          <cell r="EE1176">
            <v>366213539.95589507</v>
          </cell>
          <cell r="EF1176">
            <v>105946118</v>
          </cell>
          <cell r="EG1176">
            <v>260267421.95589501</v>
          </cell>
        </row>
        <row r="1177">
          <cell r="B1177">
            <v>5255791</v>
          </cell>
          <cell r="EE1177">
            <v>41720278.100000001</v>
          </cell>
          <cell r="EF1177">
            <v>82816357</v>
          </cell>
          <cell r="EG1177">
            <v>-41096078.899999999</v>
          </cell>
        </row>
        <row r="1178">
          <cell r="B1178">
            <v>3197549</v>
          </cell>
          <cell r="EE1178">
            <v>0</v>
          </cell>
          <cell r="EF1178">
            <v>0</v>
          </cell>
          <cell r="EG1178">
            <v>0</v>
          </cell>
        </row>
        <row r="1179">
          <cell r="B1179">
            <v>6089194</v>
          </cell>
          <cell r="EE1179">
            <v>0</v>
          </cell>
          <cell r="EF1179">
            <v>0</v>
          </cell>
          <cell r="EG1179">
            <v>0</v>
          </cell>
        </row>
        <row r="1180">
          <cell r="B1180">
            <v>6287727</v>
          </cell>
          <cell r="EE1180">
            <v>2410437149.0108123</v>
          </cell>
          <cell r="EF1180">
            <v>1219401573</v>
          </cell>
          <cell r="EG1180">
            <v>1191035576.010812</v>
          </cell>
        </row>
        <row r="1181">
          <cell r="B1181">
            <v>2109638</v>
          </cell>
          <cell r="EE1181">
            <v>16129248.600000001</v>
          </cell>
          <cell r="EF1181">
            <v>0</v>
          </cell>
          <cell r="EG1181">
            <v>16129248.600000001</v>
          </cell>
        </row>
        <row r="1182">
          <cell r="B1182">
            <v>5079322</v>
          </cell>
          <cell r="EE1182">
            <v>314113.59999999998</v>
          </cell>
          <cell r="EF1182">
            <v>0</v>
          </cell>
          <cell r="EG1182">
            <v>314113.59999999998</v>
          </cell>
        </row>
        <row r="1183">
          <cell r="B1183">
            <v>5099005</v>
          </cell>
          <cell r="EE1183">
            <v>296457983.97000003</v>
          </cell>
          <cell r="EF1183">
            <v>0</v>
          </cell>
          <cell r="EG1183">
            <v>296457983.97000003</v>
          </cell>
        </row>
        <row r="1184">
          <cell r="B1184">
            <v>6392881</v>
          </cell>
          <cell r="EE1184">
            <v>0</v>
          </cell>
          <cell r="EF1184">
            <v>0</v>
          </cell>
          <cell r="EG1184">
            <v>0</v>
          </cell>
        </row>
        <row r="1185">
          <cell r="B1185">
            <v>2705133</v>
          </cell>
          <cell r="EE1185">
            <v>35019096.25</v>
          </cell>
          <cell r="EF1185">
            <v>3271294710</v>
          </cell>
          <cell r="EG1185">
            <v>-3236275613.75</v>
          </cell>
        </row>
        <row r="1186">
          <cell r="B1186">
            <v>4405161</v>
          </cell>
          <cell r="EE1186">
            <v>0</v>
          </cell>
          <cell r="EF1186">
            <v>0</v>
          </cell>
          <cell r="EG1186">
            <v>0</v>
          </cell>
        </row>
        <row r="1187">
          <cell r="B1187">
            <v>5287081</v>
          </cell>
          <cell r="EE1187">
            <v>0</v>
          </cell>
          <cell r="EF1187">
            <v>0</v>
          </cell>
          <cell r="EG1187">
            <v>0</v>
          </cell>
        </row>
        <row r="1188">
          <cell r="B1188">
            <v>6054277</v>
          </cell>
          <cell r="EE1188">
            <v>0</v>
          </cell>
          <cell r="EF1188">
            <v>0</v>
          </cell>
          <cell r="EG1188">
            <v>0</v>
          </cell>
        </row>
        <row r="1189">
          <cell r="B1189">
            <v>6358284</v>
          </cell>
          <cell r="EE1189">
            <v>0</v>
          </cell>
          <cell r="EF1189">
            <v>0</v>
          </cell>
          <cell r="EG1189">
            <v>0</v>
          </cell>
        </row>
        <row r="1190">
          <cell r="B1190">
            <v>5912245</v>
          </cell>
          <cell r="EE1190">
            <v>118783665</v>
          </cell>
          <cell r="EF1190">
            <v>0</v>
          </cell>
          <cell r="EG1190">
            <v>118783665</v>
          </cell>
        </row>
        <row r="1191">
          <cell r="B1191">
            <v>3744035</v>
          </cell>
          <cell r="EE1191">
            <v>24435781.829999998</v>
          </cell>
          <cell r="EF1191">
            <v>0</v>
          </cell>
          <cell r="EG1191">
            <v>24435781.829999998</v>
          </cell>
        </row>
        <row r="1192">
          <cell r="B1192">
            <v>6993311</v>
          </cell>
          <cell r="EE1192">
            <v>21644186.890000001</v>
          </cell>
          <cell r="EF1192">
            <v>0</v>
          </cell>
          <cell r="EG1192">
            <v>21644186.890000001</v>
          </cell>
        </row>
        <row r="1193">
          <cell r="B1193">
            <v>5158958</v>
          </cell>
          <cell r="EE1193">
            <v>0</v>
          </cell>
          <cell r="EF1193">
            <v>0</v>
          </cell>
          <cell r="EG1193">
            <v>0</v>
          </cell>
        </row>
        <row r="1194">
          <cell r="B1194">
            <v>2589184</v>
          </cell>
          <cell r="EE1194">
            <v>0</v>
          </cell>
          <cell r="EF1194">
            <v>8608041</v>
          </cell>
          <cell r="EG1194">
            <v>-8608041</v>
          </cell>
        </row>
        <row r="1195">
          <cell r="B1195">
            <v>5152054</v>
          </cell>
          <cell r="EE1195">
            <v>9577606.4400000013</v>
          </cell>
          <cell r="EF1195">
            <v>6993000</v>
          </cell>
          <cell r="EG1195">
            <v>2584606.4400000004</v>
          </cell>
        </row>
        <row r="1196">
          <cell r="B1196">
            <v>5232287</v>
          </cell>
          <cell r="EE1196">
            <v>0</v>
          </cell>
          <cell r="EF1196">
            <v>2320690</v>
          </cell>
          <cell r="EG1196">
            <v>-2320690</v>
          </cell>
        </row>
        <row r="1197">
          <cell r="B1197">
            <v>2565919</v>
          </cell>
          <cell r="EE1197">
            <v>13724498.350000001</v>
          </cell>
          <cell r="EF1197">
            <v>0</v>
          </cell>
          <cell r="EG1197">
            <v>13724498.350000001</v>
          </cell>
        </row>
        <row r="1198">
          <cell r="B1198">
            <v>2030861</v>
          </cell>
          <cell r="EE1198">
            <v>63197344.549999997</v>
          </cell>
          <cell r="EF1198">
            <v>0</v>
          </cell>
          <cell r="EG1198">
            <v>63197344.549999997</v>
          </cell>
        </row>
        <row r="1199">
          <cell r="B1199">
            <v>5147646</v>
          </cell>
          <cell r="EE1199">
            <v>0</v>
          </cell>
          <cell r="EF1199">
            <v>0</v>
          </cell>
          <cell r="EG1199">
            <v>0</v>
          </cell>
        </row>
        <row r="1200">
          <cell r="B1200">
            <v>2701065</v>
          </cell>
          <cell r="EE1200">
            <v>100000</v>
          </cell>
          <cell r="EF1200">
            <v>0</v>
          </cell>
          <cell r="EG1200">
            <v>100000</v>
          </cell>
        </row>
        <row r="1201">
          <cell r="B1201">
            <v>5938031</v>
          </cell>
          <cell r="EE1201">
            <v>0</v>
          </cell>
          <cell r="EF1201">
            <v>0</v>
          </cell>
          <cell r="EG1201">
            <v>0</v>
          </cell>
        </row>
        <row r="1202">
          <cell r="B1202">
            <v>3435474</v>
          </cell>
          <cell r="EE1202">
            <v>796318740.05166602</v>
          </cell>
          <cell r="EF1202">
            <v>236556172</v>
          </cell>
          <cell r="EG1202">
            <v>559762568.05166602</v>
          </cell>
        </row>
        <row r="1203">
          <cell r="B1203">
            <v>5882583</v>
          </cell>
          <cell r="EE1203">
            <v>0</v>
          </cell>
          <cell r="EF1203">
            <v>0</v>
          </cell>
          <cell r="EG1203">
            <v>0</v>
          </cell>
        </row>
        <row r="1204">
          <cell r="B1204">
            <v>2101807</v>
          </cell>
          <cell r="EE1204">
            <v>283590382.61000001</v>
          </cell>
          <cell r="EF1204">
            <v>47300000</v>
          </cell>
          <cell r="EG1204">
            <v>236290382.61000001</v>
          </cell>
        </row>
        <row r="1205">
          <cell r="B1205">
            <v>2031256</v>
          </cell>
          <cell r="EE1205">
            <v>133946806.89</v>
          </cell>
          <cell r="EF1205">
            <v>0</v>
          </cell>
          <cell r="EG1205">
            <v>133946806.89</v>
          </cell>
        </row>
        <row r="1206">
          <cell r="B1206">
            <v>2659603</v>
          </cell>
          <cell r="EE1206">
            <v>11017600155.734999</v>
          </cell>
          <cell r="EF1206">
            <v>0</v>
          </cell>
          <cell r="EG1206">
            <v>11017600155.734999</v>
          </cell>
        </row>
        <row r="1207">
          <cell r="B1207">
            <v>5874823</v>
          </cell>
          <cell r="EE1207">
            <v>7637500</v>
          </cell>
          <cell r="EF1207">
            <v>21435355</v>
          </cell>
          <cell r="EG1207">
            <v>-13797855</v>
          </cell>
        </row>
        <row r="1208">
          <cell r="B1208">
            <v>2678187</v>
          </cell>
          <cell r="EE1208">
            <v>2656284840.059412</v>
          </cell>
          <cell r="EF1208">
            <v>4499312240</v>
          </cell>
          <cell r="EG1208">
            <v>-1843027399.9405885</v>
          </cell>
        </row>
        <row r="1209">
          <cell r="B1209">
            <v>6637833</v>
          </cell>
          <cell r="EE1209">
            <v>0</v>
          </cell>
          <cell r="EF1209">
            <v>10126061</v>
          </cell>
          <cell r="EG1209">
            <v>-10126061</v>
          </cell>
        </row>
        <row r="1210">
          <cell r="B1210">
            <v>2657457</v>
          </cell>
          <cell r="EE1210">
            <v>734901887485.53772</v>
          </cell>
          <cell r="EF1210">
            <v>864994881697</v>
          </cell>
          <cell r="EG1210">
            <v>-130092994211.4623</v>
          </cell>
        </row>
        <row r="1211">
          <cell r="B1211">
            <v>5708362</v>
          </cell>
          <cell r="EE1211">
            <v>602.48</v>
          </cell>
          <cell r="EF1211">
            <v>0</v>
          </cell>
          <cell r="EG1211">
            <v>602.48</v>
          </cell>
        </row>
        <row r="1212">
          <cell r="B1212">
            <v>3563863</v>
          </cell>
          <cell r="EE1212">
            <v>33716574.219999999</v>
          </cell>
          <cell r="EF1212">
            <v>0</v>
          </cell>
          <cell r="EG1212">
            <v>33716574.219999999</v>
          </cell>
        </row>
        <row r="1213">
          <cell r="B1213">
            <v>6701531</v>
          </cell>
          <cell r="EE1213">
            <v>4091400</v>
          </cell>
          <cell r="EF1213">
            <v>0</v>
          </cell>
          <cell r="EG1213">
            <v>4091400</v>
          </cell>
        </row>
        <row r="1214">
          <cell r="B1214">
            <v>5824699</v>
          </cell>
          <cell r="EE1214">
            <v>115660274.69</v>
          </cell>
          <cell r="EF1214">
            <v>128433418</v>
          </cell>
          <cell r="EG1214">
            <v>-12773143.310000001</v>
          </cell>
        </row>
        <row r="1215">
          <cell r="B1215">
            <v>5590051</v>
          </cell>
          <cell r="EE1215">
            <v>32700000</v>
          </cell>
          <cell r="EF1215">
            <v>0</v>
          </cell>
          <cell r="EG1215">
            <v>32700000</v>
          </cell>
        </row>
        <row r="1216">
          <cell r="B1216">
            <v>6496148</v>
          </cell>
          <cell r="EE1216">
            <v>82650000</v>
          </cell>
          <cell r="EF1216">
            <v>2459816</v>
          </cell>
          <cell r="EG1216">
            <v>80190184</v>
          </cell>
        </row>
        <row r="1217">
          <cell r="B1217">
            <v>5515882</v>
          </cell>
          <cell r="EE1217">
            <v>827173070.59000003</v>
          </cell>
          <cell r="EF1217">
            <v>978470655</v>
          </cell>
          <cell r="EG1217">
            <v>-151297584.40999997</v>
          </cell>
        </row>
        <row r="1218">
          <cell r="B1218">
            <v>6403298</v>
          </cell>
          <cell r="EE1218">
            <v>0</v>
          </cell>
          <cell r="EF1218">
            <v>0</v>
          </cell>
          <cell r="EG1218">
            <v>0</v>
          </cell>
        </row>
        <row r="1219">
          <cell r="B1219">
            <v>5957214</v>
          </cell>
          <cell r="EE1219">
            <v>9787400</v>
          </cell>
          <cell r="EF1219">
            <v>0</v>
          </cell>
          <cell r="EG1219">
            <v>9787400</v>
          </cell>
        </row>
        <row r="1220">
          <cell r="B1220">
            <v>6408923</v>
          </cell>
          <cell r="EE1220">
            <v>3255000</v>
          </cell>
          <cell r="EF1220">
            <v>0</v>
          </cell>
          <cell r="EG1220">
            <v>3255000</v>
          </cell>
        </row>
        <row r="1221">
          <cell r="B1221">
            <v>2893819</v>
          </cell>
          <cell r="EE1221">
            <v>0</v>
          </cell>
          <cell r="EF1221">
            <v>97019145</v>
          </cell>
          <cell r="EG1221">
            <v>-97019145</v>
          </cell>
        </row>
        <row r="1222">
          <cell r="B1222">
            <v>5074223</v>
          </cell>
          <cell r="EE1222">
            <v>0</v>
          </cell>
          <cell r="EF1222">
            <v>0</v>
          </cell>
          <cell r="EG1222">
            <v>0</v>
          </cell>
        </row>
        <row r="1223">
          <cell r="B1223">
            <v>3615243</v>
          </cell>
          <cell r="EE1223">
            <v>1880074484.96</v>
          </cell>
          <cell r="EF1223">
            <v>63100000</v>
          </cell>
          <cell r="EG1223">
            <v>1816974484.96</v>
          </cell>
        </row>
        <row r="1224">
          <cell r="B1224">
            <v>5882346</v>
          </cell>
          <cell r="EE1224">
            <v>4408359.2299999995</v>
          </cell>
          <cell r="EF1224">
            <v>5683149</v>
          </cell>
          <cell r="EG1224">
            <v>-1274789.7700000005</v>
          </cell>
        </row>
        <row r="1225">
          <cell r="B1225">
            <v>2681404</v>
          </cell>
          <cell r="EE1225">
            <v>182102229.57000002</v>
          </cell>
          <cell r="EF1225">
            <v>140721493</v>
          </cell>
          <cell r="EG1225">
            <v>41380736.569999993</v>
          </cell>
        </row>
        <row r="1226">
          <cell r="B1226">
            <v>5644828</v>
          </cell>
          <cell r="EE1226">
            <v>0</v>
          </cell>
          <cell r="EF1226">
            <v>0</v>
          </cell>
          <cell r="EG1226">
            <v>0</v>
          </cell>
        </row>
        <row r="1227">
          <cell r="B1227">
            <v>3623955</v>
          </cell>
          <cell r="EE1227">
            <v>1138221363.3963311</v>
          </cell>
          <cell r="EF1227">
            <v>793697995</v>
          </cell>
          <cell r="EG1227">
            <v>344523368.39633101</v>
          </cell>
        </row>
        <row r="1228">
          <cell r="B1228">
            <v>6003737</v>
          </cell>
          <cell r="EE1228">
            <v>45671732.770000003</v>
          </cell>
          <cell r="EF1228">
            <v>0</v>
          </cell>
          <cell r="EG1228">
            <v>45671732.770000003</v>
          </cell>
        </row>
        <row r="1229">
          <cell r="B1229">
            <v>2047764</v>
          </cell>
          <cell r="EE1229">
            <v>0</v>
          </cell>
          <cell r="EF1229">
            <v>0</v>
          </cell>
          <cell r="EG1229">
            <v>0</v>
          </cell>
        </row>
        <row r="1230">
          <cell r="B1230">
            <v>4193245</v>
          </cell>
          <cell r="EE1230">
            <v>0</v>
          </cell>
          <cell r="EF1230">
            <v>0</v>
          </cell>
          <cell r="EG1230">
            <v>0</v>
          </cell>
        </row>
        <row r="1231">
          <cell r="B1231">
            <v>6023738</v>
          </cell>
          <cell r="EE1231">
            <v>0</v>
          </cell>
          <cell r="EF1231">
            <v>0</v>
          </cell>
          <cell r="EG1231">
            <v>0</v>
          </cell>
        </row>
        <row r="1232">
          <cell r="B1232">
            <v>5594529</v>
          </cell>
          <cell r="EE1232">
            <v>0</v>
          </cell>
          <cell r="EF1232">
            <v>0</v>
          </cell>
          <cell r="EG1232">
            <v>0</v>
          </cell>
        </row>
        <row r="1233">
          <cell r="B1233">
            <v>5632358</v>
          </cell>
          <cell r="EE1233">
            <v>0</v>
          </cell>
          <cell r="EF1233">
            <v>0</v>
          </cell>
          <cell r="EG1233">
            <v>0</v>
          </cell>
        </row>
        <row r="1234">
          <cell r="B1234">
            <v>5190118</v>
          </cell>
          <cell r="EE1234">
            <v>0</v>
          </cell>
          <cell r="EF1234">
            <v>0</v>
          </cell>
          <cell r="EG1234">
            <v>0</v>
          </cell>
        </row>
        <row r="1235">
          <cell r="B1235">
            <v>5075912</v>
          </cell>
          <cell r="EE1235">
            <v>0</v>
          </cell>
          <cell r="EF1235">
            <v>12336890</v>
          </cell>
          <cell r="EG1235">
            <v>-12336890</v>
          </cell>
        </row>
        <row r="1236">
          <cell r="B1236">
            <v>5639034</v>
          </cell>
          <cell r="EE1236">
            <v>0</v>
          </cell>
          <cell r="EF1236">
            <v>0</v>
          </cell>
          <cell r="EG1236">
            <v>0</v>
          </cell>
        </row>
        <row r="1237">
          <cell r="B1237">
            <v>5256054</v>
          </cell>
          <cell r="EE1237">
            <v>60000000</v>
          </cell>
          <cell r="EF1237">
            <v>1033500</v>
          </cell>
          <cell r="EG1237">
            <v>58966500</v>
          </cell>
        </row>
        <row r="1238">
          <cell r="B1238">
            <v>2617749</v>
          </cell>
          <cell r="EE1238">
            <v>34002080</v>
          </cell>
          <cell r="EF1238">
            <v>0</v>
          </cell>
          <cell r="EG1238">
            <v>34002080</v>
          </cell>
        </row>
        <row r="1239">
          <cell r="B1239">
            <v>6518036</v>
          </cell>
          <cell r="EE1239">
            <v>0</v>
          </cell>
          <cell r="EF1239">
            <v>7487873</v>
          </cell>
          <cell r="EG1239">
            <v>-7487873</v>
          </cell>
        </row>
        <row r="1240">
          <cell r="B1240">
            <v>4286596</v>
          </cell>
          <cell r="EE1240">
            <v>0</v>
          </cell>
          <cell r="EF1240">
            <v>0</v>
          </cell>
          <cell r="EG1240">
            <v>0</v>
          </cell>
        </row>
        <row r="1241">
          <cell r="B1241">
            <v>5654769</v>
          </cell>
          <cell r="EE1241">
            <v>0</v>
          </cell>
          <cell r="EF1241">
            <v>0</v>
          </cell>
          <cell r="EG1241">
            <v>0</v>
          </cell>
        </row>
        <row r="1242">
          <cell r="B1242">
            <v>5482992</v>
          </cell>
          <cell r="EE1242">
            <v>0</v>
          </cell>
          <cell r="EF1242">
            <v>0</v>
          </cell>
          <cell r="EG1242">
            <v>0</v>
          </cell>
        </row>
        <row r="1243">
          <cell r="B1243">
            <v>5199077</v>
          </cell>
          <cell r="EE1243">
            <v>169319243349.86041</v>
          </cell>
          <cell r="EF1243">
            <v>52904040878</v>
          </cell>
          <cell r="EG1243">
            <v>116415202471.86043</v>
          </cell>
        </row>
        <row r="1244">
          <cell r="B1244">
            <v>6019951</v>
          </cell>
          <cell r="EE1244">
            <v>0</v>
          </cell>
          <cell r="EF1244">
            <v>0</v>
          </cell>
          <cell r="EG1244">
            <v>0</v>
          </cell>
        </row>
        <row r="1245">
          <cell r="B1245">
            <v>6617026</v>
          </cell>
          <cell r="EE1245">
            <v>1203732.1299999999</v>
          </cell>
          <cell r="EF1245">
            <v>0</v>
          </cell>
          <cell r="EG1245">
            <v>1203732.1299999999</v>
          </cell>
        </row>
        <row r="1246">
          <cell r="B1246">
            <v>5198429</v>
          </cell>
          <cell r="EE1246">
            <v>10000000</v>
          </cell>
          <cell r="EF1246">
            <v>43500653</v>
          </cell>
          <cell r="EG1246">
            <v>-33500653</v>
          </cell>
        </row>
        <row r="1247">
          <cell r="B1247">
            <v>5459362</v>
          </cell>
          <cell r="EE1247">
            <v>1995480.2000000002</v>
          </cell>
          <cell r="EF1247">
            <v>22551891</v>
          </cell>
          <cell r="EG1247">
            <v>-20556410.800000001</v>
          </cell>
        </row>
        <row r="1248">
          <cell r="B1248">
            <v>5495229</v>
          </cell>
          <cell r="EE1248">
            <v>11769531.34</v>
          </cell>
          <cell r="EF1248">
            <v>217811800</v>
          </cell>
          <cell r="EG1248">
            <v>-206042268.66</v>
          </cell>
        </row>
        <row r="1249">
          <cell r="B1249">
            <v>5961807</v>
          </cell>
          <cell r="EE1249">
            <v>0</v>
          </cell>
          <cell r="EF1249">
            <v>0</v>
          </cell>
          <cell r="EG1249">
            <v>0</v>
          </cell>
        </row>
        <row r="1250">
          <cell r="B1250">
            <v>5203643</v>
          </cell>
          <cell r="EE1250">
            <v>2000</v>
          </cell>
          <cell r="EF1250">
            <v>0</v>
          </cell>
          <cell r="EG1250">
            <v>2000</v>
          </cell>
        </row>
        <row r="1251">
          <cell r="B1251">
            <v>3072088</v>
          </cell>
          <cell r="EE1251">
            <v>61972</v>
          </cell>
          <cell r="EF1251">
            <v>0</v>
          </cell>
          <cell r="EG1251">
            <v>61972</v>
          </cell>
        </row>
        <row r="1252">
          <cell r="B1252">
            <v>2843129</v>
          </cell>
          <cell r="EE1252">
            <v>554609514.40999997</v>
          </cell>
          <cell r="EF1252">
            <v>208443372</v>
          </cell>
          <cell r="EG1252">
            <v>346166142.41000003</v>
          </cell>
        </row>
        <row r="1253">
          <cell r="B1253">
            <v>5149703</v>
          </cell>
          <cell r="EE1253">
            <v>0</v>
          </cell>
          <cell r="EF1253">
            <v>0</v>
          </cell>
          <cell r="EG1253">
            <v>0</v>
          </cell>
        </row>
        <row r="1254">
          <cell r="B1254">
            <v>5364116</v>
          </cell>
          <cell r="EE1254">
            <v>210341464.76000002</v>
          </cell>
          <cell r="EF1254">
            <v>0</v>
          </cell>
          <cell r="EG1254">
            <v>210341464.76000002</v>
          </cell>
        </row>
        <row r="1255">
          <cell r="B1255">
            <v>2075385</v>
          </cell>
          <cell r="EE1255">
            <v>7493242154.960001</v>
          </cell>
          <cell r="EF1255">
            <v>0</v>
          </cell>
          <cell r="EG1255">
            <v>7493242154.960001</v>
          </cell>
        </row>
        <row r="1256">
          <cell r="B1256">
            <v>5155827</v>
          </cell>
          <cell r="EE1256">
            <v>129845464.086501</v>
          </cell>
          <cell r="EF1256">
            <v>0</v>
          </cell>
          <cell r="EG1256">
            <v>129845464.086501</v>
          </cell>
        </row>
        <row r="1257">
          <cell r="B1257">
            <v>2867095</v>
          </cell>
          <cell r="EE1257">
            <v>1968511864.1800003</v>
          </cell>
          <cell r="EF1257">
            <v>0</v>
          </cell>
          <cell r="EG1257">
            <v>1968511864.1800003</v>
          </cell>
        </row>
        <row r="1258">
          <cell r="B1258">
            <v>6774733</v>
          </cell>
          <cell r="EE1258">
            <v>0</v>
          </cell>
          <cell r="EF1258">
            <v>189681</v>
          </cell>
          <cell r="EG1258">
            <v>-189681</v>
          </cell>
        </row>
        <row r="1259">
          <cell r="B1259">
            <v>5295777</v>
          </cell>
          <cell r="EE1259">
            <v>0</v>
          </cell>
          <cell r="EF1259">
            <v>0</v>
          </cell>
          <cell r="EG1259">
            <v>0</v>
          </cell>
        </row>
        <row r="1260">
          <cell r="B1260">
            <v>5899508</v>
          </cell>
          <cell r="EE1260">
            <v>43230377.260000005</v>
          </cell>
          <cell r="EF1260">
            <v>0</v>
          </cell>
          <cell r="EG1260">
            <v>43230377.260000005</v>
          </cell>
        </row>
        <row r="1261">
          <cell r="B1261">
            <v>6835481</v>
          </cell>
          <cell r="EE1261">
            <v>2500</v>
          </cell>
          <cell r="EF1261">
            <v>500000</v>
          </cell>
          <cell r="EG1261">
            <v>-497500</v>
          </cell>
        </row>
        <row r="1262">
          <cell r="B1262">
            <v>5926629</v>
          </cell>
          <cell r="EE1262">
            <v>209437561.37</v>
          </cell>
          <cell r="EF1262">
            <v>32896875</v>
          </cell>
          <cell r="EG1262">
            <v>176540686.37</v>
          </cell>
        </row>
        <row r="1263">
          <cell r="B1263">
            <v>5929474</v>
          </cell>
          <cell r="EE1263">
            <v>8382800</v>
          </cell>
          <cell r="EF1263">
            <v>0</v>
          </cell>
          <cell r="EG1263">
            <v>8382800</v>
          </cell>
        </row>
        <row r="1264">
          <cell r="B1264">
            <v>5076285</v>
          </cell>
          <cell r="EE1264">
            <v>12534891494.187071</v>
          </cell>
          <cell r="EF1264">
            <v>6011038098</v>
          </cell>
          <cell r="EG1264">
            <v>6523853396.1870708</v>
          </cell>
        </row>
        <row r="1265">
          <cell r="B1265">
            <v>6667791</v>
          </cell>
          <cell r="EE1265">
            <v>0</v>
          </cell>
          <cell r="EF1265">
            <v>5544271</v>
          </cell>
          <cell r="EG1265">
            <v>-5544271</v>
          </cell>
        </row>
        <row r="1266">
          <cell r="B1266">
            <v>5640113</v>
          </cell>
          <cell r="EE1266">
            <v>0</v>
          </cell>
          <cell r="EF1266">
            <v>0</v>
          </cell>
          <cell r="EG1266">
            <v>0</v>
          </cell>
        </row>
        <row r="1267">
          <cell r="B1267">
            <v>2801019</v>
          </cell>
          <cell r="EE1267">
            <v>59475</v>
          </cell>
          <cell r="EF1267">
            <v>52385355</v>
          </cell>
          <cell r="EG1267">
            <v>-52325880</v>
          </cell>
        </row>
        <row r="1268">
          <cell r="B1268">
            <v>2878216</v>
          </cell>
          <cell r="EE1268">
            <v>0</v>
          </cell>
          <cell r="EF1268">
            <v>12096263</v>
          </cell>
          <cell r="EG1268">
            <v>-12096263</v>
          </cell>
        </row>
        <row r="1269">
          <cell r="B1269">
            <v>2825457</v>
          </cell>
          <cell r="EE1269">
            <v>0</v>
          </cell>
          <cell r="EF1269">
            <v>0</v>
          </cell>
          <cell r="EG1269">
            <v>0</v>
          </cell>
        </row>
        <row r="1270">
          <cell r="B1270">
            <v>5615631</v>
          </cell>
          <cell r="EE1270">
            <v>17961225.990000002</v>
          </cell>
          <cell r="EF1270">
            <v>544444452</v>
          </cell>
          <cell r="EG1270">
            <v>-526483226.00999999</v>
          </cell>
        </row>
        <row r="1271">
          <cell r="B1271">
            <v>5533864</v>
          </cell>
          <cell r="EE1271">
            <v>508200</v>
          </cell>
          <cell r="EF1271">
            <v>0</v>
          </cell>
          <cell r="EG1271">
            <v>508200</v>
          </cell>
        </row>
        <row r="1272">
          <cell r="B1272">
            <v>2767562</v>
          </cell>
          <cell r="EE1272">
            <v>6558223.5</v>
          </cell>
          <cell r="EF1272">
            <v>3970680</v>
          </cell>
          <cell r="EG1272">
            <v>2587543.5</v>
          </cell>
        </row>
        <row r="1273">
          <cell r="B1273">
            <v>5269512</v>
          </cell>
          <cell r="EE1273">
            <v>0</v>
          </cell>
          <cell r="EF1273">
            <v>636696</v>
          </cell>
          <cell r="EG1273">
            <v>-636696</v>
          </cell>
        </row>
        <row r="1274">
          <cell r="B1274">
            <v>5840716</v>
          </cell>
          <cell r="EE1274">
            <v>49353</v>
          </cell>
          <cell r="EF1274">
            <v>0</v>
          </cell>
          <cell r="EG1274">
            <v>49353</v>
          </cell>
        </row>
        <row r="1275">
          <cell r="B1275">
            <v>6247059</v>
          </cell>
          <cell r="EE1275">
            <v>20909983.68</v>
          </cell>
          <cell r="EF1275">
            <v>0</v>
          </cell>
          <cell r="EG1275">
            <v>20909983.68</v>
          </cell>
        </row>
        <row r="1276">
          <cell r="B1276">
            <v>5864259</v>
          </cell>
          <cell r="EE1276">
            <v>7000000</v>
          </cell>
          <cell r="EF1276">
            <v>209125</v>
          </cell>
          <cell r="EG1276">
            <v>6790875</v>
          </cell>
        </row>
        <row r="1277">
          <cell r="B1277">
            <v>5795761</v>
          </cell>
          <cell r="EE1277">
            <v>74203982.600567997</v>
          </cell>
          <cell r="EF1277">
            <v>0</v>
          </cell>
          <cell r="EG1277">
            <v>74203982.600567997</v>
          </cell>
        </row>
        <row r="1278">
          <cell r="B1278">
            <v>5508762</v>
          </cell>
          <cell r="EE1278">
            <v>0</v>
          </cell>
          <cell r="EF1278">
            <v>0</v>
          </cell>
          <cell r="EG1278">
            <v>0</v>
          </cell>
        </row>
        <row r="1279">
          <cell r="B1279">
            <v>5271126</v>
          </cell>
          <cell r="EE1279">
            <v>0</v>
          </cell>
          <cell r="EF1279">
            <v>0</v>
          </cell>
          <cell r="EG1279">
            <v>0</v>
          </cell>
        </row>
        <row r="1280">
          <cell r="B1280">
            <v>5116139</v>
          </cell>
          <cell r="EE1280">
            <v>0</v>
          </cell>
          <cell r="EF1280">
            <v>0</v>
          </cell>
          <cell r="EG1280">
            <v>0</v>
          </cell>
        </row>
        <row r="1281">
          <cell r="B1281">
            <v>6717128</v>
          </cell>
          <cell r="EE1281">
            <v>29954340.170000002</v>
          </cell>
          <cell r="EF1281">
            <v>37481518</v>
          </cell>
          <cell r="EG1281">
            <v>-7527177.8299999982</v>
          </cell>
        </row>
        <row r="1282">
          <cell r="B1282">
            <v>5239079</v>
          </cell>
          <cell r="EE1282">
            <v>275000</v>
          </cell>
          <cell r="EF1282">
            <v>0</v>
          </cell>
          <cell r="EG1282">
            <v>275000</v>
          </cell>
        </row>
        <row r="1283">
          <cell r="B1283">
            <v>6457266</v>
          </cell>
          <cell r="EE1283">
            <v>0</v>
          </cell>
          <cell r="EF1283">
            <v>1981251</v>
          </cell>
          <cell r="EG1283">
            <v>-1981251</v>
          </cell>
        </row>
        <row r="1284">
          <cell r="B1284">
            <v>5062306</v>
          </cell>
          <cell r="EE1284">
            <v>0</v>
          </cell>
          <cell r="EF1284">
            <v>0</v>
          </cell>
          <cell r="EG1284">
            <v>0</v>
          </cell>
        </row>
        <row r="1285">
          <cell r="B1285">
            <v>5054249</v>
          </cell>
          <cell r="EE1285">
            <v>100000000</v>
          </cell>
          <cell r="EF1285">
            <v>100000000</v>
          </cell>
          <cell r="EG1285">
            <v>0</v>
          </cell>
        </row>
        <row r="1286">
          <cell r="B1286">
            <v>5467578</v>
          </cell>
          <cell r="EE1286">
            <v>4104468</v>
          </cell>
          <cell r="EF1286">
            <v>0</v>
          </cell>
          <cell r="EG1286">
            <v>4104468</v>
          </cell>
        </row>
        <row r="1287">
          <cell r="B1287">
            <v>5191823</v>
          </cell>
          <cell r="EE1287">
            <v>626438595.91999996</v>
          </cell>
          <cell r="EF1287">
            <v>0</v>
          </cell>
          <cell r="EG1287">
            <v>626438595.91999996</v>
          </cell>
        </row>
        <row r="1288">
          <cell r="B1288">
            <v>5018056</v>
          </cell>
          <cell r="EE1288">
            <v>50000000</v>
          </cell>
          <cell r="EF1288">
            <v>0</v>
          </cell>
          <cell r="EG1288">
            <v>50000000</v>
          </cell>
        </row>
        <row r="1289">
          <cell r="B1289">
            <v>6043429</v>
          </cell>
          <cell r="EE1289">
            <v>0</v>
          </cell>
          <cell r="EF1289">
            <v>0</v>
          </cell>
          <cell r="EG1289">
            <v>0</v>
          </cell>
        </row>
        <row r="1290">
          <cell r="B1290">
            <v>5556554</v>
          </cell>
          <cell r="EE1290">
            <v>7007000</v>
          </cell>
          <cell r="EF1290">
            <v>63720790</v>
          </cell>
          <cell r="EG1290">
            <v>-56713790</v>
          </cell>
        </row>
        <row r="1291">
          <cell r="B1291">
            <v>2048221</v>
          </cell>
          <cell r="EE1291">
            <v>3330350</v>
          </cell>
          <cell r="EF1291">
            <v>9108100</v>
          </cell>
          <cell r="EG1291">
            <v>-5777750</v>
          </cell>
        </row>
        <row r="1292">
          <cell r="B1292">
            <v>6385885</v>
          </cell>
          <cell r="EE1292">
            <v>25106436.170000002</v>
          </cell>
          <cell r="EF1292">
            <v>15446446</v>
          </cell>
          <cell r="EG1292">
            <v>9659990.1699999999</v>
          </cell>
        </row>
        <row r="1293">
          <cell r="B1293">
            <v>5325463</v>
          </cell>
          <cell r="EE1293">
            <v>17836366.140000001</v>
          </cell>
          <cell r="EF1293">
            <v>9411237</v>
          </cell>
          <cell r="EG1293">
            <v>8425129.1400000006</v>
          </cell>
        </row>
        <row r="1294">
          <cell r="B1294">
            <v>2628058</v>
          </cell>
          <cell r="EE1294">
            <v>0</v>
          </cell>
          <cell r="EF1294">
            <v>0</v>
          </cell>
          <cell r="EG1294">
            <v>0</v>
          </cell>
        </row>
        <row r="1295">
          <cell r="B1295">
            <v>5102081</v>
          </cell>
          <cell r="EE1295">
            <v>0</v>
          </cell>
          <cell r="EF1295">
            <v>65811953</v>
          </cell>
          <cell r="EG1295">
            <v>-65811953</v>
          </cell>
        </row>
        <row r="1296">
          <cell r="B1296">
            <v>2551276</v>
          </cell>
          <cell r="EE1296">
            <v>195060761.99300301</v>
          </cell>
          <cell r="EF1296">
            <v>0</v>
          </cell>
          <cell r="EG1296">
            <v>195060761.99300301</v>
          </cell>
        </row>
        <row r="1297">
          <cell r="B1297">
            <v>6209831</v>
          </cell>
          <cell r="EE1297">
            <v>4000</v>
          </cell>
          <cell r="EF1297">
            <v>0</v>
          </cell>
          <cell r="EG1297">
            <v>4000</v>
          </cell>
        </row>
        <row r="1298">
          <cell r="B1298">
            <v>6394272</v>
          </cell>
          <cell r="EE1298">
            <v>2049960</v>
          </cell>
          <cell r="EF1298">
            <v>891000</v>
          </cell>
          <cell r="EG1298">
            <v>1158960</v>
          </cell>
        </row>
        <row r="1299">
          <cell r="B1299">
            <v>2600722</v>
          </cell>
          <cell r="EE1299">
            <v>0</v>
          </cell>
          <cell r="EF1299">
            <v>0</v>
          </cell>
          <cell r="EG1299">
            <v>0</v>
          </cell>
        </row>
        <row r="1300">
          <cell r="B1300">
            <v>6476872</v>
          </cell>
          <cell r="EE1300">
            <v>163272</v>
          </cell>
          <cell r="EF1300">
            <v>0</v>
          </cell>
          <cell r="EG1300">
            <v>163272</v>
          </cell>
        </row>
        <row r="1301">
          <cell r="B1301">
            <v>5774667</v>
          </cell>
          <cell r="EE1301">
            <v>0</v>
          </cell>
          <cell r="EF1301">
            <v>0</v>
          </cell>
          <cell r="EG1301">
            <v>0</v>
          </cell>
        </row>
        <row r="1302">
          <cell r="B1302">
            <v>5292638</v>
          </cell>
          <cell r="EE1302">
            <v>66752000</v>
          </cell>
          <cell r="EF1302">
            <v>0</v>
          </cell>
          <cell r="EG1302">
            <v>66752000</v>
          </cell>
        </row>
        <row r="1303">
          <cell r="B1303">
            <v>5068827</v>
          </cell>
          <cell r="EE1303">
            <v>370834701.78000003</v>
          </cell>
          <cell r="EF1303">
            <v>0</v>
          </cell>
          <cell r="EG1303">
            <v>370834701.78000003</v>
          </cell>
        </row>
        <row r="1304">
          <cell r="B1304">
            <v>5276187</v>
          </cell>
          <cell r="EE1304">
            <v>0</v>
          </cell>
          <cell r="EF1304">
            <v>0</v>
          </cell>
          <cell r="EG1304">
            <v>0</v>
          </cell>
        </row>
        <row r="1305">
          <cell r="B1305">
            <v>5268451</v>
          </cell>
          <cell r="EE1305">
            <v>0</v>
          </cell>
          <cell r="EF1305">
            <v>0</v>
          </cell>
          <cell r="EG1305">
            <v>0</v>
          </cell>
        </row>
        <row r="1306">
          <cell r="B1306">
            <v>2715589</v>
          </cell>
          <cell r="EE1306">
            <v>282853275.84951299</v>
          </cell>
          <cell r="EF1306">
            <v>0</v>
          </cell>
          <cell r="EG1306">
            <v>282853275.84951299</v>
          </cell>
        </row>
        <row r="1307">
          <cell r="B1307">
            <v>5516455</v>
          </cell>
          <cell r="EE1307">
            <v>0</v>
          </cell>
          <cell r="EF1307">
            <v>5122000</v>
          </cell>
          <cell r="EG1307">
            <v>-5122000</v>
          </cell>
        </row>
        <row r="1308">
          <cell r="B1308">
            <v>6557627</v>
          </cell>
          <cell r="EE1308">
            <v>0</v>
          </cell>
          <cell r="EF1308">
            <v>0</v>
          </cell>
          <cell r="EG1308">
            <v>0</v>
          </cell>
        </row>
        <row r="1309">
          <cell r="B1309">
            <v>3876004</v>
          </cell>
          <cell r="EE1309">
            <v>0</v>
          </cell>
          <cell r="EF1309">
            <v>0</v>
          </cell>
          <cell r="EG1309">
            <v>0</v>
          </cell>
        </row>
        <row r="1310">
          <cell r="B1310">
            <v>2693046</v>
          </cell>
          <cell r="EE1310">
            <v>70994777.909999996</v>
          </cell>
          <cell r="EF1310">
            <v>20167932</v>
          </cell>
          <cell r="EG1310">
            <v>50826845.909999996</v>
          </cell>
        </row>
        <row r="1311">
          <cell r="B1311">
            <v>2679868</v>
          </cell>
          <cell r="EE1311">
            <v>13723594.960000001</v>
          </cell>
          <cell r="EF1311">
            <v>0</v>
          </cell>
          <cell r="EG1311">
            <v>13723594.960000001</v>
          </cell>
        </row>
        <row r="1312">
          <cell r="B1312">
            <v>5609879</v>
          </cell>
          <cell r="EE1312">
            <v>2370156</v>
          </cell>
          <cell r="EF1312">
            <v>29020600</v>
          </cell>
          <cell r="EG1312">
            <v>-26650444</v>
          </cell>
        </row>
        <row r="1313">
          <cell r="B1313">
            <v>8344647</v>
          </cell>
          <cell r="EE1313">
            <v>0</v>
          </cell>
          <cell r="EF1313">
            <v>0</v>
          </cell>
          <cell r="EG1313">
            <v>0</v>
          </cell>
        </row>
        <row r="1314">
          <cell r="B1314">
            <v>5143926</v>
          </cell>
          <cell r="EE1314">
            <v>0</v>
          </cell>
          <cell r="EF1314">
            <v>0</v>
          </cell>
          <cell r="EG1314">
            <v>0</v>
          </cell>
        </row>
        <row r="1315">
          <cell r="B1315">
            <v>5119499</v>
          </cell>
          <cell r="EE1315">
            <v>0</v>
          </cell>
          <cell r="EF1315">
            <v>0</v>
          </cell>
          <cell r="EG1315">
            <v>0</v>
          </cell>
        </row>
        <row r="1316">
          <cell r="B1316">
            <v>6470092</v>
          </cell>
          <cell r="EE1316">
            <v>7024218.1500000004</v>
          </cell>
          <cell r="EF1316">
            <v>0</v>
          </cell>
          <cell r="EG1316">
            <v>7024218.1500000004</v>
          </cell>
        </row>
        <row r="1317">
          <cell r="B1317">
            <v>4377354</v>
          </cell>
          <cell r="EE1317">
            <v>3477194.85</v>
          </cell>
          <cell r="EF1317">
            <v>0</v>
          </cell>
          <cell r="EG1317">
            <v>3477194.85</v>
          </cell>
        </row>
        <row r="1318">
          <cell r="B1318">
            <v>2645556</v>
          </cell>
          <cell r="EE1318">
            <v>0</v>
          </cell>
          <cell r="EF1318">
            <v>0</v>
          </cell>
          <cell r="EG1318">
            <v>0</v>
          </cell>
        </row>
        <row r="1319">
          <cell r="B1319">
            <v>3622991</v>
          </cell>
          <cell r="EE1319">
            <v>11312798.290000001</v>
          </cell>
          <cell r="EF1319">
            <v>0</v>
          </cell>
          <cell r="EG1319">
            <v>11312798.290000001</v>
          </cell>
        </row>
        <row r="1320">
          <cell r="B1320">
            <v>8369933</v>
          </cell>
          <cell r="EE1320">
            <v>0</v>
          </cell>
          <cell r="EF1320">
            <v>0</v>
          </cell>
          <cell r="EG1320">
            <v>0</v>
          </cell>
        </row>
        <row r="1321">
          <cell r="B1321">
            <v>5303486</v>
          </cell>
          <cell r="EE1321">
            <v>5000000</v>
          </cell>
          <cell r="EF1321">
            <v>0</v>
          </cell>
          <cell r="EG1321">
            <v>5000000</v>
          </cell>
        </row>
        <row r="1322">
          <cell r="B1322">
            <v>6622844</v>
          </cell>
          <cell r="EE1322">
            <v>294321212.50999999</v>
          </cell>
          <cell r="EF1322">
            <v>0</v>
          </cell>
          <cell r="EG1322">
            <v>294321212.50999999</v>
          </cell>
        </row>
        <row r="1323">
          <cell r="B1323">
            <v>5057043</v>
          </cell>
          <cell r="EE1323">
            <v>10699350</v>
          </cell>
          <cell r="EF1323">
            <v>36419744</v>
          </cell>
          <cell r="EG1323">
            <v>-25720394</v>
          </cell>
        </row>
        <row r="1324">
          <cell r="B1324">
            <v>5103576</v>
          </cell>
          <cell r="EE1324">
            <v>0</v>
          </cell>
          <cell r="EF1324">
            <v>0</v>
          </cell>
          <cell r="EG1324">
            <v>0</v>
          </cell>
        </row>
        <row r="1325">
          <cell r="B1325">
            <v>3003132</v>
          </cell>
          <cell r="EE1325">
            <v>270725906.46000004</v>
          </cell>
          <cell r="EF1325">
            <v>0</v>
          </cell>
          <cell r="EG1325">
            <v>270725906.46000004</v>
          </cell>
        </row>
        <row r="1326">
          <cell r="B1326">
            <v>5402204</v>
          </cell>
          <cell r="EE1326">
            <v>0</v>
          </cell>
          <cell r="EF1326">
            <v>0</v>
          </cell>
          <cell r="EG1326">
            <v>0</v>
          </cell>
        </row>
        <row r="1327">
          <cell r="B1327">
            <v>5084555</v>
          </cell>
          <cell r="EE1327">
            <v>256860863268.80124</v>
          </cell>
          <cell r="EF1327">
            <v>273689174823</v>
          </cell>
          <cell r="EG1327">
            <v>-16828311554.198763</v>
          </cell>
        </row>
        <row r="1328">
          <cell r="B1328">
            <v>6448054</v>
          </cell>
          <cell r="EE1328">
            <v>0</v>
          </cell>
          <cell r="EF1328">
            <v>2718446</v>
          </cell>
          <cell r="EG1328">
            <v>-2718446</v>
          </cell>
        </row>
        <row r="1329">
          <cell r="B1329">
            <v>5990564</v>
          </cell>
          <cell r="EE1329">
            <v>0</v>
          </cell>
          <cell r="EF1329">
            <v>0</v>
          </cell>
          <cell r="EG1329">
            <v>0</v>
          </cell>
        </row>
        <row r="1330">
          <cell r="B1330">
            <v>5990491</v>
          </cell>
          <cell r="EE1330">
            <v>0</v>
          </cell>
          <cell r="EF1330">
            <v>0</v>
          </cell>
          <cell r="EG1330">
            <v>0</v>
          </cell>
        </row>
        <row r="1331">
          <cell r="B1331">
            <v>5612829</v>
          </cell>
          <cell r="EE1331">
            <v>0</v>
          </cell>
          <cell r="EF1331">
            <v>0</v>
          </cell>
          <cell r="EG1331">
            <v>0</v>
          </cell>
        </row>
        <row r="1332">
          <cell r="B1332">
            <v>6168108</v>
          </cell>
          <cell r="EE1332">
            <v>6500</v>
          </cell>
          <cell r="EF1332">
            <v>0</v>
          </cell>
          <cell r="EG1332">
            <v>6500</v>
          </cell>
        </row>
        <row r="1333">
          <cell r="B1333">
            <v>5281229</v>
          </cell>
          <cell r="EE1333">
            <v>0</v>
          </cell>
          <cell r="EF1333">
            <v>0</v>
          </cell>
          <cell r="EG1333">
            <v>0</v>
          </cell>
        </row>
        <row r="1334">
          <cell r="B1334">
            <v>2108291</v>
          </cell>
          <cell r="EE1334">
            <v>81702475.069999993</v>
          </cell>
          <cell r="EF1334">
            <v>130785497</v>
          </cell>
          <cell r="EG1334">
            <v>-49083021.93</v>
          </cell>
        </row>
        <row r="1335">
          <cell r="B1335">
            <v>5423767</v>
          </cell>
          <cell r="EE1335">
            <v>0</v>
          </cell>
          <cell r="EF1335">
            <v>0</v>
          </cell>
          <cell r="EG1335">
            <v>0</v>
          </cell>
        </row>
        <row r="1336">
          <cell r="B1336">
            <v>5582318</v>
          </cell>
          <cell r="EE1336">
            <v>0</v>
          </cell>
          <cell r="EF1336">
            <v>0</v>
          </cell>
          <cell r="EG1336">
            <v>0</v>
          </cell>
        </row>
        <row r="1337">
          <cell r="B1337">
            <v>5327091</v>
          </cell>
          <cell r="EE1337">
            <v>7000</v>
          </cell>
          <cell r="EF1337">
            <v>11180680</v>
          </cell>
          <cell r="EG1337">
            <v>-11173680</v>
          </cell>
        </row>
        <row r="1338">
          <cell r="B1338">
            <v>6165575</v>
          </cell>
          <cell r="EE1338">
            <v>0</v>
          </cell>
          <cell r="EF1338">
            <v>0</v>
          </cell>
          <cell r="EG1338">
            <v>0</v>
          </cell>
        </row>
        <row r="1339">
          <cell r="B1339">
            <v>5158524</v>
          </cell>
          <cell r="EE1339">
            <v>0</v>
          </cell>
          <cell r="EF1339">
            <v>0</v>
          </cell>
          <cell r="EG1339">
            <v>0</v>
          </cell>
        </row>
        <row r="1340">
          <cell r="B1340">
            <v>2076624</v>
          </cell>
          <cell r="EE1340">
            <v>14949288.460000001</v>
          </cell>
          <cell r="EF1340">
            <v>7831288</v>
          </cell>
          <cell r="EG1340">
            <v>7118000.46</v>
          </cell>
        </row>
        <row r="1341">
          <cell r="B1341">
            <v>3073599</v>
          </cell>
          <cell r="EE1341">
            <v>189236.87</v>
          </cell>
          <cell r="EF1341">
            <v>0</v>
          </cell>
          <cell r="EG1341">
            <v>189236.87</v>
          </cell>
        </row>
        <row r="1342">
          <cell r="B1342">
            <v>5581729</v>
          </cell>
          <cell r="EE1342">
            <v>17954104.039999999</v>
          </cell>
          <cell r="EF1342">
            <v>10055919</v>
          </cell>
          <cell r="EG1342">
            <v>7898185.0399999991</v>
          </cell>
        </row>
        <row r="1343">
          <cell r="B1343">
            <v>5261198</v>
          </cell>
          <cell r="EE1343">
            <v>112081576299.50249</v>
          </cell>
          <cell r="EF1343">
            <v>103981399243</v>
          </cell>
          <cell r="EG1343">
            <v>8100177056.5024958</v>
          </cell>
        </row>
        <row r="1344">
          <cell r="B1344">
            <v>5289424</v>
          </cell>
          <cell r="EE1344">
            <v>0</v>
          </cell>
          <cell r="EF1344">
            <v>0</v>
          </cell>
          <cell r="EG1344">
            <v>0</v>
          </cell>
        </row>
        <row r="1345">
          <cell r="B1345">
            <v>6065287</v>
          </cell>
          <cell r="EE1345">
            <v>5491200</v>
          </cell>
          <cell r="EF1345">
            <v>140788816</v>
          </cell>
          <cell r="EG1345">
            <v>-135297616</v>
          </cell>
        </row>
        <row r="1346">
          <cell r="B1346">
            <v>5132061</v>
          </cell>
          <cell r="EE1346">
            <v>0</v>
          </cell>
          <cell r="EF1346">
            <v>0</v>
          </cell>
          <cell r="EG1346">
            <v>0</v>
          </cell>
        </row>
        <row r="1347">
          <cell r="B1347">
            <v>5024226</v>
          </cell>
          <cell r="EE1347">
            <v>0</v>
          </cell>
          <cell r="EF1347">
            <v>22543658</v>
          </cell>
          <cell r="EG1347">
            <v>-22543658</v>
          </cell>
        </row>
        <row r="1348">
          <cell r="B1348">
            <v>6010067</v>
          </cell>
          <cell r="EE1348">
            <v>0</v>
          </cell>
          <cell r="EF1348">
            <v>0</v>
          </cell>
          <cell r="EG1348">
            <v>0</v>
          </cell>
        </row>
        <row r="1349">
          <cell r="B1349">
            <v>5288703</v>
          </cell>
          <cell r="EE1349">
            <v>2034461222.678349</v>
          </cell>
          <cell r="EF1349">
            <v>406521470</v>
          </cell>
          <cell r="EG1349">
            <v>1627939752.678349</v>
          </cell>
        </row>
        <row r="1350">
          <cell r="B1350">
            <v>5370108</v>
          </cell>
          <cell r="EE1350">
            <v>0</v>
          </cell>
          <cell r="EF1350">
            <v>0</v>
          </cell>
          <cell r="EG1350">
            <v>0</v>
          </cell>
        </row>
        <row r="1351">
          <cell r="B1351">
            <v>2614294</v>
          </cell>
          <cell r="EE1351">
            <v>0</v>
          </cell>
          <cell r="EF1351">
            <v>0</v>
          </cell>
          <cell r="EG1351">
            <v>0</v>
          </cell>
        </row>
        <row r="1352">
          <cell r="B1352">
            <v>5180945</v>
          </cell>
          <cell r="EE1352">
            <v>5316000</v>
          </cell>
          <cell r="EF1352">
            <v>0</v>
          </cell>
          <cell r="EG1352">
            <v>5316000</v>
          </cell>
        </row>
        <row r="1353">
          <cell r="B1353">
            <v>6733948</v>
          </cell>
          <cell r="EE1353">
            <v>0</v>
          </cell>
          <cell r="EF1353">
            <v>0</v>
          </cell>
          <cell r="EG1353">
            <v>0</v>
          </cell>
        </row>
        <row r="1354">
          <cell r="B1354">
            <v>2050463</v>
          </cell>
          <cell r="EE1354">
            <v>101058118.98</v>
          </cell>
          <cell r="EF1354">
            <v>613335</v>
          </cell>
          <cell r="EG1354">
            <v>100444783.98</v>
          </cell>
        </row>
        <row r="1355">
          <cell r="B1355">
            <v>6610234</v>
          </cell>
          <cell r="EE1355">
            <v>0</v>
          </cell>
          <cell r="EF1355">
            <v>0</v>
          </cell>
          <cell r="EG1355">
            <v>0</v>
          </cell>
        </row>
        <row r="1356">
          <cell r="B1356">
            <v>6356249</v>
          </cell>
          <cell r="EE1356">
            <v>0</v>
          </cell>
          <cell r="EF1356">
            <v>0</v>
          </cell>
          <cell r="EG1356">
            <v>0</v>
          </cell>
        </row>
        <row r="1357">
          <cell r="B1357">
            <v>5021065</v>
          </cell>
          <cell r="EE1357">
            <v>10723.1</v>
          </cell>
          <cell r="EF1357">
            <v>0</v>
          </cell>
          <cell r="EG1357">
            <v>10723.1</v>
          </cell>
        </row>
        <row r="1358">
          <cell r="B1358">
            <v>5556899</v>
          </cell>
          <cell r="EE1358">
            <v>0</v>
          </cell>
          <cell r="EF1358">
            <v>5259350</v>
          </cell>
          <cell r="EG1358">
            <v>-5259350</v>
          </cell>
        </row>
        <row r="1359">
          <cell r="B1359">
            <v>5686695</v>
          </cell>
          <cell r="EE1359">
            <v>25030825</v>
          </cell>
          <cell r="EF1359">
            <v>0</v>
          </cell>
          <cell r="EG1359">
            <v>25030825</v>
          </cell>
        </row>
        <row r="1360">
          <cell r="B1360">
            <v>2841002</v>
          </cell>
          <cell r="EE1360">
            <v>0</v>
          </cell>
          <cell r="EF1360">
            <v>0</v>
          </cell>
          <cell r="EG1360">
            <v>0</v>
          </cell>
        </row>
        <row r="1361">
          <cell r="B1361">
            <v>2630028</v>
          </cell>
          <cell r="EE1361">
            <v>156646828.96816799</v>
          </cell>
          <cell r="EF1361">
            <v>17311056</v>
          </cell>
          <cell r="EG1361">
            <v>139335772.96816799</v>
          </cell>
        </row>
        <row r="1362">
          <cell r="B1362">
            <v>6138373</v>
          </cell>
          <cell r="EE1362">
            <v>450774456.01999998</v>
          </cell>
          <cell r="EF1362">
            <v>0</v>
          </cell>
          <cell r="EG1362">
            <v>450774456.01999998</v>
          </cell>
        </row>
        <row r="1363">
          <cell r="B1363">
            <v>5856035</v>
          </cell>
          <cell r="EE1363">
            <v>0</v>
          </cell>
          <cell r="EF1363">
            <v>0</v>
          </cell>
          <cell r="EG1363">
            <v>0</v>
          </cell>
        </row>
        <row r="1364">
          <cell r="B1364">
            <v>5950562</v>
          </cell>
          <cell r="EE1364">
            <v>0</v>
          </cell>
          <cell r="EF1364">
            <v>0</v>
          </cell>
          <cell r="EG1364">
            <v>0</v>
          </cell>
        </row>
        <row r="1365">
          <cell r="B1365">
            <v>5931347</v>
          </cell>
          <cell r="EE1365">
            <v>0</v>
          </cell>
          <cell r="EF1365">
            <v>0</v>
          </cell>
          <cell r="EG1365">
            <v>0</v>
          </cell>
        </row>
        <row r="1366">
          <cell r="B1366">
            <v>6711294</v>
          </cell>
          <cell r="EE1366">
            <v>0</v>
          </cell>
          <cell r="EF1366">
            <v>0</v>
          </cell>
          <cell r="EG1366">
            <v>0</v>
          </cell>
        </row>
        <row r="1367">
          <cell r="B1367">
            <v>5031974</v>
          </cell>
          <cell r="EE1367">
            <v>5000000</v>
          </cell>
          <cell r="EF1367">
            <v>41772950</v>
          </cell>
          <cell r="EG1367">
            <v>-36772950</v>
          </cell>
        </row>
        <row r="1368">
          <cell r="B1368">
            <v>6835236</v>
          </cell>
          <cell r="EE1368">
            <v>128944.77</v>
          </cell>
          <cell r="EF1368">
            <v>0</v>
          </cell>
          <cell r="EG1368">
            <v>128944.77</v>
          </cell>
        </row>
        <row r="1369">
          <cell r="B1369">
            <v>2690934</v>
          </cell>
          <cell r="EE1369">
            <v>123040175.05086899</v>
          </cell>
          <cell r="EF1369">
            <v>0</v>
          </cell>
          <cell r="EG1369">
            <v>123040175.05086899</v>
          </cell>
        </row>
        <row r="1370">
          <cell r="B1370">
            <v>5961254</v>
          </cell>
          <cell r="EE1370">
            <v>0</v>
          </cell>
          <cell r="EF1370">
            <v>0</v>
          </cell>
          <cell r="EG1370">
            <v>0</v>
          </cell>
        </row>
        <row r="1371">
          <cell r="B1371">
            <v>5276764</v>
          </cell>
          <cell r="EE1371">
            <v>106580878.11</v>
          </cell>
          <cell r="EF1371">
            <v>0</v>
          </cell>
          <cell r="EG1371">
            <v>106580878.11</v>
          </cell>
        </row>
        <row r="1372">
          <cell r="B1372">
            <v>2663937</v>
          </cell>
          <cell r="EE1372">
            <v>1360000</v>
          </cell>
          <cell r="EF1372">
            <v>59700705</v>
          </cell>
          <cell r="EG1372">
            <v>-58340705</v>
          </cell>
        </row>
        <row r="1373">
          <cell r="B1373">
            <v>2295954</v>
          </cell>
          <cell r="EE1373">
            <v>3483924.8600000003</v>
          </cell>
          <cell r="EF1373">
            <v>0</v>
          </cell>
          <cell r="EG1373">
            <v>3483924.8600000003</v>
          </cell>
        </row>
        <row r="1374">
          <cell r="B1374">
            <v>5112885</v>
          </cell>
          <cell r="EE1374">
            <v>0</v>
          </cell>
          <cell r="EF1374">
            <v>0</v>
          </cell>
          <cell r="EG1374">
            <v>0</v>
          </cell>
        </row>
        <row r="1375">
          <cell r="B1375">
            <v>2590565</v>
          </cell>
          <cell r="EE1375">
            <v>534532735.17123103</v>
          </cell>
          <cell r="EF1375">
            <v>0</v>
          </cell>
          <cell r="EG1375">
            <v>534532735.17123103</v>
          </cell>
        </row>
        <row r="1376">
          <cell r="B1376">
            <v>6232485</v>
          </cell>
          <cell r="EE1376">
            <v>6361408391.3500004</v>
          </cell>
          <cell r="EF1376">
            <v>6423106944</v>
          </cell>
          <cell r="EG1376">
            <v>-61698552.649999812</v>
          </cell>
        </row>
        <row r="1377">
          <cell r="B1377">
            <v>5084903</v>
          </cell>
          <cell r="EE1377">
            <v>0</v>
          </cell>
          <cell r="EF1377">
            <v>0</v>
          </cell>
          <cell r="EG1377">
            <v>0</v>
          </cell>
        </row>
        <row r="1378">
          <cell r="B1378">
            <v>5977282</v>
          </cell>
          <cell r="EE1378">
            <v>0</v>
          </cell>
          <cell r="EF1378">
            <v>0</v>
          </cell>
          <cell r="EG1378">
            <v>0</v>
          </cell>
        </row>
        <row r="1379">
          <cell r="B1379">
            <v>5295858</v>
          </cell>
          <cell r="EE1379">
            <v>4008344791.6765609</v>
          </cell>
          <cell r="EF1379">
            <v>0</v>
          </cell>
          <cell r="EG1379">
            <v>4008344791.6765609</v>
          </cell>
        </row>
        <row r="1380">
          <cell r="B1380">
            <v>2734877</v>
          </cell>
          <cell r="EE1380">
            <v>292027439.25</v>
          </cell>
          <cell r="EF1380">
            <v>409475739</v>
          </cell>
          <cell r="EG1380">
            <v>-117448299.75</v>
          </cell>
        </row>
        <row r="1381">
          <cell r="B1381">
            <v>2098482</v>
          </cell>
          <cell r="EE1381">
            <v>0</v>
          </cell>
          <cell r="EF1381">
            <v>0</v>
          </cell>
          <cell r="EG1381">
            <v>0</v>
          </cell>
        </row>
        <row r="1382">
          <cell r="B1382">
            <v>2587645</v>
          </cell>
          <cell r="EE1382">
            <v>0</v>
          </cell>
          <cell r="EF1382">
            <v>1070100</v>
          </cell>
          <cell r="EG1382">
            <v>-1070100</v>
          </cell>
        </row>
        <row r="1383">
          <cell r="B1383">
            <v>5445744</v>
          </cell>
          <cell r="EE1383">
            <v>349119567.10124999</v>
          </cell>
          <cell r="EF1383">
            <v>0</v>
          </cell>
          <cell r="EG1383">
            <v>349119567.10124999</v>
          </cell>
        </row>
        <row r="1384">
          <cell r="B1384">
            <v>5442346</v>
          </cell>
          <cell r="EE1384">
            <v>0</v>
          </cell>
          <cell r="EF1384">
            <v>0</v>
          </cell>
          <cell r="EG1384">
            <v>0</v>
          </cell>
        </row>
        <row r="1385">
          <cell r="B1385">
            <v>6097936</v>
          </cell>
          <cell r="EE1385">
            <v>0</v>
          </cell>
          <cell r="EF1385">
            <v>0</v>
          </cell>
          <cell r="EG1385">
            <v>0</v>
          </cell>
        </row>
        <row r="1386">
          <cell r="B1386">
            <v>5526515</v>
          </cell>
          <cell r="EE1386">
            <v>36335966.090000004</v>
          </cell>
          <cell r="EF1386">
            <v>21780005</v>
          </cell>
          <cell r="EG1386">
            <v>14555961.09</v>
          </cell>
        </row>
        <row r="1387">
          <cell r="B1387">
            <v>2762463</v>
          </cell>
          <cell r="EE1387">
            <v>1302600</v>
          </cell>
          <cell r="EF1387">
            <v>0</v>
          </cell>
          <cell r="EG1387">
            <v>1302600</v>
          </cell>
        </row>
        <row r="1388">
          <cell r="B1388">
            <v>6101615</v>
          </cell>
          <cell r="EE1388">
            <v>13142213005.32</v>
          </cell>
          <cell r="EF1388">
            <v>10326459473</v>
          </cell>
          <cell r="EG1388">
            <v>2815753532.3199992</v>
          </cell>
        </row>
        <row r="1389">
          <cell r="B1389">
            <v>8339546</v>
          </cell>
          <cell r="EE1389">
            <v>0</v>
          </cell>
          <cell r="EF1389">
            <v>0</v>
          </cell>
          <cell r="EG1389">
            <v>0</v>
          </cell>
        </row>
        <row r="1390">
          <cell r="B1390">
            <v>6347444</v>
          </cell>
          <cell r="EE1390">
            <v>4500</v>
          </cell>
          <cell r="EF1390">
            <v>3709898</v>
          </cell>
          <cell r="EG1390">
            <v>-3705398</v>
          </cell>
        </row>
        <row r="1391">
          <cell r="B1391">
            <v>6381928</v>
          </cell>
          <cell r="EE1391">
            <v>68903991.849999994</v>
          </cell>
          <cell r="EF1391">
            <v>0</v>
          </cell>
          <cell r="EG1391">
            <v>68903991.849999994</v>
          </cell>
        </row>
        <row r="1392">
          <cell r="B1392">
            <v>5109418</v>
          </cell>
          <cell r="EE1392">
            <v>11780.98</v>
          </cell>
          <cell r="EF1392">
            <v>0</v>
          </cell>
          <cell r="EG1392">
            <v>11780.98</v>
          </cell>
        </row>
        <row r="1393">
          <cell r="B1393">
            <v>6718612</v>
          </cell>
          <cell r="EE1393">
            <v>0</v>
          </cell>
          <cell r="EF1393">
            <v>0</v>
          </cell>
          <cell r="EG1393">
            <v>0</v>
          </cell>
        </row>
        <row r="1394">
          <cell r="B1394">
            <v>5074959</v>
          </cell>
          <cell r="EE1394">
            <v>0</v>
          </cell>
          <cell r="EF1394">
            <v>3649505</v>
          </cell>
          <cell r="EG1394">
            <v>-3649505</v>
          </cell>
        </row>
        <row r="1395">
          <cell r="B1395">
            <v>5959306</v>
          </cell>
          <cell r="EE1395">
            <v>0</v>
          </cell>
          <cell r="EF1395">
            <v>0</v>
          </cell>
          <cell r="EG1395">
            <v>0</v>
          </cell>
        </row>
        <row r="1396">
          <cell r="B1396">
            <v>5736609</v>
          </cell>
          <cell r="EE1396">
            <v>100800</v>
          </cell>
          <cell r="EF1396">
            <v>0</v>
          </cell>
          <cell r="EG1396">
            <v>100800</v>
          </cell>
        </row>
        <row r="1397">
          <cell r="B1397">
            <v>5120365</v>
          </cell>
          <cell r="EE1397">
            <v>0</v>
          </cell>
          <cell r="EF1397">
            <v>0</v>
          </cell>
          <cell r="EG1397">
            <v>0</v>
          </cell>
        </row>
        <row r="1398">
          <cell r="B1398">
            <v>5524997</v>
          </cell>
          <cell r="EE1398">
            <v>13365622.32</v>
          </cell>
          <cell r="EF1398">
            <v>6042150</v>
          </cell>
          <cell r="EG1398">
            <v>7323472.3199999994</v>
          </cell>
        </row>
        <row r="1399">
          <cell r="B1399">
            <v>5153913</v>
          </cell>
          <cell r="EE1399">
            <v>3750737.27</v>
          </cell>
          <cell r="EF1399">
            <v>4102325</v>
          </cell>
          <cell r="EG1399">
            <v>-351587.73</v>
          </cell>
        </row>
        <row r="1400">
          <cell r="B1400">
            <v>5006147</v>
          </cell>
          <cell r="EE1400">
            <v>0</v>
          </cell>
          <cell r="EF1400">
            <v>0</v>
          </cell>
          <cell r="EG1400">
            <v>0</v>
          </cell>
        </row>
        <row r="1401">
          <cell r="B1401">
            <v>5047706</v>
          </cell>
          <cell r="EE1401">
            <v>0</v>
          </cell>
          <cell r="EF1401">
            <v>0</v>
          </cell>
          <cell r="EG1401">
            <v>0</v>
          </cell>
        </row>
        <row r="1402">
          <cell r="B1402">
            <v>2041588</v>
          </cell>
          <cell r="EE1402">
            <v>1000000</v>
          </cell>
          <cell r="EF1402">
            <v>0</v>
          </cell>
          <cell r="EG1402">
            <v>1000000</v>
          </cell>
        </row>
        <row r="1403">
          <cell r="B1403">
            <v>2703807</v>
          </cell>
          <cell r="EE1403">
            <v>8487783</v>
          </cell>
          <cell r="EF1403">
            <v>0</v>
          </cell>
          <cell r="EG1403">
            <v>8487783</v>
          </cell>
        </row>
        <row r="1404">
          <cell r="B1404">
            <v>4614313</v>
          </cell>
          <cell r="EE1404">
            <v>6840000</v>
          </cell>
          <cell r="EF1404">
            <v>7185840</v>
          </cell>
          <cell r="EG1404">
            <v>-345840</v>
          </cell>
        </row>
        <row r="1405">
          <cell r="B1405">
            <v>5168945</v>
          </cell>
          <cell r="EE1405">
            <v>0</v>
          </cell>
          <cell r="EF1405">
            <v>0</v>
          </cell>
          <cell r="EG1405">
            <v>0</v>
          </cell>
        </row>
        <row r="1406">
          <cell r="B1406">
            <v>5134617</v>
          </cell>
          <cell r="EE1406">
            <v>0</v>
          </cell>
          <cell r="EF1406">
            <v>0</v>
          </cell>
          <cell r="EG1406">
            <v>0</v>
          </cell>
        </row>
        <row r="1407">
          <cell r="B1407">
            <v>5108543</v>
          </cell>
          <cell r="EE1407">
            <v>0</v>
          </cell>
          <cell r="EF1407">
            <v>0</v>
          </cell>
          <cell r="EG1407">
            <v>0</v>
          </cell>
        </row>
        <row r="1408">
          <cell r="B1408">
            <v>2598477</v>
          </cell>
          <cell r="EE1408">
            <v>0</v>
          </cell>
          <cell r="EF1408">
            <v>1882500</v>
          </cell>
          <cell r="EG1408">
            <v>-1882500</v>
          </cell>
        </row>
        <row r="1409">
          <cell r="B1409">
            <v>5680433</v>
          </cell>
          <cell r="EE1409">
            <v>2000000</v>
          </cell>
          <cell r="EF1409">
            <v>0</v>
          </cell>
          <cell r="EG1409">
            <v>2000000</v>
          </cell>
        </row>
        <row r="1410">
          <cell r="B1410">
            <v>6570313</v>
          </cell>
          <cell r="EE1410">
            <v>20010627.460000001</v>
          </cell>
          <cell r="EF1410">
            <v>2737500</v>
          </cell>
          <cell r="EG1410">
            <v>17273127.460000001</v>
          </cell>
        </row>
        <row r="1411">
          <cell r="B1411">
            <v>6806597</v>
          </cell>
          <cell r="EE1411">
            <v>6840100</v>
          </cell>
          <cell r="EF1411">
            <v>0</v>
          </cell>
          <cell r="EG1411">
            <v>6840100</v>
          </cell>
        </row>
        <row r="1412">
          <cell r="B1412">
            <v>5181453</v>
          </cell>
          <cell r="EE1412">
            <v>1740966.6</v>
          </cell>
          <cell r="EF1412">
            <v>0</v>
          </cell>
          <cell r="EG1412">
            <v>1740966.6</v>
          </cell>
        </row>
        <row r="1413">
          <cell r="B1413">
            <v>2740591</v>
          </cell>
          <cell r="EE1413">
            <v>603916449.38286304</v>
          </cell>
          <cell r="EF1413">
            <v>14613000</v>
          </cell>
          <cell r="EG1413">
            <v>589303449.38286304</v>
          </cell>
        </row>
        <row r="1414">
          <cell r="B1414">
            <v>3375099</v>
          </cell>
          <cell r="EE1414">
            <v>108443232.48252401</v>
          </cell>
          <cell r="EF1414">
            <v>27872200</v>
          </cell>
          <cell r="EG1414">
            <v>80571032.482524008</v>
          </cell>
        </row>
        <row r="1415">
          <cell r="B1415">
            <v>3677648</v>
          </cell>
          <cell r="EE1415">
            <v>35559281.649904005</v>
          </cell>
          <cell r="EF1415">
            <v>0</v>
          </cell>
          <cell r="EG1415">
            <v>35559281.649904005</v>
          </cell>
        </row>
        <row r="1416">
          <cell r="B1416">
            <v>2862468</v>
          </cell>
          <cell r="EE1416">
            <v>762819989.36000001</v>
          </cell>
          <cell r="EF1416">
            <v>106861694</v>
          </cell>
          <cell r="EG1416">
            <v>655958295.36000001</v>
          </cell>
        </row>
        <row r="1417">
          <cell r="B1417">
            <v>5977401</v>
          </cell>
          <cell r="EE1417">
            <v>0</v>
          </cell>
          <cell r="EF1417">
            <v>0</v>
          </cell>
          <cell r="EG1417">
            <v>0</v>
          </cell>
        </row>
        <row r="1418">
          <cell r="B1418">
            <v>3753603</v>
          </cell>
          <cell r="EE1418">
            <v>0</v>
          </cell>
          <cell r="EF1418">
            <v>87155150</v>
          </cell>
          <cell r="EG1418">
            <v>-87155150</v>
          </cell>
        </row>
        <row r="1419">
          <cell r="B1419">
            <v>2001098</v>
          </cell>
          <cell r="EE1419">
            <v>157514959</v>
          </cell>
          <cell r="EF1419">
            <v>0</v>
          </cell>
          <cell r="EG1419">
            <v>157514959</v>
          </cell>
        </row>
        <row r="1420">
          <cell r="B1420">
            <v>6171028</v>
          </cell>
          <cell r="EE1420">
            <v>1392390.75</v>
          </cell>
          <cell r="EF1420">
            <v>0</v>
          </cell>
          <cell r="EG1420">
            <v>1392390.75</v>
          </cell>
        </row>
        <row r="1421">
          <cell r="B1421">
            <v>3753506</v>
          </cell>
          <cell r="EE1421">
            <v>0</v>
          </cell>
          <cell r="EF1421">
            <v>0</v>
          </cell>
          <cell r="EG1421">
            <v>0</v>
          </cell>
        </row>
        <row r="1422">
          <cell r="B1422">
            <v>3763749</v>
          </cell>
          <cell r="EE1422">
            <v>0</v>
          </cell>
          <cell r="EF1422">
            <v>38454</v>
          </cell>
          <cell r="EG1422">
            <v>-38454</v>
          </cell>
        </row>
        <row r="1423">
          <cell r="B1423">
            <v>2890682</v>
          </cell>
          <cell r="EE1423">
            <v>9385870</v>
          </cell>
          <cell r="EF1423">
            <v>0</v>
          </cell>
          <cell r="EG1423">
            <v>9385870</v>
          </cell>
        </row>
        <row r="1424">
          <cell r="B1424">
            <v>6145949</v>
          </cell>
          <cell r="EE1424">
            <v>14000</v>
          </cell>
          <cell r="EF1424">
            <v>2400765</v>
          </cell>
          <cell r="EG1424">
            <v>-2386765</v>
          </cell>
        </row>
        <row r="1425">
          <cell r="B1425">
            <v>5148014</v>
          </cell>
          <cell r="EE1425">
            <v>0</v>
          </cell>
          <cell r="EF1425">
            <v>0</v>
          </cell>
          <cell r="EG1425">
            <v>0</v>
          </cell>
        </row>
        <row r="1426">
          <cell r="B1426">
            <v>5846196</v>
          </cell>
          <cell r="EE1426">
            <v>0</v>
          </cell>
          <cell r="EF1426">
            <v>445000</v>
          </cell>
          <cell r="EG1426">
            <v>-445000</v>
          </cell>
        </row>
        <row r="1427">
          <cell r="B1427">
            <v>2851768</v>
          </cell>
          <cell r="EE1427">
            <v>466089183.65999997</v>
          </cell>
          <cell r="EF1427">
            <v>5812039</v>
          </cell>
          <cell r="EG1427">
            <v>460277144.65999997</v>
          </cell>
        </row>
        <row r="1428">
          <cell r="B1428">
            <v>5318904</v>
          </cell>
          <cell r="EE1428">
            <v>0</v>
          </cell>
          <cell r="EF1428">
            <v>2278769</v>
          </cell>
          <cell r="EG1428">
            <v>-2278769</v>
          </cell>
        </row>
        <row r="1429">
          <cell r="B1429">
            <v>5973511</v>
          </cell>
          <cell r="EE1429">
            <v>17383928</v>
          </cell>
          <cell r="EF1429">
            <v>5053025</v>
          </cell>
          <cell r="EG1429">
            <v>12330903</v>
          </cell>
        </row>
        <row r="1430">
          <cell r="B1430">
            <v>2016656</v>
          </cell>
          <cell r="EE1430">
            <v>113601068877.77</v>
          </cell>
          <cell r="EF1430">
            <v>0</v>
          </cell>
          <cell r="EG1430">
            <v>113601068877.77</v>
          </cell>
        </row>
        <row r="1431">
          <cell r="B1431">
            <v>6267238</v>
          </cell>
          <cell r="EE1431">
            <v>43180017.359999999</v>
          </cell>
          <cell r="EF1431">
            <v>0</v>
          </cell>
          <cell r="EG1431">
            <v>43180017.359999999</v>
          </cell>
        </row>
        <row r="1432">
          <cell r="B1432">
            <v>2055317</v>
          </cell>
          <cell r="EE1432">
            <v>112734366.315523</v>
          </cell>
          <cell r="EF1432">
            <v>0</v>
          </cell>
          <cell r="EG1432">
            <v>112734366.315523</v>
          </cell>
        </row>
        <row r="1433">
          <cell r="B1433">
            <v>5694604</v>
          </cell>
          <cell r="EE1433">
            <v>0</v>
          </cell>
          <cell r="EF1433">
            <v>0</v>
          </cell>
          <cell r="EG1433">
            <v>0</v>
          </cell>
        </row>
        <row r="1434">
          <cell r="B1434">
            <v>6309291</v>
          </cell>
          <cell r="EE1434">
            <v>27433810</v>
          </cell>
          <cell r="EF1434">
            <v>0</v>
          </cell>
          <cell r="EG1434">
            <v>27433810</v>
          </cell>
        </row>
        <row r="1435">
          <cell r="B1435">
            <v>3613801</v>
          </cell>
          <cell r="EE1435">
            <v>1800000</v>
          </cell>
          <cell r="EF1435">
            <v>0</v>
          </cell>
          <cell r="EG1435">
            <v>1800000</v>
          </cell>
        </row>
        <row r="1436">
          <cell r="B1436">
            <v>6112633</v>
          </cell>
          <cell r="EE1436">
            <v>208636340.89999998</v>
          </cell>
          <cell r="EF1436">
            <v>0</v>
          </cell>
          <cell r="EG1436">
            <v>208636340.89999998</v>
          </cell>
        </row>
        <row r="1437">
          <cell r="B1437">
            <v>5208297</v>
          </cell>
          <cell r="EE1437">
            <v>0</v>
          </cell>
          <cell r="EF1437">
            <v>0</v>
          </cell>
          <cell r="EG1437">
            <v>0</v>
          </cell>
        </row>
        <row r="1438">
          <cell r="B1438">
            <v>2849046</v>
          </cell>
          <cell r="EE1438">
            <v>197310</v>
          </cell>
          <cell r="EF1438">
            <v>0</v>
          </cell>
          <cell r="EG1438">
            <v>197310</v>
          </cell>
        </row>
        <row r="1439">
          <cell r="B1439">
            <v>5103851</v>
          </cell>
          <cell r="EE1439">
            <v>11478280</v>
          </cell>
          <cell r="EF1439">
            <v>0</v>
          </cell>
          <cell r="EG1439">
            <v>11478280</v>
          </cell>
        </row>
        <row r="1440">
          <cell r="B1440">
            <v>6821464</v>
          </cell>
          <cell r="EE1440">
            <v>0</v>
          </cell>
          <cell r="EF1440">
            <v>0</v>
          </cell>
          <cell r="EG1440">
            <v>0</v>
          </cell>
        </row>
        <row r="1441">
          <cell r="B1441">
            <v>5243904</v>
          </cell>
          <cell r="EE1441">
            <v>10151618</v>
          </cell>
          <cell r="EF1441">
            <v>3605147</v>
          </cell>
          <cell r="EG1441">
            <v>6546471</v>
          </cell>
        </row>
        <row r="1442">
          <cell r="B1442">
            <v>2777223</v>
          </cell>
          <cell r="EE1442">
            <v>39602526.670000002</v>
          </cell>
          <cell r="EF1442">
            <v>0</v>
          </cell>
          <cell r="EG1442">
            <v>39602526.670000002</v>
          </cell>
        </row>
        <row r="1443">
          <cell r="B1443">
            <v>5195667</v>
          </cell>
          <cell r="EE1443">
            <v>0</v>
          </cell>
          <cell r="EF1443">
            <v>26437689</v>
          </cell>
          <cell r="EG1443">
            <v>-26437689</v>
          </cell>
        </row>
        <row r="1444">
          <cell r="B1444">
            <v>3865673</v>
          </cell>
          <cell r="EE1444">
            <v>0</v>
          </cell>
          <cell r="EF1444">
            <v>0</v>
          </cell>
          <cell r="EG1444">
            <v>0</v>
          </cell>
        </row>
        <row r="1445">
          <cell r="B1445">
            <v>5872006</v>
          </cell>
          <cell r="EE1445">
            <v>2352283105.5300002</v>
          </cell>
          <cell r="EF1445">
            <v>36702925</v>
          </cell>
          <cell r="EG1445">
            <v>2315580180.5300002</v>
          </cell>
        </row>
        <row r="1446">
          <cell r="B1446">
            <v>5215331</v>
          </cell>
          <cell r="EE1446">
            <v>3785820</v>
          </cell>
          <cell r="EF1446">
            <v>12509300</v>
          </cell>
          <cell r="EG1446">
            <v>-8723480</v>
          </cell>
        </row>
        <row r="1447">
          <cell r="B1447">
            <v>5292026</v>
          </cell>
          <cell r="EE1447">
            <v>0</v>
          </cell>
          <cell r="EF1447">
            <v>0</v>
          </cell>
          <cell r="EG1447">
            <v>0</v>
          </cell>
        </row>
        <row r="1448">
          <cell r="B1448">
            <v>5105439</v>
          </cell>
          <cell r="EE1448">
            <v>1063877668.459083</v>
          </cell>
          <cell r="EF1448">
            <v>0</v>
          </cell>
          <cell r="EG1448">
            <v>1063877668.459083</v>
          </cell>
        </row>
        <row r="1449">
          <cell r="B1449">
            <v>2663813</v>
          </cell>
          <cell r="EE1449">
            <v>219054.91</v>
          </cell>
          <cell r="EF1449">
            <v>14918610</v>
          </cell>
          <cell r="EG1449">
            <v>-14699555.09</v>
          </cell>
        </row>
        <row r="1450">
          <cell r="B1450">
            <v>5774047</v>
          </cell>
          <cell r="EE1450">
            <v>33942446.170000002</v>
          </cell>
          <cell r="EF1450">
            <v>0</v>
          </cell>
          <cell r="EG1450">
            <v>33942446.170000002</v>
          </cell>
        </row>
        <row r="1451">
          <cell r="B1451">
            <v>2305097</v>
          </cell>
          <cell r="EE1451">
            <v>8112635.0099999998</v>
          </cell>
          <cell r="EF1451">
            <v>0</v>
          </cell>
          <cell r="EG1451">
            <v>8112635.0099999998</v>
          </cell>
        </row>
        <row r="1452">
          <cell r="B1452">
            <v>5133408</v>
          </cell>
          <cell r="EE1452">
            <v>89992204.56056799</v>
          </cell>
          <cell r="EF1452">
            <v>0</v>
          </cell>
          <cell r="EG1452">
            <v>89992204.56056799</v>
          </cell>
        </row>
        <row r="1453">
          <cell r="B1453">
            <v>8326401</v>
          </cell>
          <cell r="EE1453">
            <v>0</v>
          </cell>
          <cell r="EF1453">
            <v>0</v>
          </cell>
          <cell r="EG1453">
            <v>0</v>
          </cell>
        </row>
        <row r="1454">
          <cell r="B1454">
            <v>2016931</v>
          </cell>
          <cell r="EE1454">
            <v>819498219.90118098</v>
          </cell>
          <cell r="EF1454">
            <v>0</v>
          </cell>
          <cell r="EG1454">
            <v>819498219.90118098</v>
          </cell>
        </row>
        <row r="1455">
          <cell r="B1455">
            <v>6706878</v>
          </cell>
          <cell r="EE1455">
            <v>0</v>
          </cell>
          <cell r="EF1455">
            <v>70105</v>
          </cell>
          <cell r="EG1455">
            <v>-70105</v>
          </cell>
        </row>
        <row r="1456">
          <cell r="B1456">
            <v>6840337</v>
          </cell>
          <cell r="EE1456">
            <v>145803902.53999999</v>
          </cell>
          <cell r="EF1456">
            <v>0</v>
          </cell>
          <cell r="EG1456">
            <v>145803902.53999999</v>
          </cell>
        </row>
        <row r="1457">
          <cell r="B1457">
            <v>5306361</v>
          </cell>
          <cell r="EE1457">
            <v>1108800</v>
          </cell>
          <cell r="EF1457">
            <v>0</v>
          </cell>
          <cell r="EG1457">
            <v>1108800</v>
          </cell>
        </row>
        <row r="1458">
          <cell r="B1458">
            <v>6864724</v>
          </cell>
          <cell r="EE1458">
            <v>0</v>
          </cell>
          <cell r="EF1458">
            <v>243790</v>
          </cell>
          <cell r="EG1458">
            <v>-243790</v>
          </cell>
        </row>
        <row r="1459">
          <cell r="B1459">
            <v>5301769</v>
          </cell>
          <cell r="EE1459">
            <v>0</v>
          </cell>
          <cell r="EF1459">
            <v>0</v>
          </cell>
          <cell r="EG1459">
            <v>0</v>
          </cell>
        </row>
        <row r="1460">
          <cell r="B1460">
            <v>5857872</v>
          </cell>
          <cell r="EE1460">
            <v>63818327.780000001</v>
          </cell>
          <cell r="EF1460">
            <v>0</v>
          </cell>
          <cell r="EG1460">
            <v>63818327.780000001</v>
          </cell>
        </row>
        <row r="1461">
          <cell r="B1461">
            <v>4395832</v>
          </cell>
          <cell r="EE1461">
            <v>80464731.569999993</v>
          </cell>
          <cell r="EF1461">
            <v>62181902</v>
          </cell>
          <cell r="EG1461">
            <v>18282829.57</v>
          </cell>
        </row>
        <row r="1462">
          <cell r="B1462">
            <v>6597068</v>
          </cell>
          <cell r="EE1462">
            <v>0</v>
          </cell>
          <cell r="EF1462">
            <v>0</v>
          </cell>
          <cell r="EG1462">
            <v>0</v>
          </cell>
        </row>
        <row r="1463">
          <cell r="B1463">
            <v>2772388</v>
          </cell>
          <cell r="EE1463">
            <v>41607993.616998993</v>
          </cell>
          <cell r="EF1463">
            <v>0</v>
          </cell>
          <cell r="EG1463">
            <v>41607993.616998993</v>
          </cell>
        </row>
        <row r="1464">
          <cell r="B1464">
            <v>8376204</v>
          </cell>
          <cell r="EE1464">
            <v>1045260</v>
          </cell>
          <cell r="EF1464">
            <v>885600</v>
          </cell>
          <cell r="EG1464">
            <v>159660</v>
          </cell>
        </row>
        <row r="1465">
          <cell r="B1465">
            <v>6112455</v>
          </cell>
          <cell r="EE1465">
            <v>0</v>
          </cell>
          <cell r="EF1465">
            <v>0</v>
          </cell>
          <cell r="EG1465">
            <v>0</v>
          </cell>
        </row>
        <row r="1466">
          <cell r="B1466">
            <v>6573517</v>
          </cell>
          <cell r="EE1466">
            <v>0</v>
          </cell>
          <cell r="EF1466">
            <v>0</v>
          </cell>
          <cell r="EG1466">
            <v>0</v>
          </cell>
        </row>
        <row r="1467">
          <cell r="B1467">
            <v>2826143</v>
          </cell>
          <cell r="EE1467">
            <v>275583723.41999996</v>
          </cell>
          <cell r="EF1467">
            <v>0</v>
          </cell>
          <cell r="EG1467">
            <v>275583723.41999996</v>
          </cell>
        </row>
        <row r="1468">
          <cell r="B1468">
            <v>3070891</v>
          </cell>
          <cell r="EE1468">
            <v>834700</v>
          </cell>
          <cell r="EF1468">
            <v>0</v>
          </cell>
          <cell r="EG1468">
            <v>834700</v>
          </cell>
        </row>
        <row r="1469">
          <cell r="B1469">
            <v>5961866</v>
          </cell>
          <cell r="EE1469">
            <v>0</v>
          </cell>
          <cell r="EF1469">
            <v>0</v>
          </cell>
          <cell r="EG1469">
            <v>0</v>
          </cell>
        </row>
        <row r="1470">
          <cell r="B1470">
            <v>5279216</v>
          </cell>
          <cell r="EE1470">
            <v>41704607.460000001</v>
          </cell>
          <cell r="EF1470">
            <v>26092862</v>
          </cell>
          <cell r="EG1470">
            <v>15611745.460000001</v>
          </cell>
        </row>
        <row r="1471">
          <cell r="B1471">
            <v>5011965</v>
          </cell>
          <cell r="EE1471">
            <v>0</v>
          </cell>
          <cell r="EF1471">
            <v>14203113</v>
          </cell>
          <cell r="EG1471">
            <v>-14203113</v>
          </cell>
        </row>
        <row r="1472">
          <cell r="B1472">
            <v>5513618</v>
          </cell>
          <cell r="EE1472">
            <v>1006795351.3200001</v>
          </cell>
          <cell r="EF1472">
            <v>3159533</v>
          </cell>
          <cell r="EG1472">
            <v>1003635818.3200001</v>
          </cell>
        </row>
        <row r="1473">
          <cell r="B1473">
            <v>5791243</v>
          </cell>
          <cell r="EE1473">
            <v>0</v>
          </cell>
          <cell r="EF1473">
            <v>0</v>
          </cell>
          <cell r="EG1473">
            <v>0</v>
          </cell>
        </row>
        <row r="1474">
          <cell r="B1474">
            <v>5720087</v>
          </cell>
          <cell r="EE1474">
            <v>0</v>
          </cell>
          <cell r="EF1474">
            <v>25269803</v>
          </cell>
          <cell r="EG1474">
            <v>-25269803</v>
          </cell>
        </row>
        <row r="1475">
          <cell r="B1475">
            <v>5801079</v>
          </cell>
          <cell r="EE1475">
            <v>6415500</v>
          </cell>
          <cell r="EF1475">
            <v>0</v>
          </cell>
          <cell r="EG1475">
            <v>6415500</v>
          </cell>
        </row>
        <row r="1476">
          <cell r="B1476">
            <v>5087023</v>
          </cell>
          <cell r="EE1476">
            <v>0</v>
          </cell>
          <cell r="EF1476">
            <v>0</v>
          </cell>
          <cell r="EG1476">
            <v>0</v>
          </cell>
        </row>
        <row r="1477">
          <cell r="B1477">
            <v>5965403</v>
          </cell>
          <cell r="EE1477">
            <v>0</v>
          </cell>
          <cell r="EF1477">
            <v>0</v>
          </cell>
          <cell r="EG1477">
            <v>0</v>
          </cell>
        </row>
        <row r="1478">
          <cell r="B1478">
            <v>5968216</v>
          </cell>
          <cell r="EE1478">
            <v>0</v>
          </cell>
          <cell r="EF1478">
            <v>0</v>
          </cell>
          <cell r="EG1478">
            <v>0</v>
          </cell>
        </row>
        <row r="1479">
          <cell r="B1479">
            <v>5338085</v>
          </cell>
          <cell r="EE1479">
            <v>45400000</v>
          </cell>
          <cell r="EF1479">
            <v>0</v>
          </cell>
          <cell r="EG1479">
            <v>45400000</v>
          </cell>
        </row>
        <row r="1480">
          <cell r="B1480">
            <v>5577349</v>
          </cell>
          <cell r="EE1480">
            <v>32828857.349999998</v>
          </cell>
          <cell r="EF1480">
            <v>30541669</v>
          </cell>
          <cell r="EG1480">
            <v>2287188.3499999992</v>
          </cell>
        </row>
        <row r="1481">
          <cell r="B1481">
            <v>6147232</v>
          </cell>
          <cell r="EE1481">
            <v>0</v>
          </cell>
          <cell r="EF1481">
            <v>0</v>
          </cell>
          <cell r="EG1481">
            <v>0</v>
          </cell>
        </row>
        <row r="1482">
          <cell r="B1482">
            <v>2807459</v>
          </cell>
          <cell r="EE1482">
            <v>6694616092.7858858</v>
          </cell>
          <cell r="EF1482">
            <v>464143480</v>
          </cell>
          <cell r="EG1482">
            <v>6230472612.7858858</v>
          </cell>
        </row>
        <row r="1483">
          <cell r="B1483">
            <v>5472989</v>
          </cell>
          <cell r="EE1483">
            <v>0</v>
          </cell>
          <cell r="EF1483">
            <v>0</v>
          </cell>
          <cell r="EG1483">
            <v>0</v>
          </cell>
        </row>
        <row r="1484">
          <cell r="B1484">
            <v>5715709</v>
          </cell>
          <cell r="EE1484">
            <v>10532783.17</v>
          </cell>
          <cell r="EF1484">
            <v>0</v>
          </cell>
          <cell r="EG1484">
            <v>10532783.17</v>
          </cell>
        </row>
        <row r="1485">
          <cell r="B1485">
            <v>5913934</v>
          </cell>
          <cell r="EE1485">
            <v>204.6</v>
          </cell>
          <cell r="EF1485">
            <v>0</v>
          </cell>
          <cell r="EG1485">
            <v>204.6</v>
          </cell>
        </row>
        <row r="1486">
          <cell r="B1486">
            <v>6958737</v>
          </cell>
          <cell r="EE1486">
            <v>0</v>
          </cell>
          <cell r="EF1486">
            <v>0</v>
          </cell>
          <cell r="EG1486">
            <v>0</v>
          </cell>
        </row>
        <row r="1487">
          <cell r="B1487">
            <v>5847109</v>
          </cell>
          <cell r="EE1487">
            <v>0</v>
          </cell>
          <cell r="EF1487">
            <v>0</v>
          </cell>
          <cell r="EG1487">
            <v>0</v>
          </cell>
        </row>
        <row r="1488">
          <cell r="B1488">
            <v>5992567</v>
          </cell>
          <cell r="EE1488">
            <v>0</v>
          </cell>
          <cell r="EF1488">
            <v>0</v>
          </cell>
          <cell r="EG1488">
            <v>0</v>
          </cell>
        </row>
        <row r="1489">
          <cell r="B1489">
            <v>5002311</v>
          </cell>
          <cell r="EE1489">
            <v>122976925.42</v>
          </cell>
          <cell r="EF1489">
            <v>364673065</v>
          </cell>
          <cell r="EG1489">
            <v>-241696139.57999998</v>
          </cell>
        </row>
        <row r="1490">
          <cell r="B1490">
            <v>5339022</v>
          </cell>
          <cell r="EE1490">
            <v>126323617.88469599</v>
          </cell>
          <cell r="EF1490">
            <v>0</v>
          </cell>
          <cell r="EG1490">
            <v>126323617.88469599</v>
          </cell>
        </row>
        <row r="1491">
          <cell r="B1491">
            <v>6766099</v>
          </cell>
          <cell r="EE1491">
            <v>0</v>
          </cell>
          <cell r="EF1491">
            <v>73588</v>
          </cell>
          <cell r="EG1491">
            <v>-73588</v>
          </cell>
        </row>
        <row r="1492">
          <cell r="B1492">
            <v>5945038</v>
          </cell>
          <cell r="EE1492">
            <v>0</v>
          </cell>
          <cell r="EF1492">
            <v>0</v>
          </cell>
          <cell r="EG1492">
            <v>0</v>
          </cell>
        </row>
        <row r="1493">
          <cell r="B1493">
            <v>5914361</v>
          </cell>
          <cell r="EE1493">
            <v>0</v>
          </cell>
          <cell r="EF1493">
            <v>0</v>
          </cell>
          <cell r="EG1493">
            <v>0</v>
          </cell>
        </row>
        <row r="1494">
          <cell r="B1494">
            <v>5112389</v>
          </cell>
          <cell r="EE1494">
            <v>0</v>
          </cell>
          <cell r="EF1494">
            <v>6580300</v>
          </cell>
          <cell r="EG1494">
            <v>-6580300</v>
          </cell>
        </row>
        <row r="1495">
          <cell r="B1495">
            <v>3061507</v>
          </cell>
          <cell r="EE1495">
            <v>21544394.719999999</v>
          </cell>
          <cell r="EF1495">
            <v>0</v>
          </cell>
          <cell r="EG1495">
            <v>21544394.719999999</v>
          </cell>
        </row>
        <row r="1496">
          <cell r="B1496">
            <v>5258839</v>
          </cell>
          <cell r="EE1496">
            <v>0</v>
          </cell>
          <cell r="EF1496">
            <v>0</v>
          </cell>
          <cell r="EG1496">
            <v>0</v>
          </cell>
        </row>
        <row r="1497">
          <cell r="B1497">
            <v>5840775</v>
          </cell>
          <cell r="EE1497">
            <v>0</v>
          </cell>
          <cell r="EF1497">
            <v>0</v>
          </cell>
          <cell r="EG1497">
            <v>0</v>
          </cell>
        </row>
        <row r="1498">
          <cell r="B1498">
            <v>5029635</v>
          </cell>
          <cell r="EE1498">
            <v>552480.88</v>
          </cell>
          <cell r="EF1498">
            <v>0</v>
          </cell>
          <cell r="EG1498">
            <v>552480.88</v>
          </cell>
        </row>
        <row r="1499">
          <cell r="B1499">
            <v>2872943</v>
          </cell>
          <cell r="EE1499">
            <v>2687075698.0576248</v>
          </cell>
          <cell r="EF1499">
            <v>4474873684</v>
          </cell>
          <cell r="EG1499">
            <v>-1787797985.9423749</v>
          </cell>
        </row>
        <row r="1500">
          <cell r="B1500">
            <v>5262763</v>
          </cell>
          <cell r="EE1500">
            <v>58800</v>
          </cell>
          <cell r="EF1500">
            <v>0</v>
          </cell>
          <cell r="EG1500">
            <v>58800</v>
          </cell>
        </row>
        <row r="1501">
          <cell r="B1501">
            <v>2763389</v>
          </cell>
          <cell r="EE1501">
            <v>0</v>
          </cell>
          <cell r="EF1501">
            <v>3485500</v>
          </cell>
          <cell r="EG1501">
            <v>-3485500</v>
          </cell>
        </row>
        <row r="1502">
          <cell r="B1502">
            <v>3061167</v>
          </cell>
          <cell r="EE1502">
            <v>20775073.16</v>
          </cell>
          <cell r="EF1502">
            <v>0</v>
          </cell>
          <cell r="EG1502">
            <v>20775073.16</v>
          </cell>
        </row>
        <row r="1503">
          <cell r="B1503">
            <v>5488729</v>
          </cell>
          <cell r="EE1503">
            <v>0</v>
          </cell>
          <cell r="EF1503">
            <v>0</v>
          </cell>
          <cell r="EG1503">
            <v>0</v>
          </cell>
        </row>
        <row r="1504">
          <cell r="B1504">
            <v>4001575</v>
          </cell>
          <cell r="EE1504">
            <v>99551243.683079004</v>
          </cell>
          <cell r="EF1504">
            <v>0</v>
          </cell>
          <cell r="EG1504">
            <v>99551243.683079004</v>
          </cell>
        </row>
        <row r="1505">
          <cell r="B1505">
            <v>6268048</v>
          </cell>
          <cell r="EE1505">
            <v>1408368918.5034699</v>
          </cell>
          <cell r="EF1505">
            <v>2399986509</v>
          </cell>
          <cell r="EG1505">
            <v>-991617590.49653006</v>
          </cell>
        </row>
        <row r="1506">
          <cell r="B1506">
            <v>5185181</v>
          </cell>
          <cell r="EE1506">
            <v>6342093</v>
          </cell>
          <cell r="EF1506">
            <v>614877513</v>
          </cell>
          <cell r="EG1506">
            <v>-608535420</v>
          </cell>
        </row>
        <row r="1507">
          <cell r="B1507">
            <v>5055075</v>
          </cell>
          <cell r="EE1507">
            <v>0</v>
          </cell>
          <cell r="EF1507">
            <v>0</v>
          </cell>
          <cell r="EG1507">
            <v>0</v>
          </cell>
        </row>
        <row r="1508">
          <cell r="B1508">
            <v>5226627</v>
          </cell>
          <cell r="EE1508">
            <v>435640</v>
          </cell>
          <cell r="EF1508">
            <v>0</v>
          </cell>
          <cell r="EG1508">
            <v>435640</v>
          </cell>
        </row>
        <row r="1509">
          <cell r="B1509">
            <v>4094379</v>
          </cell>
          <cell r="EE1509">
            <v>0</v>
          </cell>
          <cell r="EF1509">
            <v>0</v>
          </cell>
          <cell r="EG1509">
            <v>0</v>
          </cell>
        </row>
        <row r="1510">
          <cell r="B1510">
            <v>6663931</v>
          </cell>
          <cell r="EE1510">
            <v>0</v>
          </cell>
          <cell r="EF1510">
            <v>0</v>
          </cell>
          <cell r="EG1510">
            <v>0</v>
          </cell>
        </row>
        <row r="1511">
          <cell r="B1511">
            <v>5551595</v>
          </cell>
          <cell r="EE1511">
            <v>808170535.81999993</v>
          </cell>
          <cell r="EF1511">
            <v>0</v>
          </cell>
          <cell r="EG1511">
            <v>808170535.81999993</v>
          </cell>
        </row>
        <row r="1512">
          <cell r="B1512">
            <v>3369978</v>
          </cell>
          <cell r="EE1512">
            <v>0</v>
          </cell>
          <cell r="EF1512">
            <v>0</v>
          </cell>
          <cell r="EG1512">
            <v>0</v>
          </cell>
        </row>
        <row r="1513">
          <cell r="B1513">
            <v>5263069</v>
          </cell>
          <cell r="EE1513">
            <v>0</v>
          </cell>
          <cell r="EF1513">
            <v>859125</v>
          </cell>
          <cell r="EG1513">
            <v>-859125</v>
          </cell>
        </row>
        <row r="1514">
          <cell r="B1514">
            <v>8292016</v>
          </cell>
          <cell r="EE1514">
            <v>0</v>
          </cell>
          <cell r="EF1514">
            <v>0</v>
          </cell>
          <cell r="EG1514">
            <v>0</v>
          </cell>
        </row>
        <row r="1515">
          <cell r="B1515">
            <v>2028565</v>
          </cell>
          <cell r="EE1515">
            <v>16424665</v>
          </cell>
          <cell r="EF1515">
            <v>0</v>
          </cell>
          <cell r="EG1515">
            <v>16424665</v>
          </cell>
        </row>
        <row r="1516">
          <cell r="B1516">
            <v>6172229</v>
          </cell>
          <cell r="EE1516">
            <v>0</v>
          </cell>
          <cell r="EF1516">
            <v>0</v>
          </cell>
          <cell r="EG1516">
            <v>0</v>
          </cell>
        </row>
        <row r="1517">
          <cell r="B1517">
            <v>2873575</v>
          </cell>
          <cell r="EE1517">
            <v>1615264.54</v>
          </cell>
          <cell r="EF1517">
            <v>0</v>
          </cell>
          <cell r="EG1517">
            <v>1615264.54</v>
          </cell>
        </row>
        <row r="1518">
          <cell r="B1518">
            <v>5101158</v>
          </cell>
          <cell r="EE1518">
            <v>61150396.370000005</v>
          </cell>
          <cell r="EF1518">
            <v>0</v>
          </cell>
          <cell r="EG1518">
            <v>61150396.370000005</v>
          </cell>
        </row>
        <row r="1519">
          <cell r="B1519">
            <v>6351069</v>
          </cell>
          <cell r="EE1519">
            <v>0</v>
          </cell>
          <cell r="EF1519">
            <v>0</v>
          </cell>
          <cell r="EG1519">
            <v>0</v>
          </cell>
        </row>
        <row r="1520">
          <cell r="B1520">
            <v>6130062</v>
          </cell>
          <cell r="EE1520">
            <v>45001000</v>
          </cell>
          <cell r="EF1520">
            <v>3612240</v>
          </cell>
          <cell r="EG1520">
            <v>41388760</v>
          </cell>
        </row>
        <row r="1521">
          <cell r="B1521">
            <v>6160212</v>
          </cell>
          <cell r="EE1521">
            <v>6543880</v>
          </cell>
          <cell r="EF1521">
            <v>44554615</v>
          </cell>
          <cell r="EG1521">
            <v>-38010735</v>
          </cell>
        </row>
        <row r="1522">
          <cell r="B1522">
            <v>5591899</v>
          </cell>
          <cell r="EE1522">
            <v>0</v>
          </cell>
          <cell r="EF1522">
            <v>0</v>
          </cell>
          <cell r="EG1522">
            <v>0</v>
          </cell>
        </row>
        <row r="1523">
          <cell r="B1523">
            <v>5200288</v>
          </cell>
          <cell r="EE1523">
            <v>14009673.449999999</v>
          </cell>
          <cell r="EF1523">
            <v>64624680</v>
          </cell>
          <cell r="EG1523">
            <v>-50615006.549999997</v>
          </cell>
        </row>
        <row r="1524">
          <cell r="B1524">
            <v>2107961</v>
          </cell>
          <cell r="EE1524">
            <v>0</v>
          </cell>
          <cell r="EF1524">
            <v>0</v>
          </cell>
          <cell r="EG1524">
            <v>0</v>
          </cell>
        </row>
        <row r="1525">
          <cell r="B1525">
            <v>5087414</v>
          </cell>
          <cell r="EE1525">
            <v>0</v>
          </cell>
          <cell r="EF1525">
            <v>5560100</v>
          </cell>
          <cell r="EG1525">
            <v>-5560100</v>
          </cell>
        </row>
        <row r="1526">
          <cell r="B1526">
            <v>5157846</v>
          </cell>
          <cell r="EE1526">
            <v>0</v>
          </cell>
          <cell r="EF1526">
            <v>0</v>
          </cell>
          <cell r="EG1526">
            <v>0</v>
          </cell>
        </row>
        <row r="1527">
          <cell r="B1527">
            <v>5959578</v>
          </cell>
          <cell r="EE1527">
            <v>0</v>
          </cell>
          <cell r="EF1527">
            <v>0</v>
          </cell>
          <cell r="EG1527">
            <v>0</v>
          </cell>
        </row>
        <row r="1528">
          <cell r="B1528">
            <v>5961971</v>
          </cell>
          <cell r="EE1528">
            <v>0</v>
          </cell>
          <cell r="EF1528">
            <v>0</v>
          </cell>
          <cell r="EG1528">
            <v>0</v>
          </cell>
        </row>
        <row r="1529">
          <cell r="B1529">
            <v>5584345</v>
          </cell>
          <cell r="EE1529">
            <v>0</v>
          </cell>
          <cell r="EF1529">
            <v>0</v>
          </cell>
          <cell r="EG1529">
            <v>0</v>
          </cell>
        </row>
        <row r="1530">
          <cell r="B1530">
            <v>2776758</v>
          </cell>
          <cell r="EE1530">
            <v>0</v>
          </cell>
          <cell r="EF1530">
            <v>0</v>
          </cell>
          <cell r="EG1530">
            <v>0</v>
          </cell>
        </row>
        <row r="1531">
          <cell r="B1531">
            <v>5943329</v>
          </cell>
          <cell r="EE1531">
            <v>0</v>
          </cell>
          <cell r="EF1531">
            <v>0</v>
          </cell>
          <cell r="EG1531">
            <v>0</v>
          </cell>
        </row>
        <row r="1532">
          <cell r="B1532">
            <v>2028239</v>
          </cell>
          <cell r="EE1532">
            <v>0</v>
          </cell>
          <cell r="EF1532">
            <v>0</v>
          </cell>
          <cell r="EG1532">
            <v>0</v>
          </cell>
        </row>
        <row r="1533">
          <cell r="B1533">
            <v>2573253</v>
          </cell>
          <cell r="EE1533">
            <v>0</v>
          </cell>
          <cell r="EF1533">
            <v>0</v>
          </cell>
          <cell r="EG1533">
            <v>0</v>
          </cell>
        </row>
        <row r="1534">
          <cell r="B1534">
            <v>2033607</v>
          </cell>
          <cell r="EE1534">
            <v>188541.72</v>
          </cell>
          <cell r="EF1534">
            <v>0</v>
          </cell>
          <cell r="EG1534">
            <v>188541.72</v>
          </cell>
        </row>
        <row r="1535">
          <cell r="B1535">
            <v>5981182</v>
          </cell>
          <cell r="EE1535">
            <v>312800</v>
          </cell>
          <cell r="EF1535">
            <v>0</v>
          </cell>
          <cell r="EG1535">
            <v>312800</v>
          </cell>
        </row>
        <row r="1536">
          <cell r="B1536">
            <v>5116635</v>
          </cell>
          <cell r="EE1536">
            <v>0</v>
          </cell>
          <cell r="EF1536">
            <v>12418815</v>
          </cell>
          <cell r="EG1536">
            <v>-12418815</v>
          </cell>
        </row>
        <row r="1537">
          <cell r="B1537">
            <v>5744563</v>
          </cell>
          <cell r="EE1537">
            <v>3710400</v>
          </cell>
          <cell r="EF1537">
            <v>0</v>
          </cell>
          <cell r="EG1537">
            <v>3710400</v>
          </cell>
        </row>
        <row r="1538">
          <cell r="B1538">
            <v>6848958</v>
          </cell>
          <cell r="EE1538">
            <v>0</v>
          </cell>
          <cell r="EF1538">
            <v>0</v>
          </cell>
          <cell r="EG1538">
            <v>0</v>
          </cell>
        </row>
        <row r="1539">
          <cell r="B1539">
            <v>4280474</v>
          </cell>
          <cell r="EE1539">
            <v>47611712.659999996</v>
          </cell>
          <cell r="EF1539">
            <v>41</v>
          </cell>
          <cell r="EG1539">
            <v>47611671.659999996</v>
          </cell>
        </row>
        <row r="1540">
          <cell r="B1540">
            <v>5874963</v>
          </cell>
          <cell r="EE1540">
            <v>2082199808.494</v>
          </cell>
          <cell r="EF1540">
            <v>1671613660</v>
          </cell>
          <cell r="EG1540">
            <v>410586148.49399996</v>
          </cell>
        </row>
        <row r="1541">
          <cell r="B1541">
            <v>6995071</v>
          </cell>
          <cell r="EE1541">
            <v>0</v>
          </cell>
          <cell r="EF1541">
            <v>19912923</v>
          </cell>
          <cell r="EG1541">
            <v>-19912923</v>
          </cell>
        </row>
        <row r="1542">
          <cell r="B1542">
            <v>3396509</v>
          </cell>
          <cell r="EE1542">
            <v>0</v>
          </cell>
          <cell r="EF1542">
            <v>0</v>
          </cell>
          <cell r="EG1542">
            <v>0</v>
          </cell>
        </row>
        <row r="1543">
          <cell r="B1543">
            <v>5980178</v>
          </cell>
          <cell r="EE1543">
            <v>5968650</v>
          </cell>
          <cell r="EF1543">
            <v>0</v>
          </cell>
          <cell r="EG1543">
            <v>5968650</v>
          </cell>
        </row>
        <row r="1544">
          <cell r="B1544">
            <v>5504961</v>
          </cell>
          <cell r="EE1544">
            <v>0</v>
          </cell>
          <cell r="EF1544">
            <v>0</v>
          </cell>
          <cell r="EG1544">
            <v>0</v>
          </cell>
        </row>
        <row r="1545">
          <cell r="B1545">
            <v>2656523</v>
          </cell>
          <cell r="EE1545">
            <v>178236760.72999999</v>
          </cell>
          <cell r="EF1545">
            <v>173933</v>
          </cell>
          <cell r="EG1545">
            <v>178062827.72999999</v>
          </cell>
        </row>
        <row r="1546">
          <cell r="B1546">
            <v>5882249</v>
          </cell>
          <cell r="EE1546">
            <v>5000000</v>
          </cell>
          <cell r="EF1546">
            <v>0</v>
          </cell>
          <cell r="EG1546">
            <v>5000000</v>
          </cell>
        </row>
        <row r="1547">
          <cell r="B1547">
            <v>5171873</v>
          </cell>
          <cell r="EE1547">
            <v>0</v>
          </cell>
          <cell r="EF1547">
            <v>0</v>
          </cell>
          <cell r="EG1547">
            <v>0</v>
          </cell>
        </row>
        <row r="1548">
          <cell r="B1548">
            <v>5547938</v>
          </cell>
          <cell r="EE1548">
            <v>22343271.039999999</v>
          </cell>
          <cell r="EF1548">
            <v>39587</v>
          </cell>
          <cell r="EG1548">
            <v>22303684.039999999</v>
          </cell>
        </row>
        <row r="1549">
          <cell r="B1549">
            <v>2773791</v>
          </cell>
          <cell r="EE1549">
            <v>24808290.77</v>
          </cell>
          <cell r="EF1549">
            <v>0</v>
          </cell>
          <cell r="EG1549">
            <v>24808290.77</v>
          </cell>
        </row>
        <row r="1550">
          <cell r="B1550">
            <v>2714809</v>
          </cell>
          <cell r="EE1550">
            <v>153976731</v>
          </cell>
          <cell r="EF1550">
            <v>0</v>
          </cell>
          <cell r="EG1550">
            <v>153976731</v>
          </cell>
        </row>
        <row r="1551">
          <cell r="B1551">
            <v>5379334</v>
          </cell>
          <cell r="EE1551">
            <v>715587145.84000003</v>
          </cell>
          <cell r="EF1551">
            <v>11670763</v>
          </cell>
          <cell r="EG1551">
            <v>703916382.84000003</v>
          </cell>
        </row>
        <row r="1552">
          <cell r="B1552">
            <v>6636624</v>
          </cell>
          <cell r="EE1552">
            <v>0</v>
          </cell>
          <cell r="EF1552">
            <v>0</v>
          </cell>
          <cell r="EG1552">
            <v>0</v>
          </cell>
        </row>
        <row r="1553">
          <cell r="B1553">
            <v>6369839</v>
          </cell>
          <cell r="EE1553">
            <v>0</v>
          </cell>
          <cell r="EF1553">
            <v>0</v>
          </cell>
          <cell r="EG1553">
            <v>0</v>
          </cell>
        </row>
        <row r="1554">
          <cell r="B1554">
            <v>2546574</v>
          </cell>
          <cell r="EE1554">
            <v>0</v>
          </cell>
          <cell r="EF1554">
            <v>0</v>
          </cell>
          <cell r="EG1554">
            <v>0</v>
          </cell>
        </row>
        <row r="1555">
          <cell r="B1555">
            <v>3437531</v>
          </cell>
          <cell r="EE1555">
            <v>0</v>
          </cell>
          <cell r="EF1555">
            <v>0</v>
          </cell>
          <cell r="EG1555">
            <v>0</v>
          </cell>
        </row>
        <row r="1556">
          <cell r="B1556">
            <v>2063158</v>
          </cell>
          <cell r="EE1556">
            <v>24910326.77</v>
          </cell>
          <cell r="EF1556">
            <v>0</v>
          </cell>
          <cell r="EG1556">
            <v>24910326.77</v>
          </cell>
        </row>
        <row r="1557">
          <cell r="B1557">
            <v>2639815</v>
          </cell>
          <cell r="EE1557">
            <v>0</v>
          </cell>
          <cell r="EF1557">
            <v>0</v>
          </cell>
          <cell r="EG1557">
            <v>0</v>
          </cell>
        </row>
        <row r="1558">
          <cell r="B1558">
            <v>3428052</v>
          </cell>
          <cell r="EE1558">
            <v>0</v>
          </cell>
          <cell r="EF1558">
            <v>12483195</v>
          </cell>
          <cell r="EG1558">
            <v>-12483195</v>
          </cell>
        </row>
        <row r="1559">
          <cell r="B1559">
            <v>5320259</v>
          </cell>
          <cell r="EE1559">
            <v>1581433993.6566269</v>
          </cell>
          <cell r="EF1559">
            <v>20088267</v>
          </cell>
          <cell r="EG1559">
            <v>1561345726.6566269</v>
          </cell>
        </row>
        <row r="1560">
          <cell r="B1560">
            <v>2051273</v>
          </cell>
          <cell r="EE1560">
            <v>84054969.277400002</v>
          </cell>
          <cell r="EF1560">
            <v>83666054</v>
          </cell>
          <cell r="EG1560">
            <v>388915.27740000188</v>
          </cell>
        </row>
        <row r="1561">
          <cell r="B1561">
            <v>5095034</v>
          </cell>
          <cell r="EE1561">
            <v>1945095</v>
          </cell>
          <cell r="EF1561">
            <v>0</v>
          </cell>
          <cell r="EG1561">
            <v>1945095</v>
          </cell>
        </row>
        <row r="1562">
          <cell r="B1562">
            <v>5637945</v>
          </cell>
          <cell r="EE1562">
            <v>736139436.72000003</v>
          </cell>
          <cell r="EF1562">
            <v>0</v>
          </cell>
          <cell r="EG1562">
            <v>736139436.72000003</v>
          </cell>
        </row>
        <row r="1563">
          <cell r="B1563">
            <v>5315204</v>
          </cell>
          <cell r="EE1563">
            <v>0</v>
          </cell>
          <cell r="EF1563">
            <v>0</v>
          </cell>
          <cell r="EG1563">
            <v>0</v>
          </cell>
        </row>
        <row r="1564">
          <cell r="B1564">
            <v>5448964</v>
          </cell>
          <cell r="EE1564">
            <v>0</v>
          </cell>
          <cell r="EF1564">
            <v>0</v>
          </cell>
          <cell r="EG1564">
            <v>0</v>
          </cell>
        </row>
        <row r="1565">
          <cell r="B1565">
            <v>5132649</v>
          </cell>
          <cell r="EE1565">
            <v>0</v>
          </cell>
          <cell r="EF1565">
            <v>23591573</v>
          </cell>
          <cell r="EG1565">
            <v>-23591573</v>
          </cell>
        </row>
        <row r="1566">
          <cell r="B1566">
            <v>2839717</v>
          </cell>
          <cell r="EE1566">
            <v>4392854196.4858713</v>
          </cell>
          <cell r="EF1566">
            <v>4509121941</v>
          </cell>
          <cell r="EG1566">
            <v>-116267744.5141291</v>
          </cell>
        </row>
        <row r="1567">
          <cell r="B1567">
            <v>2729016</v>
          </cell>
          <cell r="EE1567">
            <v>0</v>
          </cell>
          <cell r="EF1567">
            <v>0</v>
          </cell>
          <cell r="EG1567">
            <v>0</v>
          </cell>
        </row>
        <row r="1568">
          <cell r="B1568">
            <v>5152542</v>
          </cell>
          <cell r="EE1568">
            <v>5000000</v>
          </cell>
          <cell r="EF1568">
            <v>53932234</v>
          </cell>
          <cell r="EG1568">
            <v>-48932234</v>
          </cell>
        </row>
        <row r="1569">
          <cell r="B1569">
            <v>5057035</v>
          </cell>
          <cell r="EE1569">
            <v>0</v>
          </cell>
          <cell r="EF1569">
            <v>28178515</v>
          </cell>
          <cell r="EG1569">
            <v>-28178515</v>
          </cell>
        </row>
        <row r="1570">
          <cell r="B1570">
            <v>5012821</v>
          </cell>
          <cell r="EE1570">
            <v>0</v>
          </cell>
          <cell r="EF1570">
            <v>0</v>
          </cell>
          <cell r="EG1570">
            <v>0</v>
          </cell>
        </row>
        <row r="1571">
          <cell r="B1571">
            <v>2582457</v>
          </cell>
          <cell r="EE1571">
            <v>536221231.45523703</v>
          </cell>
          <cell r="EF1571">
            <v>0</v>
          </cell>
          <cell r="EG1571">
            <v>536221231.45523703</v>
          </cell>
        </row>
        <row r="1572">
          <cell r="B1572">
            <v>4396286</v>
          </cell>
          <cell r="EE1572">
            <v>930060912.69371104</v>
          </cell>
          <cell r="EF1572">
            <v>0</v>
          </cell>
          <cell r="EG1572">
            <v>930060912.69371104</v>
          </cell>
        </row>
        <row r="1573">
          <cell r="B1573">
            <v>5251907</v>
          </cell>
          <cell r="EE1573">
            <v>0</v>
          </cell>
          <cell r="EF1573">
            <v>0</v>
          </cell>
          <cell r="EG1573">
            <v>0</v>
          </cell>
        </row>
        <row r="1574">
          <cell r="B1574">
            <v>6030343</v>
          </cell>
          <cell r="EE1574">
            <v>78822874.939999998</v>
          </cell>
          <cell r="EF1574">
            <v>0</v>
          </cell>
          <cell r="EG1574">
            <v>78822874.939999998</v>
          </cell>
        </row>
        <row r="1575">
          <cell r="B1575">
            <v>6041132</v>
          </cell>
          <cell r="EE1575">
            <v>17630580</v>
          </cell>
          <cell r="EF1575">
            <v>12187496</v>
          </cell>
          <cell r="EG1575">
            <v>5443084</v>
          </cell>
        </row>
        <row r="1576">
          <cell r="B1576">
            <v>5153271</v>
          </cell>
          <cell r="EE1576">
            <v>420000</v>
          </cell>
          <cell r="EF1576">
            <v>0</v>
          </cell>
          <cell r="EG1576">
            <v>420000</v>
          </cell>
        </row>
        <row r="1577">
          <cell r="B1577">
            <v>5453534</v>
          </cell>
          <cell r="EE1577">
            <v>275831419.66252303</v>
          </cell>
          <cell r="EF1577">
            <v>6920000</v>
          </cell>
          <cell r="EG1577">
            <v>268911419.66252303</v>
          </cell>
        </row>
        <row r="1578">
          <cell r="B1578">
            <v>2787822</v>
          </cell>
          <cell r="EE1578">
            <v>0</v>
          </cell>
          <cell r="EF1578">
            <v>2322750</v>
          </cell>
          <cell r="EG1578">
            <v>-2322750</v>
          </cell>
        </row>
        <row r="1579">
          <cell r="B1579">
            <v>4183525</v>
          </cell>
          <cell r="EE1579">
            <v>140403231.56</v>
          </cell>
          <cell r="EF1579">
            <v>0</v>
          </cell>
          <cell r="EG1579">
            <v>140403231.56</v>
          </cell>
        </row>
        <row r="1580">
          <cell r="B1580">
            <v>6472435</v>
          </cell>
          <cell r="EE1580">
            <v>0</v>
          </cell>
          <cell r="EF1580">
            <v>0</v>
          </cell>
          <cell r="EG1580">
            <v>0</v>
          </cell>
        </row>
        <row r="1581">
          <cell r="B1581">
            <v>2848376</v>
          </cell>
          <cell r="EE1581">
            <v>285418208.94036299</v>
          </cell>
          <cell r="EF1581">
            <v>213081221</v>
          </cell>
          <cell r="EG1581">
            <v>72336987.94036299</v>
          </cell>
        </row>
        <row r="1582">
          <cell r="B1582">
            <v>5146852</v>
          </cell>
          <cell r="EE1582">
            <v>0</v>
          </cell>
          <cell r="EF1582">
            <v>0</v>
          </cell>
          <cell r="EG1582">
            <v>0</v>
          </cell>
        </row>
        <row r="1583">
          <cell r="B1583">
            <v>4001222</v>
          </cell>
          <cell r="EE1583">
            <v>10593353.380000001</v>
          </cell>
          <cell r="EF1583">
            <v>144656</v>
          </cell>
          <cell r="EG1583">
            <v>10448697.380000001</v>
          </cell>
        </row>
        <row r="1584">
          <cell r="B1584">
            <v>5517931</v>
          </cell>
          <cell r="EE1584">
            <v>16948575.27</v>
          </cell>
          <cell r="EF1584">
            <v>12759000</v>
          </cell>
          <cell r="EG1584">
            <v>4189575.2700000005</v>
          </cell>
        </row>
        <row r="1585">
          <cell r="B1585">
            <v>5171881</v>
          </cell>
          <cell r="EE1585">
            <v>38746064.100000001</v>
          </cell>
          <cell r="EF1585">
            <v>25375897</v>
          </cell>
          <cell r="EG1585">
            <v>13370167.1</v>
          </cell>
        </row>
        <row r="1586">
          <cell r="B1586">
            <v>5427967</v>
          </cell>
          <cell r="EE1586">
            <v>0</v>
          </cell>
          <cell r="EF1586">
            <v>7823948</v>
          </cell>
          <cell r="EG1586">
            <v>-7823948</v>
          </cell>
        </row>
        <row r="1587">
          <cell r="B1587">
            <v>6183506</v>
          </cell>
          <cell r="EE1587">
            <v>522937953.09749997</v>
          </cell>
          <cell r="EF1587">
            <v>320692041</v>
          </cell>
          <cell r="EG1587">
            <v>202245912.09750003</v>
          </cell>
        </row>
        <row r="1588">
          <cell r="B1588">
            <v>2344343</v>
          </cell>
          <cell r="EE1588">
            <v>1324719116.8</v>
          </cell>
          <cell r="EF1588">
            <v>1248598719</v>
          </cell>
          <cell r="EG1588">
            <v>76120397.799999982</v>
          </cell>
        </row>
        <row r="1589">
          <cell r="B1589">
            <v>5233739</v>
          </cell>
          <cell r="EE1589">
            <v>6174134</v>
          </cell>
          <cell r="EF1589">
            <v>19943498</v>
          </cell>
          <cell r="EG1589">
            <v>-13769364</v>
          </cell>
        </row>
        <row r="1590">
          <cell r="B1590">
            <v>3867242</v>
          </cell>
          <cell r="EE1590">
            <v>0</v>
          </cell>
          <cell r="EF1590">
            <v>0</v>
          </cell>
          <cell r="EG1590">
            <v>0</v>
          </cell>
        </row>
        <row r="1591">
          <cell r="B1591">
            <v>5511712</v>
          </cell>
          <cell r="EE1591">
            <v>266100</v>
          </cell>
          <cell r="EF1591">
            <v>0</v>
          </cell>
          <cell r="EG1591">
            <v>266100</v>
          </cell>
        </row>
        <row r="1592">
          <cell r="B1592">
            <v>6072402</v>
          </cell>
          <cell r="EE1592">
            <v>0</v>
          </cell>
          <cell r="EF1592">
            <v>0</v>
          </cell>
          <cell r="EG1592">
            <v>0</v>
          </cell>
        </row>
        <row r="1593">
          <cell r="B1593">
            <v>5961726</v>
          </cell>
          <cell r="EE1593">
            <v>0</v>
          </cell>
          <cell r="EF1593">
            <v>0</v>
          </cell>
          <cell r="EG1593">
            <v>0</v>
          </cell>
        </row>
        <row r="1594">
          <cell r="B1594">
            <v>2016583</v>
          </cell>
          <cell r="EE1594">
            <v>70490563.860000014</v>
          </cell>
          <cell r="EF1594">
            <v>0</v>
          </cell>
          <cell r="EG1594">
            <v>70490563.860000014</v>
          </cell>
        </row>
        <row r="1595">
          <cell r="B1595">
            <v>6377629</v>
          </cell>
          <cell r="EE1595">
            <v>0</v>
          </cell>
          <cell r="EF1595">
            <v>0</v>
          </cell>
          <cell r="EG1595">
            <v>0</v>
          </cell>
        </row>
        <row r="1596">
          <cell r="B1596">
            <v>5351324</v>
          </cell>
          <cell r="EE1596">
            <v>0</v>
          </cell>
          <cell r="EF1596">
            <v>0</v>
          </cell>
          <cell r="EG1596">
            <v>0</v>
          </cell>
        </row>
        <row r="1597">
          <cell r="B1597">
            <v>5134021</v>
          </cell>
          <cell r="EE1597">
            <v>16713748.710000001</v>
          </cell>
          <cell r="EF1597">
            <v>0</v>
          </cell>
          <cell r="EG1597">
            <v>16713748.710000001</v>
          </cell>
        </row>
        <row r="1598">
          <cell r="B1598">
            <v>5274761</v>
          </cell>
          <cell r="EE1598">
            <v>266292</v>
          </cell>
          <cell r="EF1598">
            <v>2230814</v>
          </cell>
          <cell r="EG1598">
            <v>-1964522</v>
          </cell>
        </row>
        <row r="1599">
          <cell r="B1599">
            <v>6679439</v>
          </cell>
          <cell r="EE1599">
            <v>0</v>
          </cell>
          <cell r="EF1599">
            <v>540398</v>
          </cell>
          <cell r="EG1599">
            <v>-540398</v>
          </cell>
        </row>
        <row r="1600">
          <cell r="B1600">
            <v>5329434</v>
          </cell>
          <cell r="EE1600">
            <v>0</v>
          </cell>
          <cell r="EF1600">
            <v>0</v>
          </cell>
          <cell r="EG1600">
            <v>0</v>
          </cell>
        </row>
        <row r="1601">
          <cell r="B1601">
            <v>5935024</v>
          </cell>
          <cell r="EE1601">
            <v>3446000</v>
          </cell>
          <cell r="EF1601">
            <v>3120000</v>
          </cell>
          <cell r="EG1601">
            <v>326000</v>
          </cell>
        </row>
        <row r="1602">
          <cell r="B1602">
            <v>5073642</v>
          </cell>
          <cell r="EE1602">
            <v>12947221.33</v>
          </cell>
          <cell r="EF1602">
            <v>8979270</v>
          </cell>
          <cell r="EG1602">
            <v>3967951.33</v>
          </cell>
        </row>
        <row r="1603">
          <cell r="B1603">
            <v>5081335</v>
          </cell>
          <cell r="EE1603">
            <v>3514000</v>
          </cell>
          <cell r="EF1603">
            <v>0</v>
          </cell>
          <cell r="EG1603">
            <v>3514000</v>
          </cell>
        </row>
        <row r="1604">
          <cell r="B1604">
            <v>2873796</v>
          </cell>
          <cell r="EE1604">
            <v>0</v>
          </cell>
          <cell r="EF1604">
            <v>0</v>
          </cell>
          <cell r="EG1604">
            <v>0</v>
          </cell>
        </row>
        <row r="1605">
          <cell r="B1605">
            <v>4410874</v>
          </cell>
          <cell r="EE1605">
            <v>0</v>
          </cell>
          <cell r="EF1605">
            <v>0</v>
          </cell>
          <cell r="EG1605">
            <v>0</v>
          </cell>
        </row>
        <row r="1606">
          <cell r="B1606">
            <v>5185033</v>
          </cell>
          <cell r="EE1606">
            <v>8132045</v>
          </cell>
          <cell r="EF1606">
            <v>2124000</v>
          </cell>
          <cell r="EG1606">
            <v>6008045</v>
          </cell>
        </row>
        <row r="1607">
          <cell r="B1607">
            <v>3642666</v>
          </cell>
          <cell r="EE1607">
            <v>0</v>
          </cell>
          <cell r="EF1607">
            <v>136424</v>
          </cell>
          <cell r="EG1607">
            <v>-136424</v>
          </cell>
        </row>
        <row r="1608">
          <cell r="B1608">
            <v>2697807</v>
          </cell>
          <cell r="EE1608">
            <v>224746025.03</v>
          </cell>
          <cell r="EF1608">
            <v>0</v>
          </cell>
          <cell r="EG1608">
            <v>224746025.03</v>
          </cell>
        </row>
        <row r="1609">
          <cell r="B1609">
            <v>5211816</v>
          </cell>
          <cell r="EE1609">
            <v>3810462.63</v>
          </cell>
          <cell r="EF1609">
            <v>32264833</v>
          </cell>
          <cell r="EG1609">
            <v>-28454370.370000001</v>
          </cell>
        </row>
        <row r="1610">
          <cell r="B1610">
            <v>6369987</v>
          </cell>
          <cell r="EE1610">
            <v>719137968.50999999</v>
          </cell>
          <cell r="EF1610">
            <v>0</v>
          </cell>
          <cell r="EG1610">
            <v>719137968.50999999</v>
          </cell>
        </row>
        <row r="1611">
          <cell r="B1611">
            <v>5980194</v>
          </cell>
          <cell r="EE1611">
            <v>0</v>
          </cell>
          <cell r="EF1611">
            <v>0</v>
          </cell>
          <cell r="EG1611">
            <v>0</v>
          </cell>
        </row>
        <row r="1612">
          <cell r="B1612">
            <v>2819996</v>
          </cell>
          <cell r="EE1612">
            <v>3871284281.3473959</v>
          </cell>
          <cell r="EF1612">
            <v>3455208924</v>
          </cell>
          <cell r="EG1612">
            <v>416075357.34739602</v>
          </cell>
        </row>
        <row r="1613">
          <cell r="B1613">
            <v>2868687</v>
          </cell>
          <cell r="EE1613">
            <v>1041348197.7925931</v>
          </cell>
          <cell r="EF1613">
            <v>24137201</v>
          </cell>
          <cell r="EG1613">
            <v>1017210996.7925931</v>
          </cell>
        </row>
        <row r="1614">
          <cell r="B1614">
            <v>6532721</v>
          </cell>
          <cell r="EE1614">
            <v>0</v>
          </cell>
          <cell r="EF1614">
            <v>0</v>
          </cell>
          <cell r="EG1614">
            <v>0</v>
          </cell>
        </row>
        <row r="1615">
          <cell r="B1615">
            <v>5688256</v>
          </cell>
          <cell r="EE1615">
            <v>0</v>
          </cell>
          <cell r="EF1615">
            <v>774000</v>
          </cell>
          <cell r="EG1615">
            <v>-774000</v>
          </cell>
        </row>
        <row r="1616">
          <cell r="B1616">
            <v>5688604</v>
          </cell>
          <cell r="EE1616">
            <v>8632000.2799999993</v>
          </cell>
          <cell r="EF1616">
            <v>425250</v>
          </cell>
          <cell r="EG1616">
            <v>8206750.2800000003</v>
          </cell>
        </row>
        <row r="1617">
          <cell r="B1617">
            <v>5980208</v>
          </cell>
          <cell r="EE1617">
            <v>0</v>
          </cell>
          <cell r="EF1617">
            <v>20427461</v>
          </cell>
          <cell r="EG1617">
            <v>-20427461</v>
          </cell>
        </row>
        <row r="1618">
          <cell r="B1618">
            <v>2542838</v>
          </cell>
          <cell r="EE1618">
            <v>12988568.470000001</v>
          </cell>
          <cell r="EF1618">
            <v>0</v>
          </cell>
          <cell r="EG1618">
            <v>12988568.470000001</v>
          </cell>
        </row>
        <row r="1619">
          <cell r="B1619">
            <v>8345503</v>
          </cell>
          <cell r="EE1619">
            <v>0</v>
          </cell>
          <cell r="EF1619">
            <v>143255170</v>
          </cell>
          <cell r="EG1619">
            <v>-143255170</v>
          </cell>
        </row>
        <row r="1620">
          <cell r="B1620">
            <v>5372631</v>
          </cell>
          <cell r="EE1620">
            <v>0</v>
          </cell>
          <cell r="EF1620">
            <v>0</v>
          </cell>
          <cell r="EG1620">
            <v>0</v>
          </cell>
        </row>
        <row r="1621">
          <cell r="B1621">
            <v>5096871</v>
          </cell>
          <cell r="EE1621">
            <v>0</v>
          </cell>
          <cell r="EF1621">
            <v>0</v>
          </cell>
          <cell r="EG1621">
            <v>0</v>
          </cell>
        </row>
        <row r="1622">
          <cell r="B1622">
            <v>5631823</v>
          </cell>
          <cell r="EE1622">
            <v>0</v>
          </cell>
          <cell r="EF1622">
            <v>0</v>
          </cell>
          <cell r="EG1622">
            <v>0</v>
          </cell>
        </row>
        <row r="1623">
          <cell r="B1623">
            <v>5778026</v>
          </cell>
          <cell r="EE1623">
            <v>201717.5</v>
          </cell>
          <cell r="EF1623">
            <v>7559910</v>
          </cell>
          <cell r="EG1623">
            <v>-7358192.5</v>
          </cell>
        </row>
        <row r="1624">
          <cell r="B1624">
            <v>5440351</v>
          </cell>
          <cell r="EE1624">
            <v>0</v>
          </cell>
          <cell r="EF1624">
            <v>33266190</v>
          </cell>
          <cell r="EG1624">
            <v>-33266190</v>
          </cell>
        </row>
        <row r="1625">
          <cell r="B1625">
            <v>6249264</v>
          </cell>
          <cell r="EE1625">
            <v>217109027.34089601</v>
          </cell>
          <cell r="EF1625">
            <v>278160288</v>
          </cell>
          <cell r="EG1625">
            <v>-61051260.65910399</v>
          </cell>
        </row>
        <row r="1626">
          <cell r="B1626">
            <v>2885565</v>
          </cell>
          <cell r="EE1626">
            <v>370296398.13999999</v>
          </cell>
          <cell r="EF1626">
            <v>312746065</v>
          </cell>
          <cell r="EG1626">
            <v>57550333.140000015</v>
          </cell>
        </row>
        <row r="1627">
          <cell r="B1627">
            <v>6875025</v>
          </cell>
          <cell r="EE1627">
            <v>2913000</v>
          </cell>
          <cell r="EF1627">
            <v>0</v>
          </cell>
          <cell r="EG1627">
            <v>2913000</v>
          </cell>
        </row>
        <row r="1628">
          <cell r="B1628">
            <v>5067537</v>
          </cell>
          <cell r="EE1628">
            <v>61601389.68</v>
          </cell>
          <cell r="EF1628">
            <v>0</v>
          </cell>
          <cell r="EG1628">
            <v>61601389.68</v>
          </cell>
        </row>
        <row r="1629">
          <cell r="B1629">
            <v>2766868</v>
          </cell>
          <cell r="EE1629">
            <v>3000000</v>
          </cell>
          <cell r="EF1629">
            <v>0</v>
          </cell>
          <cell r="EG1629">
            <v>3000000</v>
          </cell>
        </row>
        <row r="1630">
          <cell r="B1630">
            <v>5097282</v>
          </cell>
          <cell r="EE1630">
            <v>83817000.129999995</v>
          </cell>
          <cell r="EF1630">
            <v>40265700</v>
          </cell>
          <cell r="EG1630">
            <v>43551300.129999995</v>
          </cell>
        </row>
        <row r="1631">
          <cell r="B1631">
            <v>5084512</v>
          </cell>
          <cell r="EE1631">
            <v>0</v>
          </cell>
          <cell r="EF1631">
            <v>0</v>
          </cell>
          <cell r="EG1631">
            <v>0</v>
          </cell>
        </row>
        <row r="1632">
          <cell r="B1632">
            <v>5002109</v>
          </cell>
          <cell r="EE1632">
            <v>223531030.449</v>
          </cell>
          <cell r="EF1632">
            <v>0</v>
          </cell>
          <cell r="EG1632">
            <v>223531030.449</v>
          </cell>
        </row>
        <row r="1633">
          <cell r="B1633">
            <v>5198321</v>
          </cell>
          <cell r="EE1633">
            <v>4921400</v>
          </cell>
          <cell r="EF1633">
            <v>2199450</v>
          </cell>
          <cell r="EG1633">
            <v>2721950</v>
          </cell>
        </row>
        <row r="1634">
          <cell r="B1634">
            <v>5258014</v>
          </cell>
          <cell r="EE1634">
            <v>16331299</v>
          </cell>
          <cell r="EF1634">
            <v>12370820</v>
          </cell>
          <cell r="EG1634">
            <v>3960479</v>
          </cell>
        </row>
        <row r="1635">
          <cell r="B1635">
            <v>6761097</v>
          </cell>
          <cell r="EE1635">
            <v>0</v>
          </cell>
          <cell r="EF1635">
            <v>0</v>
          </cell>
          <cell r="EG1635">
            <v>0</v>
          </cell>
        </row>
        <row r="1636">
          <cell r="B1636">
            <v>5380391</v>
          </cell>
          <cell r="EE1636">
            <v>2500000</v>
          </cell>
          <cell r="EF1636">
            <v>0</v>
          </cell>
          <cell r="EG1636">
            <v>2500000</v>
          </cell>
        </row>
        <row r="1637">
          <cell r="B1637">
            <v>5567319</v>
          </cell>
          <cell r="EE1637">
            <v>196316841.14000002</v>
          </cell>
          <cell r="EF1637">
            <v>0</v>
          </cell>
          <cell r="EG1637">
            <v>196316841.14000002</v>
          </cell>
        </row>
        <row r="1638">
          <cell r="B1638">
            <v>5436303</v>
          </cell>
          <cell r="EE1638">
            <v>0</v>
          </cell>
          <cell r="EF1638">
            <v>0</v>
          </cell>
          <cell r="EG1638">
            <v>0</v>
          </cell>
        </row>
        <row r="1639">
          <cell r="B1639">
            <v>6088759</v>
          </cell>
          <cell r="EE1639">
            <v>54840192.310000002</v>
          </cell>
          <cell r="EF1639">
            <v>43558522</v>
          </cell>
          <cell r="EG1639">
            <v>11281670.310000001</v>
          </cell>
        </row>
        <row r="1640">
          <cell r="B1640">
            <v>8335079</v>
          </cell>
          <cell r="EE1640">
            <v>0</v>
          </cell>
          <cell r="EF1640">
            <v>4271373</v>
          </cell>
          <cell r="EG1640">
            <v>-4271373</v>
          </cell>
        </row>
        <row r="1641">
          <cell r="B1641">
            <v>6173462</v>
          </cell>
          <cell r="EE1641">
            <v>2113480</v>
          </cell>
          <cell r="EF1641">
            <v>35885142</v>
          </cell>
          <cell r="EG1641">
            <v>-33771662</v>
          </cell>
        </row>
        <row r="1642">
          <cell r="B1642">
            <v>5877288</v>
          </cell>
          <cell r="EE1642">
            <v>6541585736.1199999</v>
          </cell>
          <cell r="EF1642">
            <v>6972650189</v>
          </cell>
          <cell r="EG1642">
            <v>-431064452.88000011</v>
          </cell>
        </row>
        <row r="1643">
          <cell r="B1643">
            <v>5298679</v>
          </cell>
          <cell r="EE1643">
            <v>20263350.02</v>
          </cell>
          <cell r="EF1643">
            <v>0</v>
          </cell>
          <cell r="EG1643">
            <v>20263350.02</v>
          </cell>
        </row>
        <row r="1644">
          <cell r="B1644">
            <v>6019846</v>
          </cell>
          <cell r="EE1644">
            <v>0</v>
          </cell>
          <cell r="EF1644">
            <v>0</v>
          </cell>
          <cell r="EG1644">
            <v>0</v>
          </cell>
        </row>
        <row r="1645">
          <cell r="B1645">
            <v>8443432</v>
          </cell>
          <cell r="EE1645">
            <v>0</v>
          </cell>
          <cell r="EF1645">
            <v>0</v>
          </cell>
          <cell r="EG1645">
            <v>0</v>
          </cell>
        </row>
        <row r="1646">
          <cell r="B1646">
            <v>5154766</v>
          </cell>
          <cell r="EE1646">
            <v>0</v>
          </cell>
          <cell r="EF1646">
            <v>0</v>
          </cell>
          <cell r="EG1646">
            <v>0</v>
          </cell>
        </row>
        <row r="1647">
          <cell r="B1647">
            <v>5407958</v>
          </cell>
          <cell r="EE1647">
            <v>368703.88</v>
          </cell>
          <cell r="EF1647">
            <v>0</v>
          </cell>
          <cell r="EG1647">
            <v>368703.88</v>
          </cell>
        </row>
        <row r="1648">
          <cell r="B1648">
            <v>5196183</v>
          </cell>
          <cell r="EE1648">
            <v>8200</v>
          </cell>
          <cell r="EF1648">
            <v>0</v>
          </cell>
          <cell r="EG1648">
            <v>8200</v>
          </cell>
        </row>
        <row r="1649">
          <cell r="B1649">
            <v>5627788</v>
          </cell>
          <cell r="EE1649">
            <v>0</v>
          </cell>
          <cell r="EF1649">
            <v>10146000</v>
          </cell>
          <cell r="EG1649">
            <v>-10146000</v>
          </cell>
        </row>
        <row r="1650">
          <cell r="B1650">
            <v>6195598</v>
          </cell>
          <cell r="EE1650">
            <v>2007332398.615</v>
          </cell>
          <cell r="EF1650">
            <v>20</v>
          </cell>
          <cell r="EG1650">
            <v>2007332378.615</v>
          </cell>
        </row>
        <row r="1651">
          <cell r="B1651">
            <v>3685977</v>
          </cell>
          <cell r="EE1651">
            <v>0</v>
          </cell>
          <cell r="EF1651">
            <v>0</v>
          </cell>
          <cell r="EG1651">
            <v>0</v>
          </cell>
        </row>
        <row r="1652">
          <cell r="B1652">
            <v>5340284</v>
          </cell>
          <cell r="EE1652">
            <v>1509045</v>
          </cell>
          <cell r="EF1652">
            <v>0</v>
          </cell>
          <cell r="EG1652">
            <v>1509045</v>
          </cell>
        </row>
        <row r="1653">
          <cell r="B1653">
            <v>5100038</v>
          </cell>
          <cell r="EE1653">
            <v>0</v>
          </cell>
          <cell r="EF1653">
            <v>0</v>
          </cell>
          <cell r="EG1653">
            <v>0</v>
          </cell>
        </row>
        <row r="1654">
          <cell r="B1654">
            <v>5938678</v>
          </cell>
          <cell r="EE1654">
            <v>0</v>
          </cell>
          <cell r="EF1654">
            <v>0</v>
          </cell>
          <cell r="EG1654">
            <v>0</v>
          </cell>
        </row>
        <row r="1655">
          <cell r="B1655">
            <v>5838678</v>
          </cell>
          <cell r="EE1655">
            <v>0</v>
          </cell>
          <cell r="EF1655">
            <v>0</v>
          </cell>
          <cell r="EG1655">
            <v>0</v>
          </cell>
        </row>
        <row r="1656">
          <cell r="B1656">
            <v>6863655</v>
          </cell>
          <cell r="EE1656">
            <v>6674000</v>
          </cell>
          <cell r="EF1656">
            <v>5500000</v>
          </cell>
          <cell r="EG1656">
            <v>1174000</v>
          </cell>
        </row>
        <row r="1657">
          <cell r="B1657">
            <v>8359318</v>
          </cell>
          <cell r="EE1657">
            <v>0</v>
          </cell>
          <cell r="EF1657">
            <v>0</v>
          </cell>
          <cell r="EG1657">
            <v>0</v>
          </cell>
        </row>
        <row r="1658">
          <cell r="B1658">
            <v>6183786</v>
          </cell>
          <cell r="EE1658">
            <v>0</v>
          </cell>
          <cell r="EF1658">
            <v>0</v>
          </cell>
          <cell r="EG1658">
            <v>0</v>
          </cell>
        </row>
        <row r="1659">
          <cell r="B1659">
            <v>5958989</v>
          </cell>
          <cell r="EE1659">
            <v>66582750</v>
          </cell>
          <cell r="EF1659">
            <v>80000000</v>
          </cell>
          <cell r="EG1659">
            <v>-13417250</v>
          </cell>
        </row>
        <row r="1660">
          <cell r="B1660">
            <v>3856259</v>
          </cell>
          <cell r="EE1660">
            <v>300000</v>
          </cell>
          <cell r="EF1660">
            <v>0</v>
          </cell>
          <cell r="EG1660">
            <v>300000</v>
          </cell>
        </row>
        <row r="1661">
          <cell r="B1661">
            <v>6015093</v>
          </cell>
          <cell r="EE1661">
            <v>85003744.250000015</v>
          </cell>
          <cell r="EF1661">
            <v>0</v>
          </cell>
          <cell r="EG1661">
            <v>85003744.250000015</v>
          </cell>
        </row>
        <row r="1662">
          <cell r="B1662">
            <v>5614546</v>
          </cell>
          <cell r="EE1662">
            <v>0</v>
          </cell>
          <cell r="EF1662">
            <v>0</v>
          </cell>
          <cell r="EG1662">
            <v>0</v>
          </cell>
        </row>
        <row r="1663">
          <cell r="B1663">
            <v>6778097</v>
          </cell>
          <cell r="EE1663">
            <v>12666914.640799999</v>
          </cell>
          <cell r="EF1663">
            <v>11609246</v>
          </cell>
          <cell r="EG1663">
            <v>1057668.6407999997</v>
          </cell>
        </row>
        <row r="1664">
          <cell r="B1664">
            <v>5332656</v>
          </cell>
          <cell r="EE1664">
            <v>8529554.7799999993</v>
          </cell>
          <cell r="EF1664">
            <v>0</v>
          </cell>
          <cell r="EG1664">
            <v>8529554.7799999993</v>
          </cell>
        </row>
        <row r="1665">
          <cell r="B1665">
            <v>6035183</v>
          </cell>
          <cell r="EE1665">
            <v>0</v>
          </cell>
          <cell r="EF1665">
            <v>0</v>
          </cell>
          <cell r="EG1665">
            <v>0</v>
          </cell>
        </row>
        <row r="1666">
          <cell r="B1666">
            <v>3367282</v>
          </cell>
          <cell r="EE1666">
            <v>0</v>
          </cell>
          <cell r="EF1666">
            <v>0</v>
          </cell>
          <cell r="EG1666">
            <v>0</v>
          </cell>
        </row>
        <row r="1667">
          <cell r="B1667">
            <v>5485932</v>
          </cell>
          <cell r="EE1667">
            <v>339416225.14725697</v>
          </cell>
          <cell r="EF1667">
            <v>0</v>
          </cell>
          <cell r="EG1667">
            <v>339416225.14725697</v>
          </cell>
        </row>
        <row r="1668">
          <cell r="B1668">
            <v>6413811</v>
          </cell>
          <cell r="EE1668">
            <v>11316004091.837067</v>
          </cell>
          <cell r="EF1668">
            <v>37826821340</v>
          </cell>
          <cell r="EG1668">
            <v>-26510817248.162937</v>
          </cell>
        </row>
        <row r="1669">
          <cell r="B1669">
            <v>5728215</v>
          </cell>
          <cell r="EE1669">
            <v>0</v>
          </cell>
          <cell r="EF1669">
            <v>0</v>
          </cell>
          <cell r="EG1669">
            <v>0</v>
          </cell>
        </row>
        <row r="1670">
          <cell r="B1670">
            <v>3633446</v>
          </cell>
          <cell r="EE1670">
            <v>0</v>
          </cell>
          <cell r="EF1670">
            <v>0</v>
          </cell>
          <cell r="EG1670">
            <v>0</v>
          </cell>
        </row>
        <row r="1671">
          <cell r="B1671">
            <v>5994152</v>
          </cell>
          <cell r="EE1671">
            <v>0</v>
          </cell>
          <cell r="EF1671">
            <v>0</v>
          </cell>
          <cell r="EG1671">
            <v>0</v>
          </cell>
        </row>
        <row r="1672">
          <cell r="B1672">
            <v>6385095</v>
          </cell>
          <cell r="EE1672">
            <v>0</v>
          </cell>
          <cell r="EF1672">
            <v>0</v>
          </cell>
          <cell r="EG1672">
            <v>0</v>
          </cell>
        </row>
        <row r="1673">
          <cell r="B1673">
            <v>6451446</v>
          </cell>
          <cell r="EE1673">
            <v>3366360</v>
          </cell>
          <cell r="EF1673">
            <v>75137084</v>
          </cell>
          <cell r="EG1673">
            <v>-71770724</v>
          </cell>
        </row>
        <row r="1674">
          <cell r="B1674">
            <v>6557872</v>
          </cell>
          <cell r="EE1674">
            <v>263188791.50999999</v>
          </cell>
          <cell r="EF1674">
            <v>0</v>
          </cell>
          <cell r="EG1674">
            <v>263188791.50999999</v>
          </cell>
        </row>
        <row r="1675">
          <cell r="B1675">
            <v>5557356</v>
          </cell>
          <cell r="EE1675">
            <v>12324225</v>
          </cell>
          <cell r="EF1675">
            <v>0</v>
          </cell>
          <cell r="EG1675">
            <v>12324225</v>
          </cell>
        </row>
        <row r="1676">
          <cell r="B1676">
            <v>3625508</v>
          </cell>
          <cell r="EE1676">
            <v>0</v>
          </cell>
          <cell r="EF1676">
            <v>0</v>
          </cell>
          <cell r="EG1676">
            <v>0</v>
          </cell>
        </row>
        <row r="1677">
          <cell r="B1677">
            <v>3632814</v>
          </cell>
          <cell r="EE1677">
            <v>0</v>
          </cell>
          <cell r="EF1677">
            <v>0</v>
          </cell>
          <cell r="EG1677">
            <v>0</v>
          </cell>
        </row>
        <row r="1678">
          <cell r="B1678">
            <v>3636135</v>
          </cell>
          <cell r="EE1678">
            <v>0</v>
          </cell>
          <cell r="EF1678">
            <v>0</v>
          </cell>
          <cell r="EG1678">
            <v>0</v>
          </cell>
        </row>
        <row r="1679">
          <cell r="B1679">
            <v>2887134</v>
          </cell>
          <cell r="EE1679">
            <v>59293543290.879997</v>
          </cell>
          <cell r="EF1679">
            <v>60618009254</v>
          </cell>
          <cell r="EG1679">
            <v>-1324465963.1199973</v>
          </cell>
        </row>
        <row r="1680">
          <cell r="B1680">
            <v>2069849</v>
          </cell>
          <cell r="EE1680">
            <v>0</v>
          </cell>
          <cell r="EF1680">
            <v>0</v>
          </cell>
          <cell r="EG1680">
            <v>0</v>
          </cell>
        </row>
        <row r="1681">
          <cell r="B1681">
            <v>5244269</v>
          </cell>
          <cell r="EE1681">
            <v>9287079.3499999996</v>
          </cell>
          <cell r="EF1681">
            <v>9288000</v>
          </cell>
          <cell r="EG1681">
            <v>-920.65000000037253</v>
          </cell>
        </row>
        <row r="1682">
          <cell r="B1682">
            <v>2059681</v>
          </cell>
          <cell r="EE1682">
            <v>4583100</v>
          </cell>
          <cell r="EF1682">
            <v>0</v>
          </cell>
          <cell r="EG1682">
            <v>4583100</v>
          </cell>
        </row>
        <row r="1683">
          <cell r="B1683">
            <v>2012251</v>
          </cell>
          <cell r="EE1683">
            <v>2599865.7199999997</v>
          </cell>
          <cell r="EF1683">
            <v>13654087</v>
          </cell>
          <cell r="EG1683">
            <v>-11054221.280000001</v>
          </cell>
        </row>
        <row r="1684">
          <cell r="B1684">
            <v>3491889</v>
          </cell>
          <cell r="EE1684">
            <v>44202262.399999999</v>
          </cell>
          <cell r="EF1684">
            <v>0</v>
          </cell>
          <cell r="EG1684">
            <v>44202262.399999999</v>
          </cell>
        </row>
        <row r="1685">
          <cell r="B1685">
            <v>6258832</v>
          </cell>
          <cell r="EE1685">
            <v>47760519.359999999</v>
          </cell>
          <cell r="EF1685">
            <v>0</v>
          </cell>
          <cell r="EG1685">
            <v>47760519.359999999</v>
          </cell>
        </row>
        <row r="1686">
          <cell r="B1686">
            <v>2878712</v>
          </cell>
          <cell r="EE1686">
            <v>0</v>
          </cell>
          <cell r="EF1686">
            <v>0</v>
          </cell>
          <cell r="EG1686">
            <v>0</v>
          </cell>
        </row>
        <row r="1687">
          <cell r="B1687">
            <v>2787318</v>
          </cell>
          <cell r="EE1687">
            <v>90267316.620000005</v>
          </cell>
          <cell r="EF1687">
            <v>6819210</v>
          </cell>
          <cell r="EG1687">
            <v>83448106.620000005</v>
          </cell>
        </row>
        <row r="1688">
          <cell r="B1688">
            <v>5325412</v>
          </cell>
          <cell r="EE1688">
            <v>2543978</v>
          </cell>
          <cell r="EF1688">
            <v>0</v>
          </cell>
          <cell r="EG1688">
            <v>2543978</v>
          </cell>
        </row>
        <row r="1689">
          <cell r="B1689">
            <v>2618176</v>
          </cell>
          <cell r="EE1689">
            <v>2358781166.5014653</v>
          </cell>
          <cell r="EF1689">
            <v>2619702629</v>
          </cell>
          <cell r="EG1689">
            <v>-260921462.49853492</v>
          </cell>
        </row>
        <row r="1690">
          <cell r="B1690">
            <v>5278309</v>
          </cell>
          <cell r="EE1690">
            <v>125800</v>
          </cell>
          <cell r="EF1690">
            <v>0</v>
          </cell>
          <cell r="EG1690">
            <v>125800</v>
          </cell>
        </row>
        <row r="1691">
          <cell r="B1691">
            <v>5412374</v>
          </cell>
          <cell r="EE1691">
            <v>0</v>
          </cell>
          <cell r="EF1691">
            <v>153327782</v>
          </cell>
          <cell r="EG1691">
            <v>-153327782</v>
          </cell>
        </row>
        <row r="1692">
          <cell r="B1692">
            <v>5413877</v>
          </cell>
          <cell r="EE1692">
            <v>0</v>
          </cell>
          <cell r="EF1692">
            <v>0</v>
          </cell>
          <cell r="EG1692">
            <v>0</v>
          </cell>
        </row>
        <row r="1693">
          <cell r="B1693">
            <v>5465621</v>
          </cell>
          <cell r="EE1693">
            <v>0</v>
          </cell>
          <cell r="EF1693">
            <v>0</v>
          </cell>
          <cell r="EG1693">
            <v>0</v>
          </cell>
        </row>
        <row r="1694">
          <cell r="B1694">
            <v>2795671</v>
          </cell>
          <cell r="EE1694">
            <v>493140493.48000002</v>
          </cell>
          <cell r="EF1694">
            <v>0</v>
          </cell>
          <cell r="EG1694">
            <v>493140493.48000002</v>
          </cell>
        </row>
        <row r="1695">
          <cell r="B1695">
            <v>6027075</v>
          </cell>
          <cell r="EE1695">
            <v>0</v>
          </cell>
          <cell r="EF1695">
            <v>0</v>
          </cell>
          <cell r="EG1695">
            <v>0</v>
          </cell>
        </row>
        <row r="1696">
          <cell r="B1696">
            <v>5980356</v>
          </cell>
          <cell r="EE1696">
            <v>247255710.63</v>
          </cell>
          <cell r="EF1696">
            <v>16311759</v>
          </cell>
          <cell r="EG1696">
            <v>230943951.63</v>
          </cell>
        </row>
        <row r="1697">
          <cell r="B1697">
            <v>5340195</v>
          </cell>
          <cell r="EE1697">
            <v>0</v>
          </cell>
          <cell r="EF1697">
            <v>0</v>
          </cell>
          <cell r="EG1697">
            <v>0</v>
          </cell>
        </row>
        <row r="1698">
          <cell r="B1698">
            <v>2746239</v>
          </cell>
          <cell r="EE1698">
            <v>13958050</v>
          </cell>
          <cell r="EF1698">
            <v>38442345</v>
          </cell>
          <cell r="EG1698">
            <v>-24484295</v>
          </cell>
        </row>
        <row r="1699">
          <cell r="B1699">
            <v>2001454</v>
          </cell>
          <cell r="EE1699">
            <v>311194415.71999997</v>
          </cell>
          <cell r="EF1699">
            <v>365841445</v>
          </cell>
          <cell r="EG1699">
            <v>-54647029.280000031</v>
          </cell>
        </row>
        <row r="1700">
          <cell r="B1700">
            <v>6797199</v>
          </cell>
          <cell r="EE1700">
            <v>0</v>
          </cell>
          <cell r="EF1700">
            <v>0</v>
          </cell>
          <cell r="EG1700">
            <v>0</v>
          </cell>
        </row>
        <row r="1701">
          <cell r="B1701">
            <v>3551075</v>
          </cell>
          <cell r="EE1701">
            <v>0</v>
          </cell>
          <cell r="EF1701">
            <v>0</v>
          </cell>
          <cell r="EG1701">
            <v>0</v>
          </cell>
        </row>
        <row r="1702">
          <cell r="B1702">
            <v>5887917</v>
          </cell>
          <cell r="EE1702">
            <v>15952050</v>
          </cell>
          <cell r="EF1702">
            <v>6041064</v>
          </cell>
          <cell r="EG1702">
            <v>9910986</v>
          </cell>
        </row>
        <row r="1703">
          <cell r="B1703">
            <v>5330874</v>
          </cell>
          <cell r="EE1703">
            <v>0</v>
          </cell>
          <cell r="EF1703">
            <v>0</v>
          </cell>
          <cell r="EG1703">
            <v>0</v>
          </cell>
        </row>
        <row r="1704">
          <cell r="B1704">
            <v>5574161</v>
          </cell>
          <cell r="EE1704">
            <v>0</v>
          </cell>
          <cell r="EF1704">
            <v>960000</v>
          </cell>
          <cell r="EG1704">
            <v>-960000</v>
          </cell>
        </row>
        <row r="1705">
          <cell r="B1705">
            <v>5058996</v>
          </cell>
          <cell r="EE1705">
            <v>0</v>
          </cell>
          <cell r="EF1705">
            <v>0</v>
          </cell>
          <cell r="EG1705">
            <v>0</v>
          </cell>
        </row>
        <row r="1706">
          <cell r="B1706">
            <v>5116767</v>
          </cell>
          <cell r="EE1706">
            <v>70852477.603273004</v>
          </cell>
          <cell r="EF1706">
            <v>18536811</v>
          </cell>
          <cell r="EG1706">
            <v>52315666.603273004</v>
          </cell>
        </row>
        <row r="1707">
          <cell r="B1707">
            <v>5226902</v>
          </cell>
          <cell r="EE1707">
            <v>3101235</v>
          </cell>
          <cell r="EF1707">
            <v>1410750</v>
          </cell>
          <cell r="EG1707">
            <v>1690485</v>
          </cell>
        </row>
        <row r="1708">
          <cell r="B1708">
            <v>2839385</v>
          </cell>
          <cell r="EE1708">
            <v>99840526.870000005</v>
          </cell>
          <cell r="EF1708">
            <v>50542</v>
          </cell>
          <cell r="EG1708">
            <v>99789984.870000005</v>
          </cell>
        </row>
        <row r="1709">
          <cell r="B1709">
            <v>5061989</v>
          </cell>
          <cell r="EE1709">
            <v>0</v>
          </cell>
          <cell r="EF1709">
            <v>36676583</v>
          </cell>
          <cell r="EG1709">
            <v>-36676583</v>
          </cell>
        </row>
        <row r="1710">
          <cell r="B1710">
            <v>5403316</v>
          </cell>
          <cell r="EE1710">
            <v>2655555.7000000002</v>
          </cell>
          <cell r="EF1710">
            <v>58339725</v>
          </cell>
          <cell r="EG1710">
            <v>-55684169.299999997</v>
          </cell>
        </row>
        <row r="1711">
          <cell r="B1711">
            <v>3430081</v>
          </cell>
          <cell r="EE1711">
            <v>0</v>
          </cell>
          <cell r="EF1711">
            <v>0</v>
          </cell>
          <cell r="EG1711">
            <v>0</v>
          </cell>
        </row>
        <row r="1712">
          <cell r="B1712">
            <v>5513901</v>
          </cell>
          <cell r="EE1712">
            <v>49134714.359999999</v>
          </cell>
          <cell r="EF1712">
            <v>29527714</v>
          </cell>
          <cell r="EG1712">
            <v>19607000.359999999</v>
          </cell>
        </row>
        <row r="1713">
          <cell r="B1713">
            <v>2762412</v>
          </cell>
          <cell r="EE1713">
            <v>22066146486.985046</v>
          </cell>
          <cell r="EF1713">
            <v>0</v>
          </cell>
          <cell r="EG1713">
            <v>22066146486.985046</v>
          </cell>
        </row>
        <row r="1714">
          <cell r="B1714">
            <v>5029066</v>
          </cell>
          <cell r="EE1714">
            <v>0</v>
          </cell>
          <cell r="EF1714">
            <v>0</v>
          </cell>
          <cell r="EG1714">
            <v>0</v>
          </cell>
        </row>
        <row r="1715">
          <cell r="B1715">
            <v>5581613</v>
          </cell>
          <cell r="EE1715">
            <v>3254910</v>
          </cell>
          <cell r="EF1715">
            <v>0</v>
          </cell>
          <cell r="EG1715">
            <v>3254910</v>
          </cell>
        </row>
        <row r="1716">
          <cell r="B1716">
            <v>4061101</v>
          </cell>
          <cell r="EE1716">
            <v>0</v>
          </cell>
          <cell r="EF1716">
            <v>0</v>
          </cell>
          <cell r="EG1716">
            <v>0</v>
          </cell>
        </row>
        <row r="1717">
          <cell r="B1717">
            <v>2836599</v>
          </cell>
          <cell r="EE1717">
            <v>285490602.06999999</v>
          </cell>
          <cell r="EF1717">
            <v>0</v>
          </cell>
          <cell r="EG1717">
            <v>285490602.06999999</v>
          </cell>
        </row>
        <row r="1718">
          <cell r="B1718">
            <v>5991676</v>
          </cell>
          <cell r="EE1718">
            <v>0</v>
          </cell>
          <cell r="EF1718">
            <v>0</v>
          </cell>
          <cell r="EG1718">
            <v>0</v>
          </cell>
        </row>
        <row r="1719">
          <cell r="B1719">
            <v>6708994</v>
          </cell>
          <cell r="EE1719">
            <v>0</v>
          </cell>
          <cell r="EF1719">
            <v>3544297</v>
          </cell>
          <cell r="EG1719">
            <v>-3544297</v>
          </cell>
        </row>
        <row r="1720">
          <cell r="B1720">
            <v>5762529</v>
          </cell>
          <cell r="EE1720">
            <v>0</v>
          </cell>
          <cell r="EF1720">
            <v>0</v>
          </cell>
          <cell r="EG1720">
            <v>0</v>
          </cell>
        </row>
        <row r="1721">
          <cell r="B1721">
            <v>2861976</v>
          </cell>
          <cell r="EE1721">
            <v>69255225</v>
          </cell>
          <cell r="EF1721">
            <v>83852938</v>
          </cell>
          <cell r="EG1721">
            <v>-14597713</v>
          </cell>
        </row>
        <row r="1722">
          <cell r="B1722">
            <v>6210678</v>
          </cell>
          <cell r="EE1722">
            <v>0</v>
          </cell>
          <cell r="EF1722">
            <v>0</v>
          </cell>
          <cell r="EG1722">
            <v>0</v>
          </cell>
        </row>
        <row r="1723">
          <cell r="B1723">
            <v>6345921</v>
          </cell>
          <cell r="EE1723">
            <v>0</v>
          </cell>
          <cell r="EF1723">
            <v>0</v>
          </cell>
          <cell r="EG1723">
            <v>0</v>
          </cell>
        </row>
        <row r="1724">
          <cell r="B1724">
            <v>5663989</v>
          </cell>
          <cell r="EE1724">
            <v>10634714.864500001</v>
          </cell>
          <cell r="EF1724">
            <v>22623736</v>
          </cell>
          <cell r="EG1724">
            <v>-11989021.135499999</v>
          </cell>
        </row>
        <row r="1725">
          <cell r="B1725">
            <v>5297052</v>
          </cell>
          <cell r="EE1725">
            <v>18969648.199999999</v>
          </cell>
          <cell r="EF1725">
            <v>7829472</v>
          </cell>
          <cell r="EG1725">
            <v>11140176.199999999</v>
          </cell>
        </row>
        <row r="1726">
          <cell r="B1726">
            <v>5669707</v>
          </cell>
          <cell r="EE1726">
            <v>0</v>
          </cell>
          <cell r="EF1726">
            <v>3160420</v>
          </cell>
          <cell r="EG1726">
            <v>-3160420</v>
          </cell>
        </row>
        <row r="1727">
          <cell r="B1727">
            <v>2577453</v>
          </cell>
          <cell r="EE1727">
            <v>1830400</v>
          </cell>
          <cell r="EF1727">
            <v>2200681</v>
          </cell>
          <cell r="EG1727">
            <v>-370281</v>
          </cell>
        </row>
        <row r="1728">
          <cell r="B1728">
            <v>5352959</v>
          </cell>
          <cell r="EE1728">
            <v>10525</v>
          </cell>
          <cell r="EF1728">
            <v>0</v>
          </cell>
          <cell r="EG1728">
            <v>10525</v>
          </cell>
        </row>
        <row r="1729">
          <cell r="B1729">
            <v>5017386</v>
          </cell>
          <cell r="EE1729">
            <v>22108512.422109999</v>
          </cell>
          <cell r="EF1729">
            <v>0</v>
          </cell>
          <cell r="EG1729">
            <v>22108512.422109999</v>
          </cell>
        </row>
        <row r="1730">
          <cell r="B1730">
            <v>5364884</v>
          </cell>
          <cell r="EE1730">
            <v>0</v>
          </cell>
          <cell r="EF1730">
            <v>0</v>
          </cell>
          <cell r="EG1730">
            <v>0</v>
          </cell>
        </row>
        <row r="1731">
          <cell r="B1731">
            <v>6014801</v>
          </cell>
          <cell r="EE1731">
            <v>0</v>
          </cell>
          <cell r="EF1731">
            <v>0</v>
          </cell>
          <cell r="EG1731">
            <v>0</v>
          </cell>
        </row>
        <row r="1732">
          <cell r="B1732">
            <v>6002129</v>
          </cell>
          <cell r="EE1732">
            <v>0</v>
          </cell>
          <cell r="EF1732">
            <v>0</v>
          </cell>
          <cell r="EG1732">
            <v>0</v>
          </cell>
        </row>
        <row r="1733">
          <cell r="B1733">
            <v>5991285</v>
          </cell>
          <cell r="EE1733">
            <v>0</v>
          </cell>
          <cell r="EF1733">
            <v>0</v>
          </cell>
          <cell r="EG1733">
            <v>0</v>
          </cell>
        </row>
        <row r="1734">
          <cell r="B1734">
            <v>6555349</v>
          </cell>
          <cell r="EE1734">
            <v>2124437</v>
          </cell>
          <cell r="EF1734">
            <v>0</v>
          </cell>
          <cell r="EG1734">
            <v>2124437</v>
          </cell>
        </row>
        <row r="1735">
          <cell r="B1735">
            <v>5329191</v>
          </cell>
          <cell r="EE1735">
            <v>0</v>
          </cell>
          <cell r="EF1735">
            <v>0</v>
          </cell>
          <cell r="EG1735">
            <v>0</v>
          </cell>
        </row>
        <row r="1736">
          <cell r="B1736">
            <v>2100231</v>
          </cell>
          <cell r="EE1736">
            <v>1809969298.968224</v>
          </cell>
          <cell r="EF1736">
            <v>3964466961</v>
          </cell>
          <cell r="EG1736">
            <v>-2154497662.031776</v>
          </cell>
        </row>
        <row r="1737">
          <cell r="B1737">
            <v>2661128</v>
          </cell>
          <cell r="EE1737">
            <v>1058168572.5700001</v>
          </cell>
          <cell r="EF1737">
            <v>845070225</v>
          </cell>
          <cell r="EG1737">
            <v>213098347.57000002</v>
          </cell>
        </row>
        <row r="1738">
          <cell r="B1738">
            <v>5433207</v>
          </cell>
          <cell r="EE1738">
            <v>0</v>
          </cell>
          <cell r="EF1738">
            <v>0</v>
          </cell>
          <cell r="EG1738">
            <v>0</v>
          </cell>
        </row>
        <row r="1739">
          <cell r="B1739">
            <v>2662647</v>
          </cell>
          <cell r="EE1739">
            <v>92352270.689999998</v>
          </cell>
          <cell r="EF1739">
            <v>38061909</v>
          </cell>
          <cell r="EG1739">
            <v>54290361.689999998</v>
          </cell>
        </row>
        <row r="1740">
          <cell r="B1740">
            <v>2829541</v>
          </cell>
          <cell r="EE1740">
            <v>1000000</v>
          </cell>
          <cell r="EF1740">
            <v>0</v>
          </cell>
          <cell r="EG1740">
            <v>1000000</v>
          </cell>
        </row>
        <row r="1741">
          <cell r="B1741">
            <v>2763788</v>
          </cell>
          <cell r="EE1741">
            <v>18725988.240000002</v>
          </cell>
          <cell r="EF1741">
            <v>0</v>
          </cell>
          <cell r="EG1741">
            <v>18725988.240000002</v>
          </cell>
        </row>
        <row r="1742">
          <cell r="B1742">
            <v>3631117</v>
          </cell>
          <cell r="EE1742">
            <v>0</v>
          </cell>
          <cell r="EF1742">
            <v>0</v>
          </cell>
          <cell r="EG1742">
            <v>0</v>
          </cell>
        </row>
        <row r="1743">
          <cell r="B1743">
            <v>2034719</v>
          </cell>
          <cell r="EE1743">
            <v>295195588.60000002</v>
          </cell>
          <cell r="EF1743">
            <v>211815072</v>
          </cell>
          <cell r="EG1743">
            <v>83380516.599999994</v>
          </cell>
        </row>
        <row r="1744">
          <cell r="B1744">
            <v>4281918</v>
          </cell>
          <cell r="EE1744">
            <v>5240000</v>
          </cell>
          <cell r="EF1744">
            <v>13656030</v>
          </cell>
          <cell r="EG1744">
            <v>-8416030</v>
          </cell>
        </row>
        <row r="1745">
          <cell r="B1745">
            <v>6385028</v>
          </cell>
          <cell r="EE1745">
            <v>0</v>
          </cell>
          <cell r="EF1745">
            <v>0</v>
          </cell>
          <cell r="EG1745">
            <v>0</v>
          </cell>
        </row>
        <row r="1746">
          <cell r="B1746">
            <v>8404445</v>
          </cell>
          <cell r="EE1746">
            <v>0</v>
          </cell>
          <cell r="EF1746">
            <v>0</v>
          </cell>
          <cell r="EG1746">
            <v>0</v>
          </cell>
        </row>
        <row r="1747">
          <cell r="B1747">
            <v>5105625</v>
          </cell>
          <cell r="EE1747">
            <v>1650000</v>
          </cell>
          <cell r="EF1747">
            <v>0</v>
          </cell>
          <cell r="EG1747">
            <v>1650000</v>
          </cell>
        </row>
        <row r="1748">
          <cell r="B1748">
            <v>5534836</v>
          </cell>
          <cell r="EE1748">
            <v>0</v>
          </cell>
          <cell r="EF1748">
            <v>0</v>
          </cell>
          <cell r="EG1748">
            <v>0</v>
          </cell>
        </row>
        <row r="1749">
          <cell r="B1749">
            <v>4287983</v>
          </cell>
          <cell r="EE1749">
            <v>0</v>
          </cell>
          <cell r="EF1749">
            <v>326200</v>
          </cell>
          <cell r="EG1749">
            <v>-326200</v>
          </cell>
        </row>
        <row r="1750">
          <cell r="B1750">
            <v>3738108</v>
          </cell>
          <cell r="EE1750">
            <v>11587099</v>
          </cell>
          <cell r="EF1750">
            <v>0</v>
          </cell>
          <cell r="EG1750">
            <v>11587099</v>
          </cell>
        </row>
        <row r="1751">
          <cell r="B1751">
            <v>2605694</v>
          </cell>
          <cell r="EE1751">
            <v>528206920.76473612</v>
          </cell>
          <cell r="EF1751">
            <v>4469066</v>
          </cell>
          <cell r="EG1751">
            <v>523737854.76473612</v>
          </cell>
        </row>
        <row r="1752">
          <cell r="B1752">
            <v>6853366</v>
          </cell>
          <cell r="EE1752">
            <v>18137655.310000002</v>
          </cell>
          <cell r="EF1752">
            <v>80045494</v>
          </cell>
          <cell r="EG1752">
            <v>-61907838.690000005</v>
          </cell>
        </row>
        <row r="1753">
          <cell r="B1753">
            <v>5287359</v>
          </cell>
          <cell r="EE1753">
            <v>7051228.8300000001</v>
          </cell>
          <cell r="EF1753">
            <v>0</v>
          </cell>
          <cell r="EG1753">
            <v>7051228.8300000001</v>
          </cell>
        </row>
        <row r="1754">
          <cell r="B1754">
            <v>5632307</v>
          </cell>
          <cell r="EE1754">
            <v>0</v>
          </cell>
          <cell r="EF1754">
            <v>0</v>
          </cell>
          <cell r="EG1754">
            <v>0</v>
          </cell>
        </row>
        <row r="1755">
          <cell r="B1755">
            <v>6150349</v>
          </cell>
          <cell r="EE1755">
            <v>0</v>
          </cell>
          <cell r="EF1755">
            <v>0</v>
          </cell>
          <cell r="EG1755">
            <v>0</v>
          </cell>
        </row>
        <row r="1756">
          <cell r="B1756">
            <v>5878756</v>
          </cell>
          <cell r="EE1756">
            <v>1482572855.8625839</v>
          </cell>
          <cell r="EF1756">
            <v>0</v>
          </cell>
          <cell r="EG1756">
            <v>1482572855.8625839</v>
          </cell>
        </row>
        <row r="1757">
          <cell r="B1757">
            <v>5761689</v>
          </cell>
          <cell r="EE1757">
            <v>0</v>
          </cell>
          <cell r="EF1757">
            <v>2439132</v>
          </cell>
          <cell r="EG1757">
            <v>-2439132</v>
          </cell>
        </row>
        <row r="1758">
          <cell r="B1758">
            <v>2549832</v>
          </cell>
          <cell r="EE1758">
            <v>0</v>
          </cell>
          <cell r="EF1758">
            <v>0</v>
          </cell>
          <cell r="EG1758">
            <v>0</v>
          </cell>
        </row>
        <row r="1759">
          <cell r="B1759">
            <v>5488087</v>
          </cell>
          <cell r="EE1759">
            <v>49089958.019999996</v>
          </cell>
          <cell r="EF1759">
            <v>354351684</v>
          </cell>
          <cell r="EG1759">
            <v>-305261725.98000002</v>
          </cell>
        </row>
        <row r="1760">
          <cell r="B1760">
            <v>5072743</v>
          </cell>
          <cell r="EE1760">
            <v>0</v>
          </cell>
          <cell r="EF1760">
            <v>0</v>
          </cell>
          <cell r="EG1760">
            <v>0</v>
          </cell>
        </row>
        <row r="1761">
          <cell r="B1761">
            <v>2107511</v>
          </cell>
          <cell r="EE1761">
            <v>700500</v>
          </cell>
          <cell r="EF1761">
            <v>0</v>
          </cell>
          <cell r="EG1761">
            <v>700500</v>
          </cell>
        </row>
        <row r="1762">
          <cell r="B1762">
            <v>2565803</v>
          </cell>
          <cell r="EE1762">
            <v>697763256.54999995</v>
          </cell>
          <cell r="EF1762">
            <v>0</v>
          </cell>
          <cell r="EG1762">
            <v>697763256.54999995</v>
          </cell>
        </row>
        <row r="1763">
          <cell r="B1763">
            <v>5980364</v>
          </cell>
          <cell r="EE1763">
            <v>36020437</v>
          </cell>
          <cell r="EF1763">
            <v>0</v>
          </cell>
          <cell r="EG1763">
            <v>36020437</v>
          </cell>
        </row>
        <row r="1764">
          <cell r="B1764">
            <v>2789213</v>
          </cell>
          <cell r="EE1764">
            <v>750000</v>
          </cell>
          <cell r="EF1764">
            <v>0</v>
          </cell>
          <cell r="EG1764">
            <v>750000</v>
          </cell>
        </row>
        <row r="1765">
          <cell r="B1765">
            <v>6165524</v>
          </cell>
          <cell r="EE1765">
            <v>45723988</v>
          </cell>
          <cell r="EF1765">
            <v>4350885037</v>
          </cell>
          <cell r="EG1765">
            <v>-4305161049</v>
          </cell>
        </row>
        <row r="1766">
          <cell r="B1766">
            <v>5586887</v>
          </cell>
          <cell r="EE1766">
            <v>3190987.88</v>
          </cell>
          <cell r="EF1766">
            <v>3848228</v>
          </cell>
          <cell r="EG1766">
            <v>-657240.12000000011</v>
          </cell>
        </row>
        <row r="1767">
          <cell r="B1767">
            <v>2718375</v>
          </cell>
          <cell r="EE1767">
            <v>35211674.120000005</v>
          </cell>
          <cell r="EF1767">
            <v>42218758</v>
          </cell>
          <cell r="EG1767">
            <v>-7007083.8800000008</v>
          </cell>
        </row>
        <row r="1768">
          <cell r="B1768">
            <v>5180244</v>
          </cell>
          <cell r="EE1768">
            <v>864000</v>
          </cell>
          <cell r="EF1768">
            <v>0</v>
          </cell>
          <cell r="EG1768">
            <v>864000</v>
          </cell>
        </row>
        <row r="1769">
          <cell r="B1769">
            <v>5353246</v>
          </cell>
          <cell r="EE1769">
            <v>0</v>
          </cell>
          <cell r="EF1769">
            <v>0</v>
          </cell>
          <cell r="EG1769">
            <v>0</v>
          </cell>
        </row>
        <row r="1770">
          <cell r="B1770">
            <v>5101174</v>
          </cell>
          <cell r="EE1770">
            <v>0</v>
          </cell>
          <cell r="EF1770">
            <v>0</v>
          </cell>
          <cell r="EG1770">
            <v>0</v>
          </cell>
        </row>
        <row r="1771">
          <cell r="B1771">
            <v>5415853</v>
          </cell>
          <cell r="EE1771">
            <v>0</v>
          </cell>
          <cell r="EF1771">
            <v>24244985</v>
          </cell>
          <cell r="EG1771">
            <v>-24244985</v>
          </cell>
        </row>
        <row r="1772">
          <cell r="B1772">
            <v>5009138</v>
          </cell>
          <cell r="EE1772">
            <v>0</v>
          </cell>
          <cell r="EF1772">
            <v>13151470</v>
          </cell>
          <cell r="EG1772">
            <v>-13151470</v>
          </cell>
        </row>
        <row r="1773">
          <cell r="B1773">
            <v>6507581</v>
          </cell>
          <cell r="EE1773">
            <v>387007861.06</v>
          </cell>
          <cell r="EF1773">
            <v>0</v>
          </cell>
          <cell r="EG1773">
            <v>387007861.06</v>
          </cell>
        </row>
        <row r="1774">
          <cell r="B1774">
            <v>2549204</v>
          </cell>
          <cell r="EE1774">
            <v>10000000</v>
          </cell>
          <cell r="EF1774">
            <v>0</v>
          </cell>
          <cell r="EG1774">
            <v>10000000</v>
          </cell>
        </row>
        <row r="1775">
          <cell r="B1775">
            <v>5035902</v>
          </cell>
          <cell r="EE1775">
            <v>24523205</v>
          </cell>
          <cell r="EF1775">
            <v>0</v>
          </cell>
          <cell r="EG1775">
            <v>24523205</v>
          </cell>
        </row>
        <row r="1776">
          <cell r="B1776">
            <v>6492584</v>
          </cell>
          <cell r="EE1776">
            <v>0</v>
          </cell>
          <cell r="EF1776">
            <v>15672949</v>
          </cell>
          <cell r="EG1776">
            <v>-15672949</v>
          </cell>
        </row>
        <row r="1777">
          <cell r="B1777">
            <v>2166631</v>
          </cell>
          <cell r="EE1777">
            <v>2381026353.82935</v>
          </cell>
          <cell r="EF1777">
            <v>0</v>
          </cell>
          <cell r="EG1777">
            <v>2381026353.82935</v>
          </cell>
        </row>
        <row r="1778">
          <cell r="B1778">
            <v>2598256</v>
          </cell>
          <cell r="EE1778">
            <v>73607033.969999999</v>
          </cell>
          <cell r="EF1778">
            <v>0</v>
          </cell>
          <cell r="EG1778">
            <v>73607033.969999999</v>
          </cell>
        </row>
        <row r="1779">
          <cell r="B1779">
            <v>3370208</v>
          </cell>
          <cell r="EE1779">
            <v>0</v>
          </cell>
          <cell r="EF1779">
            <v>0</v>
          </cell>
          <cell r="EG1779">
            <v>0</v>
          </cell>
        </row>
        <row r="1780">
          <cell r="B1780">
            <v>5671833</v>
          </cell>
          <cell r="EE1780">
            <v>60235922659.716682</v>
          </cell>
          <cell r="EF1780">
            <v>77330321054</v>
          </cell>
          <cell r="EG1780">
            <v>-17094398394.283318</v>
          </cell>
        </row>
        <row r="1781">
          <cell r="B1781">
            <v>2019086</v>
          </cell>
          <cell r="EE1781">
            <v>2815000</v>
          </cell>
          <cell r="EF1781">
            <v>0</v>
          </cell>
          <cell r="EG1781">
            <v>2815000</v>
          </cell>
        </row>
        <row r="1782">
          <cell r="B1782">
            <v>5104424</v>
          </cell>
          <cell r="EE1782">
            <v>1103051545.14955</v>
          </cell>
          <cell r="EF1782">
            <v>0</v>
          </cell>
          <cell r="EG1782">
            <v>1103051545.14955</v>
          </cell>
        </row>
        <row r="1783">
          <cell r="B1783">
            <v>6708951</v>
          </cell>
          <cell r="EE1783">
            <v>0</v>
          </cell>
          <cell r="EF1783">
            <v>717700</v>
          </cell>
          <cell r="EG1783">
            <v>-717700</v>
          </cell>
        </row>
        <row r="1784">
          <cell r="B1784">
            <v>5165695</v>
          </cell>
          <cell r="EE1784">
            <v>0</v>
          </cell>
          <cell r="EF1784">
            <v>0</v>
          </cell>
          <cell r="EG1784">
            <v>0</v>
          </cell>
        </row>
        <row r="1785">
          <cell r="B1785">
            <v>3864103</v>
          </cell>
          <cell r="EE1785">
            <v>0</v>
          </cell>
          <cell r="EF1785">
            <v>0</v>
          </cell>
          <cell r="EG1785">
            <v>0</v>
          </cell>
        </row>
        <row r="1786">
          <cell r="B1786">
            <v>2668505</v>
          </cell>
          <cell r="EE1786">
            <v>3057280424.3200002</v>
          </cell>
          <cell r="EF1786">
            <v>580289621</v>
          </cell>
          <cell r="EG1786">
            <v>2476990803.3200002</v>
          </cell>
        </row>
        <row r="1787">
          <cell r="B1787">
            <v>8376131</v>
          </cell>
          <cell r="EE1787">
            <v>3004500</v>
          </cell>
          <cell r="EF1787">
            <v>0</v>
          </cell>
          <cell r="EG1787">
            <v>3004500</v>
          </cell>
        </row>
        <row r="1788">
          <cell r="B1788">
            <v>2732521</v>
          </cell>
          <cell r="EE1788">
            <v>197421401.03</v>
          </cell>
          <cell r="EF1788">
            <v>218489227</v>
          </cell>
          <cell r="EG1788">
            <v>-21067825.969999999</v>
          </cell>
        </row>
        <row r="1789">
          <cell r="B1789">
            <v>2643227</v>
          </cell>
          <cell r="EE1789">
            <v>428725.62</v>
          </cell>
          <cell r="EF1789">
            <v>577268</v>
          </cell>
          <cell r="EG1789">
            <v>-148542.38</v>
          </cell>
        </row>
        <row r="1790">
          <cell r="B1790">
            <v>5909805</v>
          </cell>
          <cell r="EE1790">
            <v>0</v>
          </cell>
          <cell r="EF1790">
            <v>0</v>
          </cell>
          <cell r="EG1790">
            <v>0</v>
          </cell>
        </row>
        <row r="1791">
          <cell r="B1791">
            <v>2041391</v>
          </cell>
          <cell r="EE1791">
            <v>183726190.74000001</v>
          </cell>
          <cell r="EF1791">
            <v>183412410</v>
          </cell>
          <cell r="EG1791">
            <v>313780.74000000954</v>
          </cell>
        </row>
        <row r="1792">
          <cell r="B1792">
            <v>5930537</v>
          </cell>
          <cell r="EE1792">
            <v>0</v>
          </cell>
          <cell r="EF1792">
            <v>5120500</v>
          </cell>
          <cell r="EG1792">
            <v>-5120500</v>
          </cell>
        </row>
        <row r="1793">
          <cell r="B1793">
            <v>5935113</v>
          </cell>
          <cell r="EE1793">
            <v>3038280</v>
          </cell>
          <cell r="EF1793">
            <v>0</v>
          </cell>
          <cell r="EG1793">
            <v>3038280</v>
          </cell>
        </row>
        <row r="1794">
          <cell r="B1794">
            <v>5324998</v>
          </cell>
          <cell r="EE1794">
            <v>11747500</v>
          </cell>
          <cell r="EF1794">
            <v>207469430</v>
          </cell>
          <cell r="EG1794">
            <v>-195721930</v>
          </cell>
        </row>
        <row r="1795">
          <cell r="B1795">
            <v>5294495</v>
          </cell>
          <cell r="EE1795">
            <v>63649519.479999997</v>
          </cell>
          <cell r="EF1795">
            <v>246911251</v>
          </cell>
          <cell r="EG1795">
            <v>-183261731.52000001</v>
          </cell>
        </row>
        <row r="1796">
          <cell r="B1796">
            <v>5337232</v>
          </cell>
          <cell r="EE1796">
            <v>451900832.56391191</v>
          </cell>
          <cell r="EF1796">
            <v>292742384</v>
          </cell>
          <cell r="EG1796">
            <v>159158448.56391194</v>
          </cell>
        </row>
        <row r="1797">
          <cell r="B1797">
            <v>5378834</v>
          </cell>
          <cell r="EE1797">
            <v>140886982.42536199</v>
          </cell>
          <cell r="EF1797">
            <v>0</v>
          </cell>
          <cell r="EG1797">
            <v>140886982.42536199</v>
          </cell>
        </row>
        <row r="1798">
          <cell r="B1798">
            <v>2718391</v>
          </cell>
          <cell r="EE1798">
            <v>18591062.029999997</v>
          </cell>
          <cell r="EF1798">
            <v>0</v>
          </cell>
          <cell r="EG1798">
            <v>18591062.029999997</v>
          </cell>
        </row>
        <row r="1799">
          <cell r="B1799">
            <v>2697947</v>
          </cell>
          <cell r="EE1799">
            <v>289720303084.35852</v>
          </cell>
          <cell r="EF1799">
            <v>0</v>
          </cell>
          <cell r="EG1799">
            <v>289720303084.35852</v>
          </cell>
        </row>
        <row r="1800">
          <cell r="B1800">
            <v>6146511</v>
          </cell>
          <cell r="EE1800">
            <v>0</v>
          </cell>
          <cell r="EF1800">
            <v>15243225</v>
          </cell>
          <cell r="EG1800">
            <v>-15243225</v>
          </cell>
        </row>
        <row r="1801">
          <cell r="B1801">
            <v>2668041</v>
          </cell>
          <cell r="EE1801">
            <v>98705425.639626995</v>
          </cell>
          <cell r="EF1801">
            <v>0</v>
          </cell>
          <cell r="EG1801">
            <v>98705425.639626995</v>
          </cell>
        </row>
        <row r="1802">
          <cell r="B1802">
            <v>2879646</v>
          </cell>
          <cell r="EE1802">
            <v>18914634.98</v>
          </cell>
          <cell r="EF1802">
            <v>0</v>
          </cell>
          <cell r="EG1802">
            <v>18914634.98</v>
          </cell>
        </row>
        <row r="1803">
          <cell r="B1803">
            <v>2697734</v>
          </cell>
          <cell r="EE1803">
            <v>48869339.735514998</v>
          </cell>
          <cell r="EF1803">
            <v>48921938</v>
          </cell>
          <cell r="EG1803">
            <v>-52598.264485001564</v>
          </cell>
        </row>
        <row r="1804">
          <cell r="B1804">
            <v>2872722</v>
          </cell>
          <cell r="EE1804">
            <v>0</v>
          </cell>
          <cell r="EF1804">
            <v>0</v>
          </cell>
          <cell r="EG1804">
            <v>0</v>
          </cell>
        </row>
        <row r="1805">
          <cell r="B1805">
            <v>4125266</v>
          </cell>
          <cell r="EE1805">
            <v>629649404.06000006</v>
          </cell>
          <cell r="EF1805">
            <v>0</v>
          </cell>
          <cell r="EG1805">
            <v>629649404.06000006</v>
          </cell>
        </row>
        <row r="1806">
          <cell r="B1806">
            <v>2095866</v>
          </cell>
          <cell r="EE1806">
            <v>0</v>
          </cell>
          <cell r="EF1806">
            <v>0</v>
          </cell>
          <cell r="EG1806">
            <v>0</v>
          </cell>
        </row>
        <row r="1807">
          <cell r="B1807">
            <v>6310494</v>
          </cell>
          <cell r="EE1807">
            <v>14200615</v>
          </cell>
          <cell r="EF1807">
            <v>6566600</v>
          </cell>
          <cell r="EG1807">
            <v>7634015</v>
          </cell>
        </row>
        <row r="1808">
          <cell r="B1808">
            <v>4489659</v>
          </cell>
          <cell r="EE1808">
            <v>424389.8</v>
          </cell>
          <cell r="EF1808">
            <v>20846980</v>
          </cell>
          <cell r="EG1808">
            <v>-20422590.199999999</v>
          </cell>
        </row>
        <row r="1809">
          <cell r="B1809">
            <v>6948413</v>
          </cell>
          <cell r="EE1809">
            <v>212800</v>
          </cell>
          <cell r="EF1809">
            <v>89683102</v>
          </cell>
          <cell r="EG1809">
            <v>-89470302</v>
          </cell>
        </row>
        <row r="1810">
          <cell r="B1810">
            <v>9073523</v>
          </cell>
          <cell r="EE1810">
            <v>175207467.04000002</v>
          </cell>
          <cell r="EF1810">
            <v>0</v>
          </cell>
          <cell r="EG1810">
            <v>175207467.04000002</v>
          </cell>
        </row>
        <row r="1811">
          <cell r="B1811">
            <v>9075941</v>
          </cell>
          <cell r="EE1811">
            <v>452622905</v>
          </cell>
          <cell r="EF1811">
            <v>0</v>
          </cell>
          <cell r="EG1811">
            <v>452622905</v>
          </cell>
        </row>
        <row r="1812">
          <cell r="B1812">
            <v>2643987</v>
          </cell>
          <cell r="EE1812">
            <v>919605347.79000008</v>
          </cell>
          <cell r="EF1812">
            <v>0</v>
          </cell>
          <cell r="EG1812">
            <v>919605347.79000008</v>
          </cell>
        </row>
        <row r="1813">
          <cell r="B1813">
            <v>2009765</v>
          </cell>
          <cell r="EE1813">
            <v>86218921.379456013</v>
          </cell>
          <cell r="EF1813">
            <v>1870162410</v>
          </cell>
          <cell r="EG1813">
            <v>-1783943488.6205437</v>
          </cell>
        </row>
        <row r="1814">
          <cell r="B1814">
            <v>3375846</v>
          </cell>
          <cell r="EE1814">
            <v>0</v>
          </cell>
          <cell r="EF1814">
            <v>0</v>
          </cell>
          <cell r="EG1814">
            <v>0</v>
          </cell>
        </row>
        <row r="1815">
          <cell r="B1815">
            <v>2871114</v>
          </cell>
          <cell r="EE1815">
            <v>323599000.88999999</v>
          </cell>
          <cell r="EF1815">
            <v>221100843</v>
          </cell>
          <cell r="EG1815">
            <v>102498157.89000002</v>
          </cell>
        </row>
        <row r="1816">
          <cell r="B1816">
            <v>6562736</v>
          </cell>
          <cell r="EE1816">
            <v>367542</v>
          </cell>
          <cell r="EF1816">
            <v>0</v>
          </cell>
          <cell r="EG1816">
            <v>367542</v>
          </cell>
        </row>
        <row r="1817">
          <cell r="B1817">
            <v>5734037</v>
          </cell>
          <cell r="EE1817">
            <v>0</v>
          </cell>
          <cell r="EF1817">
            <v>0</v>
          </cell>
          <cell r="EG1817">
            <v>0</v>
          </cell>
        </row>
        <row r="1818">
          <cell r="B1818">
            <v>5991692</v>
          </cell>
          <cell r="EE1818">
            <v>0</v>
          </cell>
          <cell r="EF1818">
            <v>444200</v>
          </cell>
          <cell r="EG1818">
            <v>-444200</v>
          </cell>
        </row>
        <row r="1819">
          <cell r="B1819">
            <v>5038464</v>
          </cell>
          <cell r="EE1819">
            <v>1076154</v>
          </cell>
          <cell r="EF1819">
            <v>1076154</v>
          </cell>
          <cell r="EG1819">
            <v>0</v>
          </cell>
        </row>
        <row r="1820">
          <cell r="B1820">
            <v>5352827</v>
          </cell>
          <cell r="EE1820">
            <v>30862411947.190159</v>
          </cell>
          <cell r="EF1820">
            <v>33517932818</v>
          </cell>
          <cell r="EG1820">
            <v>-2655520870.8098407</v>
          </cell>
        </row>
        <row r="1821">
          <cell r="B1821">
            <v>2003309</v>
          </cell>
          <cell r="EE1821">
            <v>93496046.040000007</v>
          </cell>
          <cell r="EF1821">
            <v>0</v>
          </cell>
          <cell r="EG1821">
            <v>93496046.040000007</v>
          </cell>
        </row>
        <row r="1822">
          <cell r="B1822">
            <v>5425115</v>
          </cell>
          <cell r="EE1822">
            <v>24500000</v>
          </cell>
          <cell r="EF1822">
            <v>0</v>
          </cell>
          <cell r="EG1822">
            <v>24500000</v>
          </cell>
        </row>
        <row r="1823">
          <cell r="B1823">
            <v>2605031</v>
          </cell>
          <cell r="EE1823">
            <v>1396.02</v>
          </cell>
          <cell r="EF1823">
            <v>19776788</v>
          </cell>
          <cell r="EG1823">
            <v>-19775391.98</v>
          </cell>
        </row>
        <row r="1824">
          <cell r="B1824">
            <v>5103193</v>
          </cell>
          <cell r="EE1824">
            <v>1337703051.8299999</v>
          </cell>
          <cell r="EF1824">
            <v>229658729</v>
          </cell>
          <cell r="EG1824">
            <v>1108044322.8299999</v>
          </cell>
        </row>
        <row r="1825">
          <cell r="B1825">
            <v>5413702</v>
          </cell>
          <cell r="EE1825">
            <v>0</v>
          </cell>
          <cell r="EF1825">
            <v>24355000</v>
          </cell>
          <cell r="EG1825">
            <v>-24355000</v>
          </cell>
        </row>
        <row r="1826">
          <cell r="B1826">
            <v>5053722</v>
          </cell>
          <cell r="EE1826">
            <v>435202984.96700901</v>
          </cell>
          <cell r="EF1826">
            <v>0</v>
          </cell>
          <cell r="EG1826">
            <v>435202984.96700901</v>
          </cell>
        </row>
        <row r="1827">
          <cell r="B1827">
            <v>5767865</v>
          </cell>
          <cell r="EE1827">
            <v>111988939.55</v>
          </cell>
          <cell r="EF1827">
            <v>554449937</v>
          </cell>
          <cell r="EG1827">
            <v>-442460997.44999999</v>
          </cell>
        </row>
        <row r="1828">
          <cell r="B1828">
            <v>2548747</v>
          </cell>
          <cell r="EE1828">
            <v>80805948201.570908</v>
          </cell>
          <cell r="EF1828">
            <v>59286006343</v>
          </cell>
          <cell r="EG1828">
            <v>21519941858.570923</v>
          </cell>
        </row>
        <row r="1829">
          <cell r="B1829">
            <v>5179394</v>
          </cell>
          <cell r="EE1829">
            <v>310694538.40999997</v>
          </cell>
          <cell r="EF1829">
            <v>507478182</v>
          </cell>
          <cell r="EG1829">
            <v>-196783643.59</v>
          </cell>
        </row>
        <row r="1830">
          <cell r="B1830">
            <v>2291142</v>
          </cell>
          <cell r="EE1830">
            <v>0</v>
          </cell>
          <cell r="EF1830">
            <v>0</v>
          </cell>
          <cell r="EG1830">
            <v>0</v>
          </cell>
        </row>
        <row r="1831">
          <cell r="B1831">
            <v>3429504</v>
          </cell>
          <cell r="EE1831">
            <v>0</v>
          </cell>
          <cell r="EF1831">
            <v>0</v>
          </cell>
          <cell r="EG1831">
            <v>0</v>
          </cell>
        </row>
        <row r="1832">
          <cell r="B1832">
            <v>6033199</v>
          </cell>
          <cell r="EE1832">
            <v>1612695</v>
          </cell>
          <cell r="EF1832">
            <v>0</v>
          </cell>
          <cell r="EG1832">
            <v>1612695</v>
          </cell>
        </row>
        <row r="1833">
          <cell r="B1833">
            <v>5068053</v>
          </cell>
          <cell r="EE1833">
            <v>1100000.2</v>
          </cell>
          <cell r="EF1833">
            <v>10606500</v>
          </cell>
          <cell r="EG1833">
            <v>-9506499.8000000007</v>
          </cell>
        </row>
        <row r="1834">
          <cell r="B1834">
            <v>6033156</v>
          </cell>
          <cell r="EE1834">
            <v>1695180</v>
          </cell>
          <cell r="EF1834">
            <v>0</v>
          </cell>
          <cell r="EG1834">
            <v>1695180</v>
          </cell>
        </row>
        <row r="1835">
          <cell r="B1835">
            <v>5857643</v>
          </cell>
          <cell r="EE1835">
            <v>0</v>
          </cell>
          <cell r="EF1835">
            <v>0</v>
          </cell>
          <cell r="EG1835">
            <v>0</v>
          </cell>
        </row>
        <row r="1836">
          <cell r="B1836">
            <v>6165974</v>
          </cell>
          <cell r="EE1836">
            <v>0</v>
          </cell>
          <cell r="EF1836">
            <v>14023300</v>
          </cell>
          <cell r="EG1836">
            <v>-14023300</v>
          </cell>
        </row>
        <row r="1837">
          <cell r="B1837">
            <v>6165478</v>
          </cell>
          <cell r="EE1837">
            <v>0</v>
          </cell>
          <cell r="EF1837">
            <v>21076265</v>
          </cell>
          <cell r="EG1837">
            <v>-21076265</v>
          </cell>
        </row>
        <row r="1838">
          <cell r="B1838">
            <v>2641984</v>
          </cell>
          <cell r="EE1838">
            <v>8389819276.2401628</v>
          </cell>
          <cell r="EF1838">
            <v>0</v>
          </cell>
          <cell r="EG1838">
            <v>8389819276.2401628</v>
          </cell>
        </row>
        <row r="1839">
          <cell r="B1839">
            <v>5927382</v>
          </cell>
          <cell r="EE1839">
            <v>27153900</v>
          </cell>
          <cell r="EF1839">
            <v>0</v>
          </cell>
          <cell r="EG1839">
            <v>27153900</v>
          </cell>
        </row>
        <row r="1840">
          <cell r="B1840">
            <v>2737221</v>
          </cell>
          <cell r="EE1840">
            <v>23425167.449999999</v>
          </cell>
          <cell r="EF1840">
            <v>4841370</v>
          </cell>
          <cell r="EG1840">
            <v>18583797.449999999</v>
          </cell>
        </row>
        <row r="1841">
          <cell r="B1841">
            <v>5961149</v>
          </cell>
          <cell r="EE1841">
            <v>744335352.45000005</v>
          </cell>
          <cell r="EF1841">
            <v>0</v>
          </cell>
          <cell r="EG1841">
            <v>744335352.45000005</v>
          </cell>
        </row>
        <row r="1842">
          <cell r="B1842">
            <v>2681471</v>
          </cell>
          <cell r="EE1842">
            <v>327907</v>
          </cell>
          <cell r="EF1842">
            <v>0</v>
          </cell>
          <cell r="EG1842">
            <v>327907</v>
          </cell>
        </row>
        <row r="1843">
          <cell r="B1843">
            <v>6014208</v>
          </cell>
          <cell r="EE1843">
            <v>0</v>
          </cell>
          <cell r="EF1843">
            <v>0</v>
          </cell>
          <cell r="EG1843">
            <v>0</v>
          </cell>
        </row>
        <row r="1844">
          <cell r="B1844">
            <v>5870631</v>
          </cell>
          <cell r="EE1844">
            <v>0</v>
          </cell>
          <cell r="EF1844">
            <v>0</v>
          </cell>
          <cell r="EG1844">
            <v>0</v>
          </cell>
        </row>
        <row r="1845">
          <cell r="B1845">
            <v>2097109</v>
          </cell>
          <cell r="EE1845">
            <v>65161452.590000004</v>
          </cell>
          <cell r="EF1845">
            <v>199941644</v>
          </cell>
          <cell r="EG1845">
            <v>-134780191.41</v>
          </cell>
        </row>
        <row r="1846">
          <cell r="B1846">
            <v>5350859</v>
          </cell>
          <cell r="EE1846">
            <v>46846375</v>
          </cell>
          <cell r="EF1846">
            <v>0</v>
          </cell>
          <cell r="EG1846">
            <v>46846375</v>
          </cell>
        </row>
        <row r="1847">
          <cell r="B1847">
            <v>2881136</v>
          </cell>
          <cell r="EE1847">
            <v>4710000</v>
          </cell>
          <cell r="EF1847">
            <v>0</v>
          </cell>
          <cell r="EG1847">
            <v>4710000</v>
          </cell>
        </row>
        <row r="1848">
          <cell r="B1848">
            <v>4370473</v>
          </cell>
          <cell r="EE1848">
            <v>528000</v>
          </cell>
          <cell r="EF1848">
            <v>0</v>
          </cell>
          <cell r="EG1848">
            <v>528000</v>
          </cell>
        </row>
        <row r="1849">
          <cell r="B1849">
            <v>2766213</v>
          </cell>
          <cell r="EE1849">
            <v>0</v>
          </cell>
          <cell r="EF1849">
            <v>0</v>
          </cell>
          <cell r="EG1849">
            <v>0</v>
          </cell>
        </row>
        <row r="1850">
          <cell r="B1850">
            <v>5936594</v>
          </cell>
          <cell r="EE1850">
            <v>0</v>
          </cell>
          <cell r="EF1850">
            <v>0</v>
          </cell>
          <cell r="EG1850">
            <v>0</v>
          </cell>
        </row>
        <row r="1851">
          <cell r="B1851">
            <v>6342485</v>
          </cell>
          <cell r="EE1851">
            <v>1694877830.9000001</v>
          </cell>
          <cell r="EF1851">
            <v>1697563609</v>
          </cell>
          <cell r="EG1851">
            <v>-2685778.1000000425</v>
          </cell>
        </row>
        <row r="1852">
          <cell r="B1852">
            <v>5070937</v>
          </cell>
          <cell r="EE1852">
            <v>0</v>
          </cell>
          <cell r="EF1852">
            <v>0</v>
          </cell>
          <cell r="EG1852">
            <v>0</v>
          </cell>
        </row>
        <row r="1853">
          <cell r="B1853">
            <v>6168825</v>
          </cell>
          <cell r="EE1853">
            <v>104556</v>
          </cell>
          <cell r="EF1853">
            <v>2805820</v>
          </cell>
          <cell r="EG1853">
            <v>-2701264</v>
          </cell>
        </row>
        <row r="1854">
          <cell r="B1854">
            <v>2831686</v>
          </cell>
          <cell r="EE1854">
            <v>2466802</v>
          </cell>
          <cell r="EF1854">
            <v>2457605066</v>
          </cell>
          <cell r="EG1854">
            <v>-2455138264</v>
          </cell>
        </row>
        <row r="1855">
          <cell r="B1855">
            <v>8413894</v>
          </cell>
          <cell r="EE1855">
            <v>0</v>
          </cell>
          <cell r="EF1855">
            <v>0</v>
          </cell>
          <cell r="EG1855">
            <v>0</v>
          </cell>
        </row>
        <row r="1856">
          <cell r="B1856">
            <v>5086353</v>
          </cell>
          <cell r="EE1856">
            <v>334078707.48253095</v>
          </cell>
          <cell r="EF1856">
            <v>301538601</v>
          </cell>
          <cell r="EG1856">
            <v>32540106.482531022</v>
          </cell>
        </row>
        <row r="1857">
          <cell r="B1857">
            <v>5861519</v>
          </cell>
          <cell r="EE1857">
            <v>0</v>
          </cell>
          <cell r="EF1857">
            <v>0</v>
          </cell>
          <cell r="EG1857">
            <v>0</v>
          </cell>
        </row>
        <row r="1858">
          <cell r="B1858">
            <v>5320798</v>
          </cell>
          <cell r="EE1858">
            <v>0</v>
          </cell>
          <cell r="EF1858">
            <v>3873300</v>
          </cell>
          <cell r="EG1858">
            <v>-3873300</v>
          </cell>
        </row>
        <row r="1859">
          <cell r="B1859">
            <v>3066967</v>
          </cell>
          <cell r="EE1859">
            <v>2957320</v>
          </cell>
          <cell r="EF1859">
            <v>0</v>
          </cell>
          <cell r="EG1859">
            <v>2957320</v>
          </cell>
        </row>
        <row r="1860">
          <cell r="B1860">
            <v>5785707</v>
          </cell>
          <cell r="EE1860">
            <v>84626545.359999999</v>
          </cell>
          <cell r="EF1860">
            <v>0</v>
          </cell>
          <cell r="EG1860">
            <v>84626545.359999999</v>
          </cell>
        </row>
        <row r="1861">
          <cell r="B1861">
            <v>5101573</v>
          </cell>
          <cell r="EE1861">
            <v>40000</v>
          </cell>
          <cell r="EF1861">
            <v>0</v>
          </cell>
          <cell r="EG1861">
            <v>40000</v>
          </cell>
        </row>
        <row r="1862">
          <cell r="B1862">
            <v>5166667</v>
          </cell>
          <cell r="EE1862">
            <v>561245.4</v>
          </cell>
          <cell r="EF1862">
            <v>17376720</v>
          </cell>
          <cell r="EG1862">
            <v>-16815474.600000001</v>
          </cell>
        </row>
        <row r="1863">
          <cell r="B1863">
            <v>6177026</v>
          </cell>
          <cell r="EE1863">
            <v>0</v>
          </cell>
          <cell r="EF1863">
            <v>0</v>
          </cell>
          <cell r="EG1863">
            <v>0</v>
          </cell>
        </row>
        <row r="1864">
          <cell r="B1864">
            <v>8399794</v>
          </cell>
          <cell r="EE1864">
            <v>0</v>
          </cell>
          <cell r="EF1864">
            <v>0</v>
          </cell>
          <cell r="EG1864">
            <v>0</v>
          </cell>
        </row>
        <row r="1865">
          <cell r="B1865">
            <v>5482046</v>
          </cell>
          <cell r="EE1865">
            <v>1791840534.829412</v>
          </cell>
          <cell r="EF1865">
            <v>1047658238</v>
          </cell>
          <cell r="EG1865">
            <v>744182296.82941198</v>
          </cell>
        </row>
        <row r="1866">
          <cell r="B1866">
            <v>5685311</v>
          </cell>
          <cell r="EE1866">
            <v>0</v>
          </cell>
          <cell r="EF1866">
            <v>43256995</v>
          </cell>
          <cell r="EG1866">
            <v>-43256995</v>
          </cell>
        </row>
        <row r="1867">
          <cell r="B1867">
            <v>2804816</v>
          </cell>
          <cell r="EE1867">
            <v>219145297.46382499</v>
          </cell>
          <cell r="EF1867">
            <v>0</v>
          </cell>
          <cell r="EG1867">
            <v>219145297.46382499</v>
          </cell>
        </row>
        <row r="1868">
          <cell r="B1868">
            <v>5117291</v>
          </cell>
          <cell r="EE1868">
            <v>0</v>
          </cell>
          <cell r="EF1868">
            <v>0</v>
          </cell>
          <cell r="EG1868">
            <v>0</v>
          </cell>
        </row>
        <row r="1869">
          <cell r="B1869">
            <v>5948126</v>
          </cell>
          <cell r="EE1869">
            <v>3000000</v>
          </cell>
          <cell r="EF1869">
            <v>11184224</v>
          </cell>
          <cell r="EG1869">
            <v>-8184224</v>
          </cell>
        </row>
        <row r="1870">
          <cell r="B1870">
            <v>5231337</v>
          </cell>
          <cell r="EE1870">
            <v>21295124</v>
          </cell>
          <cell r="EF1870">
            <v>0</v>
          </cell>
          <cell r="EG1870">
            <v>21295124</v>
          </cell>
        </row>
        <row r="1871">
          <cell r="B1871">
            <v>5753597</v>
          </cell>
          <cell r="EE1871">
            <v>0</v>
          </cell>
          <cell r="EF1871">
            <v>0</v>
          </cell>
          <cell r="EG1871">
            <v>0</v>
          </cell>
        </row>
        <row r="1872">
          <cell r="B1872">
            <v>6384781</v>
          </cell>
          <cell r="EE1872">
            <v>0</v>
          </cell>
          <cell r="EF1872">
            <v>787120</v>
          </cell>
          <cell r="EG1872">
            <v>-787120</v>
          </cell>
        </row>
        <row r="1873">
          <cell r="B1873">
            <v>5183308</v>
          </cell>
          <cell r="EE1873">
            <v>2517402.4</v>
          </cell>
          <cell r="EF1873">
            <v>0</v>
          </cell>
          <cell r="EG1873">
            <v>2517402.4</v>
          </cell>
        </row>
        <row r="1874">
          <cell r="B1874">
            <v>6337376</v>
          </cell>
          <cell r="EE1874">
            <v>0</v>
          </cell>
          <cell r="EF1874">
            <v>0</v>
          </cell>
          <cell r="EG1874">
            <v>0</v>
          </cell>
        </row>
        <row r="1875">
          <cell r="B1875">
            <v>6207251</v>
          </cell>
          <cell r="EE1875">
            <v>2630075</v>
          </cell>
          <cell r="EF1875">
            <v>0</v>
          </cell>
          <cell r="EG1875">
            <v>2630075</v>
          </cell>
        </row>
        <row r="1876">
          <cell r="B1876">
            <v>4019598</v>
          </cell>
          <cell r="EE1876">
            <v>44289315.239999995</v>
          </cell>
          <cell r="EF1876">
            <v>0</v>
          </cell>
          <cell r="EG1876">
            <v>44289315.239999995</v>
          </cell>
        </row>
        <row r="1877">
          <cell r="B1877">
            <v>6169252</v>
          </cell>
          <cell r="EE1877">
            <v>0</v>
          </cell>
          <cell r="EF1877">
            <v>0</v>
          </cell>
          <cell r="EG1877">
            <v>0</v>
          </cell>
        </row>
        <row r="1878">
          <cell r="B1878">
            <v>5222575</v>
          </cell>
          <cell r="EE1878">
            <v>0</v>
          </cell>
          <cell r="EF1878">
            <v>0</v>
          </cell>
          <cell r="EG1878">
            <v>0</v>
          </cell>
        </row>
        <row r="1879">
          <cell r="B1879">
            <v>5024021</v>
          </cell>
          <cell r="EE1879">
            <v>0</v>
          </cell>
          <cell r="EF1879">
            <v>0</v>
          </cell>
          <cell r="EG1879">
            <v>0</v>
          </cell>
        </row>
        <row r="1880">
          <cell r="B1880">
            <v>5034868</v>
          </cell>
          <cell r="EE1880">
            <v>10340558.98</v>
          </cell>
          <cell r="EF1880">
            <v>0</v>
          </cell>
          <cell r="EG1880">
            <v>10340558.98</v>
          </cell>
        </row>
        <row r="1881">
          <cell r="B1881">
            <v>2067501</v>
          </cell>
          <cell r="EE1881">
            <v>4587500</v>
          </cell>
          <cell r="EF1881">
            <v>0</v>
          </cell>
          <cell r="EG1881">
            <v>4587500</v>
          </cell>
        </row>
        <row r="1882">
          <cell r="B1882">
            <v>4018591</v>
          </cell>
          <cell r="EE1882">
            <v>0</v>
          </cell>
          <cell r="EF1882">
            <v>0</v>
          </cell>
          <cell r="EG1882">
            <v>0</v>
          </cell>
        </row>
        <row r="1883">
          <cell r="B1883">
            <v>6191142</v>
          </cell>
          <cell r="EE1883">
            <v>124925148.2</v>
          </cell>
          <cell r="EF1883">
            <v>113568369</v>
          </cell>
          <cell r="EG1883">
            <v>11356779.199999999</v>
          </cell>
        </row>
        <row r="1884">
          <cell r="B1884">
            <v>6980406</v>
          </cell>
          <cell r="EE1884">
            <v>0</v>
          </cell>
          <cell r="EF1884">
            <v>0</v>
          </cell>
          <cell r="EG1884">
            <v>0</v>
          </cell>
        </row>
        <row r="1885">
          <cell r="B1885">
            <v>5908027</v>
          </cell>
          <cell r="EE1885">
            <v>47844019.219999999</v>
          </cell>
          <cell r="EF1885">
            <v>43997966</v>
          </cell>
          <cell r="EG1885">
            <v>3846053.2200000025</v>
          </cell>
        </row>
        <row r="1886">
          <cell r="B1886">
            <v>5031869</v>
          </cell>
          <cell r="EE1886">
            <v>16457149.609999999</v>
          </cell>
          <cell r="EF1886">
            <v>0</v>
          </cell>
          <cell r="EG1886">
            <v>16457149.609999999</v>
          </cell>
        </row>
        <row r="1887">
          <cell r="B1887">
            <v>2030624</v>
          </cell>
          <cell r="EE1887">
            <v>0</v>
          </cell>
          <cell r="EF1887">
            <v>0</v>
          </cell>
          <cell r="EG1887">
            <v>0</v>
          </cell>
        </row>
        <row r="1888">
          <cell r="B1888">
            <v>5374367</v>
          </cell>
          <cell r="EE1888">
            <v>147104099.70999998</v>
          </cell>
          <cell r="EF1888">
            <v>75775600</v>
          </cell>
          <cell r="EG1888">
            <v>71328499.709999993</v>
          </cell>
        </row>
        <row r="1889">
          <cell r="B1889">
            <v>5347831</v>
          </cell>
          <cell r="EE1889">
            <v>2061947</v>
          </cell>
          <cell r="EF1889">
            <v>1904015</v>
          </cell>
          <cell r="EG1889">
            <v>157932</v>
          </cell>
        </row>
        <row r="1890">
          <cell r="B1890">
            <v>2761319</v>
          </cell>
          <cell r="EE1890">
            <v>0</v>
          </cell>
          <cell r="EF1890">
            <v>0</v>
          </cell>
          <cell r="EG1890">
            <v>0</v>
          </cell>
        </row>
        <row r="1891">
          <cell r="B1891">
            <v>4287975</v>
          </cell>
          <cell r="EE1891">
            <v>12808989.41</v>
          </cell>
          <cell r="EF1891">
            <v>218714041</v>
          </cell>
          <cell r="EG1891">
            <v>-205905051.59</v>
          </cell>
        </row>
        <row r="1892">
          <cell r="B1892">
            <v>2057174</v>
          </cell>
          <cell r="EE1892">
            <v>0</v>
          </cell>
          <cell r="EF1892">
            <v>0</v>
          </cell>
          <cell r="EG1892">
            <v>0</v>
          </cell>
        </row>
        <row r="1893">
          <cell r="B1893">
            <v>5469821</v>
          </cell>
          <cell r="EE1893">
            <v>0</v>
          </cell>
          <cell r="EF1893">
            <v>17363750</v>
          </cell>
          <cell r="EG1893">
            <v>-17363750</v>
          </cell>
        </row>
        <row r="1894">
          <cell r="B1894">
            <v>3305864</v>
          </cell>
          <cell r="EE1894">
            <v>60000</v>
          </cell>
          <cell r="EF1894">
            <v>0</v>
          </cell>
          <cell r="EG1894">
            <v>60000</v>
          </cell>
        </row>
        <row r="1895">
          <cell r="B1895">
            <v>2800497</v>
          </cell>
          <cell r="EE1895">
            <v>69387851.145348996</v>
          </cell>
          <cell r="EF1895">
            <v>37287397</v>
          </cell>
          <cell r="EG1895">
            <v>32100454.145348996</v>
          </cell>
        </row>
        <row r="1896">
          <cell r="B1896">
            <v>5076978</v>
          </cell>
          <cell r="EE1896">
            <v>0</v>
          </cell>
          <cell r="EF1896">
            <v>0</v>
          </cell>
          <cell r="EG1896">
            <v>0</v>
          </cell>
        </row>
        <row r="1897">
          <cell r="B1897">
            <v>3866653</v>
          </cell>
          <cell r="EE1897">
            <v>0</v>
          </cell>
          <cell r="EF1897">
            <v>0</v>
          </cell>
          <cell r="EG1897">
            <v>0</v>
          </cell>
        </row>
        <row r="1898">
          <cell r="B1898">
            <v>3614093</v>
          </cell>
          <cell r="EE1898">
            <v>305528987.00279999</v>
          </cell>
          <cell r="EF1898">
            <v>0</v>
          </cell>
          <cell r="EG1898">
            <v>305528987.00279999</v>
          </cell>
        </row>
        <row r="1899">
          <cell r="B1899">
            <v>5763177</v>
          </cell>
          <cell r="EE1899">
            <v>0</v>
          </cell>
          <cell r="EF1899">
            <v>0</v>
          </cell>
          <cell r="EG1899">
            <v>0</v>
          </cell>
        </row>
        <row r="1900">
          <cell r="B1900">
            <v>8365946</v>
          </cell>
          <cell r="EE1900">
            <v>2508000</v>
          </cell>
          <cell r="EF1900">
            <v>0</v>
          </cell>
          <cell r="EG1900">
            <v>2508000</v>
          </cell>
        </row>
        <row r="1901">
          <cell r="B1901">
            <v>6206891</v>
          </cell>
          <cell r="EE1901">
            <v>0</v>
          </cell>
          <cell r="EF1901">
            <v>0</v>
          </cell>
          <cell r="EG1901">
            <v>0</v>
          </cell>
        </row>
        <row r="1902">
          <cell r="B1902">
            <v>6439543</v>
          </cell>
          <cell r="EE1902">
            <v>27025775</v>
          </cell>
          <cell r="EF1902">
            <v>12209000</v>
          </cell>
          <cell r="EG1902">
            <v>14816775</v>
          </cell>
        </row>
        <row r="1903">
          <cell r="B1903">
            <v>5197325</v>
          </cell>
          <cell r="EE1903">
            <v>872690285.95254397</v>
          </cell>
          <cell r="EF1903">
            <v>0</v>
          </cell>
          <cell r="EG1903">
            <v>872690285.95254397</v>
          </cell>
        </row>
        <row r="1904">
          <cell r="B1904">
            <v>5609321</v>
          </cell>
          <cell r="EE1904">
            <v>16492328</v>
          </cell>
          <cell r="EF1904">
            <v>0</v>
          </cell>
          <cell r="EG1904">
            <v>16492328</v>
          </cell>
        </row>
        <row r="1905">
          <cell r="B1905">
            <v>2017008</v>
          </cell>
          <cell r="EE1905">
            <v>13807470.75</v>
          </cell>
          <cell r="EF1905">
            <v>0</v>
          </cell>
          <cell r="EG1905">
            <v>13807470.75</v>
          </cell>
        </row>
        <row r="1906">
          <cell r="B1906">
            <v>5582342</v>
          </cell>
          <cell r="EE1906">
            <v>0</v>
          </cell>
          <cell r="EF1906">
            <v>0</v>
          </cell>
          <cell r="EG1906">
            <v>0</v>
          </cell>
        </row>
        <row r="1907">
          <cell r="B1907">
            <v>5090385</v>
          </cell>
          <cell r="EE1907">
            <v>406200</v>
          </cell>
          <cell r="EF1907">
            <v>109544293</v>
          </cell>
          <cell r="EG1907">
            <v>-109138093</v>
          </cell>
        </row>
        <row r="1908">
          <cell r="B1908">
            <v>5214629</v>
          </cell>
          <cell r="EE1908">
            <v>770000</v>
          </cell>
          <cell r="EF1908">
            <v>0</v>
          </cell>
          <cell r="EG1908">
            <v>770000</v>
          </cell>
        </row>
        <row r="1909">
          <cell r="B1909">
            <v>5072115</v>
          </cell>
          <cell r="EE1909">
            <v>89507324.360000014</v>
          </cell>
          <cell r="EF1909">
            <v>91702877</v>
          </cell>
          <cell r="EG1909">
            <v>-2195552.6400000006</v>
          </cell>
        </row>
        <row r="1910">
          <cell r="B1910">
            <v>2618621</v>
          </cell>
          <cell r="EE1910">
            <v>701126641.10834599</v>
          </cell>
          <cell r="EF1910">
            <v>892329827</v>
          </cell>
          <cell r="EG1910">
            <v>-191203185.89165401</v>
          </cell>
        </row>
        <row r="1911">
          <cell r="B1911">
            <v>2050374</v>
          </cell>
          <cell r="EE1911">
            <v>14670925248.24</v>
          </cell>
          <cell r="EF1911">
            <v>9985076471</v>
          </cell>
          <cell r="EG1911">
            <v>4685848777.2399998</v>
          </cell>
        </row>
        <row r="1912">
          <cell r="B1912">
            <v>6377947</v>
          </cell>
          <cell r="EE1912">
            <v>412923911.35000002</v>
          </cell>
          <cell r="EF1912">
            <v>2707080</v>
          </cell>
          <cell r="EG1912">
            <v>410216831.35000002</v>
          </cell>
        </row>
        <row r="1913">
          <cell r="B1913">
            <v>5106753</v>
          </cell>
          <cell r="EE1913">
            <v>265609781.74000001</v>
          </cell>
          <cell r="EF1913">
            <v>0</v>
          </cell>
          <cell r="EG1913">
            <v>265609781.74000001</v>
          </cell>
        </row>
        <row r="1914">
          <cell r="B1914">
            <v>2036231</v>
          </cell>
          <cell r="EE1914">
            <v>23148262.5</v>
          </cell>
          <cell r="EF1914">
            <v>0</v>
          </cell>
          <cell r="EG1914">
            <v>23148262.5</v>
          </cell>
        </row>
        <row r="1915">
          <cell r="B1915">
            <v>5380618</v>
          </cell>
          <cell r="EE1915">
            <v>6724000</v>
          </cell>
          <cell r="EF1915">
            <v>0</v>
          </cell>
          <cell r="EG1915">
            <v>6724000</v>
          </cell>
        </row>
        <row r="1916">
          <cell r="B1916">
            <v>5165407</v>
          </cell>
          <cell r="EE1916">
            <v>104149260.53999999</v>
          </cell>
          <cell r="EF1916">
            <v>0</v>
          </cell>
          <cell r="EG1916">
            <v>104149260.53999999</v>
          </cell>
        </row>
        <row r="1917">
          <cell r="B1917">
            <v>2812886</v>
          </cell>
          <cell r="EE1917">
            <v>0</v>
          </cell>
          <cell r="EF1917">
            <v>0</v>
          </cell>
          <cell r="EG1917">
            <v>0</v>
          </cell>
        </row>
        <row r="1918">
          <cell r="B1918">
            <v>2004879</v>
          </cell>
          <cell r="EE1918">
            <v>5560212141.1199627</v>
          </cell>
          <cell r="EF1918">
            <v>0</v>
          </cell>
          <cell r="EG1918">
            <v>5560212141.1199627</v>
          </cell>
        </row>
        <row r="1919">
          <cell r="B1919">
            <v>2884259</v>
          </cell>
          <cell r="EE1919">
            <v>0</v>
          </cell>
          <cell r="EF1919">
            <v>0</v>
          </cell>
          <cell r="EG1919">
            <v>0</v>
          </cell>
        </row>
        <row r="1920">
          <cell r="B1920">
            <v>6072348</v>
          </cell>
          <cell r="EE1920">
            <v>0</v>
          </cell>
          <cell r="EF1920">
            <v>816672</v>
          </cell>
          <cell r="EG1920">
            <v>-816672</v>
          </cell>
        </row>
        <row r="1921">
          <cell r="B1921">
            <v>6005586</v>
          </cell>
          <cell r="EE1921">
            <v>0</v>
          </cell>
          <cell r="EF1921">
            <v>0</v>
          </cell>
          <cell r="EG1921">
            <v>0</v>
          </cell>
        </row>
        <row r="1922">
          <cell r="B1922">
            <v>5319331</v>
          </cell>
          <cell r="EE1922">
            <v>22794408.199999999</v>
          </cell>
          <cell r="EF1922">
            <v>52231544</v>
          </cell>
          <cell r="EG1922">
            <v>-29437135.800000001</v>
          </cell>
        </row>
        <row r="1923">
          <cell r="B1923">
            <v>5282586</v>
          </cell>
          <cell r="EE1923">
            <v>10000000</v>
          </cell>
          <cell r="EF1923">
            <v>0</v>
          </cell>
          <cell r="EG1923">
            <v>10000000</v>
          </cell>
        </row>
        <row r="1924">
          <cell r="B1924">
            <v>5362385</v>
          </cell>
          <cell r="EE1924">
            <v>39000000</v>
          </cell>
          <cell r="EF1924">
            <v>30983068</v>
          </cell>
          <cell r="EG1924">
            <v>8016932</v>
          </cell>
        </row>
        <row r="1925">
          <cell r="B1925">
            <v>2604221</v>
          </cell>
          <cell r="EE1925">
            <v>121729366.54335201</v>
          </cell>
          <cell r="EF1925">
            <v>49718687</v>
          </cell>
          <cell r="EG1925">
            <v>72010679.543352008</v>
          </cell>
        </row>
        <row r="1926">
          <cell r="B1926">
            <v>2026163</v>
          </cell>
          <cell r="EE1926">
            <v>13799172</v>
          </cell>
          <cell r="EF1926">
            <v>9482011</v>
          </cell>
          <cell r="EG1926">
            <v>4317161</v>
          </cell>
        </row>
        <row r="1927">
          <cell r="B1927">
            <v>2585642</v>
          </cell>
          <cell r="EE1927">
            <v>10586707.76</v>
          </cell>
          <cell r="EF1927">
            <v>1551893</v>
          </cell>
          <cell r="EG1927">
            <v>9034814.7599999998</v>
          </cell>
        </row>
        <row r="1928">
          <cell r="B1928">
            <v>5167256</v>
          </cell>
          <cell r="EE1928">
            <v>0</v>
          </cell>
          <cell r="EF1928">
            <v>0</v>
          </cell>
          <cell r="EG1928">
            <v>0</v>
          </cell>
        </row>
        <row r="1929">
          <cell r="B1929">
            <v>5257352</v>
          </cell>
          <cell r="EE1929">
            <v>0</v>
          </cell>
          <cell r="EF1929">
            <v>39172693</v>
          </cell>
          <cell r="EG1929">
            <v>-39172693</v>
          </cell>
        </row>
        <row r="1930">
          <cell r="B1930">
            <v>5362261</v>
          </cell>
          <cell r="EE1930">
            <v>0</v>
          </cell>
          <cell r="EF1930">
            <v>0</v>
          </cell>
          <cell r="EG1930">
            <v>0</v>
          </cell>
        </row>
        <row r="1931">
          <cell r="B1931">
            <v>5195454</v>
          </cell>
          <cell r="EE1931">
            <v>0</v>
          </cell>
          <cell r="EF1931">
            <v>0</v>
          </cell>
          <cell r="EG1931">
            <v>0</v>
          </cell>
        </row>
        <row r="1932">
          <cell r="B1932">
            <v>2744937</v>
          </cell>
          <cell r="EE1932">
            <v>0</v>
          </cell>
          <cell r="EF1932">
            <v>0</v>
          </cell>
          <cell r="EG1932">
            <v>0</v>
          </cell>
        </row>
        <row r="1933">
          <cell r="B1933">
            <v>8443424</v>
          </cell>
          <cell r="EE1933">
            <v>0</v>
          </cell>
          <cell r="EF1933">
            <v>0</v>
          </cell>
          <cell r="EG1933">
            <v>0</v>
          </cell>
        </row>
        <row r="1934">
          <cell r="B1934">
            <v>5892295</v>
          </cell>
          <cell r="EE1934">
            <v>12170840</v>
          </cell>
          <cell r="EF1934">
            <v>0</v>
          </cell>
          <cell r="EG1934">
            <v>12170840</v>
          </cell>
        </row>
        <row r="1935">
          <cell r="B1935">
            <v>2830213</v>
          </cell>
          <cell r="EE1935">
            <v>66308486011.819427</v>
          </cell>
          <cell r="EF1935">
            <v>0</v>
          </cell>
          <cell r="EG1935">
            <v>66308486011.819427</v>
          </cell>
        </row>
        <row r="1936">
          <cell r="B1936">
            <v>6088937</v>
          </cell>
          <cell r="EE1936">
            <v>0</v>
          </cell>
          <cell r="EF1936">
            <v>0</v>
          </cell>
          <cell r="EG1936">
            <v>0</v>
          </cell>
        </row>
        <row r="1937">
          <cell r="B1937">
            <v>5403197</v>
          </cell>
          <cell r="EE1937">
            <v>0</v>
          </cell>
          <cell r="EF1937">
            <v>120707999</v>
          </cell>
          <cell r="EG1937">
            <v>-120707999</v>
          </cell>
        </row>
        <row r="1938">
          <cell r="B1938">
            <v>3627616</v>
          </cell>
          <cell r="EE1938">
            <v>0</v>
          </cell>
          <cell r="EF1938">
            <v>0</v>
          </cell>
          <cell r="EG1938">
            <v>0</v>
          </cell>
        </row>
        <row r="1939">
          <cell r="B1939">
            <v>5665914</v>
          </cell>
          <cell r="EE1939">
            <v>38368638.619999997</v>
          </cell>
          <cell r="EF1939">
            <v>33925849</v>
          </cell>
          <cell r="EG1939">
            <v>4442789.6199999992</v>
          </cell>
        </row>
        <row r="1940">
          <cell r="B1940">
            <v>5155312</v>
          </cell>
          <cell r="EE1940">
            <v>2821600</v>
          </cell>
          <cell r="EF1940">
            <v>0</v>
          </cell>
          <cell r="EG1940">
            <v>2821600</v>
          </cell>
        </row>
        <row r="1941">
          <cell r="B1941">
            <v>5317037</v>
          </cell>
          <cell r="EE1941">
            <v>319160</v>
          </cell>
          <cell r="EF1941">
            <v>0</v>
          </cell>
          <cell r="EG1941">
            <v>319160</v>
          </cell>
        </row>
        <row r="1942">
          <cell r="B1942">
            <v>5164621</v>
          </cell>
          <cell r="EE1942">
            <v>6943300</v>
          </cell>
          <cell r="EF1942">
            <v>4742400</v>
          </cell>
          <cell r="EG1942">
            <v>2200900</v>
          </cell>
        </row>
        <row r="1943">
          <cell r="B1943">
            <v>5032415</v>
          </cell>
          <cell r="EE1943">
            <v>0</v>
          </cell>
          <cell r="EF1943">
            <v>0</v>
          </cell>
          <cell r="EG1943">
            <v>0</v>
          </cell>
        </row>
        <row r="1944">
          <cell r="B1944">
            <v>5010896</v>
          </cell>
          <cell r="EE1944">
            <v>0</v>
          </cell>
          <cell r="EF1944">
            <v>0</v>
          </cell>
          <cell r="EG1944">
            <v>0</v>
          </cell>
        </row>
        <row r="1945">
          <cell r="B1945">
            <v>4009037</v>
          </cell>
          <cell r="EE1945">
            <v>10274348</v>
          </cell>
          <cell r="EF1945">
            <v>0</v>
          </cell>
          <cell r="EG1945">
            <v>10274348</v>
          </cell>
        </row>
        <row r="1946">
          <cell r="B1946">
            <v>5860253</v>
          </cell>
          <cell r="EE1946">
            <v>0</v>
          </cell>
          <cell r="EF1946">
            <v>0</v>
          </cell>
          <cell r="EG1946">
            <v>0</v>
          </cell>
        </row>
        <row r="1947">
          <cell r="B1947">
            <v>4283651</v>
          </cell>
          <cell r="EE1947">
            <v>0</v>
          </cell>
          <cell r="EF1947">
            <v>0</v>
          </cell>
          <cell r="EG1947">
            <v>0</v>
          </cell>
        </row>
        <row r="1948">
          <cell r="B1948">
            <v>2110903</v>
          </cell>
          <cell r="EE1948">
            <v>4093840</v>
          </cell>
          <cell r="EF1948">
            <v>0</v>
          </cell>
          <cell r="EG1948">
            <v>4093840</v>
          </cell>
        </row>
        <row r="1949">
          <cell r="B1949">
            <v>2025833</v>
          </cell>
          <cell r="EE1949">
            <v>79736987.249999985</v>
          </cell>
          <cell r="EF1949">
            <v>0</v>
          </cell>
          <cell r="EG1949">
            <v>79736987.249999985</v>
          </cell>
        </row>
        <row r="1950">
          <cell r="B1950">
            <v>6651089</v>
          </cell>
          <cell r="EE1950">
            <v>0</v>
          </cell>
          <cell r="EF1950">
            <v>0</v>
          </cell>
          <cell r="EG1950">
            <v>0</v>
          </cell>
        </row>
        <row r="1951">
          <cell r="B1951">
            <v>5893496</v>
          </cell>
          <cell r="EE1951">
            <v>63945500</v>
          </cell>
          <cell r="EF1951">
            <v>0</v>
          </cell>
          <cell r="EG1951">
            <v>63945500</v>
          </cell>
        </row>
        <row r="1952">
          <cell r="B1952">
            <v>5752728</v>
          </cell>
          <cell r="EE1952">
            <v>116930850</v>
          </cell>
          <cell r="EF1952">
            <v>0</v>
          </cell>
          <cell r="EG1952">
            <v>116930850</v>
          </cell>
        </row>
        <row r="1953">
          <cell r="B1953">
            <v>2053152</v>
          </cell>
          <cell r="EE1953">
            <v>69361760.049999997</v>
          </cell>
          <cell r="EF1953">
            <v>0</v>
          </cell>
          <cell r="EG1953">
            <v>69361760.049999997</v>
          </cell>
        </row>
        <row r="1954">
          <cell r="B1954">
            <v>5320607</v>
          </cell>
          <cell r="EE1954">
            <v>1218846008.712815</v>
          </cell>
          <cell r="EF1954">
            <v>973405353</v>
          </cell>
          <cell r="EG1954">
            <v>245440655.71281505</v>
          </cell>
        </row>
        <row r="1955">
          <cell r="B1955">
            <v>3491544</v>
          </cell>
          <cell r="EE1955">
            <v>0</v>
          </cell>
          <cell r="EF1955">
            <v>0</v>
          </cell>
          <cell r="EG1955">
            <v>0</v>
          </cell>
        </row>
        <row r="1956">
          <cell r="B1956">
            <v>2626489</v>
          </cell>
          <cell r="EE1956">
            <v>0</v>
          </cell>
          <cell r="EF1956">
            <v>0</v>
          </cell>
          <cell r="EG1956">
            <v>0</v>
          </cell>
        </row>
        <row r="1957">
          <cell r="B1957">
            <v>5102685</v>
          </cell>
          <cell r="EE1957">
            <v>555187016.19000006</v>
          </cell>
          <cell r="EF1957">
            <v>0</v>
          </cell>
          <cell r="EG1957">
            <v>555187016.19000006</v>
          </cell>
        </row>
        <row r="1958">
          <cell r="B1958">
            <v>6812759</v>
          </cell>
          <cell r="EE1958">
            <v>0</v>
          </cell>
          <cell r="EF1958">
            <v>541516</v>
          </cell>
          <cell r="EG1958">
            <v>-541516</v>
          </cell>
        </row>
        <row r="1959">
          <cell r="B1959">
            <v>5996252</v>
          </cell>
          <cell r="EE1959">
            <v>4830280</v>
          </cell>
          <cell r="EF1959">
            <v>2232280</v>
          </cell>
          <cell r="EG1959">
            <v>2598000</v>
          </cell>
        </row>
        <row r="1960">
          <cell r="B1960">
            <v>9103619</v>
          </cell>
          <cell r="EE1960">
            <v>168310269.23000002</v>
          </cell>
          <cell r="EF1960">
            <v>0</v>
          </cell>
          <cell r="EG1960">
            <v>168310269.23000002</v>
          </cell>
        </row>
        <row r="1961">
          <cell r="B1961">
            <v>5102189</v>
          </cell>
          <cell r="EE1961">
            <v>229738121.77703297</v>
          </cell>
          <cell r="EF1961">
            <v>12556250</v>
          </cell>
          <cell r="EG1961">
            <v>217181871.77703297</v>
          </cell>
        </row>
        <row r="1962">
          <cell r="B1962">
            <v>2568683</v>
          </cell>
          <cell r="EE1962">
            <v>32290347.5</v>
          </cell>
          <cell r="EF1962">
            <v>69000</v>
          </cell>
          <cell r="EG1962">
            <v>32221347.5</v>
          </cell>
        </row>
        <row r="1963">
          <cell r="B1963">
            <v>2067439</v>
          </cell>
          <cell r="EE1963">
            <v>0</v>
          </cell>
          <cell r="EF1963">
            <v>0</v>
          </cell>
          <cell r="EG1963">
            <v>0</v>
          </cell>
        </row>
        <row r="1964">
          <cell r="B1964">
            <v>5353203</v>
          </cell>
          <cell r="EE1964">
            <v>134074710.671425</v>
          </cell>
          <cell r="EF1964">
            <v>0</v>
          </cell>
          <cell r="EG1964">
            <v>134074710.671425</v>
          </cell>
        </row>
        <row r="1965">
          <cell r="B1965">
            <v>8377553</v>
          </cell>
          <cell r="EE1965">
            <v>0</v>
          </cell>
          <cell r="EF1965">
            <v>51536209</v>
          </cell>
          <cell r="EG1965">
            <v>-51536209</v>
          </cell>
        </row>
        <row r="1966">
          <cell r="B1966">
            <v>5053986</v>
          </cell>
          <cell r="EE1966">
            <v>428469890.00261801</v>
          </cell>
          <cell r="EF1966">
            <v>0</v>
          </cell>
          <cell r="EG1966">
            <v>428469890.00261801</v>
          </cell>
        </row>
        <row r="1967">
          <cell r="B1967">
            <v>5568005</v>
          </cell>
          <cell r="EE1967">
            <v>238037056.94212502</v>
          </cell>
          <cell r="EF1967">
            <v>214342285</v>
          </cell>
          <cell r="EG1967">
            <v>23694771.942125</v>
          </cell>
        </row>
        <row r="1968">
          <cell r="B1968">
            <v>6610897</v>
          </cell>
          <cell r="EE1968">
            <v>8000000</v>
          </cell>
          <cell r="EF1968">
            <v>0</v>
          </cell>
          <cell r="EG1968">
            <v>8000000</v>
          </cell>
        </row>
        <row r="1969">
          <cell r="B1969">
            <v>5258774</v>
          </cell>
          <cell r="EE1969">
            <v>258755</v>
          </cell>
          <cell r="EF1969">
            <v>41970106</v>
          </cell>
          <cell r="EG1969">
            <v>-41711351</v>
          </cell>
        </row>
        <row r="1970">
          <cell r="B1970">
            <v>6152392</v>
          </cell>
          <cell r="EE1970">
            <v>0</v>
          </cell>
          <cell r="EF1970">
            <v>0</v>
          </cell>
          <cell r="EG1970">
            <v>0</v>
          </cell>
        </row>
        <row r="1971">
          <cell r="B1971">
            <v>5006066</v>
          </cell>
          <cell r="EE1971">
            <v>0</v>
          </cell>
          <cell r="EF1971">
            <v>0</v>
          </cell>
          <cell r="EG1971">
            <v>0</v>
          </cell>
        </row>
        <row r="1972">
          <cell r="B1972">
            <v>5921627</v>
          </cell>
          <cell r="EE1972">
            <v>2500000</v>
          </cell>
          <cell r="EF1972">
            <v>0</v>
          </cell>
          <cell r="EG1972">
            <v>2500000</v>
          </cell>
        </row>
        <row r="1973">
          <cell r="B1973">
            <v>5974011</v>
          </cell>
          <cell r="EE1973">
            <v>0</v>
          </cell>
          <cell r="EF1973">
            <v>0</v>
          </cell>
          <cell r="EG1973">
            <v>0</v>
          </cell>
        </row>
        <row r="1974">
          <cell r="B1974">
            <v>6885624</v>
          </cell>
          <cell r="EE1974">
            <v>0</v>
          </cell>
          <cell r="EF1974">
            <v>0</v>
          </cell>
          <cell r="EG1974">
            <v>0</v>
          </cell>
        </row>
        <row r="1975">
          <cell r="B1975">
            <v>5098181</v>
          </cell>
          <cell r="EE1975">
            <v>0</v>
          </cell>
          <cell r="EF1975">
            <v>0</v>
          </cell>
          <cell r="EG1975">
            <v>0</v>
          </cell>
        </row>
        <row r="1976">
          <cell r="B1976">
            <v>5420172</v>
          </cell>
          <cell r="EE1976">
            <v>41220379.200000003</v>
          </cell>
          <cell r="EF1976">
            <v>0</v>
          </cell>
          <cell r="EG1976">
            <v>41220379.200000003</v>
          </cell>
        </row>
        <row r="1977">
          <cell r="B1977">
            <v>5130662</v>
          </cell>
          <cell r="EE1977">
            <v>828606816.14671397</v>
          </cell>
          <cell r="EF1977">
            <v>0</v>
          </cell>
          <cell r="EG1977">
            <v>828606816.14671397</v>
          </cell>
        </row>
        <row r="1978">
          <cell r="B1978">
            <v>5958075</v>
          </cell>
          <cell r="EE1978">
            <v>0</v>
          </cell>
          <cell r="EF1978">
            <v>21017150</v>
          </cell>
          <cell r="EG1978">
            <v>-21017150</v>
          </cell>
        </row>
        <row r="1979">
          <cell r="B1979">
            <v>5586119</v>
          </cell>
          <cell r="EE1979">
            <v>0</v>
          </cell>
          <cell r="EF1979">
            <v>0</v>
          </cell>
          <cell r="EG1979">
            <v>0</v>
          </cell>
        </row>
        <row r="1980">
          <cell r="B1980">
            <v>6658849</v>
          </cell>
          <cell r="EE1980">
            <v>0</v>
          </cell>
          <cell r="EF1980">
            <v>0</v>
          </cell>
          <cell r="EG1980">
            <v>0</v>
          </cell>
        </row>
        <row r="1981">
          <cell r="B1981">
            <v>5012287</v>
          </cell>
          <cell r="EE1981">
            <v>0</v>
          </cell>
          <cell r="EF1981">
            <v>0</v>
          </cell>
          <cell r="EG1981">
            <v>0</v>
          </cell>
        </row>
        <row r="1982">
          <cell r="B1982">
            <v>6185916</v>
          </cell>
          <cell r="EE1982">
            <v>0</v>
          </cell>
          <cell r="EF1982">
            <v>0</v>
          </cell>
          <cell r="EG1982">
            <v>0</v>
          </cell>
        </row>
        <row r="1983">
          <cell r="B1983">
            <v>6128963</v>
          </cell>
          <cell r="EE1983">
            <v>409093006.74517298</v>
          </cell>
          <cell r="EF1983">
            <v>0</v>
          </cell>
          <cell r="EG1983">
            <v>409093006.74517298</v>
          </cell>
        </row>
        <row r="1984">
          <cell r="B1984">
            <v>5411726</v>
          </cell>
          <cell r="EE1984">
            <v>27865311</v>
          </cell>
          <cell r="EF1984">
            <v>0</v>
          </cell>
          <cell r="EG1984">
            <v>27865311</v>
          </cell>
        </row>
        <row r="1985">
          <cell r="B1985">
            <v>5968194</v>
          </cell>
          <cell r="EE1985">
            <v>0</v>
          </cell>
          <cell r="EF1985">
            <v>0</v>
          </cell>
          <cell r="EG1985">
            <v>0</v>
          </cell>
        </row>
        <row r="1986">
          <cell r="B1986">
            <v>5798019</v>
          </cell>
          <cell r="EE1986">
            <v>0</v>
          </cell>
          <cell r="EF1986">
            <v>13511672</v>
          </cell>
          <cell r="EG1986">
            <v>-13511672</v>
          </cell>
        </row>
        <row r="1987">
          <cell r="B1987">
            <v>6050948</v>
          </cell>
          <cell r="EE1987">
            <v>0</v>
          </cell>
          <cell r="EF1987">
            <v>0</v>
          </cell>
          <cell r="EG1987">
            <v>0</v>
          </cell>
        </row>
        <row r="1988">
          <cell r="B1988">
            <v>5110629</v>
          </cell>
          <cell r="EE1988">
            <v>86758684.450000003</v>
          </cell>
          <cell r="EF1988">
            <v>0</v>
          </cell>
          <cell r="EG1988">
            <v>86758684.450000003</v>
          </cell>
        </row>
        <row r="1989">
          <cell r="B1989">
            <v>5376637</v>
          </cell>
          <cell r="EE1989">
            <v>0</v>
          </cell>
          <cell r="EF1989">
            <v>0</v>
          </cell>
          <cell r="EG1989">
            <v>0</v>
          </cell>
        </row>
        <row r="1990">
          <cell r="B1990">
            <v>2876477</v>
          </cell>
          <cell r="EE1990">
            <v>971919.88</v>
          </cell>
          <cell r="EF1990">
            <v>0</v>
          </cell>
          <cell r="EG1990">
            <v>971919.88</v>
          </cell>
        </row>
        <row r="1991">
          <cell r="B1991">
            <v>5226759</v>
          </cell>
          <cell r="EE1991">
            <v>10969404.82</v>
          </cell>
          <cell r="EF1991">
            <v>0</v>
          </cell>
          <cell r="EG1991">
            <v>10969404.82</v>
          </cell>
        </row>
        <row r="1992">
          <cell r="B1992">
            <v>5527252</v>
          </cell>
          <cell r="EE1992">
            <v>0</v>
          </cell>
          <cell r="EF1992">
            <v>17737347</v>
          </cell>
          <cell r="EG1992">
            <v>-17737347</v>
          </cell>
        </row>
        <row r="1993">
          <cell r="B1993">
            <v>5493781</v>
          </cell>
          <cell r="EE1993">
            <v>43882789.730000004</v>
          </cell>
          <cell r="EF1993">
            <v>0</v>
          </cell>
          <cell r="EG1993">
            <v>43882789.730000004</v>
          </cell>
        </row>
        <row r="1994">
          <cell r="B1994">
            <v>6152813</v>
          </cell>
          <cell r="EE1994">
            <v>0</v>
          </cell>
          <cell r="EF1994">
            <v>0</v>
          </cell>
          <cell r="EG1994">
            <v>0</v>
          </cell>
        </row>
        <row r="1995">
          <cell r="B1995">
            <v>5938228</v>
          </cell>
          <cell r="EE1995">
            <v>0</v>
          </cell>
          <cell r="EF1995">
            <v>0</v>
          </cell>
          <cell r="EG1995">
            <v>0</v>
          </cell>
        </row>
        <row r="1996">
          <cell r="B1996">
            <v>5945313</v>
          </cell>
          <cell r="EE1996">
            <v>0</v>
          </cell>
          <cell r="EF1996">
            <v>0</v>
          </cell>
          <cell r="EG1996">
            <v>0</v>
          </cell>
        </row>
        <row r="1997">
          <cell r="B1997">
            <v>5217849</v>
          </cell>
          <cell r="EE1997">
            <v>0</v>
          </cell>
          <cell r="EF1997">
            <v>0</v>
          </cell>
          <cell r="EG1997">
            <v>0</v>
          </cell>
        </row>
        <row r="1998">
          <cell r="B1998">
            <v>2102048</v>
          </cell>
          <cell r="EE1998">
            <v>0</v>
          </cell>
          <cell r="EF1998">
            <v>326310</v>
          </cell>
          <cell r="EG1998">
            <v>-326310</v>
          </cell>
        </row>
        <row r="1999">
          <cell r="B1999">
            <v>6645194</v>
          </cell>
          <cell r="EE1999">
            <v>0</v>
          </cell>
          <cell r="EF1999">
            <v>0</v>
          </cell>
          <cell r="EG1999">
            <v>0</v>
          </cell>
        </row>
        <row r="2000">
          <cell r="B2000">
            <v>5402166</v>
          </cell>
          <cell r="EE2000">
            <v>0</v>
          </cell>
          <cell r="EF2000">
            <v>0</v>
          </cell>
          <cell r="EG2000">
            <v>0</v>
          </cell>
        </row>
        <row r="2001">
          <cell r="B2001">
            <v>5393345</v>
          </cell>
          <cell r="EE2001">
            <v>143606867</v>
          </cell>
          <cell r="EF2001">
            <v>0</v>
          </cell>
          <cell r="EG2001">
            <v>143606867</v>
          </cell>
        </row>
        <row r="2002">
          <cell r="B2002">
            <v>5470633</v>
          </cell>
          <cell r="EE2002">
            <v>0</v>
          </cell>
          <cell r="EF2002">
            <v>0</v>
          </cell>
          <cell r="EG2002">
            <v>0</v>
          </cell>
        </row>
        <row r="2003">
          <cell r="B2003">
            <v>5739837</v>
          </cell>
          <cell r="EE2003">
            <v>16208497.289999999</v>
          </cell>
          <cell r="EF2003">
            <v>0</v>
          </cell>
          <cell r="EG2003">
            <v>16208497.289999999</v>
          </cell>
        </row>
        <row r="2004">
          <cell r="B2004">
            <v>6025048</v>
          </cell>
          <cell r="EE2004">
            <v>0</v>
          </cell>
          <cell r="EF2004">
            <v>6674858</v>
          </cell>
          <cell r="EG2004">
            <v>-6674858</v>
          </cell>
        </row>
        <row r="2005">
          <cell r="B2005">
            <v>6792898</v>
          </cell>
          <cell r="EE2005">
            <v>73811454.409999996</v>
          </cell>
          <cell r="EF2005">
            <v>0</v>
          </cell>
          <cell r="EG2005">
            <v>73811454.409999996</v>
          </cell>
        </row>
        <row r="2006">
          <cell r="B2006">
            <v>5990637</v>
          </cell>
          <cell r="EE2006">
            <v>0</v>
          </cell>
          <cell r="EF2006">
            <v>0</v>
          </cell>
          <cell r="EG2006">
            <v>0</v>
          </cell>
        </row>
        <row r="2007">
          <cell r="B2007">
            <v>5504767</v>
          </cell>
          <cell r="EE2007">
            <v>0</v>
          </cell>
          <cell r="EF2007">
            <v>0</v>
          </cell>
          <cell r="EG2007">
            <v>0</v>
          </cell>
        </row>
        <row r="2008">
          <cell r="B2008">
            <v>5018536</v>
          </cell>
          <cell r="EE2008">
            <v>129862357.98999999</v>
          </cell>
          <cell r="EF2008">
            <v>10000000</v>
          </cell>
          <cell r="EG2008">
            <v>119862357.98999999</v>
          </cell>
        </row>
        <row r="2009">
          <cell r="B2009">
            <v>5898749</v>
          </cell>
          <cell r="EE2009">
            <v>228122143.55114701</v>
          </cell>
          <cell r="EF2009">
            <v>379827421</v>
          </cell>
          <cell r="EG2009">
            <v>-151705277.44885299</v>
          </cell>
        </row>
        <row r="2010">
          <cell r="B2010">
            <v>5610079</v>
          </cell>
          <cell r="EE2010">
            <v>28574687.609999999</v>
          </cell>
          <cell r="EF2010">
            <v>0</v>
          </cell>
          <cell r="EG2010">
            <v>28574687.609999999</v>
          </cell>
        </row>
        <row r="2011">
          <cell r="B2011">
            <v>5935288</v>
          </cell>
          <cell r="EE2011">
            <v>0</v>
          </cell>
          <cell r="EF2011">
            <v>0</v>
          </cell>
          <cell r="EG2011">
            <v>0</v>
          </cell>
        </row>
        <row r="2012">
          <cell r="B2012">
            <v>5576741</v>
          </cell>
          <cell r="EE2012">
            <v>0</v>
          </cell>
          <cell r="EF2012">
            <v>0</v>
          </cell>
          <cell r="EG2012">
            <v>0</v>
          </cell>
        </row>
        <row r="2013">
          <cell r="B2013">
            <v>5454018</v>
          </cell>
          <cell r="EE2013">
            <v>0</v>
          </cell>
          <cell r="EF2013">
            <v>0</v>
          </cell>
          <cell r="EG2013">
            <v>0</v>
          </cell>
        </row>
        <row r="2014">
          <cell r="B2014">
            <v>6208665</v>
          </cell>
          <cell r="EE2014">
            <v>3368790</v>
          </cell>
          <cell r="EF2014">
            <v>0</v>
          </cell>
          <cell r="EG2014">
            <v>3368790</v>
          </cell>
        </row>
        <row r="2015">
          <cell r="B2015">
            <v>5287227</v>
          </cell>
          <cell r="EE2015">
            <v>0</v>
          </cell>
          <cell r="EF2015">
            <v>0</v>
          </cell>
          <cell r="EG2015">
            <v>0</v>
          </cell>
        </row>
        <row r="2016">
          <cell r="B2016">
            <v>6209815</v>
          </cell>
          <cell r="EE2016">
            <v>20000</v>
          </cell>
          <cell r="EF2016">
            <v>11873963</v>
          </cell>
          <cell r="EG2016">
            <v>-11853963</v>
          </cell>
        </row>
        <row r="2017">
          <cell r="B2017">
            <v>5148146</v>
          </cell>
          <cell r="EE2017">
            <v>0</v>
          </cell>
          <cell r="EF2017">
            <v>0</v>
          </cell>
          <cell r="EG2017">
            <v>0</v>
          </cell>
        </row>
        <row r="2018">
          <cell r="B2018">
            <v>6338895</v>
          </cell>
          <cell r="EE2018">
            <v>0</v>
          </cell>
          <cell r="EF2018">
            <v>797860</v>
          </cell>
          <cell r="EG2018">
            <v>-797860</v>
          </cell>
        </row>
        <row r="2019">
          <cell r="B2019">
            <v>5220203</v>
          </cell>
          <cell r="EE2019">
            <v>0</v>
          </cell>
          <cell r="EF2019">
            <v>0</v>
          </cell>
          <cell r="EG2019">
            <v>0</v>
          </cell>
        </row>
        <row r="2020">
          <cell r="B2020">
            <v>5138175</v>
          </cell>
          <cell r="EE2020">
            <v>8198818.2000000002</v>
          </cell>
          <cell r="EF2020">
            <v>0</v>
          </cell>
          <cell r="EG2020">
            <v>8198818.2000000002</v>
          </cell>
        </row>
        <row r="2021">
          <cell r="B2021">
            <v>5015243</v>
          </cell>
          <cell r="EE2021">
            <v>1046695963.4167479</v>
          </cell>
          <cell r="EF2021">
            <v>1798619901</v>
          </cell>
          <cell r="EG2021">
            <v>-751923937.58325219</v>
          </cell>
        </row>
        <row r="2022">
          <cell r="B2022">
            <v>8400679</v>
          </cell>
          <cell r="EE2022">
            <v>0</v>
          </cell>
          <cell r="EF2022">
            <v>0</v>
          </cell>
          <cell r="EG2022">
            <v>0</v>
          </cell>
        </row>
        <row r="2023">
          <cell r="B2023">
            <v>6636721</v>
          </cell>
          <cell r="EE2023">
            <v>33289416.059999999</v>
          </cell>
          <cell r="EF2023">
            <v>427000</v>
          </cell>
          <cell r="EG2023">
            <v>32862416.059999999</v>
          </cell>
        </row>
        <row r="2024">
          <cell r="B2024">
            <v>6204775</v>
          </cell>
          <cell r="EE2024">
            <v>0</v>
          </cell>
          <cell r="EF2024">
            <v>0</v>
          </cell>
          <cell r="EG2024">
            <v>0</v>
          </cell>
        </row>
        <row r="2025">
          <cell r="B2025">
            <v>5121442</v>
          </cell>
          <cell r="EE2025">
            <v>6450000</v>
          </cell>
          <cell r="EF2025">
            <v>22938180</v>
          </cell>
          <cell r="EG2025">
            <v>-16488180</v>
          </cell>
        </row>
        <row r="2026">
          <cell r="B2026">
            <v>5452503</v>
          </cell>
          <cell r="EE2026">
            <v>1337475773.7260408</v>
          </cell>
          <cell r="EF2026">
            <v>478357649</v>
          </cell>
          <cell r="EG2026">
            <v>859118124.72604096</v>
          </cell>
        </row>
        <row r="2027">
          <cell r="B2027">
            <v>5195233</v>
          </cell>
          <cell r="EE2027">
            <v>0</v>
          </cell>
          <cell r="EF2027">
            <v>0</v>
          </cell>
          <cell r="EG2027">
            <v>0</v>
          </cell>
        </row>
        <row r="2028">
          <cell r="B2028">
            <v>5137438</v>
          </cell>
          <cell r="EE2028">
            <v>4036200</v>
          </cell>
          <cell r="EF2028">
            <v>0</v>
          </cell>
          <cell r="EG2028">
            <v>4036200</v>
          </cell>
        </row>
        <row r="2029">
          <cell r="B2029">
            <v>5154715</v>
          </cell>
          <cell r="EE2029">
            <v>5203000</v>
          </cell>
          <cell r="EF2029">
            <v>0</v>
          </cell>
          <cell r="EG2029">
            <v>5203000</v>
          </cell>
        </row>
        <row r="2030">
          <cell r="B2030">
            <v>2674866</v>
          </cell>
          <cell r="EE2030">
            <v>9876193.4399999995</v>
          </cell>
          <cell r="EF2030">
            <v>0</v>
          </cell>
          <cell r="EG2030">
            <v>9876193.4399999995</v>
          </cell>
        </row>
        <row r="2031">
          <cell r="B2031">
            <v>6299652</v>
          </cell>
          <cell r="EE2031">
            <v>27913027.789999999</v>
          </cell>
          <cell r="EF2031">
            <v>0</v>
          </cell>
          <cell r="EG2031">
            <v>27913027.789999999</v>
          </cell>
        </row>
        <row r="2032">
          <cell r="B2032">
            <v>6862578</v>
          </cell>
          <cell r="EE2032">
            <v>0</v>
          </cell>
          <cell r="EF2032">
            <v>0</v>
          </cell>
          <cell r="EG2032">
            <v>0</v>
          </cell>
        </row>
        <row r="2033">
          <cell r="B2033">
            <v>6655343</v>
          </cell>
          <cell r="EE2033">
            <v>2028239</v>
          </cell>
          <cell r="EF2033">
            <v>0</v>
          </cell>
          <cell r="EG2033">
            <v>2028239</v>
          </cell>
        </row>
        <row r="2034">
          <cell r="B2034">
            <v>6114504</v>
          </cell>
          <cell r="EE2034">
            <v>0</v>
          </cell>
          <cell r="EF2034">
            <v>0</v>
          </cell>
          <cell r="EG2034">
            <v>0</v>
          </cell>
        </row>
        <row r="2035">
          <cell r="B2035">
            <v>5107733</v>
          </cell>
          <cell r="EE2035">
            <v>17719555</v>
          </cell>
          <cell r="EF2035">
            <v>0</v>
          </cell>
          <cell r="EG2035">
            <v>17719555</v>
          </cell>
        </row>
        <row r="2036">
          <cell r="B2036">
            <v>5155568</v>
          </cell>
          <cell r="EE2036">
            <v>98439883.672491997</v>
          </cell>
          <cell r="EF2036">
            <v>79585889</v>
          </cell>
          <cell r="EG2036">
            <v>18853994.672492005</v>
          </cell>
        </row>
        <row r="2037">
          <cell r="B2037">
            <v>5645794</v>
          </cell>
          <cell r="EE2037">
            <v>98137530.939999998</v>
          </cell>
          <cell r="EF2037">
            <v>0</v>
          </cell>
          <cell r="EG2037">
            <v>98137530.939999998</v>
          </cell>
        </row>
        <row r="2038">
          <cell r="B2038">
            <v>5278503</v>
          </cell>
          <cell r="EE2038">
            <v>0</v>
          </cell>
          <cell r="EF2038">
            <v>0</v>
          </cell>
          <cell r="EG2038">
            <v>0</v>
          </cell>
        </row>
        <row r="2039">
          <cell r="B2039">
            <v>6862845</v>
          </cell>
          <cell r="EE2039">
            <v>0</v>
          </cell>
          <cell r="EF2039">
            <v>0</v>
          </cell>
          <cell r="EG2039">
            <v>0</v>
          </cell>
        </row>
        <row r="2040">
          <cell r="B2040">
            <v>5170591</v>
          </cell>
          <cell r="EE2040">
            <v>0</v>
          </cell>
          <cell r="EF2040">
            <v>0</v>
          </cell>
          <cell r="EG2040">
            <v>0</v>
          </cell>
        </row>
        <row r="2041">
          <cell r="B2041">
            <v>6422403</v>
          </cell>
          <cell r="EE2041">
            <v>82962700</v>
          </cell>
          <cell r="EF2041">
            <v>100870573</v>
          </cell>
          <cell r="EG2041">
            <v>-17907873</v>
          </cell>
        </row>
        <row r="2042">
          <cell r="B2042">
            <v>5993512</v>
          </cell>
          <cell r="EE2042">
            <v>0</v>
          </cell>
          <cell r="EF2042">
            <v>4963089</v>
          </cell>
          <cell r="EG2042">
            <v>-4963089</v>
          </cell>
        </row>
        <row r="2043">
          <cell r="B2043">
            <v>6969143</v>
          </cell>
          <cell r="EE2043">
            <v>0</v>
          </cell>
          <cell r="EF2043">
            <v>3550</v>
          </cell>
          <cell r="EG2043">
            <v>-3550</v>
          </cell>
        </row>
        <row r="2044">
          <cell r="B2044">
            <v>5420504</v>
          </cell>
          <cell r="EE2044">
            <v>3051786.44</v>
          </cell>
          <cell r="EF2044">
            <v>139803516</v>
          </cell>
          <cell r="EG2044">
            <v>-136751729.56</v>
          </cell>
        </row>
        <row r="2045">
          <cell r="B2045">
            <v>5800323</v>
          </cell>
          <cell r="EE2045">
            <v>0</v>
          </cell>
          <cell r="EF2045">
            <v>12825509</v>
          </cell>
          <cell r="EG2045">
            <v>-12825509</v>
          </cell>
        </row>
        <row r="2046">
          <cell r="B2046">
            <v>2887746</v>
          </cell>
          <cell r="EE2046">
            <v>414198193418.73395</v>
          </cell>
          <cell r="EF2046">
            <v>379398715328</v>
          </cell>
          <cell r="EG2046">
            <v>34799478090.733948</v>
          </cell>
        </row>
        <row r="2047">
          <cell r="B2047">
            <v>4000617</v>
          </cell>
          <cell r="EE2047">
            <v>295133486.24650902</v>
          </cell>
          <cell r="EF2047">
            <v>0</v>
          </cell>
          <cell r="EG2047">
            <v>295133486.24650902</v>
          </cell>
        </row>
        <row r="2048">
          <cell r="B2048">
            <v>5982936</v>
          </cell>
          <cell r="EE2048">
            <v>47825844.659999996</v>
          </cell>
          <cell r="EF2048">
            <v>0</v>
          </cell>
          <cell r="EG2048">
            <v>47825844.659999996</v>
          </cell>
        </row>
        <row r="2049">
          <cell r="B2049">
            <v>5355141</v>
          </cell>
          <cell r="EE2049">
            <v>15564250</v>
          </cell>
          <cell r="EF2049">
            <v>0</v>
          </cell>
          <cell r="EG2049">
            <v>15564250</v>
          </cell>
        </row>
        <row r="2050">
          <cell r="B2050">
            <v>5618339</v>
          </cell>
          <cell r="EE2050">
            <v>962557127.72000003</v>
          </cell>
          <cell r="EF2050">
            <v>925793798</v>
          </cell>
          <cell r="EG2050">
            <v>36763329.719999999</v>
          </cell>
        </row>
        <row r="2051">
          <cell r="B2051">
            <v>5103169</v>
          </cell>
          <cell r="EE2051">
            <v>0</v>
          </cell>
          <cell r="EF2051">
            <v>0</v>
          </cell>
          <cell r="EG2051">
            <v>0</v>
          </cell>
        </row>
        <row r="2052">
          <cell r="B2052">
            <v>2104989</v>
          </cell>
          <cell r="EE2052">
            <v>593892870.97087896</v>
          </cell>
          <cell r="EF2052">
            <v>428502970</v>
          </cell>
          <cell r="EG2052">
            <v>165389900.97087896</v>
          </cell>
        </row>
        <row r="2053">
          <cell r="B2053">
            <v>2721643</v>
          </cell>
          <cell r="EE2053">
            <v>57540935.899999999</v>
          </cell>
          <cell r="EF2053">
            <v>0</v>
          </cell>
          <cell r="EG2053">
            <v>57540935.899999999</v>
          </cell>
        </row>
        <row r="2054">
          <cell r="B2054">
            <v>4145283</v>
          </cell>
          <cell r="EE2054">
            <v>0</v>
          </cell>
          <cell r="EF2054">
            <v>0</v>
          </cell>
          <cell r="EG2054">
            <v>0</v>
          </cell>
        </row>
        <row r="2055">
          <cell r="B2055">
            <v>5211859</v>
          </cell>
          <cell r="EE2055">
            <v>26383917.309999999</v>
          </cell>
          <cell r="EF2055">
            <v>0</v>
          </cell>
          <cell r="EG2055">
            <v>26383917.309999999</v>
          </cell>
        </row>
        <row r="2056">
          <cell r="B2056">
            <v>3565831</v>
          </cell>
          <cell r="EE2056">
            <v>7938896</v>
          </cell>
          <cell r="EF2056">
            <v>0</v>
          </cell>
          <cell r="EG2056">
            <v>7938896</v>
          </cell>
        </row>
        <row r="2057">
          <cell r="B2057">
            <v>5947138</v>
          </cell>
          <cell r="EE2057">
            <v>0</v>
          </cell>
          <cell r="EF2057">
            <v>0</v>
          </cell>
          <cell r="EG2057">
            <v>0</v>
          </cell>
        </row>
        <row r="2058">
          <cell r="B2058">
            <v>5072948</v>
          </cell>
          <cell r="EE2058">
            <v>2446882943.0290275</v>
          </cell>
          <cell r="EF2058">
            <v>0</v>
          </cell>
          <cell r="EG2058">
            <v>2446882943.0290275</v>
          </cell>
        </row>
        <row r="2059">
          <cell r="B2059">
            <v>5098033</v>
          </cell>
          <cell r="EE2059">
            <v>18744000</v>
          </cell>
          <cell r="EF2059">
            <v>38317400</v>
          </cell>
          <cell r="EG2059">
            <v>-19573400</v>
          </cell>
        </row>
        <row r="2060">
          <cell r="B2060">
            <v>5190479</v>
          </cell>
          <cell r="EE2060">
            <v>0</v>
          </cell>
          <cell r="EF2060">
            <v>102345160</v>
          </cell>
          <cell r="EG2060">
            <v>-102345160</v>
          </cell>
        </row>
        <row r="2061">
          <cell r="B2061">
            <v>2786893</v>
          </cell>
          <cell r="EE2061">
            <v>12785000</v>
          </cell>
          <cell r="EF2061">
            <v>0</v>
          </cell>
          <cell r="EG2061">
            <v>12785000</v>
          </cell>
        </row>
        <row r="2062">
          <cell r="B2062">
            <v>6523196</v>
          </cell>
          <cell r="EE2062">
            <v>0</v>
          </cell>
          <cell r="EF2062">
            <v>0</v>
          </cell>
          <cell r="EG2062">
            <v>0</v>
          </cell>
        </row>
        <row r="2063">
          <cell r="B2063">
            <v>5183154</v>
          </cell>
          <cell r="EE2063">
            <v>0</v>
          </cell>
          <cell r="EF2063">
            <v>41942700</v>
          </cell>
          <cell r="EG2063">
            <v>-41942700</v>
          </cell>
        </row>
        <row r="2064">
          <cell r="B2064">
            <v>6452175</v>
          </cell>
          <cell r="EE2064">
            <v>0</v>
          </cell>
          <cell r="EF2064">
            <v>0</v>
          </cell>
          <cell r="EG2064">
            <v>0</v>
          </cell>
        </row>
        <row r="2065">
          <cell r="B2065">
            <v>5979021</v>
          </cell>
          <cell r="EE2065">
            <v>38364398</v>
          </cell>
          <cell r="EF2065">
            <v>55201631</v>
          </cell>
          <cell r="EG2065">
            <v>-16837233</v>
          </cell>
        </row>
        <row r="2066">
          <cell r="B2066">
            <v>5979374</v>
          </cell>
          <cell r="EE2066">
            <v>16622500</v>
          </cell>
          <cell r="EF2066">
            <v>12850000</v>
          </cell>
          <cell r="EG2066">
            <v>3772500</v>
          </cell>
        </row>
        <row r="2067">
          <cell r="B2067">
            <v>5405335</v>
          </cell>
          <cell r="EE2067">
            <v>22040105.140000001</v>
          </cell>
          <cell r="EF2067">
            <v>0</v>
          </cell>
          <cell r="EG2067">
            <v>22040105.140000001</v>
          </cell>
        </row>
        <row r="2068">
          <cell r="B2068">
            <v>2876965</v>
          </cell>
          <cell r="EE2068">
            <v>141869408.93000001</v>
          </cell>
          <cell r="EF2068">
            <v>0</v>
          </cell>
          <cell r="EG2068">
            <v>141869408.93000001</v>
          </cell>
        </row>
        <row r="2069">
          <cell r="B2069">
            <v>2715619</v>
          </cell>
          <cell r="EE2069">
            <v>68196100</v>
          </cell>
          <cell r="EF2069">
            <v>206517786</v>
          </cell>
          <cell r="EG2069">
            <v>-138321686</v>
          </cell>
        </row>
        <row r="2070">
          <cell r="B2070">
            <v>5924766</v>
          </cell>
          <cell r="EE2070">
            <v>6510800</v>
          </cell>
          <cell r="EF2070">
            <v>0</v>
          </cell>
          <cell r="EG2070">
            <v>6510800</v>
          </cell>
        </row>
        <row r="2071">
          <cell r="B2071">
            <v>2006057</v>
          </cell>
          <cell r="EE2071">
            <v>258210</v>
          </cell>
          <cell r="EF2071">
            <v>0</v>
          </cell>
          <cell r="EG2071">
            <v>258210</v>
          </cell>
        </row>
        <row r="2072">
          <cell r="B2072">
            <v>5581656</v>
          </cell>
          <cell r="EE2072">
            <v>2501555</v>
          </cell>
          <cell r="EF2072">
            <v>0</v>
          </cell>
          <cell r="EG2072">
            <v>2501555</v>
          </cell>
        </row>
        <row r="2073">
          <cell r="B2073">
            <v>2718243</v>
          </cell>
          <cell r="EE2073">
            <v>2057977222.8959999</v>
          </cell>
          <cell r="EF2073">
            <v>1658036945</v>
          </cell>
          <cell r="EG2073">
            <v>399940277.89600003</v>
          </cell>
        </row>
        <row r="2074">
          <cell r="B2074">
            <v>6289754</v>
          </cell>
          <cell r="EE2074">
            <v>504195358.89999998</v>
          </cell>
          <cell r="EF2074">
            <v>0</v>
          </cell>
          <cell r="EG2074">
            <v>504195358.89999998</v>
          </cell>
        </row>
        <row r="2075">
          <cell r="B2075">
            <v>6243894</v>
          </cell>
          <cell r="EE2075">
            <v>1000000</v>
          </cell>
          <cell r="EF2075">
            <v>500000</v>
          </cell>
          <cell r="EG2075">
            <v>500000</v>
          </cell>
        </row>
        <row r="2076">
          <cell r="B2076">
            <v>6896197</v>
          </cell>
          <cell r="EE2076">
            <v>127603612.66</v>
          </cell>
          <cell r="EF2076">
            <v>113509250</v>
          </cell>
          <cell r="EG2076">
            <v>14094362.66</v>
          </cell>
        </row>
        <row r="2077">
          <cell r="B2077">
            <v>5435528</v>
          </cell>
          <cell r="EE2077">
            <v>2854882573173.8804</v>
          </cell>
          <cell r="EF2077">
            <v>2848496420785</v>
          </cell>
          <cell r="EG2077">
            <v>6386152388.8802776</v>
          </cell>
        </row>
        <row r="2078">
          <cell r="B2078">
            <v>6664628</v>
          </cell>
          <cell r="EE2078">
            <v>0</v>
          </cell>
          <cell r="EF2078">
            <v>2170</v>
          </cell>
          <cell r="EG2078">
            <v>-2170</v>
          </cell>
        </row>
        <row r="2079">
          <cell r="B2079">
            <v>5824826</v>
          </cell>
          <cell r="EE2079">
            <v>1773857331.9953072</v>
          </cell>
          <cell r="EF2079">
            <v>0</v>
          </cell>
          <cell r="EG2079">
            <v>1773857331.9953072</v>
          </cell>
        </row>
        <row r="2080">
          <cell r="B2080">
            <v>4376927</v>
          </cell>
          <cell r="EE2080">
            <v>10000000</v>
          </cell>
          <cell r="EF2080">
            <v>0</v>
          </cell>
          <cell r="EG2080">
            <v>10000000</v>
          </cell>
        </row>
        <row r="2081">
          <cell r="B2081">
            <v>6141536</v>
          </cell>
          <cell r="EE2081">
            <v>15504300</v>
          </cell>
          <cell r="EF2081">
            <v>0</v>
          </cell>
          <cell r="EG2081">
            <v>15504300</v>
          </cell>
        </row>
        <row r="2082">
          <cell r="B2082">
            <v>5124913</v>
          </cell>
          <cell r="EE2082">
            <v>59558797842.049995</v>
          </cell>
          <cell r="EF2082">
            <v>62801858490</v>
          </cell>
          <cell r="EG2082">
            <v>-3243060647.9500017</v>
          </cell>
        </row>
        <row r="2083">
          <cell r="B2083">
            <v>5941822</v>
          </cell>
          <cell r="EE2083">
            <v>0</v>
          </cell>
          <cell r="EF2083">
            <v>0</v>
          </cell>
          <cell r="EG2083">
            <v>0</v>
          </cell>
        </row>
        <row r="2084">
          <cell r="B2084">
            <v>4248201</v>
          </cell>
          <cell r="EE2084">
            <v>0</v>
          </cell>
          <cell r="EF2084">
            <v>0</v>
          </cell>
          <cell r="EG2084">
            <v>0</v>
          </cell>
        </row>
        <row r="2085">
          <cell r="B2085">
            <v>4372433</v>
          </cell>
          <cell r="EE2085">
            <v>0</v>
          </cell>
          <cell r="EF2085">
            <v>0</v>
          </cell>
          <cell r="EG2085">
            <v>0</v>
          </cell>
        </row>
        <row r="2086">
          <cell r="B2086">
            <v>2074192</v>
          </cell>
          <cell r="EE2086">
            <v>1569938546789.5833</v>
          </cell>
          <cell r="EF2086">
            <v>1579446412720</v>
          </cell>
          <cell r="EG2086">
            <v>-9507865930.4168396</v>
          </cell>
        </row>
        <row r="2087">
          <cell r="B2087">
            <v>5538394</v>
          </cell>
          <cell r="EE2087">
            <v>62822455.969999999</v>
          </cell>
          <cell r="EF2087">
            <v>0</v>
          </cell>
          <cell r="EG2087">
            <v>62822455.969999999</v>
          </cell>
        </row>
        <row r="2088">
          <cell r="B2088">
            <v>5802075</v>
          </cell>
          <cell r="EE2088">
            <v>293000</v>
          </cell>
          <cell r="EF2088">
            <v>0</v>
          </cell>
          <cell r="EG2088">
            <v>293000</v>
          </cell>
        </row>
        <row r="2089">
          <cell r="B2089">
            <v>6256171</v>
          </cell>
          <cell r="EE2089">
            <v>4295100</v>
          </cell>
          <cell r="EF2089">
            <v>0</v>
          </cell>
          <cell r="EG2089">
            <v>4295100</v>
          </cell>
        </row>
        <row r="2090">
          <cell r="B2090">
            <v>2705036</v>
          </cell>
          <cell r="EE2090">
            <v>60025.55</v>
          </cell>
          <cell r="EF2090">
            <v>0</v>
          </cell>
          <cell r="EG2090">
            <v>60025.55</v>
          </cell>
        </row>
        <row r="2091">
          <cell r="B2091">
            <v>5145783</v>
          </cell>
          <cell r="EE2091">
            <v>60397686.698750004</v>
          </cell>
          <cell r="EF2091">
            <v>0</v>
          </cell>
          <cell r="EG2091">
            <v>60397686.698750004</v>
          </cell>
        </row>
        <row r="2092">
          <cell r="B2092">
            <v>5070899</v>
          </cell>
          <cell r="EE2092">
            <v>13338394</v>
          </cell>
          <cell r="EF2092">
            <v>8516501</v>
          </cell>
          <cell r="EG2092">
            <v>4821893</v>
          </cell>
        </row>
        <row r="2093">
          <cell r="B2093">
            <v>2121174</v>
          </cell>
          <cell r="EE2093">
            <v>579065.75</v>
          </cell>
          <cell r="EF2093">
            <v>0</v>
          </cell>
          <cell r="EG2093">
            <v>579065.75</v>
          </cell>
        </row>
        <row r="2094">
          <cell r="B2094">
            <v>2655772</v>
          </cell>
          <cell r="EE2094">
            <v>230560261.25</v>
          </cell>
          <cell r="EF2094">
            <v>0</v>
          </cell>
          <cell r="EG2094">
            <v>230560261.25</v>
          </cell>
        </row>
        <row r="2095">
          <cell r="B2095">
            <v>6132588</v>
          </cell>
          <cell r="EE2095">
            <v>0</v>
          </cell>
          <cell r="EF2095">
            <v>0</v>
          </cell>
          <cell r="EG2095">
            <v>0</v>
          </cell>
        </row>
        <row r="2096">
          <cell r="B2096">
            <v>6335551</v>
          </cell>
          <cell r="EE2096">
            <v>0</v>
          </cell>
          <cell r="EF2096">
            <v>0</v>
          </cell>
          <cell r="EG2096">
            <v>0</v>
          </cell>
        </row>
        <row r="2097">
          <cell r="B2097">
            <v>2883376</v>
          </cell>
          <cell r="EE2097">
            <v>2840000</v>
          </cell>
          <cell r="EF2097">
            <v>5337000</v>
          </cell>
          <cell r="EG2097">
            <v>-2497000</v>
          </cell>
        </row>
        <row r="2098">
          <cell r="B2098">
            <v>6896324</v>
          </cell>
          <cell r="EE2098">
            <v>0</v>
          </cell>
          <cell r="EF2098">
            <v>0</v>
          </cell>
          <cell r="EG2098">
            <v>0</v>
          </cell>
        </row>
        <row r="2099">
          <cell r="B2099">
            <v>2787989</v>
          </cell>
          <cell r="EE2099">
            <v>218024257.30000001</v>
          </cell>
          <cell r="EF2099">
            <v>13399733</v>
          </cell>
          <cell r="EG2099">
            <v>204624524.30000001</v>
          </cell>
        </row>
        <row r="2100">
          <cell r="B2100">
            <v>6207235</v>
          </cell>
          <cell r="EE2100">
            <v>915130</v>
          </cell>
          <cell r="EF2100">
            <v>0</v>
          </cell>
          <cell r="EG2100">
            <v>915130</v>
          </cell>
        </row>
        <row r="2101">
          <cell r="B2101">
            <v>2003821</v>
          </cell>
          <cell r="EE2101">
            <v>873917557.2913909</v>
          </cell>
          <cell r="EF2101">
            <v>0</v>
          </cell>
          <cell r="EG2101">
            <v>873917557.2913909</v>
          </cell>
        </row>
        <row r="2102">
          <cell r="B2102">
            <v>2027194</v>
          </cell>
          <cell r="EE2102">
            <v>168657831.88</v>
          </cell>
          <cell r="EF2102">
            <v>15943578</v>
          </cell>
          <cell r="EG2102">
            <v>152714253.88</v>
          </cell>
        </row>
        <row r="2103">
          <cell r="B2103">
            <v>6645127</v>
          </cell>
          <cell r="EE2103">
            <v>913514060.20522594</v>
          </cell>
          <cell r="EF2103">
            <v>0</v>
          </cell>
          <cell r="EG2103">
            <v>913514060.20522594</v>
          </cell>
        </row>
        <row r="2104">
          <cell r="B2104">
            <v>6318606</v>
          </cell>
          <cell r="EE2104">
            <v>0</v>
          </cell>
          <cell r="EF2104">
            <v>642493</v>
          </cell>
          <cell r="EG2104">
            <v>-642493</v>
          </cell>
        </row>
        <row r="2105">
          <cell r="B2105">
            <v>6318592</v>
          </cell>
          <cell r="EE2105">
            <v>0</v>
          </cell>
          <cell r="EF2105">
            <v>0</v>
          </cell>
          <cell r="EG2105">
            <v>0</v>
          </cell>
        </row>
        <row r="2106">
          <cell r="B2106">
            <v>5479045</v>
          </cell>
          <cell r="EE2106">
            <v>4471415.87</v>
          </cell>
          <cell r="EF2106">
            <v>4975965</v>
          </cell>
          <cell r="EG2106">
            <v>-504549.12999999966</v>
          </cell>
        </row>
        <row r="2107">
          <cell r="B2107">
            <v>5806771</v>
          </cell>
          <cell r="EE2107">
            <v>7000</v>
          </cell>
          <cell r="EF2107">
            <v>9946100</v>
          </cell>
          <cell r="EG2107">
            <v>-9939100</v>
          </cell>
        </row>
        <row r="2108">
          <cell r="B2108">
            <v>2621169</v>
          </cell>
          <cell r="EE2108">
            <v>152395825.67000002</v>
          </cell>
          <cell r="EF2108">
            <v>223423138</v>
          </cell>
          <cell r="EG2108">
            <v>-71027312.329999998</v>
          </cell>
        </row>
        <row r="2109">
          <cell r="B2109">
            <v>5381584</v>
          </cell>
          <cell r="EE2109">
            <v>0</v>
          </cell>
          <cell r="EF2109">
            <v>97273634</v>
          </cell>
          <cell r="EG2109">
            <v>-97273634</v>
          </cell>
        </row>
        <row r="2110">
          <cell r="B2110">
            <v>2701391</v>
          </cell>
          <cell r="EE2110">
            <v>0</v>
          </cell>
          <cell r="EF2110">
            <v>0</v>
          </cell>
          <cell r="EG2110">
            <v>0</v>
          </cell>
        </row>
        <row r="2111">
          <cell r="B2111">
            <v>5189128</v>
          </cell>
          <cell r="EE2111">
            <v>0</v>
          </cell>
          <cell r="EF2111">
            <v>13052973</v>
          </cell>
          <cell r="EG2111">
            <v>-13052973</v>
          </cell>
        </row>
        <row r="2112">
          <cell r="B2112">
            <v>5428904</v>
          </cell>
          <cell r="EE2112">
            <v>1736310</v>
          </cell>
          <cell r="EF2112">
            <v>0</v>
          </cell>
          <cell r="EG2112">
            <v>1736310</v>
          </cell>
        </row>
        <row r="2113">
          <cell r="B2113">
            <v>5990785</v>
          </cell>
          <cell r="EE2113">
            <v>0</v>
          </cell>
          <cell r="EF2113">
            <v>0</v>
          </cell>
          <cell r="EG2113">
            <v>0</v>
          </cell>
        </row>
        <row r="2114">
          <cell r="B2114">
            <v>5945119</v>
          </cell>
          <cell r="EE2114">
            <v>3754500</v>
          </cell>
          <cell r="EF2114">
            <v>250000</v>
          </cell>
          <cell r="EG2114">
            <v>3504500</v>
          </cell>
        </row>
        <row r="2115">
          <cell r="B2115">
            <v>5208181</v>
          </cell>
          <cell r="EE2115">
            <v>0</v>
          </cell>
          <cell r="EF2115">
            <v>12229808</v>
          </cell>
          <cell r="EG2115">
            <v>-12229808</v>
          </cell>
        </row>
        <row r="2116">
          <cell r="B2116">
            <v>5182212</v>
          </cell>
          <cell r="EE2116">
            <v>0.26</v>
          </cell>
          <cell r="EF2116">
            <v>0</v>
          </cell>
          <cell r="EG2116">
            <v>0.26</v>
          </cell>
        </row>
        <row r="2117">
          <cell r="B2117">
            <v>2893193</v>
          </cell>
          <cell r="EE2117">
            <v>1606885.5</v>
          </cell>
          <cell r="EF2117">
            <v>4338000</v>
          </cell>
          <cell r="EG2117">
            <v>-2731114.5</v>
          </cell>
        </row>
        <row r="2118">
          <cell r="B2118">
            <v>5746035</v>
          </cell>
          <cell r="EE2118">
            <v>0</v>
          </cell>
          <cell r="EF2118">
            <v>0</v>
          </cell>
          <cell r="EG2118">
            <v>0</v>
          </cell>
        </row>
        <row r="2119">
          <cell r="B2119">
            <v>6337945</v>
          </cell>
          <cell r="EE2119">
            <v>0</v>
          </cell>
          <cell r="EF2119">
            <v>0</v>
          </cell>
          <cell r="EG2119">
            <v>0</v>
          </cell>
        </row>
        <row r="2120">
          <cell r="B2120">
            <v>6221459</v>
          </cell>
          <cell r="EE2120">
            <v>92250</v>
          </cell>
          <cell r="EF2120">
            <v>0</v>
          </cell>
          <cell r="EG2120">
            <v>92250</v>
          </cell>
        </row>
        <row r="2121">
          <cell r="B2121">
            <v>2875993</v>
          </cell>
          <cell r="EE2121">
            <v>0</v>
          </cell>
          <cell r="EF2121">
            <v>0</v>
          </cell>
          <cell r="EG2121">
            <v>0</v>
          </cell>
        </row>
        <row r="2122">
          <cell r="B2122">
            <v>2861224</v>
          </cell>
          <cell r="EE2122">
            <v>1199411552.24</v>
          </cell>
          <cell r="EF2122">
            <v>0</v>
          </cell>
          <cell r="EG2122">
            <v>1199411552.24</v>
          </cell>
        </row>
        <row r="2123">
          <cell r="B2123">
            <v>6751571</v>
          </cell>
          <cell r="EE2123">
            <v>9542150</v>
          </cell>
          <cell r="EF2123">
            <v>0</v>
          </cell>
          <cell r="EG2123">
            <v>9542150</v>
          </cell>
        </row>
        <row r="2124">
          <cell r="B2124">
            <v>2546485</v>
          </cell>
          <cell r="EE2124">
            <v>13055850</v>
          </cell>
          <cell r="EF2124">
            <v>0</v>
          </cell>
          <cell r="EG2124">
            <v>13055850</v>
          </cell>
        </row>
        <row r="2125">
          <cell r="B2125">
            <v>5109078</v>
          </cell>
          <cell r="EE2125">
            <v>0</v>
          </cell>
          <cell r="EF2125">
            <v>0</v>
          </cell>
          <cell r="EG2125">
            <v>0</v>
          </cell>
        </row>
        <row r="2126">
          <cell r="B2126">
            <v>5137977</v>
          </cell>
          <cell r="EE2126">
            <v>903104463.39151704</v>
          </cell>
          <cell r="EF2126">
            <v>383631068</v>
          </cell>
          <cell r="EG2126">
            <v>519473395.39151698</v>
          </cell>
        </row>
        <row r="2127">
          <cell r="B2127">
            <v>5105501</v>
          </cell>
          <cell r="EE2127">
            <v>0</v>
          </cell>
          <cell r="EF2127">
            <v>0</v>
          </cell>
          <cell r="EG2127">
            <v>0</v>
          </cell>
        </row>
        <row r="2128">
          <cell r="B2128">
            <v>5209552</v>
          </cell>
          <cell r="EE2128">
            <v>0</v>
          </cell>
          <cell r="EF2128">
            <v>0</v>
          </cell>
          <cell r="EG2128">
            <v>0</v>
          </cell>
        </row>
        <row r="2129">
          <cell r="B2129">
            <v>2605325</v>
          </cell>
          <cell r="EE2129">
            <v>733297079.60848498</v>
          </cell>
          <cell r="EF2129">
            <v>0</v>
          </cell>
          <cell r="EG2129">
            <v>733297079.60848498</v>
          </cell>
        </row>
        <row r="2130">
          <cell r="B2130">
            <v>3563308</v>
          </cell>
          <cell r="EE2130">
            <v>0</v>
          </cell>
          <cell r="EF2130">
            <v>0</v>
          </cell>
          <cell r="EG2130">
            <v>0</v>
          </cell>
        </row>
        <row r="2131">
          <cell r="B2131">
            <v>5353564</v>
          </cell>
          <cell r="EE2131">
            <v>921342754.41999996</v>
          </cell>
          <cell r="EF2131">
            <v>479689372</v>
          </cell>
          <cell r="EG2131">
            <v>441653382.41999996</v>
          </cell>
        </row>
        <row r="2132">
          <cell r="B2132">
            <v>5109345</v>
          </cell>
          <cell r="EE2132">
            <v>0</v>
          </cell>
          <cell r="EF2132">
            <v>21061395</v>
          </cell>
          <cell r="EG2132">
            <v>-21061395</v>
          </cell>
        </row>
        <row r="2133">
          <cell r="B2133">
            <v>2658704</v>
          </cell>
          <cell r="EE2133">
            <v>3505500</v>
          </cell>
          <cell r="EF2133">
            <v>0</v>
          </cell>
          <cell r="EG2133">
            <v>3505500</v>
          </cell>
        </row>
        <row r="2134">
          <cell r="B2134">
            <v>2075768</v>
          </cell>
          <cell r="EE2134">
            <v>405413101.40000004</v>
          </cell>
          <cell r="EF2134">
            <v>0</v>
          </cell>
          <cell r="EG2134">
            <v>405413101.40000004</v>
          </cell>
        </row>
        <row r="2135">
          <cell r="B2135">
            <v>8443483</v>
          </cell>
          <cell r="EE2135">
            <v>0</v>
          </cell>
          <cell r="EF2135">
            <v>0</v>
          </cell>
          <cell r="EG2135">
            <v>0</v>
          </cell>
        </row>
        <row r="2136">
          <cell r="B2136">
            <v>6526381</v>
          </cell>
          <cell r="EE2136">
            <v>2954054</v>
          </cell>
          <cell r="EF2136">
            <v>3873697</v>
          </cell>
          <cell r="EG2136">
            <v>-919643</v>
          </cell>
        </row>
        <row r="2137">
          <cell r="B2137">
            <v>5849314</v>
          </cell>
          <cell r="EE2137">
            <v>628858497.05999994</v>
          </cell>
          <cell r="EF2137">
            <v>16569168</v>
          </cell>
          <cell r="EG2137">
            <v>612289329.05999994</v>
          </cell>
        </row>
        <row r="2138">
          <cell r="B2138">
            <v>5079527</v>
          </cell>
          <cell r="EE2138">
            <v>0</v>
          </cell>
          <cell r="EF2138">
            <v>0</v>
          </cell>
          <cell r="EG2138">
            <v>0</v>
          </cell>
        </row>
        <row r="2139">
          <cell r="B2139">
            <v>2875578</v>
          </cell>
          <cell r="EE2139">
            <v>0</v>
          </cell>
          <cell r="EF2139">
            <v>460590549</v>
          </cell>
          <cell r="EG2139">
            <v>-460590549</v>
          </cell>
        </row>
        <row r="2140">
          <cell r="B2140">
            <v>5485312</v>
          </cell>
          <cell r="EE2140">
            <v>0</v>
          </cell>
          <cell r="EF2140">
            <v>17753873</v>
          </cell>
          <cell r="EG2140">
            <v>-17753873</v>
          </cell>
        </row>
        <row r="2141">
          <cell r="B2141">
            <v>5468213</v>
          </cell>
          <cell r="EE2141">
            <v>12328292.780000001</v>
          </cell>
          <cell r="EF2141">
            <v>1564800</v>
          </cell>
          <cell r="EG2141">
            <v>10763492.780000001</v>
          </cell>
        </row>
        <row r="2142">
          <cell r="B2142">
            <v>5529123</v>
          </cell>
          <cell r="EE2142">
            <v>0</v>
          </cell>
          <cell r="EF2142">
            <v>0</v>
          </cell>
          <cell r="EG2142">
            <v>0</v>
          </cell>
        </row>
        <row r="2143">
          <cell r="B2143">
            <v>5415438</v>
          </cell>
          <cell r="EE2143">
            <v>0</v>
          </cell>
          <cell r="EF2143">
            <v>0</v>
          </cell>
          <cell r="EG2143">
            <v>0</v>
          </cell>
        </row>
        <row r="2144">
          <cell r="B2144">
            <v>5156408</v>
          </cell>
          <cell r="EE2144">
            <v>0</v>
          </cell>
          <cell r="EF2144">
            <v>0</v>
          </cell>
          <cell r="EG2144">
            <v>0</v>
          </cell>
        </row>
        <row r="2145">
          <cell r="B2145">
            <v>5002265</v>
          </cell>
          <cell r="EE2145">
            <v>65472405.600000001</v>
          </cell>
          <cell r="EF2145">
            <v>0</v>
          </cell>
          <cell r="EG2145">
            <v>65472405.600000001</v>
          </cell>
        </row>
        <row r="2146">
          <cell r="B2146">
            <v>6049931</v>
          </cell>
          <cell r="EE2146">
            <v>11368205</v>
          </cell>
          <cell r="EF2146">
            <v>0</v>
          </cell>
          <cell r="EG2146">
            <v>11368205</v>
          </cell>
        </row>
        <row r="2147">
          <cell r="B2147">
            <v>6903576</v>
          </cell>
          <cell r="EE2147">
            <v>0</v>
          </cell>
          <cell r="EF2147">
            <v>190</v>
          </cell>
          <cell r="EG2147">
            <v>-190</v>
          </cell>
        </row>
        <row r="2148">
          <cell r="B2148">
            <v>5382475</v>
          </cell>
          <cell r="EE2148">
            <v>89893415</v>
          </cell>
          <cell r="EF2148">
            <v>0</v>
          </cell>
          <cell r="EG2148">
            <v>89893415</v>
          </cell>
        </row>
        <row r="2149">
          <cell r="B2149">
            <v>5214335</v>
          </cell>
          <cell r="EE2149">
            <v>69412565.710000008</v>
          </cell>
          <cell r="EF2149">
            <v>0</v>
          </cell>
          <cell r="EG2149">
            <v>69412565.710000008</v>
          </cell>
        </row>
        <row r="2150">
          <cell r="B2150">
            <v>2569477</v>
          </cell>
          <cell r="EE2150">
            <v>290106533.72000003</v>
          </cell>
          <cell r="EF2150">
            <v>0</v>
          </cell>
          <cell r="EG2150">
            <v>290106533.72000003</v>
          </cell>
        </row>
        <row r="2151">
          <cell r="B2151">
            <v>2112663</v>
          </cell>
          <cell r="EE2151">
            <v>736361894.43000007</v>
          </cell>
          <cell r="EF2151">
            <v>0</v>
          </cell>
          <cell r="EG2151">
            <v>736361894.43000007</v>
          </cell>
        </row>
        <row r="2152">
          <cell r="B2152">
            <v>6492592</v>
          </cell>
          <cell r="EE2152">
            <v>0</v>
          </cell>
          <cell r="EF2152">
            <v>1026042</v>
          </cell>
          <cell r="EG2152">
            <v>-1026042</v>
          </cell>
        </row>
        <row r="2153">
          <cell r="B2153">
            <v>2096102</v>
          </cell>
          <cell r="EE2153">
            <v>7941194.5523370001</v>
          </cell>
          <cell r="EF2153">
            <v>0</v>
          </cell>
          <cell r="EG2153">
            <v>7941194.5523370001</v>
          </cell>
        </row>
        <row r="2154">
          <cell r="B2154">
            <v>5051118</v>
          </cell>
          <cell r="EE2154">
            <v>248001111.296202</v>
          </cell>
          <cell r="EF2154">
            <v>0</v>
          </cell>
          <cell r="EG2154">
            <v>248001111.296202</v>
          </cell>
        </row>
        <row r="2155">
          <cell r="B2155">
            <v>5131189</v>
          </cell>
          <cell r="EE2155">
            <v>143323766.24385801</v>
          </cell>
          <cell r="EF2155">
            <v>0</v>
          </cell>
          <cell r="EG2155">
            <v>143323766.24385801</v>
          </cell>
        </row>
        <row r="2156">
          <cell r="B2156">
            <v>5199166</v>
          </cell>
          <cell r="EE2156">
            <v>361564643.74060303</v>
          </cell>
          <cell r="EF2156">
            <v>0</v>
          </cell>
          <cell r="EG2156">
            <v>361564643.74060303</v>
          </cell>
        </row>
        <row r="2157">
          <cell r="B2157">
            <v>5234522</v>
          </cell>
          <cell r="EE2157">
            <v>16435388.804614</v>
          </cell>
          <cell r="EF2157">
            <v>0</v>
          </cell>
          <cell r="EG2157">
            <v>16435388.804614</v>
          </cell>
        </row>
        <row r="2158">
          <cell r="B2158">
            <v>5272378</v>
          </cell>
          <cell r="EE2158">
            <v>3281690550.6677003</v>
          </cell>
          <cell r="EF2158">
            <v>0</v>
          </cell>
          <cell r="EG2158">
            <v>3281690550.6677003</v>
          </cell>
        </row>
        <row r="2159">
          <cell r="B2159">
            <v>5424755</v>
          </cell>
          <cell r="EE2159">
            <v>3314991.8774999999</v>
          </cell>
          <cell r="EF2159">
            <v>0</v>
          </cell>
          <cell r="EG2159">
            <v>3314991.8774999999</v>
          </cell>
        </row>
        <row r="2160">
          <cell r="B2160">
            <v>5459699</v>
          </cell>
          <cell r="EE2160">
            <v>900500228.30975509</v>
          </cell>
          <cell r="EF2160">
            <v>0</v>
          </cell>
          <cell r="EG2160">
            <v>900500228.30975509</v>
          </cell>
        </row>
        <row r="2161">
          <cell r="B2161">
            <v>5811481</v>
          </cell>
          <cell r="EE2161">
            <v>62676494.234072</v>
          </cell>
          <cell r="EF2161">
            <v>0</v>
          </cell>
          <cell r="EG2161">
            <v>62676494.234072</v>
          </cell>
        </row>
        <row r="2162">
          <cell r="B2162">
            <v>5922054</v>
          </cell>
          <cell r="EE2162">
            <v>3351262.6626769998</v>
          </cell>
          <cell r="EF2162">
            <v>0</v>
          </cell>
          <cell r="EG2162">
            <v>3351262.6626769998</v>
          </cell>
        </row>
        <row r="2163">
          <cell r="B2163">
            <v>6208673</v>
          </cell>
          <cell r="EE2163">
            <v>7000</v>
          </cell>
          <cell r="EF2163">
            <v>0</v>
          </cell>
          <cell r="EG2163">
            <v>7000</v>
          </cell>
        </row>
        <row r="2164">
          <cell r="B2164">
            <v>6436226</v>
          </cell>
          <cell r="EE2164">
            <v>19656375</v>
          </cell>
          <cell r="EF2164">
            <v>0</v>
          </cell>
          <cell r="EG2164">
            <v>19656375</v>
          </cell>
        </row>
        <row r="2165">
          <cell r="B2165">
            <v>5068851</v>
          </cell>
          <cell r="EE2165">
            <v>10753332.92</v>
          </cell>
          <cell r="EF2165">
            <v>0</v>
          </cell>
          <cell r="EG2165">
            <v>10753332.92</v>
          </cell>
        </row>
        <row r="2166">
          <cell r="EE2166">
            <v>8163186887926.8301</v>
          </cell>
          <cell r="EF2166">
            <v>7393640662659</v>
          </cell>
          <cell r="EG2166">
            <v>769546225267.83606</v>
          </cell>
        </row>
      </sheetData>
      <sheetData sheetId="1">
        <row r="2">
          <cell r="B2" t="str">
            <v>Компанийн регистр</v>
          </cell>
          <cell r="F2" t="str">
            <v>Аж ахуйн нэгжийн орлогын албан татвар /Засгийн газар</v>
          </cell>
          <cell r="I2" t="str">
            <v>Гаалийн албан татвар 
/Засгийн газар</v>
          </cell>
          <cell r="L2" t="str">
            <v>Нэмэгдсэн өртгийн албан татвар 
/Засгийн газар</v>
          </cell>
          <cell r="O2" t="str">
            <v>Авто дизелийн түлшний онцгой албан татвар 
/Засгийн газар</v>
          </cell>
          <cell r="R2" t="str">
            <v>Авто дизелийн түлшний албан татвар 
/Засгийн газар</v>
          </cell>
          <cell r="X2" t="str">
            <v>Ашигт малтмалын нөөц ашигласны төлбөр /Засгийн газар</v>
          </cell>
          <cell r="AA2" t="str">
            <v>Тусгай зөвшөөрлийн төлбөр 
/Засгийн газар</v>
          </cell>
          <cell r="AD2" t="str">
            <v>Улсын төсвийн хөрөнгөөр хайгуул хийсэн ордын нөхөн төлбөр /Засгийн газар</v>
          </cell>
          <cell r="AJ2" t="str">
            <v>Агаарын бохирдлын төлбөр  /Засгийн газар</v>
          </cell>
          <cell r="AM2" t="str">
            <v>Ажилчдын НДШ /Засгийн газар</v>
          </cell>
          <cell r="AP2" t="str">
            <v>Гаалийн үйлчилгээний хураамж  /Засгийн газар</v>
          </cell>
          <cell r="AS2" t="str">
            <v>Төрийн өмчийн ногдол ашиг /Засгийн газар</v>
          </cell>
          <cell r="BB2" t="str">
            <v>Торгууль /Засгийн газар</v>
          </cell>
          <cell r="BE2" t="str">
            <v>Нөхөн төлбөр /Засгийн газар</v>
          </cell>
          <cell r="BH2" t="str">
            <v>Бусад /Засгийн газар</v>
          </cell>
          <cell r="BK2" t="str">
            <v xml:space="preserve"> Бүтээгдэхүүн хуваах гэрээгээр тухайн жилд төвлөрүүлсэн сургалтын урамшуулал /Засгийн газар</v>
          </cell>
          <cell r="BN2" t="str">
            <v xml:space="preserve"> Бүтээгдэхүүн хуваах гэрээнд заасан нөхцөлийн дагуу төлөөлөгчийн газрын үйл ажиллагааг дэмжсэн төлбөр /Засгийн газар</v>
          </cell>
          <cell r="BQ2" t="str">
            <v xml:space="preserve"> Бүтээгдэхүүн хуваах гэрээний дагуу Засгийн газарт ногдох газрын тосны орлого /Засгийн газар</v>
          </cell>
          <cell r="BT2" t="str">
            <v>Газрын тосны хайгуулын талбайн захиалгын үйлчилгээний хөлс /Засгийн газар</v>
          </cell>
          <cell r="BW2" t="str">
            <v>ХХОАТ/Засгийн газар</v>
          </cell>
          <cell r="CD2" t="str">
            <v>ҮХЭХАТ /ОНТ</v>
          </cell>
          <cell r="CG2" t="str">
            <v>АТБӨЯХАТ /ОНТ</v>
          </cell>
          <cell r="CJ2" t="str">
            <v>Газрын төлбөр /ОНТ</v>
          </cell>
          <cell r="CM2" t="str">
            <v>Ус ашигласны төлбөр /ОНТ</v>
          </cell>
          <cell r="CN2" t="str">
            <v>Ус ашигласны төлбөр /Компани</v>
          </cell>
          <cell r="CP2" t="str">
            <v>Ус бохирдуулсны төлбөр /ОНТ</v>
          </cell>
          <cell r="CS2" t="str">
            <v>ТТАМНАТ /ОНТ</v>
          </cell>
          <cell r="CV2" t="str">
            <v>Гадаад ажилчдын ажлын байрны төлбөр /ОНТ</v>
          </cell>
          <cell r="CY2" t="str">
            <v>Орон нутгийн төрийн өмчийн ногдол ашиг /ОНТ</v>
          </cell>
          <cell r="DK2" t="str">
            <v>Байгаль хамгаалах зардлын 50 хувийг тусгай дансанд төвлөрүүлсэн хэмжээ /ОНТ</v>
          </cell>
          <cell r="DN2" t="str">
            <v>Орон нутгийн төсөвт төвлөрүүлсэн тэмдэгтийн хураамж /ОНТ</v>
          </cell>
          <cell r="DQ2" t="str">
            <v>Бүтээгдэхүүн хуваах гэрээний дагуу хүлээн авсан орон нутгийг хөгжүүлэх урамшуулал /ОНТ</v>
          </cell>
          <cell r="DT2" t="str">
            <v>Ашигт малтмалаас бусад байгалийн баялаг ашиглахад олгох эрхийн зөвшөөрлийн хураамж /ОНТ</v>
          </cell>
          <cell r="DW2" t="str">
            <v>Хандив/ОНТ</v>
          </cell>
          <cell r="EE2" t="str">
            <v>Нийт /Засгийн газар+ОНТ</v>
          </cell>
          <cell r="EF2" t="str">
            <v>Нийт /Компани</v>
          </cell>
          <cell r="EG2" t="str">
            <v>Нийт зөрүү</v>
          </cell>
        </row>
        <row r="3">
          <cell r="B3">
            <v>2011239</v>
          </cell>
          <cell r="F3">
            <v>1952000</v>
          </cell>
          <cell r="I3">
            <v>0</v>
          </cell>
          <cell r="L3">
            <v>175930974.91</v>
          </cell>
          <cell r="O3">
            <v>0</v>
          </cell>
          <cell r="R3">
            <v>0</v>
          </cell>
          <cell r="X3">
            <v>0</v>
          </cell>
          <cell r="AA3">
            <v>0</v>
          </cell>
          <cell r="AD3">
            <v>0</v>
          </cell>
          <cell r="AJ3">
            <v>0</v>
          </cell>
          <cell r="AM3">
            <v>502000000</v>
          </cell>
          <cell r="AP3">
            <v>0</v>
          </cell>
          <cell r="BH3">
            <v>3000000</v>
          </cell>
          <cell r="BK3">
            <v>0</v>
          </cell>
          <cell r="BN3">
            <v>0</v>
          </cell>
          <cell r="BT3">
            <v>0</v>
          </cell>
          <cell r="BW3">
            <v>189446431.53</v>
          </cell>
          <cell r="CD3">
            <v>0</v>
          </cell>
          <cell r="CG3">
            <v>0</v>
          </cell>
          <cell r="CJ3">
            <v>0</v>
          </cell>
          <cell r="CM3">
            <v>0</v>
          </cell>
          <cell r="CN3">
            <v>0</v>
          </cell>
          <cell r="CP3">
            <v>0</v>
          </cell>
          <cell r="CS3">
            <v>0</v>
          </cell>
          <cell r="CV3">
            <v>0</v>
          </cell>
          <cell r="CY3">
            <v>0</v>
          </cell>
          <cell r="DN3">
            <v>0</v>
          </cell>
          <cell r="DQ3">
            <v>0</v>
          </cell>
          <cell r="DT3">
            <v>0</v>
          </cell>
          <cell r="DW3">
            <v>0</v>
          </cell>
          <cell r="EE3">
            <v>872329406.43999994</v>
          </cell>
          <cell r="EF3">
            <v>869329406.43999994</v>
          </cell>
          <cell r="EG3">
            <v>3000000</v>
          </cell>
        </row>
        <row r="4">
          <cell r="B4">
            <v>5097517</v>
          </cell>
          <cell r="F4">
            <v>0</v>
          </cell>
          <cell r="I4">
            <v>0</v>
          </cell>
          <cell r="L4">
            <v>0</v>
          </cell>
          <cell r="O4">
            <v>0</v>
          </cell>
          <cell r="R4">
            <v>0</v>
          </cell>
          <cell r="X4">
            <v>0</v>
          </cell>
          <cell r="AA4">
            <v>0</v>
          </cell>
          <cell r="AD4">
            <v>0</v>
          </cell>
          <cell r="AJ4">
            <v>0</v>
          </cell>
          <cell r="AM4">
            <v>0</v>
          </cell>
          <cell r="AP4">
            <v>0</v>
          </cell>
          <cell r="BH4">
            <v>6789</v>
          </cell>
          <cell r="BK4">
            <v>0</v>
          </cell>
          <cell r="BN4">
            <v>0</v>
          </cell>
          <cell r="BT4">
            <v>0</v>
          </cell>
          <cell r="BW4">
            <v>0</v>
          </cell>
          <cell r="CD4">
            <v>0</v>
          </cell>
          <cell r="CG4">
            <v>0</v>
          </cell>
          <cell r="CJ4">
            <v>0</v>
          </cell>
          <cell r="CM4">
            <v>0</v>
          </cell>
          <cell r="CN4">
            <v>0</v>
          </cell>
          <cell r="CP4">
            <v>0</v>
          </cell>
          <cell r="CS4">
            <v>0</v>
          </cell>
          <cell r="CV4">
            <v>0</v>
          </cell>
          <cell r="CY4">
            <v>0</v>
          </cell>
          <cell r="DN4">
            <v>0</v>
          </cell>
          <cell r="DQ4">
            <v>0</v>
          </cell>
          <cell r="DT4">
            <v>0</v>
          </cell>
          <cell r="DW4">
            <v>0</v>
          </cell>
          <cell r="EE4">
            <v>6789</v>
          </cell>
          <cell r="EF4">
            <v>49101139</v>
          </cell>
          <cell r="EG4">
            <v>-49094350</v>
          </cell>
        </row>
        <row r="5">
          <cell r="B5">
            <v>5118344</v>
          </cell>
          <cell r="F5">
            <v>6054402.4299999997</v>
          </cell>
          <cell r="I5">
            <v>6965250.5999999996</v>
          </cell>
          <cell r="L5">
            <v>14627026.26</v>
          </cell>
          <cell r="O5">
            <v>0</v>
          </cell>
          <cell r="R5">
            <v>0</v>
          </cell>
          <cell r="X5">
            <v>0</v>
          </cell>
          <cell r="AA5">
            <v>0</v>
          </cell>
          <cell r="AD5">
            <v>0</v>
          </cell>
          <cell r="AJ5">
            <v>0</v>
          </cell>
          <cell r="AM5">
            <v>31397880</v>
          </cell>
          <cell r="AP5">
            <v>21000</v>
          </cell>
          <cell r="BH5">
            <v>0</v>
          </cell>
          <cell r="BK5">
            <v>0</v>
          </cell>
          <cell r="BN5">
            <v>0</v>
          </cell>
          <cell r="BT5">
            <v>0</v>
          </cell>
          <cell r="BW5">
            <v>6749182</v>
          </cell>
          <cell r="CD5">
            <v>0</v>
          </cell>
          <cell r="CG5">
            <v>0</v>
          </cell>
          <cell r="CJ5">
            <v>0</v>
          </cell>
          <cell r="CM5">
            <v>0</v>
          </cell>
          <cell r="CN5">
            <v>50000</v>
          </cell>
          <cell r="CP5">
            <v>0</v>
          </cell>
          <cell r="CS5">
            <v>0</v>
          </cell>
          <cell r="CV5">
            <v>0</v>
          </cell>
          <cell r="CY5">
            <v>0</v>
          </cell>
          <cell r="DN5">
            <v>0</v>
          </cell>
          <cell r="DQ5">
            <v>0</v>
          </cell>
          <cell r="DT5">
            <v>0</v>
          </cell>
          <cell r="DW5">
            <v>0</v>
          </cell>
          <cell r="EE5">
            <v>65814741.289999999</v>
          </cell>
          <cell r="EF5">
            <v>77221830.25999999</v>
          </cell>
          <cell r="EG5">
            <v>-11407088.970000001</v>
          </cell>
        </row>
        <row r="6">
          <cell r="B6">
            <v>2784165</v>
          </cell>
          <cell r="F6">
            <v>487077373.19</v>
          </cell>
          <cell r="I6">
            <v>0</v>
          </cell>
          <cell r="L6">
            <v>0</v>
          </cell>
          <cell r="O6">
            <v>0</v>
          </cell>
          <cell r="R6">
            <v>0</v>
          </cell>
          <cell r="X6">
            <v>0</v>
          </cell>
          <cell r="AA6">
            <v>0</v>
          </cell>
          <cell r="AD6">
            <v>120000000</v>
          </cell>
          <cell r="AJ6">
            <v>0</v>
          </cell>
          <cell r="AM6">
            <v>284847594</v>
          </cell>
          <cell r="AP6">
            <v>0</v>
          </cell>
          <cell r="BH6">
            <v>0</v>
          </cell>
          <cell r="BK6">
            <v>0</v>
          </cell>
          <cell r="BN6">
            <v>0</v>
          </cell>
          <cell r="BT6">
            <v>0</v>
          </cell>
          <cell r="BW6">
            <v>101972958.72</v>
          </cell>
          <cell r="CD6">
            <v>0</v>
          </cell>
          <cell r="CG6">
            <v>0</v>
          </cell>
          <cell r="CJ6">
            <v>103656.6</v>
          </cell>
          <cell r="CM6">
            <v>17.04</v>
          </cell>
          <cell r="CN6">
            <v>17.04</v>
          </cell>
          <cell r="CP6">
            <v>20003.599999999999</v>
          </cell>
          <cell r="CS6">
            <v>0</v>
          </cell>
          <cell r="CV6">
            <v>0</v>
          </cell>
          <cell r="CY6">
            <v>0</v>
          </cell>
          <cell r="DN6">
            <v>0</v>
          </cell>
          <cell r="DQ6">
            <v>0</v>
          </cell>
          <cell r="DT6">
            <v>0</v>
          </cell>
          <cell r="DW6">
            <v>0</v>
          </cell>
          <cell r="EE6">
            <v>994021603.1500001</v>
          </cell>
          <cell r="EF6">
            <v>1120470570.95</v>
          </cell>
          <cell r="EG6">
            <v>-126448967.80000001</v>
          </cell>
        </row>
        <row r="7">
          <cell r="B7">
            <v>5133351</v>
          </cell>
          <cell r="F7">
            <v>0</v>
          </cell>
          <cell r="I7">
            <v>0</v>
          </cell>
          <cell r="L7">
            <v>0</v>
          </cell>
          <cell r="O7">
            <v>0</v>
          </cell>
          <cell r="R7">
            <v>0</v>
          </cell>
          <cell r="X7">
            <v>0</v>
          </cell>
          <cell r="AA7">
            <v>0</v>
          </cell>
          <cell r="AD7">
            <v>0</v>
          </cell>
          <cell r="AJ7">
            <v>0</v>
          </cell>
          <cell r="AM7">
            <v>31518247</v>
          </cell>
          <cell r="AP7">
            <v>0</v>
          </cell>
          <cell r="BH7">
            <v>0</v>
          </cell>
          <cell r="BK7">
            <v>0</v>
          </cell>
          <cell r="BN7">
            <v>0</v>
          </cell>
          <cell r="BT7">
            <v>0</v>
          </cell>
          <cell r="BW7">
            <v>0</v>
          </cell>
          <cell r="CD7">
            <v>0</v>
          </cell>
          <cell r="CG7">
            <v>0</v>
          </cell>
          <cell r="CJ7">
            <v>0</v>
          </cell>
          <cell r="CM7">
            <v>0</v>
          </cell>
          <cell r="CN7">
            <v>256490</v>
          </cell>
          <cell r="CP7">
            <v>0</v>
          </cell>
          <cell r="CS7">
            <v>0</v>
          </cell>
          <cell r="CV7">
            <v>0</v>
          </cell>
          <cell r="CY7">
            <v>0</v>
          </cell>
          <cell r="DN7">
            <v>0</v>
          </cell>
          <cell r="DQ7">
            <v>0</v>
          </cell>
          <cell r="DT7">
            <v>0</v>
          </cell>
          <cell r="DW7">
            <v>0</v>
          </cell>
          <cell r="EE7">
            <v>31518247</v>
          </cell>
          <cell r="EF7">
            <v>139339634</v>
          </cell>
          <cell r="EG7">
            <v>-107821387</v>
          </cell>
        </row>
        <row r="8">
          <cell r="B8">
            <v>6172768</v>
          </cell>
          <cell r="F8">
            <v>0</v>
          </cell>
          <cell r="I8">
            <v>947410.54199699999</v>
          </cell>
          <cell r="L8">
            <v>1989562.1381920001</v>
          </cell>
          <cell r="O8">
            <v>0</v>
          </cell>
          <cell r="R8">
            <v>0</v>
          </cell>
          <cell r="X8">
            <v>681988219.43000007</v>
          </cell>
          <cell r="AA8">
            <v>0</v>
          </cell>
          <cell r="AD8">
            <v>0</v>
          </cell>
          <cell r="AJ8">
            <v>64870490</v>
          </cell>
          <cell r="AM8">
            <v>42817275.520000003</v>
          </cell>
          <cell r="AP8">
            <v>10600</v>
          </cell>
          <cell r="BH8">
            <v>0</v>
          </cell>
          <cell r="BK8">
            <v>0</v>
          </cell>
          <cell r="BN8">
            <v>0</v>
          </cell>
          <cell r="BT8">
            <v>0</v>
          </cell>
          <cell r="BW8">
            <v>17542947.25</v>
          </cell>
          <cell r="CD8">
            <v>0</v>
          </cell>
          <cell r="CG8">
            <v>0</v>
          </cell>
          <cell r="CJ8">
            <v>0</v>
          </cell>
          <cell r="CM8">
            <v>0</v>
          </cell>
          <cell r="CN8">
            <v>0</v>
          </cell>
          <cell r="CP8">
            <v>0</v>
          </cell>
          <cell r="CS8">
            <v>0</v>
          </cell>
          <cell r="CV8">
            <v>0</v>
          </cell>
          <cell r="CY8">
            <v>0</v>
          </cell>
          <cell r="DN8">
            <v>0</v>
          </cell>
          <cell r="DQ8">
            <v>0</v>
          </cell>
          <cell r="DT8">
            <v>0</v>
          </cell>
          <cell r="DW8">
            <v>0</v>
          </cell>
          <cell r="EE8">
            <v>810166504.88018906</v>
          </cell>
          <cell r="EF8">
            <v>85846848.25</v>
          </cell>
          <cell r="EG8">
            <v>724319656.63018906</v>
          </cell>
        </row>
        <row r="9">
          <cell r="B9">
            <v>5439183</v>
          </cell>
          <cell r="F9">
            <v>14241126.189999999</v>
          </cell>
          <cell r="I9">
            <v>38415829.678586997</v>
          </cell>
          <cell r="L9">
            <v>55466645.369139001</v>
          </cell>
          <cell r="O9">
            <v>0</v>
          </cell>
          <cell r="R9">
            <v>0</v>
          </cell>
          <cell r="X9">
            <v>836502559.87</v>
          </cell>
          <cell r="AA9">
            <v>0</v>
          </cell>
          <cell r="AD9">
            <v>0</v>
          </cell>
          <cell r="AJ9">
            <v>0</v>
          </cell>
          <cell r="AM9">
            <v>987707480.36000001</v>
          </cell>
          <cell r="AP9">
            <v>539700</v>
          </cell>
          <cell r="BH9">
            <v>0</v>
          </cell>
          <cell r="BK9">
            <v>0</v>
          </cell>
          <cell r="BN9">
            <v>0</v>
          </cell>
          <cell r="BT9">
            <v>0</v>
          </cell>
          <cell r="BW9">
            <v>374652332.63</v>
          </cell>
          <cell r="CD9">
            <v>0</v>
          </cell>
          <cell r="CG9">
            <v>0</v>
          </cell>
          <cell r="CJ9">
            <v>0</v>
          </cell>
          <cell r="CM9">
            <v>0</v>
          </cell>
          <cell r="CN9">
            <v>3037011.55</v>
          </cell>
          <cell r="CP9">
            <v>0</v>
          </cell>
          <cell r="CS9">
            <v>0</v>
          </cell>
          <cell r="CV9">
            <v>0</v>
          </cell>
          <cell r="CY9">
            <v>0</v>
          </cell>
          <cell r="DN9">
            <v>0</v>
          </cell>
          <cell r="DQ9">
            <v>0</v>
          </cell>
          <cell r="DT9">
            <v>0</v>
          </cell>
          <cell r="DW9">
            <v>0</v>
          </cell>
          <cell r="EE9">
            <v>2307525674.0977259</v>
          </cell>
          <cell r="EF9">
            <v>2325126531.6477261</v>
          </cell>
          <cell r="EG9">
            <v>-17600857.550000001</v>
          </cell>
        </row>
        <row r="10">
          <cell r="B10">
            <v>2008572</v>
          </cell>
          <cell r="F10">
            <v>10000000.1</v>
          </cell>
          <cell r="I10">
            <v>110816334.925</v>
          </cell>
          <cell r="L10">
            <v>2261392721.4025002</v>
          </cell>
          <cell r="O10">
            <v>0</v>
          </cell>
          <cell r="R10">
            <v>0</v>
          </cell>
          <cell r="X10">
            <v>450000000</v>
          </cell>
          <cell r="AA10">
            <v>0</v>
          </cell>
          <cell r="AD10">
            <v>0</v>
          </cell>
          <cell r="AJ10">
            <v>0</v>
          </cell>
          <cell r="AM10">
            <v>17282312500.400002</v>
          </cell>
          <cell r="AP10">
            <v>57400</v>
          </cell>
          <cell r="BH10">
            <v>0</v>
          </cell>
          <cell r="BK10">
            <v>0</v>
          </cell>
          <cell r="BN10">
            <v>0</v>
          </cell>
          <cell r="BT10">
            <v>0</v>
          </cell>
          <cell r="BW10">
            <v>3852809544</v>
          </cell>
          <cell r="CD10">
            <v>222028</v>
          </cell>
          <cell r="CG10">
            <v>21132</v>
          </cell>
          <cell r="CJ10">
            <v>1159200</v>
          </cell>
          <cell r="CM10">
            <v>0</v>
          </cell>
          <cell r="CN10">
            <v>896395084</v>
          </cell>
          <cell r="CP10">
            <v>0</v>
          </cell>
          <cell r="CS10">
            <v>0</v>
          </cell>
          <cell r="CV10">
            <v>0</v>
          </cell>
          <cell r="CY10">
            <v>0</v>
          </cell>
          <cell r="DN10">
            <v>0</v>
          </cell>
          <cell r="DQ10">
            <v>0</v>
          </cell>
          <cell r="DT10">
            <v>0</v>
          </cell>
          <cell r="DW10">
            <v>0</v>
          </cell>
          <cell r="EE10">
            <v>23970827911.128502</v>
          </cell>
          <cell r="EF10">
            <v>27910519737.565002</v>
          </cell>
          <cell r="EG10">
            <v>-3939691826.4364996</v>
          </cell>
        </row>
        <row r="11">
          <cell r="B11">
            <v>5215919</v>
          </cell>
          <cell r="F11">
            <v>220570477.11000001</v>
          </cell>
          <cell r="I11">
            <v>0</v>
          </cell>
          <cell r="L11">
            <v>223650123.44999999</v>
          </cell>
          <cell r="O11">
            <v>0</v>
          </cell>
          <cell r="R11">
            <v>0</v>
          </cell>
          <cell r="X11">
            <v>2259167876.4700003</v>
          </cell>
          <cell r="AA11">
            <v>0</v>
          </cell>
          <cell r="AD11">
            <v>0</v>
          </cell>
          <cell r="AJ11">
            <v>229905367</v>
          </cell>
          <cell r="AM11">
            <v>27014591.82</v>
          </cell>
          <cell r="AP11">
            <v>430916175</v>
          </cell>
          <cell r="BH11">
            <v>0</v>
          </cell>
          <cell r="BK11">
            <v>0</v>
          </cell>
          <cell r="BN11">
            <v>0</v>
          </cell>
          <cell r="BT11">
            <v>0</v>
          </cell>
          <cell r="BW11">
            <v>7691929.6399999987</v>
          </cell>
          <cell r="CD11">
            <v>0</v>
          </cell>
          <cell r="CG11">
            <v>0</v>
          </cell>
          <cell r="CJ11">
            <v>1200</v>
          </cell>
          <cell r="CM11">
            <v>5710.5</v>
          </cell>
          <cell r="CN11">
            <v>5710485</v>
          </cell>
          <cell r="CP11">
            <v>0</v>
          </cell>
          <cell r="CS11">
            <v>0</v>
          </cell>
          <cell r="CV11">
            <v>0</v>
          </cell>
          <cell r="CY11">
            <v>0</v>
          </cell>
          <cell r="DN11">
            <v>0</v>
          </cell>
          <cell r="DQ11">
            <v>0</v>
          </cell>
          <cell r="DT11">
            <v>0</v>
          </cell>
          <cell r="DW11">
            <v>100000000</v>
          </cell>
          <cell r="EE11">
            <v>3498923450.9900002</v>
          </cell>
          <cell r="EF11">
            <v>458872063.19999999</v>
          </cell>
          <cell r="EG11">
            <v>3040051387.7900004</v>
          </cell>
        </row>
        <row r="12">
          <cell r="B12">
            <v>5502977</v>
          </cell>
          <cell r="F12">
            <v>14637843.83</v>
          </cell>
          <cell r="I12">
            <v>11429892.454456</v>
          </cell>
          <cell r="L12">
            <v>420807498.91435897</v>
          </cell>
          <cell r="O12">
            <v>0</v>
          </cell>
          <cell r="R12">
            <v>0</v>
          </cell>
          <cell r="X12">
            <v>0</v>
          </cell>
          <cell r="AA12">
            <v>0</v>
          </cell>
          <cell r="AD12">
            <v>0</v>
          </cell>
          <cell r="AJ12">
            <v>0</v>
          </cell>
          <cell r="AM12">
            <v>1287611053.8</v>
          </cell>
          <cell r="AP12">
            <v>136800</v>
          </cell>
          <cell r="BH12">
            <v>0</v>
          </cell>
          <cell r="BK12">
            <v>0</v>
          </cell>
          <cell r="BN12">
            <v>0</v>
          </cell>
          <cell r="BT12">
            <v>0</v>
          </cell>
          <cell r="BW12">
            <v>742944928.54000008</v>
          </cell>
          <cell r="CD12">
            <v>0</v>
          </cell>
          <cell r="CG12">
            <v>0</v>
          </cell>
          <cell r="CJ12">
            <v>0</v>
          </cell>
          <cell r="CM12">
            <v>0</v>
          </cell>
          <cell r="CN12">
            <v>7183131</v>
          </cell>
          <cell r="CP12">
            <v>0</v>
          </cell>
          <cell r="CS12">
            <v>0</v>
          </cell>
          <cell r="CV12">
            <v>0</v>
          </cell>
          <cell r="CY12">
            <v>0</v>
          </cell>
          <cell r="DN12">
            <v>0</v>
          </cell>
          <cell r="DQ12">
            <v>0</v>
          </cell>
          <cell r="DT12">
            <v>0</v>
          </cell>
          <cell r="DW12">
            <v>0</v>
          </cell>
          <cell r="EE12">
            <v>2477568017.538815</v>
          </cell>
          <cell r="EF12">
            <v>3810242166.54</v>
          </cell>
          <cell r="EG12">
            <v>-1332674149.0011852</v>
          </cell>
        </row>
        <row r="13">
          <cell r="B13">
            <v>2708701</v>
          </cell>
          <cell r="F13">
            <v>2710942363.5500002</v>
          </cell>
          <cell r="I13">
            <v>268406572.75314599</v>
          </cell>
          <cell r="L13">
            <v>1322153775.035548</v>
          </cell>
          <cell r="O13">
            <v>0</v>
          </cell>
          <cell r="R13">
            <v>0</v>
          </cell>
          <cell r="X13">
            <v>0</v>
          </cell>
          <cell r="AA13">
            <v>0</v>
          </cell>
          <cell r="AD13">
            <v>0</v>
          </cell>
          <cell r="AJ13">
            <v>0</v>
          </cell>
          <cell r="AM13">
            <v>5344343149.8400002</v>
          </cell>
          <cell r="AP13">
            <v>599800</v>
          </cell>
          <cell r="BH13">
            <v>0</v>
          </cell>
          <cell r="BK13">
            <v>0</v>
          </cell>
          <cell r="BN13">
            <v>0</v>
          </cell>
          <cell r="BT13">
            <v>0</v>
          </cell>
          <cell r="BW13">
            <v>2945136871.5900002</v>
          </cell>
          <cell r="CD13">
            <v>525564.30000000005</v>
          </cell>
          <cell r="CG13">
            <v>6181.2</v>
          </cell>
          <cell r="CJ13">
            <v>580869.80000000005</v>
          </cell>
          <cell r="CM13">
            <v>146569.29999999999</v>
          </cell>
          <cell r="CN13">
            <v>152568403</v>
          </cell>
          <cell r="CP13">
            <v>0</v>
          </cell>
          <cell r="CS13">
            <v>0</v>
          </cell>
          <cell r="CV13">
            <v>0</v>
          </cell>
          <cell r="CY13">
            <v>0</v>
          </cell>
          <cell r="DN13">
            <v>0</v>
          </cell>
          <cell r="DQ13">
            <v>0</v>
          </cell>
          <cell r="DT13">
            <v>0</v>
          </cell>
          <cell r="DW13">
            <v>190000</v>
          </cell>
          <cell r="EE13">
            <v>12593031717.368696</v>
          </cell>
          <cell r="EF13">
            <v>13589353526.773148</v>
          </cell>
          <cell r="EG13">
            <v>-996321809.40445197</v>
          </cell>
        </row>
        <row r="14">
          <cell r="B14">
            <v>2014491</v>
          </cell>
          <cell r="F14">
            <v>549661931.66999996</v>
          </cell>
          <cell r="I14">
            <v>0</v>
          </cell>
          <cell r="L14">
            <v>676899404.27999997</v>
          </cell>
          <cell r="O14">
            <v>0</v>
          </cell>
          <cell r="R14">
            <v>0</v>
          </cell>
          <cell r="X14">
            <v>481709065.91999996</v>
          </cell>
          <cell r="AA14">
            <v>0</v>
          </cell>
          <cell r="AD14">
            <v>0</v>
          </cell>
          <cell r="AJ14">
            <v>0</v>
          </cell>
          <cell r="AM14">
            <v>452700000</v>
          </cell>
          <cell r="AP14">
            <v>47237535</v>
          </cell>
          <cell r="BH14">
            <v>0</v>
          </cell>
          <cell r="BK14">
            <v>0</v>
          </cell>
          <cell r="BN14">
            <v>0</v>
          </cell>
          <cell r="BT14">
            <v>0</v>
          </cell>
          <cell r="BW14">
            <v>180571387.63999999</v>
          </cell>
          <cell r="CD14">
            <v>0</v>
          </cell>
          <cell r="CG14">
            <v>0</v>
          </cell>
          <cell r="CJ14">
            <v>0</v>
          </cell>
          <cell r="CM14">
            <v>0</v>
          </cell>
          <cell r="CN14">
            <v>0</v>
          </cell>
          <cell r="CP14">
            <v>0</v>
          </cell>
          <cell r="CS14">
            <v>0</v>
          </cell>
          <cell r="CV14">
            <v>0</v>
          </cell>
          <cell r="CY14">
            <v>0</v>
          </cell>
          <cell r="DN14">
            <v>0</v>
          </cell>
          <cell r="DQ14">
            <v>0</v>
          </cell>
          <cell r="DT14">
            <v>0</v>
          </cell>
          <cell r="DW14">
            <v>0</v>
          </cell>
          <cell r="EE14">
            <v>2388779324.5099998</v>
          </cell>
          <cell r="EF14">
            <v>2465560848.5099998</v>
          </cell>
          <cell r="EG14">
            <v>-76781524</v>
          </cell>
        </row>
        <row r="15">
          <cell r="B15">
            <v>6414877</v>
          </cell>
          <cell r="F15">
            <v>0</v>
          </cell>
          <cell r="I15">
            <v>0</v>
          </cell>
          <cell r="L15">
            <v>0</v>
          </cell>
          <cell r="O15">
            <v>0</v>
          </cell>
          <cell r="R15">
            <v>0</v>
          </cell>
          <cell r="X15">
            <v>36208616.979999997</v>
          </cell>
          <cell r="AA15">
            <v>0</v>
          </cell>
          <cell r="AD15">
            <v>0</v>
          </cell>
          <cell r="AJ15">
            <v>0</v>
          </cell>
          <cell r="AM15">
            <v>71380000</v>
          </cell>
          <cell r="AP15">
            <v>6907551</v>
          </cell>
          <cell r="BH15">
            <v>0</v>
          </cell>
          <cell r="BK15">
            <v>0</v>
          </cell>
          <cell r="BN15">
            <v>0</v>
          </cell>
          <cell r="BT15">
            <v>0</v>
          </cell>
          <cell r="BW15">
            <v>25947954.619999997</v>
          </cell>
          <cell r="CD15">
            <v>0</v>
          </cell>
          <cell r="CG15">
            <v>0</v>
          </cell>
          <cell r="CJ15">
            <v>0</v>
          </cell>
          <cell r="CM15">
            <v>0</v>
          </cell>
          <cell r="CN15">
            <v>0</v>
          </cell>
          <cell r="CP15">
            <v>0</v>
          </cell>
          <cell r="CS15">
            <v>0</v>
          </cell>
          <cell r="CV15">
            <v>0</v>
          </cell>
          <cell r="CY15">
            <v>0</v>
          </cell>
          <cell r="DN15">
            <v>0</v>
          </cell>
          <cell r="DQ15">
            <v>0</v>
          </cell>
          <cell r="DT15">
            <v>0</v>
          </cell>
          <cell r="DW15">
            <v>0</v>
          </cell>
          <cell r="EE15">
            <v>140444122.59999999</v>
          </cell>
          <cell r="EF15">
            <v>141159469.62</v>
          </cell>
          <cell r="EG15">
            <v>-715347.02000000328</v>
          </cell>
        </row>
        <row r="16">
          <cell r="B16">
            <v>5369223</v>
          </cell>
          <cell r="F16">
            <v>475000000</v>
          </cell>
          <cell r="I16">
            <v>6290241.0949999997</v>
          </cell>
          <cell r="L16">
            <v>240775440.07949996</v>
          </cell>
          <cell r="O16">
            <v>0</v>
          </cell>
          <cell r="R16">
            <v>0</v>
          </cell>
          <cell r="X16">
            <v>1480000000</v>
          </cell>
          <cell r="AA16">
            <v>0</v>
          </cell>
          <cell r="AD16">
            <v>0</v>
          </cell>
          <cell r="AJ16">
            <v>203801180</v>
          </cell>
          <cell r="AM16">
            <v>340000000</v>
          </cell>
          <cell r="AP16">
            <v>97791335</v>
          </cell>
          <cell r="BH16">
            <v>0</v>
          </cell>
          <cell r="BK16">
            <v>0</v>
          </cell>
          <cell r="BN16">
            <v>0</v>
          </cell>
          <cell r="BT16">
            <v>0</v>
          </cell>
          <cell r="BW16">
            <v>49227547.5</v>
          </cell>
          <cell r="CD16">
            <v>0</v>
          </cell>
          <cell r="CG16">
            <v>0</v>
          </cell>
          <cell r="CJ16">
            <v>0</v>
          </cell>
          <cell r="CM16">
            <v>0</v>
          </cell>
          <cell r="CN16">
            <v>0</v>
          </cell>
          <cell r="CP16">
            <v>0</v>
          </cell>
          <cell r="CS16">
            <v>0</v>
          </cell>
          <cell r="CV16">
            <v>0</v>
          </cell>
          <cell r="CY16">
            <v>0</v>
          </cell>
          <cell r="DN16">
            <v>0</v>
          </cell>
          <cell r="DQ16">
            <v>0</v>
          </cell>
          <cell r="DT16">
            <v>0</v>
          </cell>
          <cell r="DW16">
            <v>0</v>
          </cell>
          <cell r="EE16">
            <v>2892885743.6745</v>
          </cell>
          <cell r="EF16">
            <v>2931911057.6745</v>
          </cell>
          <cell r="EG16">
            <v>-39025314</v>
          </cell>
        </row>
        <row r="17">
          <cell r="B17">
            <v>5294088</v>
          </cell>
          <cell r="F17">
            <v>594113409.04999995</v>
          </cell>
          <cell r="I17">
            <v>4430143.8023269996</v>
          </cell>
          <cell r="L17">
            <v>10303301.984886</v>
          </cell>
          <cell r="O17">
            <v>0</v>
          </cell>
          <cell r="R17">
            <v>0</v>
          </cell>
          <cell r="X17">
            <v>1696284019.28</v>
          </cell>
          <cell r="AA17">
            <v>0</v>
          </cell>
          <cell r="AD17">
            <v>0</v>
          </cell>
          <cell r="AJ17">
            <v>287005000</v>
          </cell>
          <cell r="AM17">
            <v>58624685.270000003</v>
          </cell>
          <cell r="AP17">
            <v>82394045</v>
          </cell>
          <cell r="BH17">
            <v>0</v>
          </cell>
          <cell r="BK17">
            <v>0</v>
          </cell>
          <cell r="BN17">
            <v>0</v>
          </cell>
          <cell r="BT17">
            <v>0</v>
          </cell>
          <cell r="BW17">
            <v>20005788.599999998</v>
          </cell>
          <cell r="CD17">
            <v>0</v>
          </cell>
          <cell r="CG17">
            <v>0</v>
          </cell>
          <cell r="CJ17">
            <v>0</v>
          </cell>
          <cell r="CM17">
            <v>0</v>
          </cell>
          <cell r="CN17">
            <v>25778995</v>
          </cell>
          <cell r="CP17">
            <v>0</v>
          </cell>
          <cell r="CS17">
            <v>0</v>
          </cell>
          <cell r="CV17">
            <v>0</v>
          </cell>
          <cell r="CY17">
            <v>0</v>
          </cell>
          <cell r="DN17">
            <v>0</v>
          </cell>
          <cell r="DQ17">
            <v>0</v>
          </cell>
          <cell r="DT17">
            <v>0</v>
          </cell>
          <cell r="DW17">
            <v>0</v>
          </cell>
          <cell r="EE17">
            <v>2753160392.9872131</v>
          </cell>
          <cell r="EF17">
            <v>2899890573.6572132</v>
          </cell>
          <cell r="EG17">
            <v>-146730180.67000008</v>
          </cell>
        </row>
        <row r="18">
          <cell r="B18">
            <v>2855119</v>
          </cell>
          <cell r="F18">
            <v>192339570.30000001</v>
          </cell>
          <cell r="I18">
            <v>570657682.97332096</v>
          </cell>
          <cell r="L18">
            <v>1880317509.7839699</v>
          </cell>
          <cell r="O18">
            <v>0</v>
          </cell>
          <cell r="R18">
            <v>0</v>
          </cell>
          <cell r="X18">
            <v>22074138874.43</v>
          </cell>
          <cell r="AA18">
            <v>0</v>
          </cell>
          <cell r="AD18">
            <v>0</v>
          </cell>
          <cell r="AJ18">
            <v>0</v>
          </cell>
          <cell r="AM18">
            <v>11161007604.379999</v>
          </cell>
          <cell r="AP18">
            <v>1936282700</v>
          </cell>
          <cell r="BH18">
            <v>0</v>
          </cell>
          <cell r="BK18">
            <v>0</v>
          </cell>
          <cell r="BN18">
            <v>0</v>
          </cell>
          <cell r="BT18">
            <v>0</v>
          </cell>
          <cell r="BW18">
            <v>4959132360.2300005</v>
          </cell>
          <cell r="CD18">
            <v>0</v>
          </cell>
          <cell r="CG18">
            <v>0</v>
          </cell>
          <cell r="CJ18">
            <v>0</v>
          </cell>
          <cell r="CM18">
            <v>0</v>
          </cell>
          <cell r="CN18">
            <v>45604010</v>
          </cell>
          <cell r="CP18">
            <v>0</v>
          </cell>
          <cell r="CS18">
            <v>0</v>
          </cell>
          <cell r="CV18">
            <v>0</v>
          </cell>
          <cell r="CY18">
            <v>0</v>
          </cell>
          <cell r="DN18">
            <v>0</v>
          </cell>
          <cell r="DQ18">
            <v>0</v>
          </cell>
          <cell r="DT18">
            <v>0</v>
          </cell>
          <cell r="DW18">
            <v>0</v>
          </cell>
          <cell r="EE18">
            <v>42773876302.09729</v>
          </cell>
          <cell r="EF18">
            <v>43171139232.823975</v>
          </cell>
          <cell r="EG18">
            <v>-397262930.72667903</v>
          </cell>
        </row>
        <row r="19">
          <cell r="B19">
            <v>2094533</v>
          </cell>
          <cell r="F19">
            <v>34491444670.379997</v>
          </cell>
          <cell r="I19">
            <v>1536934460.82551</v>
          </cell>
          <cell r="L19">
            <v>3400226596.4844599</v>
          </cell>
          <cell r="O19">
            <v>0</v>
          </cell>
          <cell r="R19">
            <v>0</v>
          </cell>
          <cell r="X19">
            <v>22853854223</v>
          </cell>
          <cell r="AA19">
            <v>0</v>
          </cell>
          <cell r="AD19">
            <v>60000000</v>
          </cell>
          <cell r="AJ19">
            <v>0</v>
          </cell>
          <cell r="AM19">
            <v>4299106998.4200001</v>
          </cell>
          <cell r="AP19">
            <v>1558600</v>
          </cell>
          <cell r="BH19">
            <v>0</v>
          </cell>
          <cell r="BK19">
            <v>0</v>
          </cell>
          <cell r="BN19">
            <v>0</v>
          </cell>
          <cell r="BT19">
            <v>0</v>
          </cell>
          <cell r="BW19">
            <v>2243105701.5799999</v>
          </cell>
          <cell r="CD19">
            <v>0</v>
          </cell>
          <cell r="CG19">
            <v>0</v>
          </cell>
          <cell r="CJ19">
            <v>0</v>
          </cell>
          <cell r="CM19">
            <v>0</v>
          </cell>
          <cell r="CN19">
            <v>1589956420</v>
          </cell>
          <cell r="CP19">
            <v>0</v>
          </cell>
          <cell r="CS19">
            <v>0</v>
          </cell>
          <cell r="CV19">
            <v>0</v>
          </cell>
          <cell r="CY19">
            <v>0</v>
          </cell>
          <cell r="DN19">
            <v>0</v>
          </cell>
          <cell r="DQ19">
            <v>0</v>
          </cell>
          <cell r="DT19">
            <v>0</v>
          </cell>
          <cell r="DW19">
            <v>0</v>
          </cell>
          <cell r="EE19">
            <v>68886231250.689957</v>
          </cell>
          <cell r="EF19">
            <v>71515467593</v>
          </cell>
          <cell r="EG19">
            <v>-2629236342.3100328</v>
          </cell>
        </row>
        <row r="20">
          <cell r="B20">
            <v>5722942</v>
          </cell>
          <cell r="F20">
            <v>0</v>
          </cell>
          <cell r="I20">
            <v>6185748.7025579996</v>
          </cell>
          <cell r="L20">
            <v>86025992.275375992</v>
          </cell>
          <cell r="O20">
            <v>0</v>
          </cell>
          <cell r="R20">
            <v>0</v>
          </cell>
          <cell r="X20">
            <v>0</v>
          </cell>
          <cell r="AA20">
            <v>0</v>
          </cell>
          <cell r="AD20">
            <v>21480000</v>
          </cell>
          <cell r="AJ20">
            <v>0</v>
          </cell>
          <cell r="AM20">
            <v>758481686.08000004</v>
          </cell>
          <cell r="AP20">
            <v>119400</v>
          </cell>
          <cell r="BH20">
            <v>0</v>
          </cell>
          <cell r="BK20">
            <v>0</v>
          </cell>
          <cell r="BN20">
            <v>0</v>
          </cell>
          <cell r="BT20">
            <v>0</v>
          </cell>
          <cell r="BW20">
            <v>170000000</v>
          </cell>
          <cell r="CD20">
            <v>0</v>
          </cell>
          <cell r="CG20">
            <v>0</v>
          </cell>
          <cell r="CJ20">
            <v>0</v>
          </cell>
          <cell r="CM20">
            <v>0</v>
          </cell>
          <cell r="CN20">
            <v>0</v>
          </cell>
          <cell r="CP20">
            <v>0</v>
          </cell>
          <cell r="CS20">
            <v>0</v>
          </cell>
          <cell r="CV20">
            <v>0</v>
          </cell>
          <cell r="CY20">
            <v>0</v>
          </cell>
          <cell r="DN20">
            <v>0</v>
          </cell>
          <cell r="DQ20">
            <v>0</v>
          </cell>
          <cell r="DT20">
            <v>0</v>
          </cell>
          <cell r="DW20">
            <v>0</v>
          </cell>
          <cell r="EE20">
            <v>1042292827.057934</v>
          </cell>
          <cell r="EF20">
            <v>928481686.08000004</v>
          </cell>
          <cell r="EG20">
            <v>113811140.97793399</v>
          </cell>
        </row>
        <row r="21">
          <cell r="B21">
            <v>2867494</v>
          </cell>
          <cell r="F21">
            <v>25172111.84</v>
          </cell>
          <cell r="I21">
            <v>0</v>
          </cell>
          <cell r="L21">
            <v>0</v>
          </cell>
          <cell r="O21">
            <v>0</v>
          </cell>
          <cell r="R21">
            <v>0</v>
          </cell>
          <cell r="X21">
            <v>0</v>
          </cell>
          <cell r="AA21">
            <v>0</v>
          </cell>
          <cell r="AD21">
            <v>0</v>
          </cell>
          <cell r="AJ21">
            <v>0</v>
          </cell>
          <cell r="AM21">
            <v>0</v>
          </cell>
          <cell r="AP21">
            <v>0</v>
          </cell>
          <cell r="BH21">
            <v>0</v>
          </cell>
          <cell r="BK21">
            <v>0</v>
          </cell>
          <cell r="BN21">
            <v>0</v>
          </cell>
          <cell r="BT21">
            <v>0</v>
          </cell>
          <cell r="BW21">
            <v>0</v>
          </cell>
          <cell r="CD21">
            <v>0</v>
          </cell>
          <cell r="CG21">
            <v>0</v>
          </cell>
          <cell r="CJ21">
            <v>0</v>
          </cell>
          <cell r="CM21">
            <v>0</v>
          </cell>
          <cell r="CN21">
            <v>0</v>
          </cell>
          <cell r="CP21">
            <v>0</v>
          </cell>
          <cell r="CS21">
            <v>0</v>
          </cell>
          <cell r="CV21">
            <v>0</v>
          </cell>
          <cell r="CY21">
            <v>0</v>
          </cell>
          <cell r="DN21">
            <v>0</v>
          </cell>
          <cell r="DQ21">
            <v>0</v>
          </cell>
          <cell r="DT21">
            <v>0</v>
          </cell>
          <cell r="DW21">
            <v>0</v>
          </cell>
          <cell r="EE21">
            <v>25172111.84</v>
          </cell>
          <cell r="EF21">
            <v>5810300</v>
          </cell>
          <cell r="EG21">
            <v>19361811.84</v>
          </cell>
        </row>
        <row r="22">
          <cell r="B22">
            <v>6463932</v>
          </cell>
          <cell r="F22">
            <v>221009732.25999999</v>
          </cell>
          <cell r="I22">
            <v>110521798.356682</v>
          </cell>
          <cell r="L22">
            <v>190735478.91886601</v>
          </cell>
          <cell r="O22">
            <v>0</v>
          </cell>
          <cell r="R22">
            <v>0</v>
          </cell>
          <cell r="X22">
            <v>2936238969.1499996</v>
          </cell>
          <cell r="AA22">
            <v>0</v>
          </cell>
          <cell r="AD22">
            <v>0</v>
          </cell>
          <cell r="AJ22">
            <v>231182340</v>
          </cell>
          <cell r="AM22">
            <v>314790818.20999998</v>
          </cell>
          <cell r="AP22">
            <v>605944053</v>
          </cell>
          <cell r="BH22">
            <v>0</v>
          </cell>
          <cell r="BK22">
            <v>0</v>
          </cell>
          <cell r="BN22">
            <v>0</v>
          </cell>
          <cell r="BT22">
            <v>0</v>
          </cell>
          <cell r="BW22">
            <v>72509060.079999998</v>
          </cell>
          <cell r="CD22">
            <v>0</v>
          </cell>
          <cell r="CG22">
            <v>0</v>
          </cell>
          <cell r="CJ22">
            <v>0</v>
          </cell>
          <cell r="CM22">
            <v>0</v>
          </cell>
          <cell r="CN22">
            <v>15569038</v>
          </cell>
          <cell r="CP22">
            <v>0</v>
          </cell>
          <cell r="CS22">
            <v>0</v>
          </cell>
          <cell r="CV22">
            <v>0</v>
          </cell>
          <cell r="CY22">
            <v>0</v>
          </cell>
          <cell r="DN22">
            <v>0</v>
          </cell>
          <cell r="DQ22">
            <v>0</v>
          </cell>
          <cell r="DT22">
            <v>0</v>
          </cell>
          <cell r="DW22">
            <v>0</v>
          </cell>
          <cell r="EE22">
            <v>4682932249.9755478</v>
          </cell>
          <cell r="EF22">
            <v>1679450543.436682</v>
          </cell>
          <cell r="EG22">
            <v>3003481706.5388656</v>
          </cell>
        </row>
        <row r="23">
          <cell r="B23">
            <v>2051303</v>
          </cell>
          <cell r="F23">
            <v>4330895722.1499996</v>
          </cell>
          <cell r="I23">
            <v>302172719.14577597</v>
          </cell>
          <cell r="L23">
            <v>3479276205.9461322</v>
          </cell>
          <cell r="O23">
            <v>0</v>
          </cell>
          <cell r="R23">
            <v>0</v>
          </cell>
          <cell r="X23">
            <v>4813343633.7399998</v>
          </cell>
          <cell r="AA23">
            <v>0</v>
          </cell>
          <cell r="AD23">
            <v>682678000</v>
          </cell>
          <cell r="AJ23">
            <v>0</v>
          </cell>
          <cell r="AM23">
            <v>15429491321.09</v>
          </cell>
          <cell r="AP23">
            <v>1134894625</v>
          </cell>
          <cell r="BH23">
            <v>0</v>
          </cell>
          <cell r="BK23">
            <v>0</v>
          </cell>
          <cell r="BN23">
            <v>0</v>
          </cell>
          <cell r="BT23">
            <v>0</v>
          </cell>
          <cell r="BW23">
            <v>3351587374.0600004</v>
          </cell>
          <cell r="CD23">
            <v>556249829.29999995</v>
          </cell>
          <cell r="CG23">
            <v>3354505501.9400001</v>
          </cell>
          <cell r="CJ23">
            <v>407635765</v>
          </cell>
          <cell r="CM23">
            <v>44713565</v>
          </cell>
          <cell r="CN23">
            <v>0</v>
          </cell>
          <cell r="CP23">
            <v>2405100.6</v>
          </cell>
          <cell r="CS23">
            <v>0</v>
          </cell>
          <cell r="CV23">
            <v>0</v>
          </cell>
          <cell r="CY23">
            <v>0</v>
          </cell>
          <cell r="DN23">
            <v>18243900</v>
          </cell>
          <cell r="DQ23">
            <v>0</v>
          </cell>
          <cell r="DT23">
            <v>0</v>
          </cell>
          <cell r="DW23">
            <v>0</v>
          </cell>
          <cell r="EE23">
            <v>37978093262.971909</v>
          </cell>
          <cell r="EF23">
            <v>32208843924.255779</v>
          </cell>
          <cell r="EG23">
            <v>5769249338.7161331</v>
          </cell>
        </row>
        <row r="24">
          <cell r="B24">
            <v>2061848</v>
          </cell>
          <cell r="F24">
            <v>2064217.02</v>
          </cell>
          <cell r="I24">
            <v>0</v>
          </cell>
          <cell r="L24">
            <v>8230371.8400000008</v>
          </cell>
          <cell r="O24">
            <v>0</v>
          </cell>
          <cell r="R24">
            <v>0</v>
          </cell>
          <cell r="X24">
            <v>0</v>
          </cell>
          <cell r="AA24">
            <v>0</v>
          </cell>
          <cell r="AD24">
            <v>0</v>
          </cell>
          <cell r="AJ24">
            <v>0</v>
          </cell>
          <cell r="AM24">
            <v>124694543.81</v>
          </cell>
          <cell r="AP24">
            <v>0</v>
          </cell>
          <cell r="BH24">
            <v>0</v>
          </cell>
          <cell r="BK24">
            <v>0</v>
          </cell>
          <cell r="BN24">
            <v>0</v>
          </cell>
          <cell r="BT24">
            <v>0</v>
          </cell>
          <cell r="BW24">
            <v>36486336.650000006</v>
          </cell>
          <cell r="CD24">
            <v>0</v>
          </cell>
          <cell r="CG24">
            <v>0</v>
          </cell>
          <cell r="CJ24">
            <v>13437.8</v>
          </cell>
          <cell r="CM24">
            <v>35060.699999999997</v>
          </cell>
          <cell r="CN24">
            <v>35060672</v>
          </cell>
          <cell r="CP24">
            <v>0</v>
          </cell>
          <cell r="CS24">
            <v>0</v>
          </cell>
          <cell r="CV24">
            <v>0</v>
          </cell>
          <cell r="CY24">
            <v>0</v>
          </cell>
          <cell r="DN24">
            <v>0</v>
          </cell>
          <cell r="DQ24">
            <v>0</v>
          </cell>
          <cell r="DT24">
            <v>0</v>
          </cell>
          <cell r="DW24">
            <v>73000</v>
          </cell>
          <cell r="EE24">
            <v>171603664.22000003</v>
          </cell>
          <cell r="EF24">
            <v>527729436.49000001</v>
          </cell>
          <cell r="EG24">
            <v>-356125772.26999998</v>
          </cell>
        </row>
        <row r="25">
          <cell r="B25">
            <v>5217652</v>
          </cell>
          <cell r="F25">
            <v>16780044.380000003</v>
          </cell>
          <cell r="I25">
            <v>33894767.625203997</v>
          </cell>
          <cell r="L25">
            <v>103256522.47293201</v>
          </cell>
          <cell r="O25">
            <v>0</v>
          </cell>
          <cell r="R25">
            <v>0</v>
          </cell>
          <cell r="X25">
            <v>14188509995.450001</v>
          </cell>
          <cell r="AA25">
            <v>0</v>
          </cell>
          <cell r="AD25">
            <v>0</v>
          </cell>
          <cell r="AJ25">
            <v>382446180</v>
          </cell>
          <cell r="AM25">
            <v>417159485.02999997</v>
          </cell>
          <cell r="AP25">
            <v>888812840</v>
          </cell>
          <cell r="BH25">
            <v>0</v>
          </cell>
          <cell r="BK25">
            <v>0</v>
          </cell>
          <cell r="BN25">
            <v>0</v>
          </cell>
          <cell r="BT25">
            <v>0</v>
          </cell>
          <cell r="BW25">
            <v>107910820.88</v>
          </cell>
          <cell r="CD25">
            <v>0</v>
          </cell>
          <cell r="CG25">
            <v>0</v>
          </cell>
          <cell r="CJ25">
            <v>0</v>
          </cell>
          <cell r="CM25">
            <v>0</v>
          </cell>
          <cell r="CN25">
            <v>2512595</v>
          </cell>
          <cell r="CP25">
            <v>0</v>
          </cell>
          <cell r="CS25">
            <v>0</v>
          </cell>
          <cell r="CV25">
            <v>0</v>
          </cell>
          <cell r="CY25">
            <v>0</v>
          </cell>
          <cell r="DN25">
            <v>0</v>
          </cell>
          <cell r="DQ25">
            <v>0</v>
          </cell>
          <cell r="DT25">
            <v>0</v>
          </cell>
          <cell r="DW25">
            <v>0</v>
          </cell>
          <cell r="EE25">
            <v>16138770655.838137</v>
          </cell>
          <cell r="EF25">
            <v>20381352012.762932</v>
          </cell>
          <cell r="EG25">
            <v>-4242581356.9247952</v>
          </cell>
        </row>
        <row r="26">
          <cell r="B26">
            <v>5467268</v>
          </cell>
          <cell r="F26">
            <v>5930553078.8900003</v>
          </cell>
          <cell r="I26">
            <v>948934973.08080995</v>
          </cell>
          <cell r="L26">
            <v>1991139247.6697099</v>
          </cell>
          <cell r="O26">
            <v>0</v>
          </cell>
          <cell r="R26">
            <v>0</v>
          </cell>
          <cell r="X26">
            <v>4158257845.8299994</v>
          </cell>
          <cell r="AA26">
            <v>0</v>
          </cell>
          <cell r="AD26">
            <v>0</v>
          </cell>
          <cell r="AJ26">
            <v>0</v>
          </cell>
          <cell r="AM26">
            <v>1745466066.1700001</v>
          </cell>
          <cell r="AP26">
            <v>2615631300</v>
          </cell>
          <cell r="BH26">
            <v>0</v>
          </cell>
          <cell r="BK26">
            <v>0</v>
          </cell>
          <cell r="BN26">
            <v>0</v>
          </cell>
          <cell r="BT26">
            <v>0</v>
          </cell>
          <cell r="BW26">
            <v>475949858.76000005</v>
          </cell>
          <cell r="CD26">
            <v>0</v>
          </cell>
          <cell r="CG26">
            <v>0</v>
          </cell>
          <cell r="CJ26">
            <v>0</v>
          </cell>
          <cell r="CM26">
            <v>0</v>
          </cell>
          <cell r="CN26">
            <v>5913400</v>
          </cell>
          <cell r="CP26">
            <v>0</v>
          </cell>
          <cell r="CS26">
            <v>0</v>
          </cell>
          <cell r="CV26">
            <v>0</v>
          </cell>
          <cell r="CY26">
            <v>0</v>
          </cell>
          <cell r="DN26">
            <v>0</v>
          </cell>
          <cell r="DQ26">
            <v>0</v>
          </cell>
          <cell r="DT26">
            <v>0</v>
          </cell>
          <cell r="DW26">
            <v>0</v>
          </cell>
          <cell r="EE26">
            <v>17865932370.400517</v>
          </cell>
          <cell r="EF26">
            <v>16147869608.510519</v>
          </cell>
          <cell r="EG26">
            <v>1718062761.8899999</v>
          </cell>
        </row>
        <row r="27">
          <cell r="B27">
            <v>5522935</v>
          </cell>
          <cell r="F27">
            <v>31900000</v>
          </cell>
          <cell r="I27">
            <v>25512095.008000001</v>
          </cell>
          <cell r="L27">
            <v>53650399.516800001</v>
          </cell>
          <cell r="O27">
            <v>750000</v>
          </cell>
          <cell r="R27">
            <v>0</v>
          </cell>
          <cell r="X27">
            <v>13787432.039999999</v>
          </cell>
          <cell r="AA27">
            <v>0</v>
          </cell>
          <cell r="AD27">
            <v>0</v>
          </cell>
          <cell r="AJ27">
            <v>0</v>
          </cell>
          <cell r="AM27">
            <v>424138338.25</v>
          </cell>
          <cell r="AP27">
            <v>230259050</v>
          </cell>
          <cell r="BH27">
            <v>0</v>
          </cell>
          <cell r="BK27">
            <v>0</v>
          </cell>
          <cell r="BN27">
            <v>0</v>
          </cell>
          <cell r="BT27">
            <v>0</v>
          </cell>
          <cell r="BW27">
            <v>1111120</v>
          </cell>
          <cell r="CD27">
            <v>0</v>
          </cell>
          <cell r="CG27">
            <v>0</v>
          </cell>
          <cell r="CJ27">
            <v>0</v>
          </cell>
          <cell r="CM27">
            <v>0</v>
          </cell>
          <cell r="CN27">
            <v>437000</v>
          </cell>
          <cell r="CP27">
            <v>0</v>
          </cell>
          <cell r="CS27">
            <v>0</v>
          </cell>
          <cell r="CV27">
            <v>0</v>
          </cell>
          <cell r="CY27">
            <v>0</v>
          </cell>
          <cell r="DN27">
            <v>0</v>
          </cell>
          <cell r="DQ27">
            <v>0</v>
          </cell>
          <cell r="DT27">
            <v>0</v>
          </cell>
          <cell r="DW27">
            <v>0</v>
          </cell>
          <cell r="EE27">
            <v>781108434.81480002</v>
          </cell>
          <cell r="EF27">
            <v>638930719.52480006</v>
          </cell>
          <cell r="EG27">
            <v>142177715.28999996</v>
          </cell>
        </row>
        <row r="28">
          <cell r="B28">
            <v>5396662</v>
          </cell>
          <cell r="F28">
            <v>272656800.28999996</v>
          </cell>
          <cell r="I28">
            <v>90715014.035074994</v>
          </cell>
          <cell r="L28">
            <v>221160093.42365998</v>
          </cell>
          <cell r="O28">
            <v>0</v>
          </cell>
          <cell r="R28">
            <v>0</v>
          </cell>
          <cell r="X28">
            <v>3576545637.0299997</v>
          </cell>
          <cell r="AA28">
            <v>0</v>
          </cell>
          <cell r="AD28">
            <v>0</v>
          </cell>
          <cell r="AJ28">
            <v>0</v>
          </cell>
          <cell r="AM28">
            <v>363210463.70999998</v>
          </cell>
          <cell r="AP28">
            <v>362262815</v>
          </cell>
          <cell r="BH28">
            <v>0</v>
          </cell>
          <cell r="BK28">
            <v>0</v>
          </cell>
          <cell r="BN28">
            <v>0</v>
          </cell>
          <cell r="BT28">
            <v>0</v>
          </cell>
          <cell r="BW28">
            <v>52044580.099999994</v>
          </cell>
          <cell r="CD28">
            <v>4999.6000000000004</v>
          </cell>
          <cell r="CG28">
            <v>0</v>
          </cell>
          <cell r="CJ28">
            <v>31752.6</v>
          </cell>
          <cell r="CM28">
            <v>34242</v>
          </cell>
          <cell r="CN28">
            <v>34242022</v>
          </cell>
          <cell r="CP28">
            <v>0</v>
          </cell>
          <cell r="CS28">
            <v>0</v>
          </cell>
          <cell r="CV28">
            <v>0</v>
          </cell>
          <cell r="CY28">
            <v>0</v>
          </cell>
          <cell r="DN28">
            <v>0</v>
          </cell>
          <cell r="DQ28">
            <v>0</v>
          </cell>
          <cell r="DT28">
            <v>0</v>
          </cell>
          <cell r="DW28">
            <v>80000</v>
          </cell>
          <cell r="EE28">
            <v>4938746397.7887344</v>
          </cell>
          <cell r="EF28">
            <v>2071916173.5587349</v>
          </cell>
          <cell r="EG28">
            <v>2866830224.2299995</v>
          </cell>
        </row>
        <row r="29">
          <cell r="B29">
            <v>5830974</v>
          </cell>
          <cell r="F29">
            <v>12682949592.790001</v>
          </cell>
          <cell r="I29">
            <v>551097254.30521905</v>
          </cell>
          <cell r="L29">
            <v>13182011839.15295</v>
          </cell>
          <cell r="O29">
            <v>0</v>
          </cell>
          <cell r="R29">
            <v>0</v>
          </cell>
          <cell r="X29">
            <v>636261702.80999994</v>
          </cell>
          <cell r="AA29">
            <v>0</v>
          </cell>
          <cell r="AD29">
            <v>0</v>
          </cell>
          <cell r="AJ29">
            <v>0</v>
          </cell>
          <cell r="AM29">
            <v>7568183176.8400002</v>
          </cell>
          <cell r="AP29">
            <v>784400</v>
          </cell>
          <cell r="BH29">
            <v>0</v>
          </cell>
          <cell r="BK29">
            <v>0</v>
          </cell>
          <cell r="BN29">
            <v>0</v>
          </cell>
          <cell r="BT29">
            <v>0</v>
          </cell>
          <cell r="BW29">
            <v>2384960084.5699997</v>
          </cell>
          <cell r="CD29">
            <v>0</v>
          </cell>
          <cell r="CG29">
            <v>0</v>
          </cell>
          <cell r="CJ29">
            <v>0</v>
          </cell>
          <cell r="CM29">
            <v>0</v>
          </cell>
          <cell r="CN29">
            <v>22432643</v>
          </cell>
          <cell r="CP29">
            <v>0</v>
          </cell>
          <cell r="CS29">
            <v>0</v>
          </cell>
          <cell r="CV29">
            <v>0</v>
          </cell>
          <cell r="CY29">
            <v>0</v>
          </cell>
          <cell r="DN29">
            <v>0</v>
          </cell>
          <cell r="DQ29">
            <v>0</v>
          </cell>
          <cell r="DT29">
            <v>0</v>
          </cell>
          <cell r="DW29">
            <v>0</v>
          </cell>
          <cell r="EE29">
            <v>37006248050.46817</v>
          </cell>
          <cell r="EF29">
            <v>37374212414.028168</v>
          </cell>
          <cell r="EG29">
            <v>-367964363.55999899</v>
          </cell>
        </row>
        <row r="30">
          <cell r="B30">
            <v>5699134</v>
          </cell>
          <cell r="F30">
            <v>0</v>
          </cell>
          <cell r="I30">
            <v>261098199.45792401</v>
          </cell>
          <cell r="L30">
            <v>547535070.41663098</v>
          </cell>
          <cell r="O30">
            <v>6850750</v>
          </cell>
          <cell r="R30">
            <v>0</v>
          </cell>
          <cell r="X30">
            <v>0</v>
          </cell>
          <cell r="AA30">
            <v>0</v>
          </cell>
          <cell r="AD30">
            <v>0</v>
          </cell>
          <cell r="AJ30">
            <v>0</v>
          </cell>
          <cell r="AM30">
            <v>1145180731.29</v>
          </cell>
          <cell r="AP30">
            <v>379900</v>
          </cell>
          <cell r="BH30">
            <v>16665720</v>
          </cell>
          <cell r="BK30">
            <v>0</v>
          </cell>
          <cell r="BN30">
            <v>0</v>
          </cell>
          <cell r="BT30">
            <v>0</v>
          </cell>
          <cell r="BW30">
            <v>403886618.53999996</v>
          </cell>
          <cell r="CD30">
            <v>0</v>
          </cell>
          <cell r="CG30">
            <v>0</v>
          </cell>
          <cell r="CJ30">
            <v>0</v>
          </cell>
          <cell r="CM30">
            <v>0</v>
          </cell>
          <cell r="CN30">
            <v>2720640</v>
          </cell>
          <cell r="CP30">
            <v>0</v>
          </cell>
          <cell r="CS30">
            <v>0</v>
          </cell>
          <cell r="CV30">
            <v>0</v>
          </cell>
          <cell r="CY30">
            <v>0</v>
          </cell>
          <cell r="DN30">
            <v>0</v>
          </cell>
          <cell r="DQ30">
            <v>0</v>
          </cell>
          <cell r="DT30">
            <v>0</v>
          </cell>
          <cell r="DW30">
            <v>0</v>
          </cell>
          <cell r="EE30">
            <v>2381596989.704555</v>
          </cell>
          <cell r="EF30">
            <v>2386686272.4145551</v>
          </cell>
          <cell r="EG30">
            <v>-5089282.7100000381</v>
          </cell>
        </row>
        <row r="31">
          <cell r="B31">
            <v>5412153</v>
          </cell>
          <cell r="F31">
            <v>80175.42</v>
          </cell>
          <cell r="I31">
            <v>26050228.515000001</v>
          </cell>
          <cell r="L31">
            <v>54705479.881499998</v>
          </cell>
          <cell r="O31">
            <v>0</v>
          </cell>
          <cell r="R31">
            <v>0</v>
          </cell>
          <cell r="X31">
            <v>0</v>
          </cell>
          <cell r="AA31">
            <v>0</v>
          </cell>
          <cell r="AD31">
            <v>0</v>
          </cell>
          <cell r="AJ31">
            <v>0</v>
          </cell>
          <cell r="AM31">
            <v>345428121.37</v>
          </cell>
          <cell r="AP31">
            <v>481302000</v>
          </cell>
          <cell r="BH31">
            <v>0</v>
          </cell>
          <cell r="BK31">
            <v>0</v>
          </cell>
          <cell r="BN31">
            <v>0</v>
          </cell>
          <cell r="BT31">
            <v>0</v>
          </cell>
          <cell r="BW31">
            <v>99294739.900000006</v>
          </cell>
          <cell r="CD31">
            <v>0</v>
          </cell>
          <cell r="CG31">
            <v>0</v>
          </cell>
          <cell r="CJ31">
            <v>0</v>
          </cell>
          <cell r="CM31">
            <v>0</v>
          </cell>
          <cell r="CN31">
            <v>15460000</v>
          </cell>
          <cell r="CP31">
            <v>0</v>
          </cell>
          <cell r="CS31">
            <v>0</v>
          </cell>
          <cell r="CV31">
            <v>0</v>
          </cell>
          <cell r="CY31">
            <v>0</v>
          </cell>
          <cell r="DN31">
            <v>0</v>
          </cell>
          <cell r="DQ31">
            <v>0</v>
          </cell>
          <cell r="DT31">
            <v>0</v>
          </cell>
          <cell r="DW31">
            <v>0</v>
          </cell>
          <cell r="EE31">
            <v>1006860745.0865</v>
          </cell>
          <cell r="EF31">
            <v>627280623.71650004</v>
          </cell>
          <cell r="EG31">
            <v>379580121.37</v>
          </cell>
        </row>
        <row r="32">
          <cell r="B32">
            <v>5253535</v>
          </cell>
          <cell r="F32">
            <v>948192963.95000005</v>
          </cell>
          <cell r="I32">
            <v>9256562.8875900004</v>
          </cell>
          <cell r="L32">
            <v>1180594987.8639393</v>
          </cell>
          <cell r="O32">
            <v>0</v>
          </cell>
          <cell r="R32">
            <v>0</v>
          </cell>
          <cell r="X32">
            <v>0</v>
          </cell>
          <cell r="AA32">
            <v>0</v>
          </cell>
          <cell r="AD32">
            <v>0</v>
          </cell>
          <cell r="AJ32">
            <v>0</v>
          </cell>
          <cell r="AM32">
            <v>3313783214.8200002</v>
          </cell>
          <cell r="AP32">
            <v>7000</v>
          </cell>
          <cell r="BH32">
            <v>0</v>
          </cell>
          <cell r="BK32">
            <v>0</v>
          </cell>
          <cell r="BN32">
            <v>0</v>
          </cell>
          <cell r="BT32">
            <v>0</v>
          </cell>
          <cell r="BW32">
            <v>1330155402.8999999</v>
          </cell>
          <cell r="CD32">
            <v>0</v>
          </cell>
          <cell r="CG32">
            <v>0</v>
          </cell>
          <cell r="CJ32">
            <v>0</v>
          </cell>
          <cell r="CM32">
            <v>0</v>
          </cell>
          <cell r="CN32">
            <v>0</v>
          </cell>
          <cell r="CP32">
            <v>0</v>
          </cell>
          <cell r="CS32">
            <v>0</v>
          </cell>
          <cell r="CV32">
            <v>0</v>
          </cell>
          <cell r="CY32">
            <v>0</v>
          </cell>
          <cell r="DN32">
            <v>0</v>
          </cell>
          <cell r="DQ32">
            <v>0</v>
          </cell>
          <cell r="DT32">
            <v>0</v>
          </cell>
          <cell r="DW32">
            <v>0</v>
          </cell>
          <cell r="EE32">
            <v>6781990132.4215298</v>
          </cell>
          <cell r="EF32">
            <v>6753287787.7199993</v>
          </cell>
          <cell r="EG32">
            <v>28702344.701529332</v>
          </cell>
        </row>
        <row r="33">
          <cell r="B33">
            <v>5051304</v>
          </cell>
          <cell r="F33">
            <v>138142163.12</v>
          </cell>
          <cell r="I33">
            <v>118836577.528423</v>
          </cell>
          <cell r="L33">
            <v>251962646.030734</v>
          </cell>
          <cell r="O33">
            <v>0</v>
          </cell>
          <cell r="R33">
            <v>0</v>
          </cell>
          <cell r="X33">
            <v>3820394906.9099998</v>
          </cell>
          <cell r="AA33">
            <v>0</v>
          </cell>
          <cell r="AD33">
            <v>0</v>
          </cell>
          <cell r="AJ33">
            <v>0</v>
          </cell>
          <cell r="AM33">
            <v>423434951.48000002</v>
          </cell>
          <cell r="AP33">
            <v>34654837</v>
          </cell>
          <cell r="BH33">
            <v>0</v>
          </cell>
          <cell r="BK33">
            <v>0</v>
          </cell>
          <cell r="BN33">
            <v>0</v>
          </cell>
          <cell r="BT33">
            <v>0</v>
          </cell>
          <cell r="BW33">
            <v>110312173.92</v>
          </cell>
          <cell r="CD33">
            <v>24519.5</v>
          </cell>
          <cell r="CG33">
            <v>147.4</v>
          </cell>
          <cell r="CJ33">
            <v>147.80000000000001</v>
          </cell>
          <cell r="CM33">
            <v>10000</v>
          </cell>
          <cell r="CN33">
            <v>10000000</v>
          </cell>
          <cell r="CP33">
            <v>0</v>
          </cell>
          <cell r="CS33">
            <v>0</v>
          </cell>
          <cell r="CV33">
            <v>0</v>
          </cell>
          <cell r="CY33">
            <v>0</v>
          </cell>
          <cell r="DN33">
            <v>0</v>
          </cell>
          <cell r="DQ33">
            <v>0</v>
          </cell>
          <cell r="DT33">
            <v>0</v>
          </cell>
          <cell r="DW33">
            <v>80000000</v>
          </cell>
          <cell r="EE33">
            <v>4977851461.5891571</v>
          </cell>
          <cell r="EF33">
            <v>1186677902.479157</v>
          </cell>
          <cell r="EG33">
            <v>3791173559.1099997</v>
          </cell>
        </row>
        <row r="34">
          <cell r="B34">
            <v>2550466</v>
          </cell>
          <cell r="F34">
            <v>4350000000</v>
          </cell>
          <cell r="I34">
            <v>61696320.978101</v>
          </cell>
          <cell r="L34">
            <v>129562274.054013</v>
          </cell>
          <cell r="O34">
            <v>0</v>
          </cell>
          <cell r="R34">
            <v>0</v>
          </cell>
          <cell r="X34">
            <v>3000000000</v>
          </cell>
          <cell r="AA34">
            <v>0</v>
          </cell>
          <cell r="AD34">
            <v>0</v>
          </cell>
          <cell r="AJ34">
            <v>0</v>
          </cell>
          <cell r="AM34">
            <v>17675219292.380001</v>
          </cell>
          <cell r="AP34">
            <v>1094646542</v>
          </cell>
          <cell r="AS34">
            <v>1500000000</v>
          </cell>
          <cell r="BH34">
            <v>0</v>
          </cell>
          <cell r="BK34">
            <v>0</v>
          </cell>
          <cell r="BN34">
            <v>0</v>
          </cell>
          <cell r="BT34">
            <v>0</v>
          </cell>
          <cell r="BW34">
            <v>5464062416.2700005</v>
          </cell>
          <cell r="CD34">
            <v>174943.8</v>
          </cell>
          <cell r="CG34">
            <v>6999.1</v>
          </cell>
          <cell r="CJ34">
            <v>147278.6</v>
          </cell>
          <cell r="CM34">
            <v>605608.9</v>
          </cell>
          <cell r="CN34">
            <v>605608897</v>
          </cell>
          <cell r="CP34">
            <v>0</v>
          </cell>
          <cell r="CS34">
            <v>0</v>
          </cell>
          <cell r="CV34">
            <v>0</v>
          </cell>
          <cell r="CY34">
            <v>0</v>
          </cell>
          <cell r="DN34">
            <v>0</v>
          </cell>
          <cell r="DQ34">
            <v>0</v>
          </cell>
          <cell r="DT34">
            <v>0</v>
          </cell>
          <cell r="DW34">
            <v>100000</v>
          </cell>
          <cell r="EE34">
            <v>33280616127.582119</v>
          </cell>
          <cell r="EF34">
            <v>34611465216.302109</v>
          </cell>
          <cell r="EG34">
            <v>-1330849088.7199988</v>
          </cell>
        </row>
        <row r="35">
          <cell r="B35">
            <v>5051134</v>
          </cell>
          <cell r="F35">
            <v>80620274.599999994</v>
          </cell>
          <cell r="I35">
            <v>70837669.299919993</v>
          </cell>
          <cell r="L35">
            <v>240259105.529834</v>
          </cell>
          <cell r="O35">
            <v>0</v>
          </cell>
          <cell r="R35">
            <v>0</v>
          </cell>
          <cell r="X35">
            <v>818741391.08000004</v>
          </cell>
          <cell r="AA35">
            <v>0</v>
          </cell>
          <cell r="AD35">
            <v>0</v>
          </cell>
          <cell r="AJ35">
            <v>0</v>
          </cell>
          <cell r="AM35">
            <v>272642293</v>
          </cell>
          <cell r="AP35">
            <v>291554542.05000001</v>
          </cell>
          <cell r="BH35">
            <v>0</v>
          </cell>
          <cell r="BK35">
            <v>0</v>
          </cell>
          <cell r="BN35">
            <v>0</v>
          </cell>
          <cell r="BT35">
            <v>0</v>
          </cell>
          <cell r="BW35">
            <v>71327111.870000005</v>
          </cell>
          <cell r="CD35">
            <v>0</v>
          </cell>
          <cell r="CG35">
            <v>0</v>
          </cell>
          <cell r="CJ35">
            <v>0</v>
          </cell>
          <cell r="CM35">
            <v>0</v>
          </cell>
          <cell r="CN35">
            <v>18387668</v>
          </cell>
          <cell r="CP35">
            <v>0</v>
          </cell>
          <cell r="CS35">
            <v>0</v>
          </cell>
          <cell r="CV35">
            <v>0</v>
          </cell>
          <cell r="CY35">
            <v>0</v>
          </cell>
          <cell r="DN35">
            <v>0</v>
          </cell>
          <cell r="DQ35">
            <v>0</v>
          </cell>
          <cell r="DT35">
            <v>0</v>
          </cell>
          <cell r="DW35">
            <v>0</v>
          </cell>
          <cell r="EE35">
            <v>1845982387.4297543</v>
          </cell>
          <cell r="EF35">
            <v>524574780.699754</v>
          </cell>
          <cell r="EG35">
            <v>1321407606.73</v>
          </cell>
        </row>
        <row r="36">
          <cell r="B36">
            <v>2095025</v>
          </cell>
          <cell r="F36">
            <v>90291262509.869995</v>
          </cell>
          <cell r="I36">
            <v>11693495890.4639</v>
          </cell>
          <cell r="L36">
            <v>25007853589.984798</v>
          </cell>
          <cell r="O36">
            <v>3050000</v>
          </cell>
          <cell r="R36">
            <v>0</v>
          </cell>
          <cell r="X36">
            <v>158974240816.05002</v>
          </cell>
          <cell r="AA36">
            <v>640025374.95000005</v>
          </cell>
          <cell r="AD36">
            <v>0</v>
          </cell>
          <cell r="AJ36">
            <v>9018712690</v>
          </cell>
          <cell r="AM36">
            <v>22022512351.400002</v>
          </cell>
          <cell r="AP36">
            <v>11159545408.5</v>
          </cell>
          <cell r="BH36">
            <v>0</v>
          </cell>
          <cell r="BK36">
            <v>316305287.38999999</v>
          </cell>
          <cell r="BN36">
            <v>0</v>
          </cell>
          <cell r="BT36">
            <v>0</v>
          </cell>
          <cell r="BW36">
            <v>7695816702.3099985</v>
          </cell>
          <cell r="CD36">
            <v>0</v>
          </cell>
          <cell r="CG36">
            <v>0</v>
          </cell>
          <cell r="CJ36">
            <v>0</v>
          </cell>
          <cell r="CM36">
            <v>0</v>
          </cell>
          <cell r="CN36">
            <v>560317449</v>
          </cell>
          <cell r="CP36">
            <v>0</v>
          </cell>
          <cell r="CS36">
            <v>0</v>
          </cell>
          <cell r="CV36">
            <v>0</v>
          </cell>
          <cell r="CY36">
            <v>0</v>
          </cell>
          <cell r="DN36">
            <v>0</v>
          </cell>
          <cell r="DQ36">
            <v>0</v>
          </cell>
          <cell r="DT36">
            <v>0</v>
          </cell>
          <cell r="DW36">
            <v>0</v>
          </cell>
          <cell r="EE36">
            <v>336822820620.91876</v>
          </cell>
          <cell r="EF36">
            <v>342316539574.75873</v>
          </cell>
          <cell r="EG36">
            <v>-5493718953.8399849</v>
          </cell>
        </row>
        <row r="37">
          <cell r="B37">
            <v>2045931</v>
          </cell>
          <cell r="F37">
            <v>0</v>
          </cell>
          <cell r="I37">
            <v>1374145176.26963</v>
          </cell>
          <cell r="L37">
            <v>2813410169.4984398</v>
          </cell>
          <cell r="O37">
            <v>0</v>
          </cell>
          <cell r="R37">
            <v>0</v>
          </cell>
          <cell r="X37">
            <v>12281580621.600002</v>
          </cell>
          <cell r="AA37">
            <v>0</v>
          </cell>
          <cell r="AD37">
            <v>0</v>
          </cell>
          <cell r="AJ37">
            <v>0</v>
          </cell>
          <cell r="AM37">
            <v>361114403</v>
          </cell>
          <cell r="AP37">
            <v>1019800</v>
          </cell>
          <cell r="BH37">
            <v>0</v>
          </cell>
          <cell r="BK37">
            <v>0</v>
          </cell>
          <cell r="BN37">
            <v>0</v>
          </cell>
          <cell r="BT37">
            <v>0</v>
          </cell>
          <cell r="BW37">
            <v>91243559.36999999</v>
          </cell>
          <cell r="CD37">
            <v>0</v>
          </cell>
          <cell r="CG37">
            <v>0</v>
          </cell>
          <cell r="CJ37">
            <v>0</v>
          </cell>
          <cell r="CM37">
            <v>0</v>
          </cell>
          <cell r="CN37">
            <v>0</v>
          </cell>
          <cell r="CP37">
            <v>0</v>
          </cell>
          <cell r="CS37">
            <v>0</v>
          </cell>
          <cell r="CV37">
            <v>0</v>
          </cell>
          <cell r="CY37">
            <v>0</v>
          </cell>
          <cell r="DN37">
            <v>0</v>
          </cell>
          <cell r="DQ37">
            <v>0</v>
          </cell>
          <cell r="DT37">
            <v>0</v>
          </cell>
          <cell r="DW37">
            <v>0</v>
          </cell>
          <cell r="EE37">
            <v>16922513729.738073</v>
          </cell>
          <cell r="EF37">
            <v>5639573076.1380701</v>
          </cell>
          <cell r="EG37">
            <v>11282940653.600002</v>
          </cell>
        </row>
        <row r="38">
          <cell r="B38">
            <v>2029278</v>
          </cell>
          <cell r="F38">
            <v>762127481.05999994</v>
          </cell>
          <cell r="I38">
            <v>102382669.632092</v>
          </cell>
          <cell r="L38">
            <v>1299227853.2673919</v>
          </cell>
          <cell r="O38">
            <v>0</v>
          </cell>
          <cell r="R38">
            <v>0</v>
          </cell>
          <cell r="X38">
            <v>0</v>
          </cell>
          <cell r="AA38">
            <v>0</v>
          </cell>
          <cell r="AD38">
            <v>0</v>
          </cell>
          <cell r="AJ38">
            <v>0</v>
          </cell>
          <cell r="AM38">
            <v>1562270455.6400001</v>
          </cell>
          <cell r="AP38">
            <v>55000</v>
          </cell>
          <cell r="BH38">
            <v>0</v>
          </cell>
          <cell r="BK38">
            <v>0</v>
          </cell>
          <cell r="BN38">
            <v>0</v>
          </cell>
          <cell r="BT38">
            <v>0</v>
          </cell>
          <cell r="BW38">
            <v>487246390.28999996</v>
          </cell>
          <cell r="CD38">
            <v>0</v>
          </cell>
          <cell r="CG38">
            <v>0</v>
          </cell>
          <cell r="CJ38">
            <v>0</v>
          </cell>
          <cell r="CM38">
            <v>0</v>
          </cell>
          <cell r="CN38">
            <v>218667974</v>
          </cell>
          <cell r="CP38">
            <v>0</v>
          </cell>
          <cell r="CS38">
            <v>0</v>
          </cell>
          <cell r="CV38">
            <v>0</v>
          </cell>
          <cell r="CY38">
            <v>0</v>
          </cell>
          <cell r="DN38">
            <v>0</v>
          </cell>
          <cell r="DQ38">
            <v>0</v>
          </cell>
          <cell r="DT38">
            <v>0</v>
          </cell>
          <cell r="DW38">
            <v>0</v>
          </cell>
          <cell r="EE38">
            <v>4213309849.8894844</v>
          </cell>
          <cell r="EF38">
            <v>8004459760.1894836</v>
          </cell>
          <cell r="EG38">
            <v>-3791149910.3000002</v>
          </cell>
        </row>
        <row r="39">
          <cell r="B39">
            <v>5106567</v>
          </cell>
          <cell r="F39">
            <v>462287517.62</v>
          </cell>
          <cell r="I39">
            <v>613365316.92032504</v>
          </cell>
          <cell r="L39">
            <v>8887516039.1366005</v>
          </cell>
          <cell r="O39">
            <v>0</v>
          </cell>
          <cell r="R39">
            <v>0</v>
          </cell>
          <cell r="X39">
            <v>824090350</v>
          </cell>
          <cell r="AA39">
            <v>0</v>
          </cell>
          <cell r="AD39">
            <v>0</v>
          </cell>
          <cell r="AJ39">
            <v>0</v>
          </cell>
          <cell r="AM39">
            <v>2661000000</v>
          </cell>
          <cell r="AP39">
            <v>744800</v>
          </cell>
          <cell r="BH39">
            <v>0</v>
          </cell>
          <cell r="BK39">
            <v>0</v>
          </cell>
          <cell r="BN39">
            <v>0</v>
          </cell>
          <cell r="BT39">
            <v>0</v>
          </cell>
          <cell r="BW39">
            <v>1081646803.3899999</v>
          </cell>
          <cell r="CD39">
            <v>0</v>
          </cell>
          <cell r="CG39">
            <v>0</v>
          </cell>
          <cell r="CJ39">
            <v>0</v>
          </cell>
          <cell r="CM39">
            <v>0</v>
          </cell>
          <cell r="CN39">
            <v>11465263</v>
          </cell>
          <cell r="CP39">
            <v>0</v>
          </cell>
          <cell r="CS39">
            <v>0</v>
          </cell>
          <cell r="CV39">
            <v>0</v>
          </cell>
          <cell r="CY39">
            <v>0</v>
          </cell>
          <cell r="DN39">
            <v>0</v>
          </cell>
          <cell r="DQ39">
            <v>0</v>
          </cell>
          <cell r="DT39">
            <v>0</v>
          </cell>
          <cell r="DW39">
            <v>0</v>
          </cell>
          <cell r="EE39">
            <v>14530650827.066925</v>
          </cell>
          <cell r="EF39">
            <v>13523246530.446924</v>
          </cell>
          <cell r="EG39">
            <v>1007404296.6199999</v>
          </cell>
        </row>
        <row r="40">
          <cell r="B40">
            <v>5141583</v>
          </cell>
          <cell r="F40">
            <v>56115073513.389999</v>
          </cell>
          <cell r="I40">
            <v>320511152.003887</v>
          </cell>
          <cell r="L40">
            <v>1136546649.0921822</v>
          </cell>
          <cell r="O40">
            <v>0</v>
          </cell>
          <cell r="R40">
            <v>0</v>
          </cell>
          <cell r="X40">
            <v>52086364990.880005</v>
          </cell>
          <cell r="AA40">
            <v>0</v>
          </cell>
          <cell r="AD40">
            <v>0</v>
          </cell>
          <cell r="AJ40">
            <v>3876741099.5000005</v>
          </cell>
          <cell r="AM40">
            <v>3415094284.04</v>
          </cell>
          <cell r="AP40">
            <v>3852708600</v>
          </cell>
          <cell r="BH40">
            <v>0</v>
          </cell>
          <cell r="BK40">
            <v>0</v>
          </cell>
          <cell r="BN40">
            <v>0</v>
          </cell>
          <cell r="BT40">
            <v>0</v>
          </cell>
          <cell r="BW40">
            <v>1141934379.3100002</v>
          </cell>
          <cell r="CD40">
            <v>77058995.780000001</v>
          </cell>
          <cell r="CG40">
            <v>36392074.140000001</v>
          </cell>
          <cell r="CJ40">
            <v>249578832.88</v>
          </cell>
          <cell r="CM40">
            <v>0</v>
          </cell>
          <cell r="CN40">
            <v>51662232</v>
          </cell>
          <cell r="CP40">
            <v>51662231.710000001</v>
          </cell>
          <cell r="CS40">
            <v>0</v>
          </cell>
          <cell r="CV40">
            <v>0</v>
          </cell>
          <cell r="CY40">
            <v>0</v>
          </cell>
          <cell r="DN40">
            <v>0</v>
          </cell>
          <cell r="DQ40">
            <v>0</v>
          </cell>
          <cell r="DT40">
            <v>0</v>
          </cell>
          <cell r="DW40">
            <v>20000000</v>
          </cell>
          <cell r="EE40">
            <v>123348033352.87607</v>
          </cell>
          <cell r="EF40">
            <v>123242389252.40607</v>
          </cell>
          <cell r="EG40">
            <v>105644100.47000468</v>
          </cell>
        </row>
        <row r="41">
          <cell r="B41">
            <v>5118115</v>
          </cell>
          <cell r="F41">
            <v>3500000000</v>
          </cell>
          <cell r="I41">
            <v>304938617.72423202</v>
          </cell>
          <cell r="L41">
            <v>5030161740.5869017</v>
          </cell>
          <cell r="O41">
            <v>0</v>
          </cell>
          <cell r="R41">
            <v>0</v>
          </cell>
          <cell r="X41">
            <v>0</v>
          </cell>
          <cell r="AA41">
            <v>0</v>
          </cell>
          <cell r="AD41">
            <v>0</v>
          </cell>
          <cell r="AJ41">
            <v>0</v>
          </cell>
          <cell r="AM41">
            <v>1346125092.9400001</v>
          </cell>
          <cell r="AP41">
            <v>411200</v>
          </cell>
          <cell r="BH41">
            <v>0</v>
          </cell>
          <cell r="BK41">
            <v>0</v>
          </cell>
          <cell r="BN41">
            <v>0</v>
          </cell>
          <cell r="BT41">
            <v>0</v>
          </cell>
          <cell r="BW41">
            <v>477965883.40999997</v>
          </cell>
          <cell r="CD41">
            <v>0</v>
          </cell>
          <cell r="CG41">
            <v>0</v>
          </cell>
          <cell r="CJ41">
            <v>0</v>
          </cell>
          <cell r="CM41">
            <v>0</v>
          </cell>
          <cell r="CN41">
            <v>0</v>
          </cell>
          <cell r="CP41">
            <v>0</v>
          </cell>
          <cell r="CS41">
            <v>0</v>
          </cell>
          <cell r="CV41">
            <v>0</v>
          </cell>
          <cell r="CY41">
            <v>0</v>
          </cell>
          <cell r="DN41">
            <v>0</v>
          </cell>
          <cell r="DQ41">
            <v>0</v>
          </cell>
          <cell r="DT41">
            <v>0</v>
          </cell>
          <cell r="DW41">
            <v>0</v>
          </cell>
          <cell r="EE41">
            <v>10659602534.661135</v>
          </cell>
          <cell r="EF41">
            <v>10659191334.661135</v>
          </cell>
          <cell r="EG41">
            <v>411200</v>
          </cell>
        </row>
        <row r="42">
          <cell r="B42">
            <v>2010895</v>
          </cell>
          <cell r="F42">
            <v>76042547.070000008</v>
          </cell>
          <cell r="I42">
            <v>17632234.252039999</v>
          </cell>
          <cell r="L42">
            <v>248792815.88928297</v>
          </cell>
          <cell r="O42">
            <v>0</v>
          </cell>
          <cell r="R42">
            <v>0</v>
          </cell>
          <cell r="X42">
            <v>267676397.79000002</v>
          </cell>
          <cell r="AA42">
            <v>0</v>
          </cell>
          <cell r="AD42">
            <v>75500000</v>
          </cell>
          <cell r="AJ42">
            <v>0</v>
          </cell>
          <cell r="AM42">
            <v>341591648.22000003</v>
          </cell>
          <cell r="AP42">
            <v>24389400</v>
          </cell>
          <cell r="BH42">
            <v>3500</v>
          </cell>
          <cell r="BK42">
            <v>0</v>
          </cell>
          <cell r="BN42">
            <v>0</v>
          </cell>
          <cell r="BT42">
            <v>0</v>
          </cell>
          <cell r="BW42">
            <v>96219049.620000005</v>
          </cell>
          <cell r="CD42">
            <v>0</v>
          </cell>
          <cell r="CG42">
            <v>0</v>
          </cell>
          <cell r="CJ42">
            <v>0</v>
          </cell>
          <cell r="CM42">
            <v>0</v>
          </cell>
          <cell r="CN42">
            <v>7181478</v>
          </cell>
          <cell r="CP42">
            <v>0</v>
          </cell>
          <cell r="CS42">
            <v>0</v>
          </cell>
          <cell r="CV42">
            <v>0</v>
          </cell>
          <cell r="CY42">
            <v>0</v>
          </cell>
          <cell r="DN42">
            <v>0</v>
          </cell>
          <cell r="DQ42">
            <v>0</v>
          </cell>
          <cell r="DT42">
            <v>0</v>
          </cell>
          <cell r="DW42">
            <v>0</v>
          </cell>
          <cell r="EE42">
            <v>1147847592.8413229</v>
          </cell>
          <cell r="EF42">
            <v>1024974833.761323</v>
          </cell>
          <cell r="EG42">
            <v>122872759.08000004</v>
          </cell>
        </row>
        <row r="43">
          <cell r="B43">
            <v>6287727</v>
          </cell>
          <cell r="F43">
            <v>0</v>
          </cell>
          <cell r="I43">
            <v>200858601.37768099</v>
          </cell>
          <cell r="L43">
            <v>426348517.44313103</v>
          </cell>
          <cell r="O43">
            <v>0</v>
          </cell>
          <cell r="R43">
            <v>0</v>
          </cell>
          <cell r="X43">
            <v>1513548999.6700001</v>
          </cell>
          <cell r="AA43">
            <v>0</v>
          </cell>
          <cell r="AD43">
            <v>0</v>
          </cell>
          <cell r="AJ43">
            <v>0</v>
          </cell>
          <cell r="AM43">
            <v>140320628.52000001</v>
          </cell>
          <cell r="AP43">
            <v>103626027</v>
          </cell>
          <cell r="BH43">
            <v>13371682</v>
          </cell>
          <cell r="BK43">
            <v>0</v>
          </cell>
          <cell r="BN43">
            <v>0</v>
          </cell>
          <cell r="BT43">
            <v>0</v>
          </cell>
          <cell r="BW43">
            <v>25734375</v>
          </cell>
          <cell r="CD43">
            <v>0</v>
          </cell>
          <cell r="CG43">
            <v>0</v>
          </cell>
          <cell r="CJ43">
            <v>0</v>
          </cell>
          <cell r="CM43">
            <v>0</v>
          </cell>
          <cell r="CN43">
            <v>355215799</v>
          </cell>
          <cell r="CP43">
            <v>0</v>
          </cell>
          <cell r="CS43">
            <v>0</v>
          </cell>
          <cell r="CV43">
            <v>0</v>
          </cell>
          <cell r="CY43">
            <v>0</v>
          </cell>
          <cell r="DN43">
            <v>0</v>
          </cell>
          <cell r="DQ43">
            <v>0</v>
          </cell>
          <cell r="DT43">
            <v>0</v>
          </cell>
          <cell r="DW43">
            <v>0</v>
          </cell>
          <cell r="EE43">
            <v>2423808831.0108123</v>
          </cell>
          <cell r="EF43">
            <v>1245704879.820812</v>
          </cell>
          <cell r="EG43">
            <v>1178103951.1900001</v>
          </cell>
        </row>
        <row r="44">
          <cell r="B44">
            <v>2659603</v>
          </cell>
          <cell r="F44">
            <v>363122627.06</v>
          </cell>
          <cell r="I44">
            <v>2652419723.2048402</v>
          </cell>
          <cell r="L44">
            <v>6747741903.0101595</v>
          </cell>
          <cell r="O44">
            <v>0</v>
          </cell>
          <cell r="R44">
            <v>0</v>
          </cell>
          <cell r="X44">
            <v>0</v>
          </cell>
          <cell r="AA44">
            <v>0</v>
          </cell>
          <cell r="AD44">
            <v>0</v>
          </cell>
          <cell r="AJ44">
            <v>0</v>
          </cell>
          <cell r="AM44">
            <v>181550000</v>
          </cell>
          <cell r="AP44">
            <v>4967600</v>
          </cell>
          <cell r="BH44">
            <v>0</v>
          </cell>
          <cell r="BK44">
            <v>0</v>
          </cell>
          <cell r="BN44">
            <v>0</v>
          </cell>
          <cell r="BT44">
            <v>0</v>
          </cell>
          <cell r="BW44">
            <v>67489149.310000002</v>
          </cell>
          <cell r="CD44">
            <v>0</v>
          </cell>
          <cell r="CG44">
            <v>0</v>
          </cell>
          <cell r="CJ44">
            <v>15223608</v>
          </cell>
          <cell r="CM44">
            <v>65580601.600000001</v>
          </cell>
          <cell r="CN44">
            <v>0</v>
          </cell>
          <cell r="CP44">
            <v>0</v>
          </cell>
          <cell r="CS44">
            <v>919504943.54999995</v>
          </cell>
          <cell r="CV44">
            <v>0</v>
          </cell>
          <cell r="CY44">
            <v>0</v>
          </cell>
          <cell r="DN44">
            <v>0</v>
          </cell>
          <cell r="DQ44">
            <v>0</v>
          </cell>
          <cell r="DT44">
            <v>0</v>
          </cell>
          <cell r="DW44">
            <v>0</v>
          </cell>
          <cell r="EE44">
            <v>11017600155.734999</v>
          </cell>
          <cell r="EF44">
            <v>9467650775.5249996</v>
          </cell>
          <cell r="EG44">
            <v>1549949380.21</v>
          </cell>
        </row>
        <row r="45">
          <cell r="B45">
            <v>2678187</v>
          </cell>
          <cell r="F45">
            <v>0</v>
          </cell>
          <cell r="I45">
            <v>67322728.670778006</v>
          </cell>
          <cell r="L45">
            <v>1538917955.0186338</v>
          </cell>
          <cell r="O45">
            <v>0</v>
          </cell>
          <cell r="R45">
            <v>0</v>
          </cell>
          <cell r="X45">
            <v>0</v>
          </cell>
          <cell r="AA45">
            <v>0</v>
          </cell>
          <cell r="AD45">
            <v>0</v>
          </cell>
          <cell r="AJ45">
            <v>0</v>
          </cell>
          <cell r="AM45">
            <v>649988320.5</v>
          </cell>
          <cell r="AP45">
            <v>182200</v>
          </cell>
          <cell r="BH45">
            <v>0</v>
          </cell>
          <cell r="BK45">
            <v>0</v>
          </cell>
          <cell r="BN45">
            <v>0</v>
          </cell>
          <cell r="BT45">
            <v>0</v>
          </cell>
          <cell r="BW45">
            <v>399873635.87</v>
          </cell>
          <cell r="CD45">
            <v>0</v>
          </cell>
          <cell r="CG45">
            <v>0</v>
          </cell>
          <cell r="CJ45">
            <v>0</v>
          </cell>
          <cell r="CM45">
            <v>0</v>
          </cell>
          <cell r="CN45">
            <v>0</v>
          </cell>
          <cell r="CP45">
            <v>0</v>
          </cell>
          <cell r="CS45">
            <v>0</v>
          </cell>
          <cell r="CV45">
            <v>0</v>
          </cell>
          <cell r="CY45">
            <v>0</v>
          </cell>
          <cell r="DN45">
            <v>0</v>
          </cell>
          <cell r="DQ45">
            <v>0</v>
          </cell>
          <cell r="DT45">
            <v>0</v>
          </cell>
          <cell r="DW45">
            <v>0</v>
          </cell>
          <cell r="EE45">
            <v>2656284840.059412</v>
          </cell>
          <cell r="EF45">
            <v>2811399072.559412</v>
          </cell>
          <cell r="EG45">
            <v>-155114232.5</v>
          </cell>
        </row>
        <row r="46">
          <cell r="B46">
            <v>2657457</v>
          </cell>
          <cell r="F46">
            <v>1496149116</v>
          </cell>
          <cell r="I46">
            <v>21627198822.508999</v>
          </cell>
          <cell r="L46">
            <v>113266691247.0287</v>
          </cell>
          <cell r="O46">
            <v>0</v>
          </cell>
          <cell r="R46">
            <v>0</v>
          </cell>
          <cell r="X46">
            <v>314293894007</v>
          </cell>
          <cell r="AA46">
            <v>0</v>
          </cell>
          <cell r="AD46">
            <v>0</v>
          </cell>
          <cell r="AJ46">
            <v>0</v>
          </cell>
          <cell r="AM46">
            <v>162900000000</v>
          </cell>
          <cell r="AP46">
            <v>1301676505</v>
          </cell>
          <cell r="BH46">
            <v>0</v>
          </cell>
          <cell r="BK46">
            <v>0</v>
          </cell>
          <cell r="BN46">
            <v>0</v>
          </cell>
          <cell r="BT46">
            <v>0</v>
          </cell>
          <cell r="BW46">
            <v>120016277788</v>
          </cell>
          <cell r="CD46">
            <v>0</v>
          </cell>
          <cell r="CG46">
            <v>0</v>
          </cell>
          <cell r="CJ46">
            <v>0</v>
          </cell>
          <cell r="CM46">
            <v>0</v>
          </cell>
          <cell r="CN46">
            <v>27507682763</v>
          </cell>
          <cell r="CP46">
            <v>0</v>
          </cell>
          <cell r="CS46">
            <v>0</v>
          </cell>
          <cell r="CV46">
            <v>0</v>
          </cell>
          <cell r="CY46">
            <v>0</v>
          </cell>
          <cell r="DN46">
            <v>0</v>
          </cell>
          <cell r="DQ46">
            <v>0</v>
          </cell>
          <cell r="DT46">
            <v>0</v>
          </cell>
          <cell r="DW46">
            <v>0</v>
          </cell>
          <cell r="EE46">
            <v>734901887485.53772</v>
          </cell>
          <cell r="EF46">
            <v>917156208075.53772</v>
          </cell>
          <cell r="EG46">
            <v>-182254320590</v>
          </cell>
        </row>
        <row r="47">
          <cell r="B47">
            <v>3615243</v>
          </cell>
          <cell r="F47">
            <v>69109680.260000005</v>
          </cell>
          <cell r="I47">
            <v>0</v>
          </cell>
          <cell r="L47">
            <v>458397734.28999996</v>
          </cell>
          <cell r="O47">
            <v>0</v>
          </cell>
          <cell r="R47">
            <v>0</v>
          </cell>
          <cell r="X47">
            <v>0</v>
          </cell>
          <cell r="AA47">
            <v>0</v>
          </cell>
          <cell r="AD47">
            <v>0</v>
          </cell>
          <cell r="AJ47">
            <v>0</v>
          </cell>
          <cell r="AM47">
            <v>1013417173.51</v>
          </cell>
          <cell r="AP47">
            <v>0</v>
          </cell>
          <cell r="BH47">
            <v>0</v>
          </cell>
          <cell r="BK47">
            <v>0</v>
          </cell>
          <cell r="BN47">
            <v>0</v>
          </cell>
          <cell r="BT47">
            <v>0</v>
          </cell>
          <cell r="BW47">
            <v>339149896.90000004</v>
          </cell>
          <cell r="CD47">
            <v>0</v>
          </cell>
          <cell r="CG47">
            <v>0</v>
          </cell>
          <cell r="CJ47">
            <v>0</v>
          </cell>
          <cell r="CM47">
            <v>0</v>
          </cell>
          <cell r="CN47">
            <v>0</v>
          </cell>
          <cell r="CP47">
            <v>0</v>
          </cell>
          <cell r="CS47">
            <v>0</v>
          </cell>
          <cell r="CV47">
            <v>0</v>
          </cell>
          <cell r="CY47">
            <v>0</v>
          </cell>
          <cell r="DN47">
            <v>0</v>
          </cell>
          <cell r="DQ47">
            <v>0</v>
          </cell>
          <cell r="DT47">
            <v>0</v>
          </cell>
          <cell r="DW47">
            <v>0</v>
          </cell>
          <cell r="EE47">
            <v>1880074484.96</v>
          </cell>
          <cell r="EF47">
            <v>819147631.19000006</v>
          </cell>
          <cell r="EG47">
            <v>1060926853.77</v>
          </cell>
        </row>
        <row r="48">
          <cell r="B48">
            <v>3623955</v>
          </cell>
          <cell r="F48">
            <v>480474836.57999998</v>
          </cell>
          <cell r="I48">
            <v>26462917.960106</v>
          </cell>
          <cell r="L48">
            <v>55572127.716224998</v>
          </cell>
          <cell r="O48">
            <v>0</v>
          </cell>
          <cell r="R48">
            <v>0</v>
          </cell>
          <cell r="X48">
            <v>419896276.42000002</v>
          </cell>
          <cell r="AA48">
            <v>0</v>
          </cell>
          <cell r="AD48">
            <v>0</v>
          </cell>
          <cell r="AJ48">
            <v>0</v>
          </cell>
          <cell r="AM48">
            <v>120394029.48</v>
          </cell>
          <cell r="AP48">
            <v>379350</v>
          </cell>
          <cell r="BH48">
            <v>0</v>
          </cell>
          <cell r="BK48">
            <v>0</v>
          </cell>
          <cell r="BN48">
            <v>0</v>
          </cell>
          <cell r="BT48">
            <v>0</v>
          </cell>
          <cell r="BW48">
            <v>35041825.239999995</v>
          </cell>
          <cell r="CD48">
            <v>0</v>
          </cell>
          <cell r="CG48">
            <v>0</v>
          </cell>
          <cell r="CJ48">
            <v>0</v>
          </cell>
          <cell r="CM48">
            <v>0</v>
          </cell>
          <cell r="CN48">
            <v>0</v>
          </cell>
          <cell r="CP48">
            <v>0</v>
          </cell>
          <cell r="CS48">
            <v>0</v>
          </cell>
          <cell r="CV48">
            <v>0</v>
          </cell>
          <cell r="CY48">
            <v>0</v>
          </cell>
          <cell r="DN48">
            <v>0</v>
          </cell>
          <cell r="DQ48">
            <v>0</v>
          </cell>
          <cell r="DT48">
            <v>0</v>
          </cell>
          <cell r="DW48">
            <v>0</v>
          </cell>
          <cell r="EE48">
            <v>1138221363.3963311</v>
          </cell>
          <cell r="EF48">
            <v>905597015.91633105</v>
          </cell>
          <cell r="EG48">
            <v>232624347.48000002</v>
          </cell>
        </row>
        <row r="49">
          <cell r="B49">
            <v>5199077</v>
          </cell>
          <cell r="F49">
            <v>42411589265.099998</v>
          </cell>
          <cell r="I49">
            <v>10778002.706590001</v>
          </cell>
          <cell r="L49">
            <v>1590116174.293838</v>
          </cell>
          <cell r="O49">
            <v>0</v>
          </cell>
          <cell r="R49">
            <v>0</v>
          </cell>
          <cell r="X49">
            <v>117389099592.78</v>
          </cell>
          <cell r="AA49">
            <v>0</v>
          </cell>
          <cell r="AD49">
            <v>0</v>
          </cell>
          <cell r="AJ49">
            <v>2705824000</v>
          </cell>
          <cell r="AM49">
            <v>379100513.05000001</v>
          </cell>
          <cell r="AP49">
            <v>4568972000</v>
          </cell>
          <cell r="BH49">
            <v>600000</v>
          </cell>
          <cell r="BK49">
            <v>0</v>
          </cell>
          <cell r="BN49">
            <v>0</v>
          </cell>
          <cell r="BT49">
            <v>0</v>
          </cell>
          <cell r="BW49">
            <v>263763801.93000001</v>
          </cell>
          <cell r="CD49">
            <v>0</v>
          </cell>
          <cell r="CG49">
            <v>0</v>
          </cell>
          <cell r="CJ49">
            <v>0</v>
          </cell>
          <cell r="CM49">
            <v>0</v>
          </cell>
          <cell r="CN49">
            <v>169812005</v>
          </cell>
          <cell r="CP49">
            <v>0</v>
          </cell>
          <cell r="CS49">
            <v>0</v>
          </cell>
          <cell r="CV49">
            <v>0</v>
          </cell>
          <cell r="CY49">
            <v>0</v>
          </cell>
          <cell r="DN49">
            <v>0</v>
          </cell>
          <cell r="DQ49">
            <v>0</v>
          </cell>
          <cell r="DT49">
            <v>0</v>
          </cell>
          <cell r="DW49">
            <v>0</v>
          </cell>
          <cell r="EE49">
            <v>169319843349.86041</v>
          </cell>
          <cell r="EF49">
            <v>53201216487.930428</v>
          </cell>
          <cell r="EG49">
            <v>116118626861.93001</v>
          </cell>
        </row>
        <row r="50">
          <cell r="B50">
            <v>2075385</v>
          </cell>
          <cell r="F50">
            <v>0</v>
          </cell>
          <cell r="I50">
            <v>0</v>
          </cell>
          <cell r="L50">
            <v>0</v>
          </cell>
          <cell r="O50">
            <v>0</v>
          </cell>
          <cell r="R50">
            <v>0</v>
          </cell>
          <cell r="X50">
            <v>0</v>
          </cell>
          <cell r="AA50">
            <v>148661791.19999999</v>
          </cell>
          <cell r="AD50">
            <v>0</v>
          </cell>
          <cell r="AJ50">
            <v>0</v>
          </cell>
          <cell r="AM50">
            <v>5548642842.4300003</v>
          </cell>
          <cell r="AP50">
            <v>0</v>
          </cell>
          <cell r="BH50">
            <v>0</v>
          </cell>
          <cell r="BK50">
            <v>0</v>
          </cell>
          <cell r="BN50">
            <v>0</v>
          </cell>
          <cell r="BT50">
            <v>0</v>
          </cell>
          <cell r="BW50">
            <v>1795937521.3300004</v>
          </cell>
          <cell r="CD50">
            <v>0</v>
          </cell>
          <cell r="CG50">
            <v>0</v>
          </cell>
          <cell r="CJ50">
            <v>0</v>
          </cell>
          <cell r="CM50">
            <v>0</v>
          </cell>
          <cell r="CN50">
            <v>0</v>
          </cell>
          <cell r="CP50">
            <v>0</v>
          </cell>
          <cell r="CS50">
            <v>0</v>
          </cell>
          <cell r="CV50">
            <v>0</v>
          </cell>
          <cell r="CY50">
            <v>0</v>
          </cell>
          <cell r="DN50">
            <v>0</v>
          </cell>
          <cell r="DQ50">
            <v>0</v>
          </cell>
          <cell r="DT50">
            <v>0</v>
          </cell>
          <cell r="DW50">
            <v>0</v>
          </cell>
          <cell r="EE50">
            <v>7493242154.960001</v>
          </cell>
          <cell r="EF50">
            <v>7344580363.7600002</v>
          </cell>
          <cell r="EG50">
            <v>148661791.19999999</v>
          </cell>
        </row>
        <row r="51">
          <cell r="B51">
            <v>2867095</v>
          </cell>
          <cell r="F51">
            <v>0</v>
          </cell>
          <cell r="I51">
            <v>0</v>
          </cell>
          <cell r="L51">
            <v>103414850.75999999</v>
          </cell>
          <cell r="O51">
            <v>0</v>
          </cell>
          <cell r="R51">
            <v>0</v>
          </cell>
          <cell r="X51">
            <v>0</v>
          </cell>
          <cell r="AA51">
            <v>76001776</v>
          </cell>
          <cell r="AD51">
            <v>0</v>
          </cell>
          <cell r="AJ51">
            <v>0</v>
          </cell>
          <cell r="AM51">
            <v>784518760.49000001</v>
          </cell>
          <cell r="AP51">
            <v>0</v>
          </cell>
          <cell r="BH51">
            <v>0</v>
          </cell>
          <cell r="BK51">
            <v>155476271.61000001</v>
          </cell>
          <cell r="BN51">
            <v>0</v>
          </cell>
          <cell r="BT51">
            <v>138537400</v>
          </cell>
          <cell r="BW51">
            <v>710562805.32000005</v>
          </cell>
          <cell r="CD51">
            <v>0</v>
          </cell>
          <cell r="CG51">
            <v>0</v>
          </cell>
          <cell r="CJ51">
            <v>0</v>
          </cell>
          <cell r="CM51">
            <v>0</v>
          </cell>
          <cell r="CN51">
            <v>0</v>
          </cell>
          <cell r="CP51">
            <v>0</v>
          </cell>
          <cell r="CS51">
            <v>0</v>
          </cell>
          <cell r="CV51">
            <v>0</v>
          </cell>
          <cell r="CY51">
            <v>0</v>
          </cell>
          <cell r="DN51">
            <v>0</v>
          </cell>
          <cell r="DQ51">
            <v>0</v>
          </cell>
          <cell r="DT51">
            <v>0</v>
          </cell>
          <cell r="DW51">
            <v>0</v>
          </cell>
          <cell r="EE51">
            <v>1968511864.1800003</v>
          </cell>
          <cell r="EF51">
            <v>1598496416.5700002</v>
          </cell>
          <cell r="EG51">
            <v>370015447.61000001</v>
          </cell>
        </row>
        <row r="52">
          <cell r="B52">
            <v>5076285</v>
          </cell>
          <cell r="F52">
            <v>3702009425.1799998</v>
          </cell>
          <cell r="I52">
            <v>15833722.134539001</v>
          </cell>
          <cell r="L52">
            <v>2536218865.3425326</v>
          </cell>
          <cell r="O52">
            <v>0</v>
          </cell>
          <cell r="R52">
            <v>0</v>
          </cell>
          <cell r="X52">
            <v>0</v>
          </cell>
          <cell r="AA52">
            <v>0</v>
          </cell>
          <cell r="AD52">
            <v>0</v>
          </cell>
          <cell r="AJ52">
            <v>0</v>
          </cell>
          <cell r="AM52">
            <v>4191044692.3099999</v>
          </cell>
          <cell r="AP52">
            <v>14000</v>
          </cell>
          <cell r="BH52">
            <v>0</v>
          </cell>
          <cell r="BK52">
            <v>0</v>
          </cell>
          <cell r="BN52">
            <v>0</v>
          </cell>
          <cell r="BT52">
            <v>0</v>
          </cell>
          <cell r="BW52">
            <v>2089563814.3200002</v>
          </cell>
          <cell r="CD52">
            <v>0</v>
          </cell>
          <cell r="CG52">
            <v>0</v>
          </cell>
          <cell r="CJ52">
            <v>13589.5</v>
          </cell>
          <cell r="CM52">
            <v>71135.399999999994</v>
          </cell>
          <cell r="CN52">
            <v>71135378</v>
          </cell>
          <cell r="CP52">
            <v>0</v>
          </cell>
          <cell r="CS52">
            <v>0</v>
          </cell>
          <cell r="CV52">
            <v>0</v>
          </cell>
          <cell r="CY52">
            <v>0</v>
          </cell>
          <cell r="DN52">
            <v>0</v>
          </cell>
          <cell r="DQ52">
            <v>0</v>
          </cell>
          <cell r="DT52">
            <v>0</v>
          </cell>
          <cell r="DW52">
            <v>122250</v>
          </cell>
          <cell r="EE52">
            <v>12534891494.187071</v>
          </cell>
          <cell r="EF52">
            <v>10333631264.842533</v>
          </cell>
          <cell r="EG52">
            <v>2201260229.3445392</v>
          </cell>
        </row>
        <row r="53">
          <cell r="B53">
            <v>5084555</v>
          </cell>
          <cell r="F53">
            <v>57121432497.579994</v>
          </cell>
          <cell r="I53">
            <v>1014669200.01882</v>
          </cell>
          <cell r="L53">
            <v>13420208345.422401</v>
          </cell>
          <cell r="O53">
            <v>0</v>
          </cell>
          <cell r="R53">
            <v>0</v>
          </cell>
          <cell r="X53">
            <v>168028569173.21002</v>
          </cell>
          <cell r="AA53">
            <v>0</v>
          </cell>
          <cell r="AD53">
            <v>0</v>
          </cell>
          <cell r="AJ53">
            <v>3723716460</v>
          </cell>
          <cell r="AM53">
            <v>5793621685.5600004</v>
          </cell>
          <cell r="AP53">
            <v>5323089075</v>
          </cell>
          <cell r="BH53">
            <v>0</v>
          </cell>
          <cell r="BK53">
            <v>0</v>
          </cell>
          <cell r="BN53">
            <v>0</v>
          </cell>
          <cell r="BT53">
            <v>0</v>
          </cell>
          <cell r="BW53">
            <v>2435556832.0099998</v>
          </cell>
          <cell r="CD53">
            <v>0</v>
          </cell>
          <cell r="CG53">
            <v>0</v>
          </cell>
          <cell r="CJ53">
            <v>0</v>
          </cell>
          <cell r="CM53">
            <v>0</v>
          </cell>
          <cell r="CN53">
            <v>337873287</v>
          </cell>
          <cell r="CP53">
            <v>0</v>
          </cell>
          <cell r="CS53">
            <v>0</v>
          </cell>
          <cell r="CV53">
            <v>0</v>
          </cell>
          <cell r="CY53">
            <v>0</v>
          </cell>
          <cell r="DN53">
            <v>0</v>
          </cell>
          <cell r="DQ53">
            <v>0</v>
          </cell>
          <cell r="DT53">
            <v>0</v>
          </cell>
          <cell r="DW53">
            <v>0</v>
          </cell>
          <cell r="EE53">
            <v>256860863268.80124</v>
          </cell>
          <cell r="EF53">
            <v>264701470848.81885</v>
          </cell>
          <cell r="EG53">
            <v>-7840607580.0175982</v>
          </cell>
        </row>
        <row r="54">
          <cell r="B54">
            <v>5261198</v>
          </cell>
          <cell r="F54">
            <v>53225430079.32</v>
          </cell>
          <cell r="I54">
            <v>5950914504.8678999</v>
          </cell>
          <cell r="L54">
            <v>10391729736.274599</v>
          </cell>
          <cell r="O54">
            <v>0</v>
          </cell>
          <cell r="R54">
            <v>0</v>
          </cell>
          <cell r="X54">
            <v>34315158021.399998</v>
          </cell>
          <cell r="AA54">
            <v>0</v>
          </cell>
          <cell r="AD54">
            <v>0</v>
          </cell>
          <cell r="AJ54">
            <v>808756350</v>
          </cell>
          <cell r="AM54">
            <v>5084051661.9799995</v>
          </cell>
          <cell r="AP54">
            <v>1050925300</v>
          </cell>
          <cell r="BH54">
            <v>0</v>
          </cell>
          <cell r="BK54">
            <v>0</v>
          </cell>
          <cell r="BN54">
            <v>0</v>
          </cell>
          <cell r="BT54">
            <v>0</v>
          </cell>
          <cell r="BW54">
            <v>1254610645.6600001</v>
          </cell>
          <cell r="CD54">
            <v>0</v>
          </cell>
          <cell r="CG54">
            <v>0</v>
          </cell>
          <cell r="CJ54">
            <v>0</v>
          </cell>
          <cell r="CM54">
            <v>0</v>
          </cell>
          <cell r="CN54">
            <v>199768747</v>
          </cell>
          <cell r="CP54">
            <v>0</v>
          </cell>
          <cell r="CS54">
            <v>0</v>
          </cell>
          <cell r="CV54">
            <v>0</v>
          </cell>
          <cell r="CY54">
            <v>0</v>
          </cell>
          <cell r="DN54">
            <v>0</v>
          </cell>
          <cell r="DQ54">
            <v>0</v>
          </cell>
          <cell r="DT54">
            <v>0</v>
          </cell>
          <cell r="DW54">
            <v>0</v>
          </cell>
          <cell r="EE54">
            <v>112081576299.50249</v>
          </cell>
          <cell r="EF54">
            <v>113161907497.2025</v>
          </cell>
          <cell r="EG54">
            <v>-1080331197.7000008</v>
          </cell>
        </row>
        <row r="55">
          <cell r="B55">
            <v>5288703</v>
          </cell>
          <cell r="F55">
            <v>0</v>
          </cell>
          <cell r="I55">
            <v>109471283.554307</v>
          </cell>
          <cell r="L55">
            <v>229682432.064042</v>
          </cell>
          <cell r="O55">
            <v>0</v>
          </cell>
          <cell r="R55">
            <v>0</v>
          </cell>
          <cell r="X55">
            <v>1330389715.0999999</v>
          </cell>
          <cell r="AA55">
            <v>0</v>
          </cell>
          <cell r="AD55">
            <v>0</v>
          </cell>
          <cell r="AJ55">
            <v>0</v>
          </cell>
          <cell r="AM55">
            <v>235494018.28</v>
          </cell>
          <cell r="AP55">
            <v>64621507.5</v>
          </cell>
          <cell r="BH55">
            <v>0</v>
          </cell>
          <cell r="BK55">
            <v>0</v>
          </cell>
          <cell r="BN55">
            <v>0</v>
          </cell>
          <cell r="BT55">
            <v>0</v>
          </cell>
          <cell r="BW55">
            <v>64562255.180000007</v>
          </cell>
          <cell r="CD55">
            <v>33843.1</v>
          </cell>
          <cell r="CG55">
            <v>0</v>
          </cell>
          <cell r="CJ55">
            <v>20064.3</v>
          </cell>
          <cell r="CM55">
            <v>171103.6</v>
          </cell>
          <cell r="CN55">
            <v>0</v>
          </cell>
          <cell r="CP55">
            <v>0</v>
          </cell>
          <cell r="CS55">
            <v>0</v>
          </cell>
          <cell r="CV55">
            <v>0</v>
          </cell>
          <cell r="CY55">
            <v>0</v>
          </cell>
          <cell r="DN55">
            <v>0</v>
          </cell>
          <cell r="DQ55">
            <v>0</v>
          </cell>
          <cell r="DT55">
            <v>0</v>
          </cell>
          <cell r="DW55">
            <v>15000</v>
          </cell>
          <cell r="EE55">
            <v>2034461222.678349</v>
          </cell>
          <cell r="EF55">
            <v>2132627155.898349</v>
          </cell>
          <cell r="EG55">
            <v>-98165933.219999999</v>
          </cell>
        </row>
        <row r="56">
          <cell r="B56">
            <v>6232485</v>
          </cell>
          <cell r="F56">
            <v>2172337943.6199999</v>
          </cell>
          <cell r="I56">
            <v>0</v>
          </cell>
          <cell r="L56">
            <v>0</v>
          </cell>
          <cell r="O56">
            <v>0</v>
          </cell>
          <cell r="R56">
            <v>0</v>
          </cell>
          <cell r="X56">
            <v>2389814437.2400002</v>
          </cell>
          <cell r="AA56">
            <v>0</v>
          </cell>
          <cell r="AD56">
            <v>0</v>
          </cell>
          <cell r="AJ56">
            <v>733427234.95000005</v>
          </cell>
          <cell r="AM56">
            <v>277140193</v>
          </cell>
          <cell r="AP56">
            <v>684479100</v>
          </cell>
          <cell r="BH56">
            <v>0</v>
          </cell>
          <cell r="BK56">
            <v>0</v>
          </cell>
          <cell r="BN56">
            <v>0</v>
          </cell>
          <cell r="BT56">
            <v>0</v>
          </cell>
          <cell r="BW56">
            <v>104209482.54000001</v>
          </cell>
          <cell r="CD56">
            <v>0</v>
          </cell>
          <cell r="CG56">
            <v>0</v>
          </cell>
          <cell r="CJ56">
            <v>0</v>
          </cell>
          <cell r="CM56">
            <v>0</v>
          </cell>
          <cell r="CN56">
            <v>9650439</v>
          </cell>
          <cell r="CP56">
            <v>0</v>
          </cell>
          <cell r="CS56">
            <v>0</v>
          </cell>
          <cell r="CV56">
            <v>0</v>
          </cell>
          <cell r="CY56">
            <v>0</v>
          </cell>
          <cell r="DN56">
            <v>0</v>
          </cell>
          <cell r="DQ56">
            <v>0</v>
          </cell>
          <cell r="DT56">
            <v>0</v>
          </cell>
          <cell r="DW56">
            <v>0</v>
          </cell>
          <cell r="EE56">
            <v>6361408391.3500004</v>
          </cell>
          <cell r="EF56">
            <v>6529494712.7799997</v>
          </cell>
          <cell r="EG56">
            <v>-168086321.43000007</v>
          </cell>
        </row>
        <row r="57">
          <cell r="B57">
            <v>5295858</v>
          </cell>
          <cell r="F57">
            <v>0</v>
          </cell>
          <cell r="I57">
            <v>231876568.260176</v>
          </cell>
          <cell r="L57">
            <v>486940793.346385</v>
          </cell>
          <cell r="O57">
            <v>0</v>
          </cell>
          <cell r="R57">
            <v>0</v>
          </cell>
          <cell r="X57">
            <v>5000000</v>
          </cell>
          <cell r="AA57">
            <v>0</v>
          </cell>
          <cell r="AD57">
            <v>0</v>
          </cell>
          <cell r="AJ57">
            <v>0</v>
          </cell>
          <cell r="AM57">
            <v>2044970987.3399999</v>
          </cell>
          <cell r="AP57">
            <v>800800</v>
          </cell>
          <cell r="BH57">
            <v>0</v>
          </cell>
          <cell r="BK57">
            <v>0</v>
          </cell>
          <cell r="BN57">
            <v>0</v>
          </cell>
          <cell r="BT57">
            <v>0</v>
          </cell>
          <cell r="BW57">
            <v>1238755642.73</v>
          </cell>
          <cell r="CD57">
            <v>0</v>
          </cell>
          <cell r="CG57">
            <v>0</v>
          </cell>
          <cell r="CJ57">
            <v>0</v>
          </cell>
          <cell r="CM57">
            <v>0</v>
          </cell>
          <cell r="CN57">
            <v>0</v>
          </cell>
          <cell r="CP57">
            <v>0</v>
          </cell>
          <cell r="CS57">
            <v>0</v>
          </cell>
          <cell r="CV57">
            <v>0</v>
          </cell>
          <cell r="CY57">
            <v>0</v>
          </cell>
          <cell r="DN57">
            <v>0</v>
          </cell>
          <cell r="DQ57">
            <v>0</v>
          </cell>
          <cell r="DT57">
            <v>0</v>
          </cell>
          <cell r="DW57">
            <v>0</v>
          </cell>
          <cell r="EE57">
            <v>4008344791.6765609</v>
          </cell>
          <cell r="EF57">
            <v>4007543991.6765609</v>
          </cell>
          <cell r="EG57">
            <v>800800</v>
          </cell>
        </row>
        <row r="58">
          <cell r="B58">
            <v>6101615</v>
          </cell>
          <cell r="F58">
            <v>8714364656.3899994</v>
          </cell>
          <cell r="I58">
            <v>549848547.29999995</v>
          </cell>
          <cell r="L58">
            <v>1168293415.78</v>
          </cell>
          <cell r="O58">
            <v>0</v>
          </cell>
          <cell r="R58">
            <v>0</v>
          </cell>
          <cell r="X58">
            <v>14804829.289999999</v>
          </cell>
          <cell r="AA58">
            <v>0</v>
          </cell>
          <cell r="AD58">
            <v>0</v>
          </cell>
          <cell r="AJ58">
            <v>0</v>
          </cell>
          <cell r="AM58">
            <v>2038452661.8499999</v>
          </cell>
          <cell r="AP58">
            <v>470200</v>
          </cell>
          <cell r="BH58">
            <v>0</v>
          </cell>
          <cell r="BK58">
            <v>0</v>
          </cell>
          <cell r="BN58">
            <v>0</v>
          </cell>
          <cell r="BT58">
            <v>0</v>
          </cell>
          <cell r="BW58">
            <v>655978694.71000004</v>
          </cell>
          <cell r="CD58">
            <v>0</v>
          </cell>
          <cell r="CG58">
            <v>0</v>
          </cell>
          <cell r="CJ58">
            <v>0</v>
          </cell>
          <cell r="CM58">
            <v>0</v>
          </cell>
          <cell r="CN58">
            <v>86190011</v>
          </cell>
          <cell r="CP58">
            <v>0</v>
          </cell>
          <cell r="CS58">
            <v>0</v>
          </cell>
          <cell r="CV58">
            <v>0</v>
          </cell>
          <cell r="CY58">
            <v>0</v>
          </cell>
          <cell r="DN58">
            <v>0</v>
          </cell>
          <cell r="DQ58">
            <v>0</v>
          </cell>
          <cell r="DT58">
            <v>0</v>
          </cell>
          <cell r="DW58">
            <v>0</v>
          </cell>
          <cell r="EE58">
            <v>13142213005.32</v>
          </cell>
          <cell r="EF58">
            <v>14740226155.93</v>
          </cell>
          <cell r="EG58">
            <v>-1598013150.6100006</v>
          </cell>
        </row>
        <row r="59">
          <cell r="B59">
            <v>2016656</v>
          </cell>
          <cell r="F59">
            <v>27079731184.260002</v>
          </cell>
          <cell r="I59">
            <v>1307173.3999999999</v>
          </cell>
          <cell r="L59">
            <v>2745064.14</v>
          </cell>
          <cell r="O59">
            <v>0</v>
          </cell>
          <cell r="R59">
            <v>0</v>
          </cell>
          <cell r="X59">
            <v>74473195384.240005</v>
          </cell>
          <cell r="AA59">
            <v>0</v>
          </cell>
          <cell r="AD59">
            <v>0</v>
          </cell>
          <cell r="AJ59">
            <v>3402979250</v>
          </cell>
          <cell r="AM59">
            <v>3324246097.3600001</v>
          </cell>
          <cell r="AP59">
            <v>3545927170</v>
          </cell>
          <cell r="BH59">
            <v>0</v>
          </cell>
          <cell r="BK59">
            <v>0</v>
          </cell>
          <cell r="BN59">
            <v>0</v>
          </cell>
          <cell r="BT59">
            <v>0</v>
          </cell>
          <cell r="BW59">
            <v>1770937554.3700001</v>
          </cell>
          <cell r="CD59">
            <v>0</v>
          </cell>
          <cell r="CG59">
            <v>0</v>
          </cell>
          <cell r="CJ59">
            <v>0</v>
          </cell>
          <cell r="CM59">
            <v>0</v>
          </cell>
          <cell r="CN59">
            <v>0</v>
          </cell>
          <cell r="CP59">
            <v>0</v>
          </cell>
          <cell r="CS59">
            <v>0</v>
          </cell>
          <cell r="CV59">
            <v>0</v>
          </cell>
          <cell r="CY59">
            <v>0</v>
          </cell>
          <cell r="DN59">
            <v>0</v>
          </cell>
          <cell r="DQ59">
            <v>0</v>
          </cell>
          <cell r="DT59">
            <v>0</v>
          </cell>
          <cell r="DW59">
            <v>0</v>
          </cell>
          <cell r="EE59">
            <v>113601068877.77</v>
          </cell>
          <cell r="EF59">
            <v>106652162457.77</v>
          </cell>
          <cell r="EG59">
            <v>6948906420</v>
          </cell>
        </row>
        <row r="60">
          <cell r="B60">
            <v>5872006</v>
          </cell>
          <cell r="F60">
            <v>2328440000</v>
          </cell>
          <cell r="I60">
            <v>0</v>
          </cell>
          <cell r="L60">
            <v>0</v>
          </cell>
          <cell r="O60">
            <v>0</v>
          </cell>
          <cell r="R60">
            <v>0</v>
          </cell>
          <cell r="X60">
            <v>0</v>
          </cell>
          <cell r="AA60">
            <v>0</v>
          </cell>
          <cell r="AD60">
            <v>0</v>
          </cell>
          <cell r="AJ60">
            <v>0</v>
          </cell>
          <cell r="AM60">
            <v>17683100</v>
          </cell>
          <cell r="AP60">
            <v>21000</v>
          </cell>
          <cell r="BH60">
            <v>0</v>
          </cell>
          <cell r="BK60">
            <v>0</v>
          </cell>
          <cell r="BN60">
            <v>0</v>
          </cell>
          <cell r="BT60">
            <v>0</v>
          </cell>
          <cell r="BW60">
            <v>6139005.5300000003</v>
          </cell>
          <cell r="CD60">
            <v>0</v>
          </cell>
          <cell r="CG60">
            <v>0</v>
          </cell>
          <cell r="CJ60">
            <v>0</v>
          </cell>
          <cell r="CM60">
            <v>0</v>
          </cell>
          <cell r="CN60">
            <v>666000</v>
          </cell>
          <cell r="CP60">
            <v>0</v>
          </cell>
          <cell r="CS60">
            <v>0</v>
          </cell>
          <cell r="CV60">
            <v>0</v>
          </cell>
          <cell r="CY60">
            <v>0</v>
          </cell>
          <cell r="DN60">
            <v>0</v>
          </cell>
          <cell r="DQ60">
            <v>0</v>
          </cell>
          <cell r="DT60">
            <v>0</v>
          </cell>
          <cell r="DW60">
            <v>0</v>
          </cell>
          <cell r="EE60">
            <v>2352283105.5300002</v>
          </cell>
          <cell r="EF60">
            <v>2371281930.5300002</v>
          </cell>
          <cell r="EG60">
            <v>-18998825</v>
          </cell>
        </row>
        <row r="61">
          <cell r="B61">
            <v>5105439</v>
          </cell>
          <cell r="F61">
            <v>86545590.760000005</v>
          </cell>
          <cell r="I61">
            <v>22218998.448091</v>
          </cell>
          <cell r="L61">
            <v>45753511.600992002</v>
          </cell>
          <cell r="O61">
            <v>0</v>
          </cell>
          <cell r="R61">
            <v>0</v>
          </cell>
          <cell r="X61">
            <v>250000000</v>
          </cell>
          <cell r="AA61">
            <v>0</v>
          </cell>
          <cell r="AD61">
            <v>0</v>
          </cell>
          <cell r="AJ61">
            <v>0</v>
          </cell>
          <cell r="AM61">
            <v>513258997.31</v>
          </cell>
          <cell r="AP61">
            <v>54010658</v>
          </cell>
          <cell r="BH61">
            <v>0</v>
          </cell>
          <cell r="BK61">
            <v>0</v>
          </cell>
          <cell r="BN61">
            <v>0</v>
          </cell>
          <cell r="BT61">
            <v>0</v>
          </cell>
          <cell r="BW61">
            <v>92089912.340000004</v>
          </cell>
          <cell r="CD61">
            <v>0</v>
          </cell>
          <cell r="CG61">
            <v>0</v>
          </cell>
          <cell r="CJ61">
            <v>0</v>
          </cell>
          <cell r="CM61">
            <v>0</v>
          </cell>
          <cell r="CN61">
            <v>0</v>
          </cell>
          <cell r="CP61">
            <v>0</v>
          </cell>
          <cell r="CS61">
            <v>0</v>
          </cell>
          <cell r="CV61">
            <v>0</v>
          </cell>
          <cell r="CY61">
            <v>0</v>
          </cell>
          <cell r="DN61">
            <v>0</v>
          </cell>
          <cell r="DQ61">
            <v>0</v>
          </cell>
          <cell r="DT61">
            <v>0</v>
          </cell>
          <cell r="DW61">
            <v>0</v>
          </cell>
          <cell r="EE61">
            <v>1063877668.459083</v>
          </cell>
          <cell r="EF61">
            <v>496608013.14908302</v>
          </cell>
          <cell r="EG61">
            <v>567269655.30999994</v>
          </cell>
        </row>
        <row r="62">
          <cell r="B62">
            <v>2016931</v>
          </cell>
          <cell r="F62">
            <v>2729453.61</v>
          </cell>
          <cell r="I62">
            <v>123294676.345551</v>
          </cell>
          <cell r="L62">
            <v>218491949.19563001</v>
          </cell>
          <cell r="O62">
            <v>0</v>
          </cell>
          <cell r="R62">
            <v>0</v>
          </cell>
          <cell r="X62">
            <v>56264368.519999996</v>
          </cell>
          <cell r="AA62">
            <v>0</v>
          </cell>
          <cell r="AD62">
            <v>0</v>
          </cell>
          <cell r="AJ62">
            <v>0</v>
          </cell>
          <cell r="AM62">
            <v>290632666.31</v>
          </cell>
          <cell r="AP62">
            <v>90549910</v>
          </cell>
          <cell r="BH62">
            <v>0</v>
          </cell>
          <cell r="BK62">
            <v>0</v>
          </cell>
          <cell r="BN62">
            <v>0</v>
          </cell>
          <cell r="BT62">
            <v>0</v>
          </cell>
          <cell r="BW62">
            <v>37492897.219999999</v>
          </cell>
          <cell r="CD62">
            <v>1089.7</v>
          </cell>
          <cell r="CG62">
            <v>0</v>
          </cell>
          <cell r="CJ62">
            <v>1588.1</v>
          </cell>
          <cell r="CM62">
            <v>0</v>
          </cell>
          <cell r="CN62">
            <v>0</v>
          </cell>
          <cell r="CP62">
            <v>0</v>
          </cell>
          <cell r="CS62">
            <v>0</v>
          </cell>
          <cell r="CV62">
            <v>0</v>
          </cell>
          <cell r="CY62">
            <v>0</v>
          </cell>
          <cell r="DN62">
            <v>0</v>
          </cell>
          <cell r="DQ62">
            <v>0</v>
          </cell>
          <cell r="DT62">
            <v>0</v>
          </cell>
          <cell r="DW62">
            <v>0</v>
          </cell>
          <cell r="EE62">
            <v>819498219.90118098</v>
          </cell>
          <cell r="EF62">
            <v>438273344.89118099</v>
          </cell>
          <cell r="EG62">
            <v>381224875.00999999</v>
          </cell>
        </row>
        <row r="63">
          <cell r="B63">
            <v>5513618</v>
          </cell>
          <cell r="F63">
            <v>0</v>
          </cell>
          <cell r="I63">
            <v>0</v>
          </cell>
          <cell r="L63">
            <v>0</v>
          </cell>
          <cell r="O63">
            <v>0</v>
          </cell>
          <cell r="R63">
            <v>0</v>
          </cell>
          <cell r="X63">
            <v>0</v>
          </cell>
          <cell r="AA63">
            <v>663840397.57000005</v>
          </cell>
          <cell r="AD63">
            <v>0</v>
          </cell>
          <cell r="AJ63">
            <v>0</v>
          </cell>
          <cell r="AM63">
            <v>178982934.28999999</v>
          </cell>
          <cell r="AP63">
            <v>0</v>
          </cell>
          <cell r="BH63">
            <v>0</v>
          </cell>
          <cell r="BK63">
            <v>102457200</v>
          </cell>
          <cell r="BN63">
            <v>0</v>
          </cell>
          <cell r="BT63">
            <v>0</v>
          </cell>
          <cell r="BW63">
            <v>61514819.460000001</v>
          </cell>
          <cell r="CD63">
            <v>0</v>
          </cell>
          <cell r="CG63">
            <v>0</v>
          </cell>
          <cell r="CJ63">
            <v>0</v>
          </cell>
          <cell r="CM63">
            <v>0</v>
          </cell>
          <cell r="CN63">
            <v>2415273</v>
          </cell>
          <cell r="CP63">
            <v>0</v>
          </cell>
          <cell r="CS63">
            <v>0</v>
          </cell>
          <cell r="CV63">
            <v>0</v>
          </cell>
          <cell r="CY63">
            <v>0</v>
          </cell>
          <cell r="DN63">
            <v>0</v>
          </cell>
          <cell r="DQ63">
            <v>0</v>
          </cell>
          <cell r="DT63">
            <v>0</v>
          </cell>
          <cell r="DW63">
            <v>0</v>
          </cell>
          <cell r="EE63">
            <v>1006795351.3200001</v>
          </cell>
          <cell r="EF63">
            <v>64674352.460000001</v>
          </cell>
          <cell r="EG63">
            <v>942120998.86000001</v>
          </cell>
        </row>
        <row r="64">
          <cell r="B64">
            <v>2807459</v>
          </cell>
          <cell r="F64">
            <v>0</v>
          </cell>
          <cell r="I64">
            <v>4380156.0470599998</v>
          </cell>
          <cell r="L64">
            <v>9198327.6988260001</v>
          </cell>
          <cell r="O64">
            <v>0</v>
          </cell>
          <cell r="R64">
            <v>0</v>
          </cell>
          <cell r="X64">
            <v>6050362103.8000002</v>
          </cell>
          <cell r="AA64">
            <v>0</v>
          </cell>
          <cell r="AD64">
            <v>0</v>
          </cell>
          <cell r="AJ64">
            <v>193973550</v>
          </cell>
          <cell r="AM64">
            <v>195303245.96000001</v>
          </cell>
          <cell r="AP64">
            <v>222750025</v>
          </cell>
          <cell r="BH64">
            <v>0</v>
          </cell>
          <cell r="BK64">
            <v>0</v>
          </cell>
          <cell r="BN64">
            <v>0</v>
          </cell>
          <cell r="BT64">
            <v>0</v>
          </cell>
          <cell r="BW64">
            <v>18648684.280000001</v>
          </cell>
          <cell r="CD64">
            <v>0</v>
          </cell>
          <cell r="CG64">
            <v>0</v>
          </cell>
          <cell r="CJ64">
            <v>0</v>
          </cell>
          <cell r="CM64">
            <v>0</v>
          </cell>
          <cell r="CN64">
            <v>0</v>
          </cell>
          <cell r="CP64">
            <v>0</v>
          </cell>
          <cell r="CS64">
            <v>0</v>
          </cell>
          <cell r="CV64">
            <v>0</v>
          </cell>
          <cell r="CY64">
            <v>0</v>
          </cell>
          <cell r="DN64">
            <v>0</v>
          </cell>
          <cell r="DQ64">
            <v>0</v>
          </cell>
          <cell r="DT64">
            <v>0</v>
          </cell>
          <cell r="DW64">
            <v>0</v>
          </cell>
          <cell r="EE64">
            <v>6694616092.7858858</v>
          </cell>
          <cell r="EF64">
            <v>6588112389.1270599</v>
          </cell>
          <cell r="EG64">
            <v>106503703.65882602</v>
          </cell>
        </row>
        <row r="65">
          <cell r="B65">
            <v>2872943</v>
          </cell>
          <cell r="F65">
            <v>66522364.840000004</v>
          </cell>
          <cell r="I65">
            <v>29541898.66375</v>
          </cell>
          <cell r="L65">
            <v>62037987.193875</v>
          </cell>
          <cell r="O65">
            <v>0</v>
          </cell>
          <cell r="R65">
            <v>0</v>
          </cell>
          <cell r="X65">
            <v>0</v>
          </cell>
          <cell r="AA65">
            <v>0</v>
          </cell>
          <cell r="AD65">
            <v>0</v>
          </cell>
          <cell r="AJ65">
            <v>0</v>
          </cell>
          <cell r="AM65">
            <v>1869941462.3699999</v>
          </cell>
          <cell r="AP65">
            <v>43200</v>
          </cell>
          <cell r="BH65">
            <v>0</v>
          </cell>
          <cell r="BK65">
            <v>0</v>
          </cell>
          <cell r="BN65">
            <v>0</v>
          </cell>
          <cell r="BT65">
            <v>0</v>
          </cell>
          <cell r="BW65">
            <v>658988784.99000001</v>
          </cell>
          <cell r="CD65">
            <v>0</v>
          </cell>
          <cell r="CG65">
            <v>0</v>
          </cell>
          <cell r="CJ65">
            <v>0</v>
          </cell>
          <cell r="CM65">
            <v>0</v>
          </cell>
          <cell r="CN65">
            <v>136305973</v>
          </cell>
          <cell r="CP65">
            <v>0</v>
          </cell>
          <cell r="CS65">
            <v>0</v>
          </cell>
          <cell r="CV65">
            <v>0</v>
          </cell>
          <cell r="CY65">
            <v>0</v>
          </cell>
          <cell r="DN65">
            <v>0</v>
          </cell>
          <cell r="DQ65">
            <v>0</v>
          </cell>
          <cell r="DT65">
            <v>0</v>
          </cell>
          <cell r="DW65">
            <v>0</v>
          </cell>
          <cell r="EE65">
            <v>2687075698.0576248</v>
          </cell>
          <cell r="EF65">
            <v>3072473378.6537504</v>
          </cell>
          <cell r="EG65">
            <v>-385397680.59612513</v>
          </cell>
        </row>
        <row r="66">
          <cell r="B66">
            <v>6268048</v>
          </cell>
          <cell r="F66">
            <v>52756599.620000005</v>
          </cell>
          <cell r="I66">
            <v>5159490.7204750003</v>
          </cell>
          <cell r="L66">
            <v>25834930.512995001</v>
          </cell>
          <cell r="O66">
            <v>0</v>
          </cell>
          <cell r="R66">
            <v>0</v>
          </cell>
          <cell r="X66">
            <v>0</v>
          </cell>
          <cell r="AA66">
            <v>0</v>
          </cell>
          <cell r="AD66">
            <v>0</v>
          </cell>
          <cell r="AJ66">
            <v>0</v>
          </cell>
          <cell r="AM66">
            <v>1009000000</v>
          </cell>
          <cell r="AP66">
            <v>9400</v>
          </cell>
          <cell r="BH66">
            <v>0</v>
          </cell>
          <cell r="BK66">
            <v>0</v>
          </cell>
          <cell r="BN66">
            <v>0</v>
          </cell>
          <cell r="BT66">
            <v>0</v>
          </cell>
          <cell r="BW66">
            <v>315608497.64999998</v>
          </cell>
          <cell r="CD66">
            <v>0</v>
          </cell>
          <cell r="CG66">
            <v>0</v>
          </cell>
          <cell r="CJ66">
            <v>0</v>
          </cell>
          <cell r="CM66">
            <v>0</v>
          </cell>
          <cell r="CN66">
            <v>116127516</v>
          </cell>
          <cell r="CP66">
            <v>0</v>
          </cell>
          <cell r="CS66">
            <v>0</v>
          </cell>
          <cell r="CV66">
            <v>0</v>
          </cell>
          <cell r="CY66">
            <v>0</v>
          </cell>
          <cell r="DN66">
            <v>0</v>
          </cell>
          <cell r="DQ66">
            <v>0</v>
          </cell>
          <cell r="DT66">
            <v>0</v>
          </cell>
          <cell r="DW66">
            <v>0</v>
          </cell>
          <cell r="EE66">
            <v>1408368918.5034699</v>
          </cell>
          <cell r="EF66">
            <v>2715594906.3704748</v>
          </cell>
          <cell r="EG66">
            <v>-1307225987.8670049</v>
          </cell>
        </row>
        <row r="67">
          <cell r="B67">
            <v>5874963</v>
          </cell>
          <cell r="F67">
            <v>0</v>
          </cell>
          <cell r="I67">
            <v>144369.54</v>
          </cell>
          <cell r="L67">
            <v>303176.03399999999</v>
          </cell>
          <cell r="O67">
            <v>0</v>
          </cell>
          <cell r="R67">
            <v>0</v>
          </cell>
          <cell r="X67">
            <v>400000000</v>
          </cell>
          <cell r="AA67">
            <v>0</v>
          </cell>
          <cell r="AD67">
            <v>0</v>
          </cell>
          <cell r="AJ67">
            <v>263266630</v>
          </cell>
          <cell r="AM67">
            <v>352353880.08999997</v>
          </cell>
          <cell r="AP67">
            <v>675918225</v>
          </cell>
          <cell r="BH67">
            <v>0</v>
          </cell>
          <cell r="BK67">
            <v>0</v>
          </cell>
          <cell r="BN67">
            <v>0</v>
          </cell>
          <cell r="BT67">
            <v>0</v>
          </cell>
          <cell r="BW67">
            <v>390213527.82999992</v>
          </cell>
          <cell r="CD67">
            <v>0</v>
          </cell>
          <cell r="CG67">
            <v>0</v>
          </cell>
          <cell r="CJ67">
            <v>0</v>
          </cell>
          <cell r="CM67">
            <v>0</v>
          </cell>
          <cell r="CN67">
            <v>98310205</v>
          </cell>
          <cell r="CP67">
            <v>0</v>
          </cell>
          <cell r="CS67">
            <v>0</v>
          </cell>
          <cell r="CV67">
            <v>0</v>
          </cell>
          <cell r="CY67">
            <v>0</v>
          </cell>
          <cell r="DN67">
            <v>0</v>
          </cell>
          <cell r="DQ67">
            <v>0</v>
          </cell>
          <cell r="DT67">
            <v>0</v>
          </cell>
          <cell r="DW67">
            <v>0</v>
          </cell>
          <cell r="EE67">
            <v>2082199808.494</v>
          </cell>
          <cell r="EF67">
            <v>2041392555.3699999</v>
          </cell>
          <cell r="EG67">
            <v>40807253.123999983</v>
          </cell>
        </row>
        <row r="68">
          <cell r="B68">
            <v>6636624</v>
          </cell>
          <cell r="F68">
            <v>0</v>
          </cell>
          <cell r="I68">
            <v>0</v>
          </cell>
          <cell r="L68">
            <v>0</v>
          </cell>
          <cell r="O68">
            <v>0</v>
          </cell>
          <cell r="R68">
            <v>0</v>
          </cell>
          <cell r="X68">
            <v>0</v>
          </cell>
          <cell r="AA68">
            <v>0</v>
          </cell>
          <cell r="AD68">
            <v>0</v>
          </cell>
          <cell r="AJ68">
            <v>0</v>
          </cell>
          <cell r="AM68">
            <v>0</v>
          </cell>
          <cell r="AP68">
            <v>0</v>
          </cell>
          <cell r="BH68">
            <v>26113050</v>
          </cell>
          <cell r="BK68">
            <v>0</v>
          </cell>
          <cell r="BN68">
            <v>0</v>
          </cell>
          <cell r="BT68">
            <v>0</v>
          </cell>
          <cell r="BW68">
            <v>0</v>
          </cell>
          <cell r="CD68">
            <v>0</v>
          </cell>
          <cell r="CG68">
            <v>0</v>
          </cell>
          <cell r="CJ68">
            <v>0</v>
          </cell>
          <cell r="CM68">
            <v>0</v>
          </cell>
          <cell r="CN68">
            <v>0</v>
          </cell>
          <cell r="CP68">
            <v>0</v>
          </cell>
          <cell r="CS68">
            <v>0</v>
          </cell>
          <cell r="CV68">
            <v>0</v>
          </cell>
          <cell r="CY68">
            <v>0</v>
          </cell>
          <cell r="DN68">
            <v>0</v>
          </cell>
          <cell r="DQ68">
            <v>0</v>
          </cell>
          <cell r="DT68">
            <v>0</v>
          </cell>
          <cell r="DW68">
            <v>0</v>
          </cell>
          <cell r="EE68">
            <v>26113050</v>
          </cell>
          <cell r="EF68">
            <v>0</v>
          </cell>
          <cell r="EG68">
            <v>26113050</v>
          </cell>
        </row>
        <row r="69">
          <cell r="B69">
            <v>2839717</v>
          </cell>
          <cell r="F69">
            <v>2757895258.0999999</v>
          </cell>
          <cell r="I69">
            <v>128901934.29866301</v>
          </cell>
          <cell r="L69">
            <v>269088439.82720798</v>
          </cell>
          <cell r="O69">
            <v>0</v>
          </cell>
          <cell r="R69">
            <v>0</v>
          </cell>
          <cell r="X69">
            <v>9820912.75</v>
          </cell>
          <cell r="AA69">
            <v>0</v>
          </cell>
          <cell r="AD69">
            <v>0</v>
          </cell>
          <cell r="AJ69">
            <v>0</v>
          </cell>
          <cell r="AM69">
            <v>931142979.63</v>
          </cell>
          <cell r="AP69">
            <v>183200</v>
          </cell>
          <cell r="BH69">
            <v>0</v>
          </cell>
          <cell r="BK69">
            <v>0</v>
          </cell>
          <cell r="BN69">
            <v>0</v>
          </cell>
          <cell r="BT69">
            <v>0</v>
          </cell>
          <cell r="BW69">
            <v>295821471.88</v>
          </cell>
          <cell r="CD69">
            <v>0</v>
          </cell>
          <cell r="CG69">
            <v>0</v>
          </cell>
          <cell r="CJ69">
            <v>0</v>
          </cell>
          <cell r="CM69">
            <v>0</v>
          </cell>
          <cell r="CN69">
            <v>48434816</v>
          </cell>
          <cell r="CP69">
            <v>0</v>
          </cell>
          <cell r="CS69">
            <v>0</v>
          </cell>
          <cell r="CV69">
            <v>0</v>
          </cell>
          <cell r="CY69">
            <v>0</v>
          </cell>
          <cell r="DN69">
            <v>0</v>
          </cell>
          <cell r="DQ69">
            <v>0</v>
          </cell>
          <cell r="DT69">
            <v>0</v>
          </cell>
          <cell r="DW69">
            <v>0</v>
          </cell>
          <cell r="EE69">
            <v>4392854196.4858713</v>
          </cell>
          <cell r="EF69">
            <v>4814764325.4572077</v>
          </cell>
          <cell r="EG69">
            <v>-421910128.97133708</v>
          </cell>
        </row>
        <row r="70">
          <cell r="B70">
            <v>2344343</v>
          </cell>
          <cell r="F70">
            <v>10999291.41</v>
          </cell>
          <cell r="I70">
            <v>0</v>
          </cell>
          <cell r="L70">
            <v>700343979.25999999</v>
          </cell>
          <cell r="O70">
            <v>0</v>
          </cell>
          <cell r="R70">
            <v>0</v>
          </cell>
          <cell r="X70">
            <v>0</v>
          </cell>
          <cell r="AA70">
            <v>0</v>
          </cell>
          <cell r="AD70">
            <v>0</v>
          </cell>
          <cell r="AJ70">
            <v>0</v>
          </cell>
          <cell r="AM70">
            <v>509969314.87</v>
          </cell>
          <cell r="AP70">
            <v>0</v>
          </cell>
          <cell r="BH70">
            <v>0</v>
          </cell>
          <cell r="BK70">
            <v>0</v>
          </cell>
          <cell r="BN70">
            <v>0</v>
          </cell>
          <cell r="BT70">
            <v>0</v>
          </cell>
          <cell r="BW70">
            <v>103406531.25999999</v>
          </cell>
          <cell r="CD70">
            <v>0</v>
          </cell>
          <cell r="CG70">
            <v>0</v>
          </cell>
          <cell r="CJ70">
            <v>0</v>
          </cell>
          <cell r="CM70">
            <v>0</v>
          </cell>
          <cell r="CN70">
            <v>3341331</v>
          </cell>
          <cell r="CP70">
            <v>0</v>
          </cell>
          <cell r="CS70">
            <v>0</v>
          </cell>
          <cell r="CV70">
            <v>0</v>
          </cell>
          <cell r="CY70">
            <v>0</v>
          </cell>
          <cell r="DN70">
            <v>0</v>
          </cell>
          <cell r="DQ70">
            <v>0</v>
          </cell>
          <cell r="DT70">
            <v>0</v>
          </cell>
          <cell r="DW70">
            <v>0</v>
          </cell>
          <cell r="EE70">
            <v>1324719116.8</v>
          </cell>
          <cell r="EF70">
            <v>1422005250.52</v>
          </cell>
          <cell r="EG70">
            <v>-97286133.719999999</v>
          </cell>
        </row>
        <row r="71">
          <cell r="B71">
            <v>2819996</v>
          </cell>
          <cell r="F71">
            <v>492448414.80000001</v>
          </cell>
          <cell r="I71">
            <v>144649169.20692801</v>
          </cell>
          <cell r="L71">
            <v>823960158.15046799</v>
          </cell>
          <cell r="O71">
            <v>0</v>
          </cell>
          <cell r="R71">
            <v>0</v>
          </cell>
          <cell r="X71">
            <v>0</v>
          </cell>
          <cell r="AA71">
            <v>0</v>
          </cell>
          <cell r="AD71">
            <v>0</v>
          </cell>
          <cell r="AJ71">
            <v>0</v>
          </cell>
          <cell r="AM71">
            <v>1826500000</v>
          </cell>
          <cell r="AP71">
            <v>764000</v>
          </cell>
          <cell r="BH71">
            <v>0</v>
          </cell>
          <cell r="BK71">
            <v>0</v>
          </cell>
          <cell r="BN71">
            <v>0</v>
          </cell>
          <cell r="BT71">
            <v>0</v>
          </cell>
          <cell r="BW71">
            <v>582962539.19000006</v>
          </cell>
          <cell r="CD71">
            <v>0</v>
          </cell>
          <cell r="CG71">
            <v>0</v>
          </cell>
          <cell r="CJ71">
            <v>0</v>
          </cell>
          <cell r="CM71">
            <v>0</v>
          </cell>
          <cell r="CN71">
            <v>0</v>
          </cell>
          <cell r="CP71">
            <v>0</v>
          </cell>
          <cell r="CS71">
            <v>0</v>
          </cell>
          <cell r="CV71">
            <v>0</v>
          </cell>
          <cell r="CY71">
            <v>0</v>
          </cell>
          <cell r="DN71">
            <v>0</v>
          </cell>
          <cell r="DQ71">
            <v>0</v>
          </cell>
          <cell r="DT71">
            <v>0</v>
          </cell>
          <cell r="DW71">
            <v>0</v>
          </cell>
          <cell r="EE71">
            <v>3871284281.3473959</v>
          </cell>
          <cell r="EF71">
            <v>4041544033.5473962</v>
          </cell>
          <cell r="EG71">
            <v>-170259752.19999999</v>
          </cell>
        </row>
        <row r="72">
          <cell r="B72">
            <v>2868687</v>
          </cell>
          <cell r="F72">
            <v>193601090.87</v>
          </cell>
          <cell r="I72">
            <v>16006602.275032001</v>
          </cell>
          <cell r="L72">
            <v>35392435.567561001</v>
          </cell>
          <cell r="O72">
            <v>0</v>
          </cell>
          <cell r="R72">
            <v>0</v>
          </cell>
          <cell r="X72">
            <v>0</v>
          </cell>
          <cell r="AA72">
            <v>0</v>
          </cell>
          <cell r="AD72">
            <v>0</v>
          </cell>
          <cell r="AJ72">
            <v>0</v>
          </cell>
          <cell r="AM72">
            <v>592491981.22000003</v>
          </cell>
          <cell r="AP72">
            <v>59600</v>
          </cell>
          <cell r="BH72">
            <v>0</v>
          </cell>
          <cell r="BK72">
            <v>0</v>
          </cell>
          <cell r="BN72">
            <v>0</v>
          </cell>
          <cell r="BT72">
            <v>0</v>
          </cell>
          <cell r="BW72">
            <v>182353255.13</v>
          </cell>
          <cell r="CD72">
            <v>8273135.5</v>
          </cell>
          <cell r="CG72">
            <v>0</v>
          </cell>
          <cell r="CJ72">
            <v>10650431</v>
          </cell>
          <cell r="CM72">
            <v>0</v>
          </cell>
          <cell r="CN72">
            <v>273968</v>
          </cell>
          <cell r="CP72">
            <v>0</v>
          </cell>
          <cell r="CS72">
            <v>2519666.23</v>
          </cell>
          <cell r="CV72">
            <v>0</v>
          </cell>
          <cell r="CY72">
            <v>0</v>
          </cell>
          <cell r="DN72">
            <v>0</v>
          </cell>
          <cell r="DQ72">
            <v>0</v>
          </cell>
          <cell r="DT72">
            <v>0</v>
          </cell>
          <cell r="DW72">
            <v>0</v>
          </cell>
          <cell r="EE72">
            <v>1041348197.7925931</v>
          </cell>
          <cell r="EF72">
            <v>451490584.84259301</v>
          </cell>
          <cell r="EG72">
            <v>589857612.95000005</v>
          </cell>
        </row>
        <row r="73">
          <cell r="B73">
            <v>5877288</v>
          </cell>
          <cell r="F73">
            <v>171237295.75</v>
          </cell>
          <cell r="I73">
            <v>0</v>
          </cell>
          <cell r="L73">
            <v>0</v>
          </cell>
          <cell r="O73">
            <v>0</v>
          </cell>
          <cell r="R73">
            <v>0</v>
          </cell>
          <cell r="X73">
            <v>5097026196.4099998</v>
          </cell>
          <cell r="AA73">
            <v>0</v>
          </cell>
          <cell r="AD73">
            <v>0</v>
          </cell>
          <cell r="AJ73">
            <v>497922270</v>
          </cell>
          <cell r="AM73">
            <v>228683061.31</v>
          </cell>
          <cell r="AP73">
            <v>483426990</v>
          </cell>
          <cell r="BH73">
            <v>0</v>
          </cell>
          <cell r="BK73">
            <v>0</v>
          </cell>
          <cell r="BN73">
            <v>0</v>
          </cell>
          <cell r="BT73">
            <v>0</v>
          </cell>
          <cell r="BW73">
            <v>63289922.650000006</v>
          </cell>
          <cell r="CD73">
            <v>0</v>
          </cell>
          <cell r="CG73">
            <v>0</v>
          </cell>
          <cell r="CJ73">
            <v>0</v>
          </cell>
          <cell r="CM73">
            <v>0</v>
          </cell>
          <cell r="CN73">
            <v>10357632</v>
          </cell>
          <cell r="CP73">
            <v>0</v>
          </cell>
          <cell r="CS73">
            <v>0</v>
          </cell>
          <cell r="CV73">
            <v>0</v>
          </cell>
          <cell r="CY73">
            <v>0</v>
          </cell>
          <cell r="DN73">
            <v>0</v>
          </cell>
          <cell r="DQ73">
            <v>0</v>
          </cell>
          <cell r="DT73">
            <v>0</v>
          </cell>
          <cell r="DW73">
            <v>0</v>
          </cell>
          <cell r="EE73">
            <v>6541585736.1199999</v>
          </cell>
          <cell r="EF73">
            <v>7035940111.6499996</v>
          </cell>
          <cell r="EG73">
            <v>-494354375.53000015</v>
          </cell>
        </row>
        <row r="74">
          <cell r="B74">
            <v>6195598</v>
          </cell>
          <cell r="F74">
            <v>20000000</v>
          </cell>
          <cell r="I74">
            <v>541265.35</v>
          </cell>
          <cell r="L74">
            <v>1386657.2350000001</v>
          </cell>
          <cell r="O74">
            <v>2500000</v>
          </cell>
          <cell r="R74">
            <v>0</v>
          </cell>
          <cell r="X74">
            <v>0</v>
          </cell>
          <cell r="AA74">
            <v>0</v>
          </cell>
          <cell r="AD74">
            <v>0</v>
          </cell>
          <cell r="AJ74">
            <v>0</v>
          </cell>
          <cell r="AM74">
            <v>1799741504.0999999</v>
          </cell>
          <cell r="AP74">
            <v>7000</v>
          </cell>
          <cell r="BH74">
            <v>11548780</v>
          </cell>
          <cell r="BK74">
            <v>0</v>
          </cell>
          <cell r="BN74">
            <v>0</v>
          </cell>
          <cell r="BT74">
            <v>0</v>
          </cell>
          <cell r="BW74">
            <v>183155971.93000001</v>
          </cell>
          <cell r="CD74">
            <v>0</v>
          </cell>
          <cell r="CG74">
            <v>0</v>
          </cell>
          <cell r="CJ74">
            <v>0</v>
          </cell>
          <cell r="CM74">
            <v>0</v>
          </cell>
          <cell r="CN74">
            <v>0</v>
          </cell>
          <cell r="CP74">
            <v>0</v>
          </cell>
          <cell r="CS74">
            <v>0</v>
          </cell>
          <cell r="CV74">
            <v>0</v>
          </cell>
          <cell r="CY74">
            <v>0</v>
          </cell>
          <cell r="DN74">
            <v>0</v>
          </cell>
          <cell r="DQ74">
            <v>0</v>
          </cell>
          <cell r="DT74">
            <v>0</v>
          </cell>
          <cell r="DW74">
            <v>0</v>
          </cell>
          <cell r="EE74">
            <v>2018881178.615</v>
          </cell>
          <cell r="EF74">
            <v>1983438761.3799999</v>
          </cell>
          <cell r="EG74">
            <v>35442417.234999999</v>
          </cell>
        </row>
        <row r="75">
          <cell r="B75">
            <v>6413811</v>
          </cell>
          <cell r="F75">
            <v>356004744.88</v>
          </cell>
          <cell r="I75">
            <v>815892316.63881695</v>
          </cell>
          <cell r="L75">
            <v>1764433647.5682499</v>
          </cell>
          <cell r="O75">
            <v>0</v>
          </cell>
          <cell r="R75">
            <v>0</v>
          </cell>
          <cell r="X75">
            <v>0</v>
          </cell>
          <cell r="AA75">
            <v>0</v>
          </cell>
          <cell r="AD75">
            <v>0</v>
          </cell>
          <cell r="AJ75">
            <v>0</v>
          </cell>
          <cell r="AM75">
            <v>5929721420.7799997</v>
          </cell>
          <cell r="AP75">
            <v>1090715.28</v>
          </cell>
          <cell r="BH75">
            <v>2774285</v>
          </cell>
          <cell r="BK75">
            <v>0</v>
          </cell>
          <cell r="BN75">
            <v>0</v>
          </cell>
          <cell r="BT75">
            <v>0</v>
          </cell>
          <cell r="BW75">
            <v>1991190883.6900001</v>
          </cell>
          <cell r="CD75">
            <v>6597900</v>
          </cell>
          <cell r="CG75">
            <v>0</v>
          </cell>
          <cell r="CJ75">
            <v>55219552</v>
          </cell>
          <cell r="CM75">
            <v>330803883</v>
          </cell>
          <cell r="CN75">
            <v>366164537</v>
          </cell>
          <cell r="CP75">
            <v>330728</v>
          </cell>
          <cell r="CS75">
            <v>64718300</v>
          </cell>
          <cell r="CV75">
            <v>0</v>
          </cell>
          <cell r="CY75">
            <v>0</v>
          </cell>
          <cell r="DN75">
            <v>0</v>
          </cell>
          <cell r="DQ75">
            <v>0</v>
          </cell>
          <cell r="DT75">
            <v>0</v>
          </cell>
          <cell r="DW75">
            <v>0</v>
          </cell>
          <cell r="EE75">
            <v>11318778376.837067</v>
          </cell>
          <cell r="EF75">
            <v>11572460392.777067</v>
          </cell>
          <cell r="EG75">
            <v>-253682015.94000027</v>
          </cell>
        </row>
        <row r="76">
          <cell r="B76">
            <v>2887134</v>
          </cell>
          <cell r="F76">
            <v>5001000000</v>
          </cell>
          <cell r="I76">
            <v>0</v>
          </cell>
          <cell r="L76">
            <v>439561488.63</v>
          </cell>
          <cell r="O76">
            <v>0</v>
          </cell>
          <cell r="R76">
            <v>0</v>
          </cell>
          <cell r="X76">
            <v>49922618545.370003</v>
          </cell>
          <cell r="AA76">
            <v>0</v>
          </cell>
          <cell r="AD76">
            <v>0</v>
          </cell>
          <cell r="AJ76">
            <v>2223020000</v>
          </cell>
          <cell r="AM76">
            <v>12771551.880000001</v>
          </cell>
          <cell r="AP76">
            <v>1694571705</v>
          </cell>
          <cell r="BH76">
            <v>0</v>
          </cell>
          <cell r="BK76">
            <v>0</v>
          </cell>
          <cell r="BN76">
            <v>0</v>
          </cell>
          <cell r="BT76">
            <v>0</v>
          </cell>
          <cell r="BW76">
            <v>0</v>
          </cell>
          <cell r="CD76">
            <v>0</v>
          </cell>
          <cell r="CG76">
            <v>0</v>
          </cell>
          <cell r="CJ76">
            <v>0</v>
          </cell>
          <cell r="CM76">
            <v>0</v>
          </cell>
          <cell r="CN76">
            <v>64727441</v>
          </cell>
          <cell r="CP76">
            <v>0</v>
          </cell>
          <cell r="CS76">
            <v>0</v>
          </cell>
          <cell r="CV76">
            <v>0</v>
          </cell>
          <cell r="CY76">
            <v>0</v>
          </cell>
          <cell r="DN76">
            <v>0</v>
          </cell>
          <cell r="DQ76">
            <v>0</v>
          </cell>
          <cell r="DT76">
            <v>0</v>
          </cell>
          <cell r="DW76">
            <v>0</v>
          </cell>
          <cell r="EE76">
            <v>59293543290.879997</v>
          </cell>
          <cell r="EF76">
            <v>60618009254.370003</v>
          </cell>
          <cell r="EG76">
            <v>-1324465963.49</v>
          </cell>
        </row>
        <row r="77">
          <cell r="B77">
            <v>2618176</v>
          </cell>
          <cell r="F77">
            <v>0</v>
          </cell>
          <cell r="I77">
            <v>85353514.394021004</v>
          </cell>
          <cell r="L77">
            <v>142350305.627444</v>
          </cell>
          <cell r="O77">
            <v>0</v>
          </cell>
          <cell r="R77">
            <v>0</v>
          </cell>
          <cell r="X77">
            <v>1251742706.6700001</v>
          </cell>
          <cell r="AA77">
            <v>0</v>
          </cell>
          <cell r="AD77">
            <v>388100334.44</v>
          </cell>
          <cell r="AJ77">
            <v>0</v>
          </cell>
          <cell r="AM77">
            <v>357195121.43000001</v>
          </cell>
          <cell r="AP77">
            <v>24179260</v>
          </cell>
          <cell r="BH77">
            <v>0</v>
          </cell>
          <cell r="BK77">
            <v>0</v>
          </cell>
          <cell r="BN77">
            <v>0</v>
          </cell>
          <cell r="BT77">
            <v>0</v>
          </cell>
          <cell r="BW77">
            <v>108441498.54000001</v>
          </cell>
          <cell r="CD77">
            <v>2719.1</v>
          </cell>
          <cell r="CG77">
            <v>0</v>
          </cell>
          <cell r="CJ77">
            <v>51902.8</v>
          </cell>
          <cell r="CM77">
            <v>29060.799999999999</v>
          </cell>
          <cell r="CN77">
            <v>80056464</v>
          </cell>
          <cell r="CP77">
            <v>0</v>
          </cell>
          <cell r="CS77">
            <v>0</v>
          </cell>
          <cell r="CV77">
            <v>0</v>
          </cell>
          <cell r="CY77">
            <v>0</v>
          </cell>
          <cell r="DN77">
            <v>0</v>
          </cell>
          <cell r="DQ77">
            <v>0</v>
          </cell>
          <cell r="DT77">
            <v>0</v>
          </cell>
          <cell r="DW77">
            <v>83000</v>
          </cell>
          <cell r="EE77">
            <v>2358781166.5014653</v>
          </cell>
          <cell r="EF77">
            <v>2955847947.2314653</v>
          </cell>
          <cell r="EG77">
            <v>-597066780.73000002</v>
          </cell>
        </row>
        <row r="78">
          <cell r="B78">
            <v>2100231</v>
          </cell>
          <cell r="F78">
            <v>30750428.68</v>
          </cell>
          <cell r="I78">
            <v>18885722.60588</v>
          </cell>
          <cell r="L78">
            <v>39660017.472344004</v>
          </cell>
          <cell r="O78">
            <v>0</v>
          </cell>
          <cell r="R78">
            <v>0</v>
          </cell>
          <cell r="X78">
            <v>0</v>
          </cell>
          <cell r="AA78">
            <v>0</v>
          </cell>
          <cell r="AD78">
            <v>0</v>
          </cell>
          <cell r="AJ78">
            <v>0</v>
          </cell>
          <cell r="AM78">
            <v>1350687595</v>
          </cell>
          <cell r="AP78">
            <v>51600</v>
          </cell>
          <cell r="BH78">
            <v>15</v>
          </cell>
          <cell r="BK78">
            <v>0</v>
          </cell>
          <cell r="BN78">
            <v>0</v>
          </cell>
          <cell r="BT78">
            <v>0</v>
          </cell>
          <cell r="BW78">
            <v>369594922.91000003</v>
          </cell>
          <cell r="CD78">
            <v>126</v>
          </cell>
          <cell r="CG78">
            <v>0</v>
          </cell>
          <cell r="CJ78">
            <v>27020.400000000001</v>
          </cell>
          <cell r="CM78">
            <v>226963.20000000001</v>
          </cell>
          <cell r="CN78">
            <v>226963231</v>
          </cell>
          <cell r="CP78">
            <v>0</v>
          </cell>
          <cell r="CS78">
            <v>0</v>
          </cell>
          <cell r="CV78">
            <v>0</v>
          </cell>
          <cell r="CY78">
            <v>0</v>
          </cell>
          <cell r="DN78">
            <v>0</v>
          </cell>
          <cell r="DQ78">
            <v>0</v>
          </cell>
          <cell r="DT78">
            <v>0</v>
          </cell>
          <cell r="DW78">
            <v>0</v>
          </cell>
          <cell r="EE78">
            <v>1809969313.968224</v>
          </cell>
          <cell r="EF78">
            <v>2107946651.382344</v>
          </cell>
          <cell r="EG78">
            <v>-297977337.41411996</v>
          </cell>
        </row>
        <row r="79">
          <cell r="B79">
            <v>2661128</v>
          </cell>
          <cell r="F79">
            <v>114248578.51000001</v>
          </cell>
          <cell r="I79">
            <v>0</v>
          </cell>
          <cell r="L79">
            <v>353337517.72000003</v>
          </cell>
          <cell r="O79">
            <v>0</v>
          </cell>
          <cell r="R79">
            <v>0</v>
          </cell>
          <cell r="X79">
            <v>142292626.49000001</v>
          </cell>
          <cell r="AA79">
            <v>0</v>
          </cell>
          <cell r="AD79">
            <v>0</v>
          </cell>
          <cell r="AJ79">
            <v>195087000</v>
          </cell>
          <cell r="AM79">
            <v>193423803</v>
          </cell>
          <cell r="AP79">
            <v>0</v>
          </cell>
          <cell r="BH79">
            <v>0</v>
          </cell>
          <cell r="BK79">
            <v>0</v>
          </cell>
          <cell r="BN79">
            <v>0</v>
          </cell>
          <cell r="BT79">
            <v>0</v>
          </cell>
          <cell r="BW79">
            <v>59779046.850000001</v>
          </cell>
          <cell r="CD79">
            <v>0</v>
          </cell>
          <cell r="CG79">
            <v>0</v>
          </cell>
          <cell r="CJ79">
            <v>0</v>
          </cell>
          <cell r="CM79">
            <v>0</v>
          </cell>
          <cell r="CN79">
            <v>0</v>
          </cell>
          <cell r="CP79">
            <v>0</v>
          </cell>
          <cell r="CS79">
            <v>0</v>
          </cell>
          <cell r="CV79">
            <v>0</v>
          </cell>
          <cell r="CY79">
            <v>0</v>
          </cell>
          <cell r="DN79">
            <v>0</v>
          </cell>
          <cell r="DQ79">
            <v>0</v>
          </cell>
          <cell r="DT79">
            <v>0</v>
          </cell>
          <cell r="DW79">
            <v>0</v>
          </cell>
          <cell r="EE79">
            <v>1058168572.5700001</v>
          </cell>
          <cell r="EF79">
            <v>981509416.06000006</v>
          </cell>
          <cell r="EG79">
            <v>76659156.510000005</v>
          </cell>
        </row>
        <row r="80">
          <cell r="B80">
            <v>5878756</v>
          </cell>
          <cell r="F80">
            <v>9866637.1099999994</v>
          </cell>
          <cell r="I80">
            <v>207912609.90904501</v>
          </cell>
          <cell r="L80">
            <v>431179367.80353898</v>
          </cell>
          <cell r="O80">
            <v>0</v>
          </cell>
          <cell r="R80">
            <v>0</v>
          </cell>
          <cell r="X80">
            <v>281285800.75</v>
          </cell>
          <cell r="AA80">
            <v>0</v>
          </cell>
          <cell r="AD80">
            <v>0</v>
          </cell>
          <cell r="AJ80">
            <v>0</v>
          </cell>
          <cell r="AM80">
            <v>464557508.93000001</v>
          </cell>
          <cell r="AP80">
            <v>50277111.5</v>
          </cell>
          <cell r="BH80">
            <v>0</v>
          </cell>
          <cell r="BK80">
            <v>0</v>
          </cell>
          <cell r="BN80">
            <v>0</v>
          </cell>
          <cell r="BT80">
            <v>0</v>
          </cell>
          <cell r="BW80">
            <v>37466619.859999999</v>
          </cell>
          <cell r="CD80">
            <v>0</v>
          </cell>
          <cell r="CG80">
            <v>0</v>
          </cell>
          <cell r="CJ80">
            <v>0</v>
          </cell>
          <cell r="CM80">
            <v>0</v>
          </cell>
          <cell r="CN80">
            <v>0</v>
          </cell>
          <cell r="CP80">
            <v>0</v>
          </cell>
          <cell r="CS80">
            <v>0</v>
          </cell>
          <cell r="CV80">
            <v>0</v>
          </cell>
          <cell r="CY80">
            <v>0</v>
          </cell>
          <cell r="DN80">
            <v>0</v>
          </cell>
          <cell r="DQ80">
            <v>0</v>
          </cell>
          <cell r="DT80">
            <v>0</v>
          </cell>
          <cell r="DW80">
            <v>27200</v>
          </cell>
          <cell r="EE80">
            <v>1482572855.8625839</v>
          </cell>
          <cell r="EF80">
            <v>1432536344.3625839</v>
          </cell>
          <cell r="EG80">
            <v>50036511.5</v>
          </cell>
        </row>
        <row r="81">
          <cell r="B81">
            <v>2166631</v>
          </cell>
          <cell r="F81">
            <v>330714496.06</v>
          </cell>
          <cell r="I81">
            <v>7914349.1115349997</v>
          </cell>
          <cell r="L81">
            <v>15044864.147815</v>
          </cell>
          <cell r="O81">
            <v>0</v>
          </cell>
          <cell r="R81">
            <v>0</v>
          </cell>
          <cell r="X81">
            <v>1023337137.3099999</v>
          </cell>
          <cell r="AA81">
            <v>0</v>
          </cell>
          <cell r="AD81">
            <v>0</v>
          </cell>
          <cell r="AJ81">
            <v>0</v>
          </cell>
          <cell r="AM81">
            <v>730755123.12</v>
          </cell>
          <cell r="AP81">
            <v>27085656.5</v>
          </cell>
          <cell r="BH81">
            <v>0</v>
          </cell>
          <cell r="BK81">
            <v>0</v>
          </cell>
          <cell r="BN81">
            <v>0</v>
          </cell>
          <cell r="BT81">
            <v>0</v>
          </cell>
          <cell r="BW81">
            <v>246173769.48000005</v>
          </cell>
          <cell r="CD81">
            <v>0</v>
          </cell>
          <cell r="CG81">
            <v>679.1</v>
          </cell>
          <cell r="CJ81">
            <v>0</v>
          </cell>
          <cell r="CM81">
            <v>0</v>
          </cell>
          <cell r="CN81">
            <v>0</v>
          </cell>
          <cell r="CP81">
            <v>0</v>
          </cell>
          <cell r="CS81">
            <v>0</v>
          </cell>
          <cell r="CV81">
            <v>0</v>
          </cell>
          <cell r="CY81">
            <v>0</v>
          </cell>
          <cell r="DN81">
            <v>0</v>
          </cell>
          <cell r="DQ81">
            <v>0</v>
          </cell>
          <cell r="DT81">
            <v>0</v>
          </cell>
          <cell r="DW81">
            <v>0</v>
          </cell>
          <cell r="EE81">
            <v>2381026353.82935</v>
          </cell>
          <cell r="EF81">
            <v>1623184616.10935</v>
          </cell>
          <cell r="EG81">
            <v>757841737.72000003</v>
          </cell>
        </row>
        <row r="82">
          <cell r="B82">
            <v>5671833</v>
          </cell>
          <cell r="F82">
            <v>9676318378.7999992</v>
          </cell>
          <cell r="I82">
            <v>1790535344.7943001</v>
          </cell>
          <cell r="L82">
            <v>3765525186.2123799</v>
          </cell>
          <cell r="O82">
            <v>0</v>
          </cell>
          <cell r="R82">
            <v>0</v>
          </cell>
          <cell r="X82">
            <v>38883791367.050003</v>
          </cell>
          <cell r="AA82">
            <v>0</v>
          </cell>
          <cell r="AD82">
            <v>0</v>
          </cell>
          <cell r="AJ82">
            <v>675890800</v>
          </cell>
          <cell r="AM82">
            <v>3150828145.3899999</v>
          </cell>
          <cell r="AP82">
            <v>1051305000</v>
          </cell>
          <cell r="BH82">
            <v>0</v>
          </cell>
          <cell r="BK82">
            <v>0</v>
          </cell>
          <cell r="BN82">
            <v>0</v>
          </cell>
          <cell r="BT82">
            <v>0</v>
          </cell>
          <cell r="BW82">
            <v>1241728437.4699998</v>
          </cell>
          <cell r="CD82">
            <v>0</v>
          </cell>
          <cell r="CG82">
            <v>0</v>
          </cell>
          <cell r="CJ82">
            <v>0</v>
          </cell>
          <cell r="CM82">
            <v>0</v>
          </cell>
          <cell r="CN82">
            <v>12248291</v>
          </cell>
          <cell r="CP82">
            <v>0</v>
          </cell>
          <cell r="CS82">
            <v>0</v>
          </cell>
          <cell r="CV82">
            <v>0</v>
          </cell>
          <cell r="CY82">
            <v>0</v>
          </cell>
          <cell r="DN82">
            <v>0</v>
          </cell>
          <cell r="DQ82">
            <v>0</v>
          </cell>
          <cell r="DT82">
            <v>0</v>
          </cell>
          <cell r="DW82">
            <v>0</v>
          </cell>
          <cell r="EE82">
            <v>60235922659.716682</v>
          </cell>
          <cell r="EF82">
            <v>103237949397.32669</v>
          </cell>
          <cell r="EG82">
            <v>-43002026737.610001</v>
          </cell>
        </row>
        <row r="83">
          <cell r="B83">
            <v>2668505</v>
          </cell>
          <cell r="F83">
            <v>46000000</v>
          </cell>
          <cell r="I83">
            <v>0</v>
          </cell>
          <cell r="L83">
            <v>1000000</v>
          </cell>
          <cell r="O83">
            <v>0</v>
          </cell>
          <cell r="R83">
            <v>0</v>
          </cell>
          <cell r="X83">
            <v>2474211842.98</v>
          </cell>
          <cell r="AA83">
            <v>0</v>
          </cell>
          <cell r="AD83">
            <v>8000000</v>
          </cell>
          <cell r="AJ83">
            <v>98389230</v>
          </cell>
          <cell r="AM83">
            <v>115872942.06</v>
          </cell>
          <cell r="AP83">
            <v>286414395</v>
          </cell>
          <cell r="BH83">
            <v>0</v>
          </cell>
          <cell r="BK83">
            <v>0</v>
          </cell>
          <cell r="BN83">
            <v>0</v>
          </cell>
          <cell r="BT83">
            <v>0</v>
          </cell>
          <cell r="BW83">
            <v>27392014.280000001</v>
          </cell>
          <cell r="CD83">
            <v>0</v>
          </cell>
          <cell r="CG83">
            <v>0</v>
          </cell>
          <cell r="CJ83">
            <v>0</v>
          </cell>
          <cell r="CM83">
            <v>0</v>
          </cell>
          <cell r="CN83">
            <v>0</v>
          </cell>
          <cell r="CP83">
            <v>0</v>
          </cell>
          <cell r="CS83">
            <v>0</v>
          </cell>
          <cell r="CV83">
            <v>0</v>
          </cell>
          <cell r="CY83">
            <v>0</v>
          </cell>
          <cell r="DN83">
            <v>0</v>
          </cell>
          <cell r="DQ83">
            <v>0</v>
          </cell>
          <cell r="DT83">
            <v>0</v>
          </cell>
          <cell r="DW83">
            <v>0</v>
          </cell>
          <cell r="EE83">
            <v>3057280424.3200002</v>
          </cell>
          <cell r="EF83">
            <v>3080373545.2600002</v>
          </cell>
          <cell r="EG83">
            <v>-23093120.939999998</v>
          </cell>
        </row>
        <row r="84">
          <cell r="B84">
            <v>2697947</v>
          </cell>
          <cell r="F84">
            <v>145745087073.02002</v>
          </cell>
          <cell r="I84">
            <v>138849498.82848299</v>
          </cell>
          <cell r="L84">
            <v>12531729985.769943</v>
          </cell>
          <cell r="O84">
            <v>0</v>
          </cell>
          <cell r="R84">
            <v>0</v>
          </cell>
          <cell r="X84">
            <v>121735112098.35001</v>
          </cell>
          <cell r="AA84">
            <v>0</v>
          </cell>
          <cell r="AD84">
            <v>0</v>
          </cell>
          <cell r="AJ84">
            <v>3306239100</v>
          </cell>
          <cell r="AM84">
            <v>1723660746.6099999</v>
          </cell>
          <cell r="AP84">
            <v>3870142450</v>
          </cell>
          <cell r="BH84">
            <v>0</v>
          </cell>
          <cell r="BK84">
            <v>0</v>
          </cell>
          <cell r="BN84">
            <v>0</v>
          </cell>
          <cell r="BT84">
            <v>0</v>
          </cell>
          <cell r="BW84">
            <v>669482131.77999997</v>
          </cell>
          <cell r="CD84">
            <v>0</v>
          </cell>
          <cell r="CG84">
            <v>0</v>
          </cell>
          <cell r="CJ84">
            <v>0</v>
          </cell>
          <cell r="CM84">
            <v>0</v>
          </cell>
          <cell r="CN84">
            <v>0</v>
          </cell>
          <cell r="CP84">
            <v>0</v>
          </cell>
          <cell r="CS84">
            <v>0</v>
          </cell>
          <cell r="CV84">
            <v>0</v>
          </cell>
          <cell r="CY84">
            <v>0</v>
          </cell>
          <cell r="DN84">
            <v>0</v>
          </cell>
          <cell r="DQ84">
            <v>0</v>
          </cell>
          <cell r="DT84">
            <v>0</v>
          </cell>
          <cell r="DW84">
            <v>0</v>
          </cell>
          <cell r="EE84">
            <v>289720303084.35852</v>
          </cell>
          <cell r="EF84">
            <v>280820260787.74854</v>
          </cell>
          <cell r="EG84">
            <v>8900042296.6100006</v>
          </cell>
        </row>
        <row r="85">
          <cell r="B85">
            <v>5352827</v>
          </cell>
          <cell r="F85">
            <v>0</v>
          </cell>
          <cell r="I85">
            <v>81986700.371019006</v>
          </cell>
          <cell r="L85">
            <v>717947879.88913989</v>
          </cell>
          <cell r="O85">
            <v>0</v>
          </cell>
          <cell r="R85">
            <v>0</v>
          </cell>
          <cell r="X85">
            <v>23550773273.110001</v>
          </cell>
          <cell r="AA85">
            <v>0</v>
          </cell>
          <cell r="AD85">
            <v>0</v>
          </cell>
          <cell r="AJ85">
            <v>462310640</v>
          </cell>
          <cell r="AM85">
            <v>3242496116.3699999</v>
          </cell>
          <cell r="AP85">
            <v>1235807325</v>
          </cell>
          <cell r="BH85">
            <v>0</v>
          </cell>
          <cell r="BK85">
            <v>0</v>
          </cell>
          <cell r="BN85">
            <v>0</v>
          </cell>
          <cell r="BT85">
            <v>0</v>
          </cell>
          <cell r="BW85">
            <v>1571090012.4500003</v>
          </cell>
          <cell r="CD85">
            <v>0</v>
          </cell>
          <cell r="CG85">
            <v>0</v>
          </cell>
          <cell r="CJ85">
            <v>0</v>
          </cell>
          <cell r="CM85">
            <v>0</v>
          </cell>
          <cell r="CN85">
            <v>161911199</v>
          </cell>
          <cell r="CP85">
            <v>0</v>
          </cell>
          <cell r="CS85">
            <v>0</v>
          </cell>
          <cell r="CV85">
            <v>0</v>
          </cell>
          <cell r="CY85">
            <v>0</v>
          </cell>
          <cell r="DN85">
            <v>0</v>
          </cell>
          <cell r="DQ85">
            <v>0</v>
          </cell>
          <cell r="DT85">
            <v>0</v>
          </cell>
          <cell r="DW85">
            <v>0</v>
          </cell>
          <cell r="EE85">
            <v>30862411947.190159</v>
          </cell>
          <cell r="EF85">
            <v>34100181601.82016</v>
          </cell>
          <cell r="EG85">
            <v>-3237769654.6300001</v>
          </cell>
        </row>
        <row r="86">
          <cell r="B86">
            <v>2548747</v>
          </cell>
          <cell r="F86">
            <v>34391600622.970001</v>
          </cell>
          <cell r="I86">
            <v>2998995409.9569802</v>
          </cell>
          <cell r="L86">
            <v>7665163447.1339397</v>
          </cell>
          <cell r="O86">
            <v>0</v>
          </cell>
          <cell r="R86">
            <v>0</v>
          </cell>
          <cell r="X86">
            <v>29794056959.690002</v>
          </cell>
          <cell r="AA86">
            <v>0</v>
          </cell>
          <cell r="AD86">
            <v>0</v>
          </cell>
          <cell r="AJ86">
            <v>0</v>
          </cell>
          <cell r="AM86">
            <v>3266058647.0599999</v>
          </cell>
          <cell r="AP86">
            <v>129940936</v>
          </cell>
          <cell r="BH86">
            <v>0</v>
          </cell>
          <cell r="BK86">
            <v>0</v>
          </cell>
          <cell r="BN86">
            <v>0</v>
          </cell>
          <cell r="BT86">
            <v>0</v>
          </cell>
          <cell r="BW86">
            <v>1117928383.76</v>
          </cell>
          <cell r="CD86">
            <v>378466.8</v>
          </cell>
          <cell r="CG86">
            <v>1378</v>
          </cell>
          <cell r="CJ86">
            <v>71014.5</v>
          </cell>
          <cell r="CM86">
            <v>634567.69999999995</v>
          </cell>
          <cell r="CN86">
            <v>670051167</v>
          </cell>
          <cell r="CP86">
            <v>0</v>
          </cell>
          <cell r="CS86">
            <v>0</v>
          </cell>
          <cell r="CV86">
            <v>0</v>
          </cell>
          <cell r="CY86">
            <v>0</v>
          </cell>
          <cell r="DN86">
            <v>0</v>
          </cell>
          <cell r="DQ86">
            <v>0</v>
          </cell>
          <cell r="DT86">
            <v>0</v>
          </cell>
          <cell r="DW86">
            <v>1440000000</v>
          </cell>
          <cell r="EE86">
            <v>80805948201.570908</v>
          </cell>
          <cell r="EF86">
            <v>80003573216.51091</v>
          </cell>
          <cell r="EG86">
            <v>802374985.05999994</v>
          </cell>
        </row>
        <row r="87">
          <cell r="B87">
            <v>2641984</v>
          </cell>
          <cell r="F87">
            <v>50000000</v>
          </cell>
          <cell r="I87">
            <v>237929511.618837</v>
          </cell>
          <cell r="L87">
            <v>1899253052.851325</v>
          </cell>
          <cell r="O87">
            <v>0</v>
          </cell>
          <cell r="R87">
            <v>0</v>
          </cell>
          <cell r="X87">
            <v>112860669.7</v>
          </cell>
          <cell r="AA87">
            <v>0</v>
          </cell>
          <cell r="AD87">
            <v>0</v>
          </cell>
          <cell r="AJ87">
            <v>0</v>
          </cell>
          <cell r="AM87">
            <v>4953263008.0200005</v>
          </cell>
          <cell r="AP87">
            <v>277200</v>
          </cell>
          <cell r="BH87">
            <v>0</v>
          </cell>
          <cell r="BK87">
            <v>0</v>
          </cell>
          <cell r="BN87">
            <v>0</v>
          </cell>
          <cell r="BT87">
            <v>0</v>
          </cell>
          <cell r="BW87">
            <v>1136235834.05</v>
          </cell>
          <cell r="CD87">
            <v>0</v>
          </cell>
          <cell r="CG87">
            <v>0</v>
          </cell>
          <cell r="CJ87">
            <v>0</v>
          </cell>
          <cell r="CM87">
            <v>0</v>
          </cell>
          <cell r="CN87">
            <v>0</v>
          </cell>
          <cell r="CP87">
            <v>0</v>
          </cell>
          <cell r="CS87">
            <v>0</v>
          </cell>
          <cell r="CV87">
            <v>0</v>
          </cell>
          <cell r="CY87">
            <v>0</v>
          </cell>
          <cell r="DN87">
            <v>0</v>
          </cell>
          <cell r="DQ87">
            <v>0</v>
          </cell>
          <cell r="DT87">
            <v>0</v>
          </cell>
          <cell r="DW87">
            <v>0</v>
          </cell>
          <cell r="EE87">
            <v>8389819276.2401628</v>
          </cell>
          <cell r="EF87">
            <v>3436279068.2201614</v>
          </cell>
          <cell r="EG87">
            <v>4953540208.0200005</v>
          </cell>
        </row>
        <row r="88">
          <cell r="B88">
            <v>6342485</v>
          </cell>
          <cell r="F88">
            <v>1198132463.51</v>
          </cell>
          <cell r="I88">
            <v>0</v>
          </cell>
          <cell r="L88">
            <v>486566634.65999997</v>
          </cell>
          <cell r="O88">
            <v>0</v>
          </cell>
          <cell r="R88">
            <v>0</v>
          </cell>
          <cell r="X88">
            <v>0</v>
          </cell>
          <cell r="AA88">
            <v>0</v>
          </cell>
          <cell r="AD88">
            <v>0</v>
          </cell>
          <cell r="AJ88">
            <v>0</v>
          </cell>
          <cell r="AM88">
            <v>7163590.9100000001</v>
          </cell>
          <cell r="AP88">
            <v>0</v>
          </cell>
          <cell r="BH88">
            <v>0</v>
          </cell>
          <cell r="BK88">
            <v>0</v>
          </cell>
          <cell r="BN88">
            <v>0</v>
          </cell>
          <cell r="BT88">
            <v>0</v>
          </cell>
          <cell r="BW88">
            <v>3015141.82</v>
          </cell>
          <cell r="CD88">
            <v>0</v>
          </cell>
          <cell r="CG88">
            <v>0</v>
          </cell>
          <cell r="CJ88">
            <v>0</v>
          </cell>
          <cell r="CM88">
            <v>0</v>
          </cell>
          <cell r="CN88">
            <v>287000</v>
          </cell>
          <cell r="CP88">
            <v>0</v>
          </cell>
          <cell r="CS88">
            <v>0</v>
          </cell>
          <cell r="CV88">
            <v>0</v>
          </cell>
          <cell r="CY88">
            <v>0</v>
          </cell>
          <cell r="DN88">
            <v>0</v>
          </cell>
          <cell r="DQ88">
            <v>0</v>
          </cell>
          <cell r="DT88">
            <v>0</v>
          </cell>
          <cell r="DW88">
            <v>0</v>
          </cell>
          <cell r="EE88">
            <v>1694877830.9000001</v>
          </cell>
          <cell r="EF88">
            <v>1700578750.4799998</v>
          </cell>
          <cell r="EG88">
            <v>-5700919.5800000094</v>
          </cell>
        </row>
        <row r="89">
          <cell r="B89">
            <v>5166667</v>
          </cell>
          <cell r="F89">
            <v>0</v>
          </cell>
          <cell r="I89">
            <v>0</v>
          </cell>
          <cell r="L89">
            <v>0</v>
          </cell>
          <cell r="O89">
            <v>0</v>
          </cell>
          <cell r="R89">
            <v>0</v>
          </cell>
          <cell r="X89">
            <v>0</v>
          </cell>
          <cell r="AA89">
            <v>0</v>
          </cell>
          <cell r="AD89">
            <v>0</v>
          </cell>
          <cell r="AJ89">
            <v>0</v>
          </cell>
          <cell r="AM89">
            <v>510000</v>
          </cell>
          <cell r="AP89">
            <v>0</v>
          </cell>
          <cell r="BH89">
            <v>0</v>
          </cell>
          <cell r="BK89">
            <v>0</v>
          </cell>
          <cell r="BN89">
            <v>0</v>
          </cell>
          <cell r="BT89">
            <v>0</v>
          </cell>
          <cell r="BW89">
            <v>51245.4</v>
          </cell>
          <cell r="CD89">
            <v>0</v>
          </cell>
          <cell r="CG89">
            <v>0</v>
          </cell>
          <cell r="CJ89">
            <v>0</v>
          </cell>
          <cell r="CM89">
            <v>0</v>
          </cell>
          <cell r="CN89">
            <v>0</v>
          </cell>
          <cell r="CP89">
            <v>0</v>
          </cell>
          <cell r="CS89">
            <v>0</v>
          </cell>
          <cell r="CV89">
            <v>0</v>
          </cell>
          <cell r="CY89">
            <v>0</v>
          </cell>
          <cell r="DN89">
            <v>0</v>
          </cell>
          <cell r="DQ89">
            <v>0</v>
          </cell>
          <cell r="DT89">
            <v>0</v>
          </cell>
          <cell r="DW89">
            <v>0</v>
          </cell>
          <cell r="EE89">
            <v>561245.4</v>
          </cell>
          <cell r="EF89">
            <v>17427965.399999999</v>
          </cell>
          <cell r="EG89">
            <v>-16866720</v>
          </cell>
        </row>
        <row r="90">
          <cell r="B90">
            <v>5482046</v>
          </cell>
          <cell r="F90">
            <v>0</v>
          </cell>
          <cell r="I90">
            <v>24906109.651432</v>
          </cell>
          <cell r="L90">
            <v>52302830.267980002</v>
          </cell>
          <cell r="O90">
            <v>0</v>
          </cell>
          <cell r="R90">
            <v>0</v>
          </cell>
          <cell r="X90">
            <v>173800146.80000001</v>
          </cell>
          <cell r="AA90">
            <v>0</v>
          </cell>
          <cell r="AD90">
            <v>0</v>
          </cell>
          <cell r="AJ90">
            <v>170061800</v>
          </cell>
          <cell r="AM90">
            <v>1081983956</v>
          </cell>
          <cell r="AP90">
            <v>6159400</v>
          </cell>
          <cell r="BH90">
            <v>0</v>
          </cell>
          <cell r="BK90">
            <v>0</v>
          </cell>
          <cell r="BN90">
            <v>0</v>
          </cell>
          <cell r="BT90">
            <v>0</v>
          </cell>
          <cell r="BW90">
            <v>282626292.11000001</v>
          </cell>
          <cell r="CD90">
            <v>0</v>
          </cell>
          <cell r="CG90">
            <v>0</v>
          </cell>
          <cell r="CJ90">
            <v>0</v>
          </cell>
          <cell r="CM90">
            <v>0</v>
          </cell>
          <cell r="CN90">
            <v>169491870</v>
          </cell>
          <cell r="CP90">
            <v>0</v>
          </cell>
          <cell r="CS90">
            <v>0</v>
          </cell>
          <cell r="CV90">
            <v>0</v>
          </cell>
          <cell r="CY90">
            <v>0</v>
          </cell>
          <cell r="DN90">
            <v>0</v>
          </cell>
          <cell r="DQ90">
            <v>0</v>
          </cell>
          <cell r="DT90">
            <v>0</v>
          </cell>
          <cell r="DW90">
            <v>0</v>
          </cell>
          <cell r="EE90">
            <v>1791840534.829412</v>
          </cell>
          <cell r="EF90">
            <v>1390738248.829412</v>
          </cell>
          <cell r="EG90">
            <v>401102286</v>
          </cell>
        </row>
        <row r="91">
          <cell r="B91">
            <v>2050374</v>
          </cell>
          <cell r="F91">
            <v>450927035.63999999</v>
          </cell>
          <cell r="I91">
            <v>0</v>
          </cell>
          <cell r="L91">
            <v>1784006919.26</v>
          </cell>
          <cell r="O91">
            <v>0</v>
          </cell>
          <cell r="R91">
            <v>0</v>
          </cell>
          <cell r="X91">
            <v>3110189457.9899998</v>
          </cell>
          <cell r="AA91">
            <v>0</v>
          </cell>
          <cell r="AD91">
            <v>0</v>
          </cell>
          <cell r="AJ91">
            <v>199738660</v>
          </cell>
          <cell r="AM91">
            <v>3691051546.8400002</v>
          </cell>
          <cell r="AP91">
            <v>147577725</v>
          </cell>
          <cell r="BH91">
            <v>0</v>
          </cell>
          <cell r="BK91">
            <v>0</v>
          </cell>
          <cell r="BN91">
            <v>0</v>
          </cell>
          <cell r="BT91">
            <v>0</v>
          </cell>
          <cell r="BW91">
            <v>1126495931.25</v>
          </cell>
          <cell r="CD91">
            <v>35022736.689999998</v>
          </cell>
          <cell r="CG91">
            <v>0</v>
          </cell>
          <cell r="CJ91">
            <v>142006136</v>
          </cell>
          <cell r="CM91">
            <v>583645388.03999996</v>
          </cell>
          <cell r="CN91">
            <v>583645388</v>
          </cell>
          <cell r="CP91">
            <v>0</v>
          </cell>
          <cell r="CS91">
            <v>3400263711.5300002</v>
          </cell>
          <cell r="CV91">
            <v>0</v>
          </cell>
          <cell r="CY91">
            <v>0</v>
          </cell>
          <cell r="DN91">
            <v>0</v>
          </cell>
          <cell r="DQ91">
            <v>0</v>
          </cell>
          <cell r="DT91">
            <v>0</v>
          </cell>
          <cell r="DW91">
            <v>0</v>
          </cell>
          <cell r="EE91">
            <v>14670925248.24</v>
          </cell>
          <cell r="EF91">
            <v>11152591898.139999</v>
          </cell>
          <cell r="EG91">
            <v>3518333350.1000004</v>
          </cell>
        </row>
        <row r="92">
          <cell r="B92">
            <v>2004879</v>
          </cell>
          <cell r="F92">
            <v>356493.24</v>
          </cell>
          <cell r="I92">
            <v>107663900.599988</v>
          </cell>
          <cell r="L92">
            <v>819094191.259974</v>
          </cell>
          <cell r="O92">
            <v>0</v>
          </cell>
          <cell r="R92">
            <v>0</v>
          </cell>
          <cell r="X92">
            <v>502000000</v>
          </cell>
          <cell r="AA92">
            <v>0</v>
          </cell>
          <cell r="AD92">
            <v>0</v>
          </cell>
          <cell r="AJ92">
            <v>0</v>
          </cell>
          <cell r="AM92">
            <v>2861000000</v>
          </cell>
          <cell r="AP92">
            <v>30400</v>
          </cell>
          <cell r="BH92">
            <v>0</v>
          </cell>
          <cell r="BK92">
            <v>0</v>
          </cell>
          <cell r="BN92">
            <v>0</v>
          </cell>
          <cell r="BT92">
            <v>0</v>
          </cell>
          <cell r="BW92">
            <v>1270067156.0200002</v>
          </cell>
          <cell r="CD92">
            <v>0</v>
          </cell>
          <cell r="CG92">
            <v>0</v>
          </cell>
          <cell r="CJ92">
            <v>0</v>
          </cell>
          <cell r="CM92">
            <v>0</v>
          </cell>
          <cell r="CN92">
            <v>0</v>
          </cell>
          <cell r="CP92">
            <v>0</v>
          </cell>
          <cell r="CS92">
            <v>0</v>
          </cell>
          <cell r="CV92">
            <v>0</v>
          </cell>
          <cell r="CY92">
            <v>0</v>
          </cell>
          <cell r="DN92">
            <v>0</v>
          </cell>
          <cell r="DQ92">
            <v>0</v>
          </cell>
          <cell r="DT92">
            <v>0</v>
          </cell>
          <cell r="DW92">
            <v>0</v>
          </cell>
          <cell r="EE92">
            <v>5560212141.1199627</v>
          </cell>
          <cell r="EF92">
            <v>2698825247.879962</v>
          </cell>
          <cell r="EG92">
            <v>2861386893.2399998</v>
          </cell>
        </row>
        <row r="93">
          <cell r="B93">
            <v>2830213</v>
          </cell>
          <cell r="F93">
            <v>13350410353.42</v>
          </cell>
          <cell r="I93">
            <v>2017259712.3740499</v>
          </cell>
          <cell r="L93">
            <v>6359498968.5453806</v>
          </cell>
          <cell r="O93">
            <v>6100000</v>
          </cell>
          <cell r="R93">
            <v>0</v>
          </cell>
          <cell r="X93">
            <v>38030103276.119995</v>
          </cell>
          <cell r="AA93">
            <v>0</v>
          </cell>
          <cell r="AD93">
            <v>0</v>
          </cell>
          <cell r="AJ93">
            <v>0</v>
          </cell>
          <cell r="AM93">
            <v>4475429664</v>
          </cell>
          <cell r="AP93">
            <v>111798200</v>
          </cell>
          <cell r="BH93">
            <v>0</v>
          </cell>
          <cell r="BK93">
            <v>0</v>
          </cell>
          <cell r="BN93">
            <v>0</v>
          </cell>
          <cell r="BT93">
            <v>0</v>
          </cell>
          <cell r="BW93">
            <v>1957885837.3599997</v>
          </cell>
          <cell r="CD93">
            <v>0</v>
          </cell>
          <cell r="CG93">
            <v>0</v>
          </cell>
          <cell r="CJ93">
            <v>0</v>
          </cell>
          <cell r="CM93">
            <v>0</v>
          </cell>
          <cell r="CN93">
            <v>0</v>
          </cell>
          <cell r="CP93">
            <v>0</v>
          </cell>
          <cell r="CS93">
            <v>0</v>
          </cell>
          <cell r="CV93">
            <v>0</v>
          </cell>
          <cell r="CY93">
            <v>0</v>
          </cell>
          <cell r="DN93">
            <v>0</v>
          </cell>
          <cell r="DQ93">
            <v>0</v>
          </cell>
          <cell r="DT93">
            <v>0</v>
          </cell>
          <cell r="DW93">
            <v>0</v>
          </cell>
          <cell r="EE93">
            <v>66308486011.819427</v>
          </cell>
          <cell r="EF93">
            <v>66190587811.819427</v>
          </cell>
          <cell r="EG93">
            <v>117898200</v>
          </cell>
        </row>
        <row r="94">
          <cell r="B94">
            <v>5320607</v>
          </cell>
          <cell r="F94">
            <v>53285224.710000001</v>
          </cell>
          <cell r="I94">
            <v>84776908.981553003</v>
          </cell>
          <cell r="L94">
            <v>176314834.011262</v>
          </cell>
          <cell r="O94">
            <v>0</v>
          </cell>
          <cell r="R94">
            <v>0</v>
          </cell>
          <cell r="X94">
            <v>0</v>
          </cell>
          <cell r="AA94">
            <v>0</v>
          </cell>
          <cell r="AD94">
            <v>0</v>
          </cell>
          <cell r="AJ94">
            <v>0</v>
          </cell>
          <cell r="AM94">
            <v>672327448.36000001</v>
          </cell>
          <cell r="AP94">
            <v>105200</v>
          </cell>
          <cell r="BH94">
            <v>0</v>
          </cell>
          <cell r="BK94">
            <v>0</v>
          </cell>
          <cell r="BN94">
            <v>0</v>
          </cell>
          <cell r="BT94">
            <v>0</v>
          </cell>
          <cell r="BW94">
            <v>231814040.85000002</v>
          </cell>
          <cell r="CD94">
            <v>6000</v>
          </cell>
          <cell r="CG94">
            <v>0</v>
          </cell>
          <cell r="CJ94">
            <v>1356.9</v>
          </cell>
          <cell r="CM94">
            <v>31143</v>
          </cell>
          <cell r="CN94">
            <v>27397808</v>
          </cell>
          <cell r="CP94">
            <v>0</v>
          </cell>
          <cell r="CS94">
            <v>0</v>
          </cell>
          <cell r="CV94">
            <v>0</v>
          </cell>
          <cell r="CY94">
            <v>0</v>
          </cell>
          <cell r="DN94">
            <v>0</v>
          </cell>
          <cell r="DQ94">
            <v>0</v>
          </cell>
          <cell r="DT94">
            <v>0</v>
          </cell>
          <cell r="DW94">
            <v>0</v>
          </cell>
          <cell r="EE94">
            <v>1218846008.712815</v>
          </cell>
          <cell r="EF94">
            <v>1199948597.8612618</v>
          </cell>
          <cell r="EG94">
            <v>18897410.851553015</v>
          </cell>
        </row>
        <row r="95">
          <cell r="B95">
            <v>5586119</v>
          </cell>
          <cell r="F95">
            <v>0</v>
          </cell>
          <cell r="I95">
            <v>0</v>
          </cell>
          <cell r="L95">
            <v>0</v>
          </cell>
          <cell r="O95">
            <v>0</v>
          </cell>
          <cell r="R95">
            <v>0</v>
          </cell>
          <cell r="X95">
            <v>0</v>
          </cell>
          <cell r="AA95">
            <v>0</v>
          </cell>
          <cell r="AD95">
            <v>0</v>
          </cell>
          <cell r="AJ95">
            <v>0</v>
          </cell>
          <cell r="AM95">
            <v>0</v>
          </cell>
          <cell r="AP95">
            <v>0</v>
          </cell>
          <cell r="BH95">
            <v>0</v>
          </cell>
          <cell r="BK95">
            <v>0</v>
          </cell>
          <cell r="BN95">
            <v>0</v>
          </cell>
          <cell r="BT95">
            <v>0</v>
          </cell>
          <cell r="BW95">
            <v>0</v>
          </cell>
          <cell r="CD95">
            <v>0</v>
          </cell>
          <cell r="CG95">
            <v>0</v>
          </cell>
          <cell r="CJ95">
            <v>0</v>
          </cell>
          <cell r="CM95">
            <v>0</v>
          </cell>
          <cell r="CN95">
            <v>0</v>
          </cell>
          <cell r="CP95">
            <v>0</v>
          </cell>
          <cell r="CS95">
            <v>0</v>
          </cell>
          <cell r="CV95">
            <v>0</v>
          </cell>
          <cell r="CY95">
            <v>0</v>
          </cell>
          <cell r="DN95">
            <v>0</v>
          </cell>
          <cell r="DQ95">
            <v>0</v>
          </cell>
          <cell r="DT95">
            <v>0</v>
          </cell>
          <cell r="DW95">
            <v>0</v>
          </cell>
          <cell r="EE95">
            <v>0</v>
          </cell>
          <cell r="EF95">
            <v>0</v>
          </cell>
          <cell r="EG95">
            <v>0</v>
          </cell>
        </row>
        <row r="96">
          <cell r="B96">
            <v>5015243</v>
          </cell>
          <cell r="F96">
            <v>0</v>
          </cell>
          <cell r="I96">
            <v>38656211.444112003</v>
          </cell>
          <cell r="L96">
            <v>81178044.032636002</v>
          </cell>
          <cell r="O96">
            <v>0</v>
          </cell>
          <cell r="R96">
            <v>0</v>
          </cell>
          <cell r="X96">
            <v>739134555.80999994</v>
          </cell>
          <cell r="AA96">
            <v>0</v>
          </cell>
          <cell r="AD96">
            <v>0</v>
          </cell>
          <cell r="AJ96">
            <v>0</v>
          </cell>
          <cell r="AM96">
            <v>136363290.56</v>
          </cell>
          <cell r="AP96">
            <v>27076845.5</v>
          </cell>
          <cell r="BH96">
            <v>0</v>
          </cell>
          <cell r="BK96">
            <v>0</v>
          </cell>
          <cell r="BN96">
            <v>0</v>
          </cell>
          <cell r="BT96">
            <v>0</v>
          </cell>
          <cell r="BW96">
            <v>24287016.07</v>
          </cell>
          <cell r="CD96">
            <v>0</v>
          </cell>
          <cell r="CG96">
            <v>0</v>
          </cell>
          <cell r="CJ96">
            <v>0</v>
          </cell>
          <cell r="CM96">
            <v>0</v>
          </cell>
          <cell r="CN96">
            <v>21615104</v>
          </cell>
          <cell r="CP96">
            <v>0</v>
          </cell>
          <cell r="CS96">
            <v>0</v>
          </cell>
          <cell r="CV96">
            <v>0</v>
          </cell>
          <cell r="CY96">
            <v>0</v>
          </cell>
          <cell r="DN96">
            <v>0</v>
          </cell>
          <cell r="DQ96">
            <v>0</v>
          </cell>
          <cell r="DT96">
            <v>0</v>
          </cell>
          <cell r="DW96">
            <v>0</v>
          </cell>
          <cell r="EE96">
            <v>1046695963.4167479</v>
          </cell>
          <cell r="EF96">
            <v>1409483305.3567479</v>
          </cell>
          <cell r="EG96">
            <v>-362787341.94</v>
          </cell>
        </row>
        <row r="97">
          <cell r="B97">
            <v>5452503</v>
          </cell>
          <cell r="F97">
            <v>0</v>
          </cell>
          <cell r="I97">
            <v>597148.61162600003</v>
          </cell>
          <cell r="L97">
            <v>1254012.0844149999</v>
          </cell>
          <cell r="O97">
            <v>0</v>
          </cell>
          <cell r="R97">
            <v>0</v>
          </cell>
          <cell r="X97">
            <v>756523099.79999995</v>
          </cell>
          <cell r="AA97">
            <v>0</v>
          </cell>
          <cell r="AD97">
            <v>0</v>
          </cell>
          <cell r="AJ97">
            <v>0</v>
          </cell>
          <cell r="AM97">
            <v>313984819.48000002</v>
          </cell>
          <cell r="AP97">
            <v>132140200</v>
          </cell>
          <cell r="BH97">
            <v>0</v>
          </cell>
          <cell r="BK97">
            <v>0</v>
          </cell>
          <cell r="BN97">
            <v>0</v>
          </cell>
          <cell r="BT97">
            <v>0</v>
          </cell>
          <cell r="BW97">
            <v>122791228.74999999</v>
          </cell>
          <cell r="CD97">
            <v>15117.6</v>
          </cell>
          <cell r="CG97">
            <v>0</v>
          </cell>
          <cell r="CJ97">
            <v>42619.3</v>
          </cell>
          <cell r="CM97">
            <v>23060.9</v>
          </cell>
          <cell r="CN97">
            <v>0</v>
          </cell>
          <cell r="CP97">
            <v>0</v>
          </cell>
          <cell r="CS97">
            <v>0</v>
          </cell>
          <cell r="CV97">
            <v>0</v>
          </cell>
          <cell r="CY97">
            <v>0</v>
          </cell>
          <cell r="DN97">
            <v>0</v>
          </cell>
          <cell r="DQ97">
            <v>0</v>
          </cell>
          <cell r="DT97">
            <v>0</v>
          </cell>
          <cell r="DW97">
            <v>10000000</v>
          </cell>
          <cell r="EE97">
            <v>1337475773.7260408</v>
          </cell>
          <cell r="EF97">
            <v>1359523138.2460408</v>
          </cell>
          <cell r="EG97">
            <v>-22047364.519999981</v>
          </cell>
        </row>
        <row r="98">
          <cell r="B98">
            <v>2887746</v>
          </cell>
          <cell r="F98">
            <v>73443174213</v>
          </cell>
          <cell r="I98">
            <v>512725787.89601499</v>
          </cell>
          <cell r="L98">
            <v>12024650158.297953</v>
          </cell>
          <cell r="O98">
            <v>0</v>
          </cell>
          <cell r="R98">
            <v>0</v>
          </cell>
          <cell r="X98">
            <v>276565121144.53998</v>
          </cell>
          <cell r="AA98">
            <v>0</v>
          </cell>
          <cell r="AD98">
            <v>0</v>
          </cell>
          <cell r="AJ98">
            <v>0</v>
          </cell>
          <cell r="AM98">
            <v>28660000000</v>
          </cell>
          <cell r="AP98">
            <v>11842522115</v>
          </cell>
          <cell r="BH98">
            <v>0</v>
          </cell>
          <cell r="BK98">
            <v>0</v>
          </cell>
          <cell r="BN98">
            <v>0</v>
          </cell>
          <cell r="BT98">
            <v>0</v>
          </cell>
          <cell r="BW98">
            <v>11150000000</v>
          </cell>
          <cell r="CD98">
            <v>0</v>
          </cell>
          <cell r="CG98">
            <v>0</v>
          </cell>
          <cell r="CJ98">
            <v>0</v>
          </cell>
          <cell r="CM98">
            <v>0</v>
          </cell>
          <cell r="CN98">
            <v>4180561715</v>
          </cell>
          <cell r="CP98">
            <v>0</v>
          </cell>
          <cell r="CS98">
            <v>0</v>
          </cell>
          <cell r="CV98">
            <v>0</v>
          </cell>
          <cell r="CY98">
            <v>0</v>
          </cell>
          <cell r="DN98">
            <v>0</v>
          </cell>
          <cell r="DQ98">
            <v>0</v>
          </cell>
          <cell r="DT98">
            <v>0</v>
          </cell>
          <cell r="DW98">
            <v>0</v>
          </cell>
          <cell r="EE98">
            <v>414198193418.73395</v>
          </cell>
          <cell r="EF98">
            <v>426492768054.73395</v>
          </cell>
          <cell r="EG98">
            <v>-12294574636</v>
          </cell>
        </row>
        <row r="99">
          <cell r="B99">
            <v>2718243</v>
          </cell>
          <cell r="F99">
            <v>20833.330000000002</v>
          </cell>
          <cell r="I99">
            <v>89141951.760000005</v>
          </cell>
          <cell r="L99">
            <v>407775533.36600006</v>
          </cell>
          <cell r="O99">
            <v>0</v>
          </cell>
          <cell r="R99">
            <v>0</v>
          </cell>
          <cell r="X99">
            <v>0</v>
          </cell>
          <cell r="AA99">
            <v>0</v>
          </cell>
          <cell r="AD99">
            <v>0</v>
          </cell>
          <cell r="AJ99">
            <v>0</v>
          </cell>
          <cell r="AM99">
            <v>1006658456.0599999</v>
          </cell>
          <cell r="AP99">
            <v>63000</v>
          </cell>
          <cell r="BH99">
            <v>0</v>
          </cell>
          <cell r="BK99">
            <v>0</v>
          </cell>
          <cell r="BN99">
            <v>0</v>
          </cell>
          <cell r="BT99">
            <v>0</v>
          </cell>
          <cell r="BW99">
            <v>554317448.38</v>
          </cell>
          <cell r="CD99">
            <v>0</v>
          </cell>
          <cell r="CG99">
            <v>0</v>
          </cell>
          <cell r="CJ99">
            <v>0</v>
          </cell>
          <cell r="CM99">
            <v>0</v>
          </cell>
          <cell r="CN99">
            <v>3427713</v>
          </cell>
          <cell r="CP99">
            <v>0</v>
          </cell>
          <cell r="CS99">
            <v>0</v>
          </cell>
          <cell r="CV99">
            <v>0</v>
          </cell>
          <cell r="CY99">
            <v>0</v>
          </cell>
          <cell r="DN99">
            <v>0</v>
          </cell>
          <cell r="DQ99">
            <v>0</v>
          </cell>
          <cell r="DT99">
            <v>0</v>
          </cell>
          <cell r="DW99">
            <v>0</v>
          </cell>
          <cell r="EE99">
            <v>2057977222.8959999</v>
          </cell>
          <cell r="EF99">
            <v>2429931827.7460003</v>
          </cell>
          <cell r="EG99">
            <v>-371954604.85000002</v>
          </cell>
        </row>
        <row r="100">
          <cell r="B100">
            <v>6896197</v>
          </cell>
          <cell r="F100">
            <v>0</v>
          </cell>
          <cell r="I100">
            <v>0</v>
          </cell>
          <cell r="L100">
            <v>0</v>
          </cell>
          <cell r="O100">
            <v>0</v>
          </cell>
          <cell r="R100">
            <v>0</v>
          </cell>
          <cell r="X100">
            <v>0</v>
          </cell>
          <cell r="AA100">
            <v>0</v>
          </cell>
          <cell r="AD100">
            <v>0</v>
          </cell>
          <cell r="AJ100">
            <v>0</v>
          </cell>
          <cell r="AM100">
            <v>97816667</v>
          </cell>
          <cell r="AP100">
            <v>0</v>
          </cell>
          <cell r="BH100">
            <v>40000</v>
          </cell>
          <cell r="BK100">
            <v>0</v>
          </cell>
          <cell r="BN100">
            <v>0</v>
          </cell>
          <cell r="BT100">
            <v>0</v>
          </cell>
          <cell r="BW100">
            <v>29786945.66</v>
          </cell>
          <cell r="CD100">
            <v>0</v>
          </cell>
          <cell r="CG100">
            <v>0</v>
          </cell>
          <cell r="CJ100">
            <v>0</v>
          </cell>
          <cell r="CM100">
            <v>0</v>
          </cell>
          <cell r="CN100">
            <v>1358640</v>
          </cell>
          <cell r="CP100">
            <v>0</v>
          </cell>
          <cell r="CS100">
            <v>0</v>
          </cell>
          <cell r="CV100">
            <v>0</v>
          </cell>
          <cell r="CY100">
            <v>0</v>
          </cell>
          <cell r="DN100">
            <v>0</v>
          </cell>
          <cell r="DQ100">
            <v>0</v>
          </cell>
          <cell r="DT100">
            <v>0</v>
          </cell>
          <cell r="DW100">
            <v>0</v>
          </cell>
          <cell r="EE100">
            <v>127643612.66</v>
          </cell>
          <cell r="EF100">
            <v>134128803.66</v>
          </cell>
          <cell r="EG100">
            <v>-6485191</v>
          </cell>
        </row>
        <row r="101">
          <cell r="B101">
            <v>5435528</v>
          </cell>
          <cell r="F101">
            <v>800429129587.85999</v>
          </cell>
          <cell r="I101">
            <v>0</v>
          </cell>
          <cell r="L101">
            <v>35388382.579999998</v>
          </cell>
          <cell r="O101">
            <v>0</v>
          </cell>
          <cell r="R101">
            <v>0</v>
          </cell>
          <cell r="X101">
            <v>1931203924854.3003</v>
          </cell>
          <cell r="AA101">
            <v>0</v>
          </cell>
          <cell r="AD101">
            <v>0</v>
          </cell>
          <cell r="AJ101">
            <v>31496827168.290001</v>
          </cell>
          <cell r="AM101">
            <v>31570196997.459999</v>
          </cell>
          <cell r="AP101">
            <v>42811832509.5</v>
          </cell>
          <cell r="BH101">
            <v>0</v>
          </cell>
          <cell r="BK101">
            <v>0</v>
          </cell>
          <cell r="BN101">
            <v>0</v>
          </cell>
          <cell r="BT101">
            <v>0</v>
          </cell>
          <cell r="BW101">
            <v>17335273673.889999</v>
          </cell>
          <cell r="CD101">
            <v>0</v>
          </cell>
          <cell r="CG101">
            <v>0</v>
          </cell>
          <cell r="CJ101">
            <v>0</v>
          </cell>
          <cell r="CM101">
            <v>0</v>
          </cell>
          <cell r="CN101">
            <v>104917386</v>
          </cell>
          <cell r="CP101">
            <v>0</v>
          </cell>
          <cell r="CS101">
            <v>0</v>
          </cell>
          <cell r="CV101">
            <v>0</v>
          </cell>
          <cell r="CY101">
            <v>0</v>
          </cell>
          <cell r="DN101">
            <v>0</v>
          </cell>
          <cell r="DQ101">
            <v>0</v>
          </cell>
          <cell r="DT101">
            <v>0</v>
          </cell>
          <cell r="DW101">
            <v>0</v>
          </cell>
          <cell r="EE101">
            <v>2854882573173.8804</v>
          </cell>
          <cell r="EF101">
            <v>2860131207312.75</v>
          </cell>
          <cell r="EG101">
            <v>-5248634138.8697071</v>
          </cell>
        </row>
        <row r="102">
          <cell r="B102">
            <v>5824826</v>
          </cell>
          <cell r="F102">
            <v>14248867.27</v>
          </cell>
          <cell r="I102">
            <v>481440899.61461699</v>
          </cell>
          <cell r="L102">
            <v>1011113056.1806901</v>
          </cell>
          <cell r="O102">
            <v>0</v>
          </cell>
          <cell r="R102">
            <v>0</v>
          </cell>
          <cell r="X102">
            <v>0</v>
          </cell>
          <cell r="AA102">
            <v>0</v>
          </cell>
          <cell r="AD102">
            <v>0</v>
          </cell>
          <cell r="AJ102">
            <v>0</v>
          </cell>
          <cell r="AM102">
            <v>201950106.36000001</v>
          </cell>
          <cell r="AP102">
            <v>984800</v>
          </cell>
          <cell r="BH102">
            <v>0</v>
          </cell>
          <cell r="BK102">
            <v>0</v>
          </cell>
          <cell r="BN102">
            <v>0</v>
          </cell>
          <cell r="BT102">
            <v>0</v>
          </cell>
          <cell r="BW102">
            <v>64119602.570000008</v>
          </cell>
          <cell r="CD102">
            <v>0</v>
          </cell>
          <cell r="CG102">
            <v>0</v>
          </cell>
          <cell r="CJ102">
            <v>0</v>
          </cell>
          <cell r="CM102">
            <v>0</v>
          </cell>
          <cell r="CN102">
            <v>0</v>
          </cell>
          <cell r="CP102">
            <v>0</v>
          </cell>
          <cell r="CS102">
            <v>0</v>
          </cell>
          <cell r="CV102">
            <v>0</v>
          </cell>
          <cell r="CY102">
            <v>0</v>
          </cell>
          <cell r="DN102">
            <v>0</v>
          </cell>
          <cell r="DQ102">
            <v>0</v>
          </cell>
          <cell r="DT102">
            <v>0</v>
          </cell>
          <cell r="DW102">
            <v>0</v>
          </cell>
          <cell r="EE102">
            <v>1773857331.9953072</v>
          </cell>
          <cell r="EF102">
            <v>1570922425.6353071</v>
          </cell>
          <cell r="EG102">
            <v>202934906.36000001</v>
          </cell>
        </row>
        <row r="103">
          <cell r="B103">
            <v>5124913</v>
          </cell>
          <cell r="F103">
            <v>34581634955.279999</v>
          </cell>
          <cell r="I103">
            <v>0</v>
          </cell>
          <cell r="L103">
            <v>23155549204.07</v>
          </cell>
          <cell r="O103">
            <v>0</v>
          </cell>
          <cell r="R103">
            <v>0</v>
          </cell>
          <cell r="X103">
            <v>0</v>
          </cell>
          <cell r="AA103">
            <v>0</v>
          </cell>
          <cell r="AD103">
            <v>0</v>
          </cell>
          <cell r="AJ103">
            <v>0</v>
          </cell>
          <cell r="AM103">
            <v>1299057096</v>
          </cell>
          <cell r="AP103">
            <v>0</v>
          </cell>
          <cell r="BH103">
            <v>0</v>
          </cell>
          <cell r="BK103">
            <v>0</v>
          </cell>
          <cell r="BN103">
            <v>0</v>
          </cell>
          <cell r="BT103">
            <v>0</v>
          </cell>
          <cell r="BW103">
            <v>522556586.69999999</v>
          </cell>
          <cell r="CD103">
            <v>0</v>
          </cell>
          <cell r="CG103">
            <v>0</v>
          </cell>
          <cell r="CJ103">
            <v>0</v>
          </cell>
          <cell r="CM103">
            <v>0</v>
          </cell>
          <cell r="CN103">
            <v>0</v>
          </cell>
          <cell r="CP103">
            <v>0</v>
          </cell>
          <cell r="CS103">
            <v>0</v>
          </cell>
          <cell r="CV103">
            <v>0</v>
          </cell>
          <cell r="CY103">
            <v>0</v>
          </cell>
          <cell r="DN103">
            <v>0</v>
          </cell>
          <cell r="DQ103">
            <v>0</v>
          </cell>
          <cell r="DT103">
            <v>0</v>
          </cell>
          <cell r="DW103">
            <v>0</v>
          </cell>
          <cell r="EE103">
            <v>59558797842.049995</v>
          </cell>
          <cell r="EF103">
            <v>61307238259.769997</v>
          </cell>
          <cell r="EG103">
            <v>-1748440417.7200012</v>
          </cell>
        </row>
        <row r="104">
          <cell r="B104">
            <v>2074192</v>
          </cell>
          <cell r="F104">
            <v>445523374768.19</v>
          </cell>
          <cell r="I104">
            <v>11296332236.365601</v>
          </cell>
          <cell r="L104">
            <v>41729384282.547501</v>
          </cell>
          <cell r="O104">
            <v>0</v>
          </cell>
          <cell r="R104">
            <v>0</v>
          </cell>
          <cell r="X104">
            <v>885075489881.20007</v>
          </cell>
          <cell r="AA104">
            <v>0</v>
          </cell>
          <cell r="AD104">
            <v>0</v>
          </cell>
          <cell r="AJ104">
            <v>0</v>
          </cell>
          <cell r="AM104">
            <v>102796116000</v>
          </cell>
          <cell r="AP104">
            <v>1015849180</v>
          </cell>
          <cell r="AS104">
            <v>415582045950</v>
          </cell>
          <cell r="BH104">
            <v>0</v>
          </cell>
          <cell r="BK104">
            <v>0</v>
          </cell>
          <cell r="BN104">
            <v>0</v>
          </cell>
          <cell r="BT104">
            <v>0</v>
          </cell>
          <cell r="BW104">
            <v>38248392199.989998</v>
          </cell>
          <cell r="CD104">
            <v>17335800252.459999</v>
          </cell>
          <cell r="CG104">
            <v>74937690.5</v>
          </cell>
          <cell r="CJ104">
            <v>25632782044.400002</v>
          </cell>
          <cell r="CM104">
            <v>362364864</v>
          </cell>
          <cell r="CN104">
            <v>29242452350</v>
          </cell>
          <cell r="CP104">
            <v>829564738.92999995</v>
          </cell>
          <cell r="CS104">
            <v>18158651</v>
          </cell>
          <cell r="CV104">
            <v>0</v>
          </cell>
          <cell r="CY104">
            <v>0</v>
          </cell>
          <cell r="DN104">
            <v>0</v>
          </cell>
          <cell r="DQ104">
            <v>0</v>
          </cell>
          <cell r="DT104">
            <v>0</v>
          </cell>
          <cell r="DW104">
            <v>0</v>
          </cell>
          <cell r="EE104">
            <v>1985520592739.5833</v>
          </cell>
          <cell r="EF104">
            <v>2019336219841.093</v>
          </cell>
          <cell r="EG104">
            <v>-33815627101.509926</v>
          </cell>
        </row>
        <row r="105">
          <cell r="B105">
            <v>5137977</v>
          </cell>
          <cell r="F105">
            <v>1714875</v>
          </cell>
          <cell r="I105">
            <v>175303052.85210201</v>
          </cell>
          <cell r="L105">
            <v>372268054.95941502</v>
          </cell>
          <cell r="O105">
            <v>0</v>
          </cell>
          <cell r="R105">
            <v>0</v>
          </cell>
          <cell r="X105">
            <v>0</v>
          </cell>
          <cell r="AA105">
            <v>0</v>
          </cell>
          <cell r="AD105">
            <v>0</v>
          </cell>
          <cell r="AJ105">
            <v>0</v>
          </cell>
          <cell r="AM105">
            <v>214450778.69999999</v>
          </cell>
          <cell r="AP105">
            <v>16400</v>
          </cell>
          <cell r="BH105">
            <v>0</v>
          </cell>
          <cell r="BK105">
            <v>0</v>
          </cell>
          <cell r="BN105">
            <v>0</v>
          </cell>
          <cell r="BT105">
            <v>0</v>
          </cell>
          <cell r="BW105">
            <v>84822981.88000001</v>
          </cell>
          <cell r="CD105">
            <v>0</v>
          </cell>
          <cell r="CG105">
            <v>0</v>
          </cell>
          <cell r="CJ105">
            <v>0</v>
          </cell>
          <cell r="CM105">
            <v>7528320</v>
          </cell>
          <cell r="CN105">
            <v>7748404</v>
          </cell>
          <cell r="CP105">
            <v>0</v>
          </cell>
          <cell r="CS105">
            <v>0</v>
          </cell>
          <cell r="CV105">
            <v>0</v>
          </cell>
          <cell r="CY105">
            <v>0</v>
          </cell>
          <cell r="DN105">
            <v>0</v>
          </cell>
          <cell r="DQ105">
            <v>0</v>
          </cell>
          <cell r="DT105">
            <v>0</v>
          </cell>
          <cell r="DW105">
            <v>47000000</v>
          </cell>
          <cell r="EE105">
            <v>903104463.39151704</v>
          </cell>
          <cell r="EF105">
            <v>1011893513.691517</v>
          </cell>
          <cell r="EG105">
            <v>-108789050.30000001</v>
          </cell>
        </row>
        <row r="106">
          <cell r="B106">
            <v>5272378</v>
          </cell>
          <cell r="F106">
            <v>0</v>
          </cell>
          <cell r="I106">
            <v>1053488192.41023</v>
          </cell>
          <cell r="L106">
            <v>2213688399.89747</v>
          </cell>
          <cell r="O106">
            <v>0</v>
          </cell>
          <cell r="R106">
            <v>13631958.359999999</v>
          </cell>
          <cell r="X106">
            <v>0</v>
          </cell>
          <cell r="AA106">
            <v>0</v>
          </cell>
          <cell r="AD106">
            <v>0</v>
          </cell>
          <cell r="AJ106">
            <v>0</v>
          </cell>
          <cell r="AM106">
            <v>0</v>
          </cell>
          <cell r="AP106">
            <v>882000</v>
          </cell>
          <cell r="BH106">
            <v>0</v>
          </cell>
          <cell r="BK106">
            <v>0</v>
          </cell>
          <cell r="BN106">
            <v>0</v>
          </cell>
          <cell r="BT106">
            <v>0</v>
          </cell>
          <cell r="BW106">
            <v>0</v>
          </cell>
          <cell r="CD106">
            <v>0</v>
          </cell>
          <cell r="CG106">
            <v>0</v>
          </cell>
          <cell r="CJ106">
            <v>0</v>
          </cell>
          <cell r="CM106">
            <v>0</v>
          </cell>
          <cell r="CN106">
            <v>0</v>
          </cell>
          <cell r="CP106">
            <v>0</v>
          </cell>
          <cell r="CS106">
            <v>0</v>
          </cell>
          <cell r="CV106">
            <v>0</v>
          </cell>
          <cell r="CY106">
            <v>0</v>
          </cell>
          <cell r="DN106">
            <v>0</v>
          </cell>
          <cell r="DQ106">
            <v>0</v>
          </cell>
          <cell r="DT106">
            <v>0</v>
          </cell>
          <cell r="DW106">
            <v>0</v>
          </cell>
          <cell r="EE106">
            <v>3281690550.6677003</v>
          </cell>
          <cell r="EF106">
            <v>3267176592.3077002</v>
          </cell>
          <cell r="EG106">
            <v>14513958.359999999</v>
          </cell>
        </row>
        <row r="107">
          <cell r="F107">
            <v>1987822772915.1099</v>
          </cell>
          <cell r="I107">
            <v>74798922253.492249</v>
          </cell>
          <cell r="L107">
            <v>351919186133.59521</v>
          </cell>
          <cell r="O107">
            <v>19250750</v>
          </cell>
          <cell r="R107">
            <v>13631958.359999999</v>
          </cell>
          <cell r="X107">
            <v>4446611101607.6006</v>
          </cell>
          <cell r="AA107">
            <v>1528529339.7200003</v>
          </cell>
          <cell r="AD107">
            <v>1355758334.4400001</v>
          </cell>
          <cell r="AJ107">
            <v>65452094489.740005</v>
          </cell>
          <cell r="AM107">
            <v>533835393340.0799</v>
          </cell>
          <cell r="AP107">
            <v>108030636125.33</v>
          </cell>
          <cell r="AS107">
            <v>417082045950</v>
          </cell>
          <cell r="BB107">
            <v>0</v>
          </cell>
          <cell r="BE107">
            <v>0</v>
          </cell>
          <cell r="BH107">
            <v>74123821</v>
          </cell>
          <cell r="BK107">
            <v>574238759</v>
          </cell>
          <cell r="BN107">
            <v>0</v>
          </cell>
          <cell r="BQ107">
            <v>0</v>
          </cell>
          <cell r="BT107">
            <v>138537400</v>
          </cell>
          <cell r="BW107">
            <v>258765106757.84998</v>
          </cell>
          <cell r="CD107">
            <v>18020392267.23</v>
          </cell>
          <cell r="CG107">
            <v>3465871783.3799996</v>
          </cell>
          <cell r="CJ107">
            <v>26515363068.280003</v>
          </cell>
          <cell r="CM107">
            <v>1396660864.6799998</v>
          </cell>
          <cell r="CN107">
            <v>69422765868.589996</v>
          </cell>
          <cell r="CP107">
            <v>883982802.83999991</v>
          </cell>
          <cell r="CS107">
            <v>4405165272.3100004</v>
          </cell>
          <cell r="CV107">
            <v>0</v>
          </cell>
          <cell r="CY107">
            <v>0</v>
          </cell>
          <cell r="DK107">
            <v>0</v>
          </cell>
          <cell r="DN107">
            <v>18243900</v>
          </cell>
          <cell r="DQ107">
            <v>0</v>
          </cell>
          <cell r="DT107">
            <v>0</v>
          </cell>
          <cell r="DW107">
            <v>1697690450</v>
          </cell>
          <cell r="EE107">
            <v>8305472366715.6904</v>
          </cell>
          <cell r="EF107">
            <v>8439143458570.5098</v>
          </cell>
          <cell r="EG107">
            <v>-133671091854.821</v>
          </cell>
        </row>
        <row r="110">
          <cell r="F110">
            <v>60538216468.391357</v>
          </cell>
          <cell r="I110">
            <v>6378345957.0593719</v>
          </cell>
          <cell r="L110">
            <v>47675842912.814697</v>
          </cell>
          <cell r="O110">
            <v>37475000</v>
          </cell>
          <cell r="R110">
            <v>216374229.41999996</v>
          </cell>
          <cell r="X110">
            <v>1725302132.3203125</v>
          </cell>
          <cell r="AA110">
            <v>1699921737.4499998</v>
          </cell>
          <cell r="AD110">
            <v>1833388212.2799997</v>
          </cell>
          <cell r="AJ110">
            <v>771661949.99999237</v>
          </cell>
          <cell r="AM110">
            <v>125132513032.13922</v>
          </cell>
          <cell r="AP110">
            <v>4266688911.1000061</v>
          </cell>
          <cell r="BK110">
            <v>2089758150</v>
          </cell>
          <cell r="BT110">
            <v>209772600</v>
          </cell>
          <cell r="CD110">
            <v>670311222.4209938</v>
          </cell>
          <cell r="CJ110">
            <v>807255468.14398575</v>
          </cell>
        </row>
        <row r="111">
          <cell r="AD111" t="str">
            <v>2 байгууллагын регистр ороогүй учир зөрсөн</v>
          </cell>
          <cell r="BT111" t="str">
            <v>Хятад компанитай холбоотой</v>
          </cell>
        </row>
      </sheetData>
      <sheetData sheetId="2"/>
      <sheetData sheetId="3"/>
      <sheetData sheetId="4">
        <row r="3">
          <cell r="B3" t="str">
            <v>РД</v>
          </cell>
        </row>
        <row r="4">
          <cell r="B4">
            <v>2011239</v>
          </cell>
        </row>
        <row r="5">
          <cell r="B5">
            <v>5097517</v>
          </cell>
        </row>
        <row r="6">
          <cell r="B6">
            <v>5809797</v>
          </cell>
        </row>
        <row r="7">
          <cell r="B7">
            <v>5118344</v>
          </cell>
        </row>
        <row r="8">
          <cell r="B8">
            <v>5095549</v>
          </cell>
        </row>
        <row r="9">
          <cell r="B9">
            <v>2784165</v>
          </cell>
        </row>
        <row r="10">
          <cell r="B10">
            <v>5133351</v>
          </cell>
        </row>
        <row r="11">
          <cell r="B11">
            <v>6172768</v>
          </cell>
        </row>
        <row r="12">
          <cell r="B12">
            <v>2788705</v>
          </cell>
        </row>
        <row r="13">
          <cell r="B13">
            <v>5439183</v>
          </cell>
        </row>
        <row r="14">
          <cell r="B14">
            <v>2008572</v>
          </cell>
        </row>
        <row r="15">
          <cell r="B15">
            <v>5215919</v>
          </cell>
        </row>
        <row r="16">
          <cell r="B16">
            <v>5502977</v>
          </cell>
        </row>
        <row r="17">
          <cell r="B17">
            <v>2708701</v>
          </cell>
        </row>
        <row r="18">
          <cell r="B18">
            <v>2014491</v>
          </cell>
        </row>
        <row r="19">
          <cell r="B19">
            <v>6414877</v>
          </cell>
        </row>
        <row r="20">
          <cell r="B20">
            <v>5369223</v>
          </cell>
        </row>
        <row r="21">
          <cell r="B21">
            <v>5294088</v>
          </cell>
        </row>
        <row r="22">
          <cell r="B22">
            <v>2855119</v>
          </cell>
        </row>
        <row r="23">
          <cell r="B23">
            <v>2094533</v>
          </cell>
        </row>
        <row r="24">
          <cell r="B24">
            <v>5722942</v>
          </cell>
        </row>
        <row r="25">
          <cell r="B25">
            <v>2867494</v>
          </cell>
        </row>
        <row r="26">
          <cell r="B26">
            <v>6463932</v>
          </cell>
        </row>
        <row r="27">
          <cell r="B27">
            <v>5260833</v>
          </cell>
        </row>
        <row r="28">
          <cell r="B28">
            <v>2051303</v>
          </cell>
        </row>
        <row r="29">
          <cell r="B29">
            <v>2061848</v>
          </cell>
        </row>
        <row r="30">
          <cell r="B30">
            <v>2766337</v>
          </cell>
        </row>
        <row r="31">
          <cell r="B31">
            <v>5810086</v>
          </cell>
        </row>
        <row r="32">
          <cell r="B32">
            <v>5217652</v>
          </cell>
        </row>
        <row r="33">
          <cell r="B33">
            <v>2780518</v>
          </cell>
        </row>
        <row r="34">
          <cell r="B34">
            <v>5272378</v>
          </cell>
        </row>
        <row r="35">
          <cell r="B35">
            <v>5467268</v>
          </cell>
        </row>
        <row r="36">
          <cell r="B36">
            <v>5522935</v>
          </cell>
        </row>
        <row r="37">
          <cell r="B37">
            <v>5528089</v>
          </cell>
        </row>
        <row r="38">
          <cell r="B38">
            <v>5396662</v>
          </cell>
        </row>
        <row r="39">
          <cell r="B39">
            <v>5830974</v>
          </cell>
        </row>
        <row r="40">
          <cell r="B40">
            <v>2057573</v>
          </cell>
        </row>
        <row r="41">
          <cell r="B41">
            <v>5699134</v>
          </cell>
        </row>
        <row r="42">
          <cell r="B42">
            <v>5412153</v>
          </cell>
        </row>
        <row r="43">
          <cell r="B43">
            <v>2034859</v>
          </cell>
        </row>
        <row r="44">
          <cell r="B44">
            <v>5253535</v>
          </cell>
        </row>
        <row r="45">
          <cell r="B45">
            <v>5150884</v>
          </cell>
        </row>
        <row r="46">
          <cell r="B46">
            <v>5051304</v>
          </cell>
        </row>
        <row r="47">
          <cell r="B47">
            <v>5401801</v>
          </cell>
        </row>
        <row r="48">
          <cell r="B48">
            <v>2550466</v>
          </cell>
        </row>
        <row r="49">
          <cell r="B49">
            <v>5051134</v>
          </cell>
        </row>
        <row r="50">
          <cell r="B50">
            <v>2095025</v>
          </cell>
        </row>
        <row r="51">
          <cell r="B51">
            <v>2045931</v>
          </cell>
        </row>
        <row r="52">
          <cell r="B52">
            <v>2029278</v>
          </cell>
        </row>
        <row r="53">
          <cell r="B53">
            <v>5106567</v>
          </cell>
        </row>
        <row r="54">
          <cell r="B54">
            <v>5141583</v>
          </cell>
        </row>
        <row r="55">
          <cell r="B55">
            <v>5118115</v>
          </cell>
        </row>
        <row r="56">
          <cell r="B56">
            <v>5106656</v>
          </cell>
        </row>
        <row r="57">
          <cell r="B57">
            <v>2010895</v>
          </cell>
        </row>
        <row r="58">
          <cell r="B58">
            <v>5295858</v>
          </cell>
        </row>
        <row r="59">
          <cell r="B59">
            <v>6287727</v>
          </cell>
        </row>
        <row r="60">
          <cell r="B60">
            <v>2659603</v>
          </cell>
        </row>
        <row r="61">
          <cell r="B61">
            <v>2678187</v>
          </cell>
        </row>
        <row r="62">
          <cell r="B62">
            <v>2657457</v>
          </cell>
        </row>
        <row r="63">
          <cell r="B63">
            <v>3615243</v>
          </cell>
        </row>
        <row r="64">
          <cell r="B64">
            <v>3623955</v>
          </cell>
        </row>
        <row r="65">
          <cell r="B65">
            <v>5199077</v>
          </cell>
        </row>
        <row r="66">
          <cell r="B66">
            <v>2075385</v>
          </cell>
        </row>
        <row r="67">
          <cell r="B67">
            <v>2867095</v>
          </cell>
        </row>
        <row r="68">
          <cell r="B68">
            <v>5076285</v>
          </cell>
        </row>
        <row r="69">
          <cell r="B69">
            <v>5084555</v>
          </cell>
        </row>
        <row r="70">
          <cell r="B70">
            <v>5261198</v>
          </cell>
        </row>
        <row r="71">
          <cell r="B71">
            <v>5288703</v>
          </cell>
        </row>
        <row r="72">
          <cell r="B72">
            <v>6232485</v>
          </cell>
        </row>
        <row r="73">
          <cell r="B73">
            <v>6101615</v>
          </cell>
        </row>
        <row r="74">
          <cell r="B74">
            <v>5120365</v>
          </cell>
        </row>
        <row r="75">
          <cell r="B75">
            <v>2016656</v>
          </cell>
        </row>
        <row r="76">
          <cell r="B76">
            <v>5872006</v>
          </cell>
        </row>
        <row r="77">
          <cell r="B77">
            <v>5774047</v>
          </cell>
        </row>
        <row r="78">
          <cell r="B78">
            <v>5105439</v>
          </cell>
        </row>
        <row r="79">
          <cell r="B79">
            <v>2663813</v>
          </cell>
        </row>
        <row r="80">
          <cell r="B80">
            <v>2016931</v>
          </cell>
        </row>
        <row r="81">
          <cell r="B81">
            <v>5513618</v>
          </cell>
        </row>
        <row r="82">
          <cell r="B82">
            <v>2807459</v>
          </cell>
        </row>
        <row r="83">
          <cell r="B83">
            <v>2872943</v>
          </cell>
        </row>
        <row r="84">
          <cell r="B84">
            <v>6268048</v>
          </cell>
        </row>
        <row r="85">
          <cell r="B85">
            <v>5874963</v>
          </cell>
        </row>
        <row r="86">
          <cell r="B86">
            <v>6636624</v>
          </cell>
        </row>
        <row r="87">
          <cell r="B87">
            <v>2839717</v>
          </cell>
        </row>
        <row r="88">
          <cell r="B88">
            <v>2344343</v>
          </cell>
        </row>
        <row r="89">
          <cell r="B89">
            <v>2819996</v>
          </cell>
        </row>
        <row r="90">
          <cell r="B90">
            <v>2868687</v>
          </cell>
        </row>
        <row r="91">
          <cell r="B91">
            <v>5877288</v>
          </cell>
        </row>
        <row r="92">
          <cell r="B92">
            <v>6195598</v>
          </cell>
        </row>
        <row r="93">
          <cell r="B93">
            <v>6413811</v>
          </cell>
        </row>
        <row r="94">
          <cell r="B94">
            <v>2887134</v>
          </cell>
        </row>
        <row r="95">
          <cell r="B95">
            <v>2618176</v>
          </cell>
        </row>
        <row r="96">
          <cell r="B96">
            <v>5364884</v>
          </cell>
        </row>
        <row r="97">
          <cell r="B97">
            <v>2100231</v>
          </cell>
        </row>
        <row r="98">
          <cell r="B98">
            <v>2661128</v>
          </cell>
        </row>
        <row r="99">
          <cell r="B99">
            <v>5878756</v>
          </cell>
        </row>
        <row r="100">
          <cell r="B100">
            <v>2166631</v>
          </cell>
        </row>
        <row r="101">
          <cell r="B101">
            <v>5671833</v>
          </cell>
        </row>
        <row r="102">
          <cell r="B102">
            <v>5104424</v>
          </cell>
        </row>
        <row r="103">
          <cell r="B103">
            <v>2668505</v>
          </cell>
        </row>
        <row r="104">
          <cell r="B104">
            <v>2697947</v>
          </cell>
        </row>
        <row r="105">
          <cell r="B105">
            <v>5352827</v>
          </cell>
        </row>
        <row r="106">
          <cell r="B106">
            <v>2548747</v>
          </cell>
        </row>
        <row r="107">
          <cell r="B107">
            <v>2641984</v>
          </cell>
        </row>
        <row r="108">
          <cell r="B108">
            <v>6342485</v>
          </cell>
        </row>
        <row r="109">
          <cell r="B109">
            <v>5166667</v>
          </cell>
        </row>
        <row r="110">
          <cell r="B110">
            <v>5482046</v>
          </cell>
        </row>
        <row r="111">
          <cell r="B111">
            <v>2050374</v>
          </cell>
        </row>
        <row r="112">
          <cell r="B112">
            <v>2004879</v>
          </cell>
        </row>
        <row r="113">
          <cell r="B113">
            <v>2830213</v>
          </cell>
        </row>
        <row r="114">
          <cell r="B114">
            <v>5320607</v>
          </cell>
        </row>
        <row r="115">
          <cell r="B115">
            <v>5586119</v>
          </cell>
        </row>
        <row r="116">
          <cell r="B116">
            <v>5015243</v>
          </cell>
        </row>
        <row r="117">
          <cell r="B117">
            <v>5452503</v>
          </cell>
        </row>
        <row r="118">
          <cell r="B118">
            <v>2887746</v>
          </cell>
        </row>
        <row r="119">
          <cell r="B119">
            <v>5618339</v>
          </cell>
        </row>
        <row r="120">
          <cell r="B120">
            <v>2718243</v>
          </cell>
        </row>
        <row r="121">
          <cell r="B121">
            <v>6896197</v>
          </cell>
        </row>
        <row r="122">
          <cell r="B122">
            <v>5435528</v>
          </cell>
        </row>
        <row r="123">
          <cell r="B123">
            <v>5824826</v>
          </cell>
        </row>
        <row r="124">
          <cell r="B124">
            <v>6141536</v>
          </cell>
        </row>
        <row r="125">
          <cell r="B125">
            <v>5124913</v>
          </cell>
        </row>
        <row r="126">
          <cell r="B126">
            <v>2074192</v>
          </cell>
        </row>
        <row r="127">
          <cell r="B127">
            <v>2861224</v>
          </cell>
        </row>
        <row r="128">
          <cell r="B128">
            <v>5137977</v>
          </cell>
        </row>
      </sheetData>
      <sheetData sheetId="5">
        <row r="2">
          <cell r="B2" t="str">
            <v>Регистрийн дугаар</v>
          </cell>
        </row>
        <row r="4">
          <cell r="B4">
            <v>2011239</v>
          </cell>
        </row>
        <row r="5">
          <cell r="B5">
            <v>5097517</v>
          </cell>
        </row>
        <row r="6">
          <cell r="B6">
            <v>5809797</v>
          </cell>
        </row>
        <row r="7">
          <cell r="B7">
            <v>5118344</v>
          </cell>
        </row>
        <row r="8">
          <cell r="B8">
            <v>5095549</v>
          </cell>
        </row>
        <row r="9">
          <cell r="B9">
            <v>2784165</v>
          </cell>
        </row>
        <row r="10">
          <cell r="B10">
            <v>5133351</v>
          </cell>
        </row>
        <row r="11">
          <cell r="B11">
            <v>6172768</v>
          </cell>
        </row>
        <row r="12">
          <cell r="B12">
            <v>2788705</v>
          </cell>
        </row>
        <row r="13">
          <cell r="B13">
            <v>5439183</v>
          </cell>
        </row>
        <row r="14">
          <cell r="B14">
            <v>2008572</v>
          </cell>
        </row>
        <row r="15">
          <cell r="B15">
            <v>5215919</v>
          </cell>
        </row>
        <row r="16">
          <cell r="B16">
            <v>5502977</v>
          </cell>
        </row>
        <row r="17">
          <cell r="B17">
            <v>2708701</v>
          </cell>
        </row>
        <row r="18">
          <cell r="B18">
            <v>2014491</v>
          </cell>
        </row>
        <row r="19">
          <cell r="B19">
            <v>6414877</v>
          </cell>
        </row>
        <row r="20">
          <cell r="B20">
            <v>5369223</v>
          </cell>
        </row>
        <row r="21">
          <cell r="B21">
            <v>5294088</v>
          </cell>
        </row>
        <row r="22">
          <cell r="B22">
            <v>2855119</v>
          </cell>
        </row>
        <row r="23">
          <cell r="B23">
            <v>2094533</v>
          </cell>
        </row>
        <row r="24">
          <cell r="B24">
            <v>5722942</v>
          </cell>
        </row>
        <row r="25">
          <cell r="B25">
            <v>2867494</v>
          </cell>
        </row>
        <row r="26">
          <cell r="B26">
            <v>6463932</v>
          </cell>
        </row>
        <row r="27">
          <cell r="B27">
            <v>5260833</v>
          </cell>
        </row>
        <row r="28">
          <cell r="B28">
            <v>2051303</v>
          </cell>
        </row>
        <row r="29">
          <cell r="B29">
            <v>2061848</v>
          </cell>
        </row>
        <row r="30">
          <cell r="B30">
            <v>2766337</v>
          </cell>
        </row>
        <row r="31">
          <cell r="B31">
            <v>5810086</v>
          </cell>
        </row>
        <row r="32">
          <cell r="B32">
            <v>5217652</v>
          </cell>
        </row>
        <row r="33">
          <cell r="B33">
            <v>2780518</v>
          </cell>
        </row>
        <row r="34">
          <cell r="B34">
            <v>5272378</v>
          </cell>
        </row>
        <row r="35">
          <cell r="B35">
            <v>5467268</v>
          </cell>
        </row>
        <row r="36">
          <cell r="B36">
            <v>5522935</v>
          </cell>
        </row>
        <row r="37">
          <cell r="B37">
            <v>5528089</v>
          </cell>
        </row>
        <row r="38">
          <cell r="B38">
            <v>5396662</v>
          </cell>
        </row>
        <row r="39">
          <cell r="B39">
            <v>5830974</v>
          </cell>
        </row>
        <row r="40">
          <cell r="B40">
            <v>2057573</v>
          </cell>
        </row>
        <row r="41">
          <cell r="B41">
            <v>5699134</v>
          </cell>
        </row>
        <row r="42">
          <cell r="B42">
            <v>5412153</v>
          </cell>
        </row>
        <row r="43">
          <cell r="B43">
            <v>2034859</v>
          </cell>
        </row>
        <row r="44">
          <cell r="B44">
            <v>5253535</v>
          </cell>
        </row>
        <row r="45">
          <cell r="B45">
            <v>5150884</v>
          </cell>
        </row>
        <row r="46">
          <cell r="B46">
            <v>5051304</v>
          </cell>
        </row>
        <row r="47">
          <cell r="B47">
            <v>5401801</v>
          </cell>
        </row>
        <row r="48">
          <cell r="B48">
            <v>2550466</v>
          </cell>
        </row>
        <row r="49">
          <cell r="B49">
            <v>5051134</v>
          </cell>
        </row>
        <row r="50">
          <cell r="B50">
            <v>2095025</v>
          </cell>
        </row>
        <row r="51">
          <cell r="B51">
            <v>2045931</v>
          </cell>
        </row>
        <row r="52">
          <cell r="B52">
            <v>2029278</v>
          </cell>
        </row>
        <row r="53">
          <cell r="B53">
            <v>5106567</v>
          </cell>
        </row>
        <row r="54">
          <cell r="B54">
            <v>5141583</v>
          </cell>
        </row>
        <row r="55">
          <cell r="B55">
            <v>5118115</v>
          </cell>
        </row>
        <row r="56">
          <cell r="B56">
            <v>5106656</v>
          </cell>
        </row>
        <row r="57">
          <cell r="B57">
            <v>2010895</v>
          </cell>
        </row>
        <row r="58">
          <cell r="B58">
            <v>5295858</v>
          </cell>
        </row>
        <row r="59">
          <cell r="B59">
            <v>6287727</v>
          </cell>
        </row>
        <row r="60">
          <cell r="B60">
            <v>2659603</v>
          </cell>
        </row>
        <row r="61">
          <cell r="B61">
            <v>2678187</v>
          </cell>
        </row>
        <row r="62">
          <cell r="B62">
            <v>2657457</v>
          </cell>
        </row>
        <row r="63">
          <cell r="B63">
            <v>3615243</v>
          </cell>
        </row>
        <row r="64">
          <cell r="B64">
            <v>3623955</v>
          </cell>
        </row>
        <row r="65">
          <cell r="B65">
            <v>5199077</v>
          </cell>
        </row>
        <row r="66">
          <cell r="B66">
            <v>2075385</v>
          </cell>
        </row>
        <row r="67">
          <cell r="B67">
            <v>2867095</v>
          </cell>
        </row>
        <row r="68">
          <cell r="B68">
            <v>5076285</v>
          </cell>
        </row>
        <row r="69">
          <cell r="B69">
            <v>5084555</v>
          </cell>
        </row>
        <row r="70">
          <cell r="B70">
            <v>5261198</v>
          </cell>
        </row>
        <row r="71">
          <cell r="B71">
            <v>5288703</v>
          </cell>
        </row>
        <row r="72">
          <cell r="B72">
            <v>6232485</v>
          </cell>
        </row>
        <row r="73">
          <cell r="B73">
            <v>6101615</v>
          </cell>
        </row>
        <row r="74">
          <cell r="B74">
            <v>5120365</v>
          </cell>
        </row>
        <row r="75">
          <cell r="B75">
            <v>2016656</v>
          </cell>
        </row>
        <row r="76">
          <cell r="B76">
            <v>5872006</v>
          </cell>
        </row>
        <row r="77">
          <cell r="B77">
            <v>5774047</v>
          </cell>
        </row>
        <row r="78">
          <cell r="B78">
            <v>5105439</v>
          </cell>
        </row>
        <row r="79">
          <cell r="B79">
            <v>2663813</v>
          </cell>
        </row>
        <row r="80">
          <cell r="B80">
            <v>2016931</v>
          </cell>
        </row>
        <row r="81">
          <cell r="B81">
            <v>5513618</v>
          </cell>
        </row>
        <row r="82">
          <cell r="B82">
            <v>2807459</v>
          </cell>
        </row>
        <row r="83">
          <cell r="B83">
            <v>2872943</v>
          </cell>
        </row>
        <row r="84">
          <cell r="B84">
            <v>6268048</v>
          </cell>
        </row>
        <row r="85">
          <cell r="B85">
            <v>5874963</v>
          </cell>
        </row>
        <row r="86">
          <cell r="B86">
            <v>6636624</v>
          </cell>
        </row>
        <row r="87">
          <cell r="B87">
            <v>2839717</v>
          </cell>
        </row>
        <row r="88">
          <cell r="B88">
            <v>2344343</v>
          </cell>
        </row>
        <row r="89">
          <cell r="B89">
            <v>2819996</v>
          </cell>
        </row>
        <row r="90">
          <cell r="B90">
            <v>2868687</v>
          </cell>
        </row>
        <row r="91">
          <cell r="B91">
            <v>5877288</v>
          </cell>
        </row>
        <row r="92">
          <cell r="B92">
            <v>6195598</v>
          </cell>
        </row>
        <row r="93">
          <cell r="B93">
            <v>6413811</v>
          </cell>
        </row>
        <row r="94">
          <cell r="B94">
            <v>2887134</v>
          </cell>
        </row>
        <row r="95">
          <cell r="B95">
            <v>2618176</v>
          </cell>
        </row>
        <row r="96">
          <cell r="B96">
            <v>5364884</v>
          </cell>
        </row>
        <row r="97">
          <cell r="B97">
            <v>2100231</v>
          </cell>
        </row>
        <row r="98">
          <cell r="B98">
            <v>2661128</v>
          </cell>
        </row>
        <row r="99">
          <cell r="B99">
            <v>5878756</v>
          </cell>
        </row>
        <row r="100">
          <cell r="B100">
            <v>2166631</v>
          </cell>
        </row>
        <row r="101">
          <cell r="B101">
            <v>5671833</v>
          </cell>
        </row>
        <row r="102">
          <cell r="B102">
            <v>5104424</v>
          </cell>
        </row>
        <row r="103">
          <cell r="B103">
            <v>2668505</v>
          </cell>
        </row>
        <row r="104">
          <cell r="B104">
            <v>2697947</v>
          </cell>
        </row>
        <row r="105">
          <cell r="B105">
            <v>5352827</v>
          </cell>
        </row>
        <row r="106">
          <cell r="B106">
            <v>2548747</v>
          </cell>
        </row>
        <row r="107">
          <cell r="B107">
            <v>2641984</v>
          </cell>
        </row>
        <row r="108">
          <cell r="B108">
            <v>6342485</v>
          </cell>
        </row>
        <row r="109">
          <cell r="B109">
            <v>5166667</v>
          </cell>
        </row>
        <row r="110">
          <cell r="B110">
            <v>5482046</v>
          </cell>
        </row>
        <row r="111">
          <cell r="B111">
            <v>2050374</v>
          </cell>
        </row>
        <row r="112">
          <cell r="B112">
            <v>2004879</v>
          </cell>
        </row>
        <row r="113">
          <cell r="B113">
            <v>2830213</v>
          </cell>
        </row>
        <row r="114">
          <cell r="B114">
            <v>5320607</v>
          </cell>
        </row>
        <row r="115">
          <cell r="B115">
            <v>5586119</v>
          </cell>
        </row>
        <row r="116">
          <cell r="B116">
            <v>5015243</v>
          </cell>
        </row>
        <row r="117">
          <cell r="B117">
            <v>5452503</v>
          </cell>
        </row>
        <row r="118">
          <cell r="B118">
            <v>2887746</v>
          </cell>
        </row>
        <row r="119">
          <cell r="B119">
            <v>5618339</v>
          </cell>
        </row>
        <row r="120">
          <cell r="B120">
            <v>2718243</v>
          </cell>
        </row>
        <row r="121">
          <cell r="B121">
            <v>6896197</v>
          </cell>
        </row>
        <row r="122">
          <cell r="B122">
            <v>5435528</v>
          </cell>
        </row>
        <row r="123">
          <cell r="B123">
            <v>5824826</v>
          </cell>
        </row>
        <row r="124">
          <cell r="B124">
            <v>6141536</v>
          </cell>
        </row>
        <row r="125">
          <cell r="B125">
            <v>5124913</v>
          </cell>
        </row>
        <row r="126">
          <cell r="B126">
            <v>2074192</v>
          </cell>
        </row>
        <row r="127">
          <cell r="B127">
            <v>2861224</v>
          </cell>
        </row>
        <row r="128">
          <cell r="B128">
            <v>5137977</v>
          </cell>
        </row>
      </sheetData>
      <sheetData sheetId="6">
        <row r="2">
          <cell r="B2" t="str">
            <v>РД</v>
          </cell>
        </row>
        <row r="3">
          <cell r="B3">
            <v>5199077</v>
          </cell>
        </row>
        <row r="4">
          <cell r="B4">
            <v>2045931</v>
          </cell>
        </row>
        <row r="5">
          <cell r="B5">
            <v>2697947</v>
          </cell>
        </row>
        <row r="6">
          <cell r="B6">
            <v>2016656</v>
          </cell>
        </row>
        <row r="7">
          <cell r="B7">
            <v>2051303</v>
          </cell>
        </row>
        <row r="8">
          <cell r="B8">
            <v>2641984</v>
          </cell>
        </row>
        <row r="9">
          <cell r="B9">
            <v>5051304</v>
          </cell>
        </row>
        <row r="10">
          <cell r="B10">
            <v>2050374</v>
          </cell>
        </row>
        <row r="11">
          <cell r="B11">
            <v>5215919</v>
          </cell>
        </row>
        <row r="12">
          <cell r="B12">
            <v>6463932</v>
          </cell>
        </row>
        <row r="13">
          <cell r="B13">
            <v>5396662</v>
          </cell>
        </row>
        <row r="14">
          <cell r="B14">
            <v>2004879</v>
          </cell>
        </row>
        <row r="15">
          <cell r="B15">
            <v>5076285</v>
          </cell>
        </row>
        <row r="16">
          <cell r="B16">
            <v>5467268</v>
          </cell>
        </row>
        <row r="17">
          <cell r="B17">
            <v>2659603</v>
          </cell>
        </row>
        <row r="18">
          <cell r="B18">
            <v>5051134</v>
          </cell>
        </row>
        <row r="19">
          <cell r="B19">
            <v>6287727</v>
          </cell>
        </row>
        <row r="20">
          <cell r="B20">
            <v>3615243</v>
          </cell>
        </row>
        <row r="21">
          <cell r="B21">
            <v>5106567</v>
          </cell>
        </row>
        <row r="22">
          <cell r="B22">
            <v>5513618</v>
          </cell>
        </row>
        <row r="23">
          <cell r="B23">
            <v>2548747</v>
          </cell>
        </row>
        <row r="24">
          <cell r="B24">
            <v>2166631</v>
          </cell>
        </row>
        <row r="25">
          <cell r="B25">
            <v>6172768</v>
          </cell>
        </row>
        <row r="26">
          <cell r="B26">
            <v>2868687</v>
          </cell>
        </row>
        <row r="27">
          <cell r="B27">
            <v>5105439</v>
          </cell>
        </row>
        <row r="28">
          <cell r="B28">
            <v>5482046</v>
          </cell>
        </row>
        <row r="29">
          <cell r="B29">
            <v>2016931</v>
          </cell>
        </row>
        <row r="30">
          <cell r="B30">
            <v>5412153</v>
          </cell>
        </row>
        <row r="31">
          <cell r="B31">
            <v>2867095</v>
          </cell>
        </row>
        <row r="32">
          <cell r="B32">
            <v>3623955</v>
          </cell>
        </row>
        <row r="33">
          <cell r="B33">
            <v>5824826</v>
          </cell>
        </row>
        <row r="34">
          <cell r="B34">
            <v>2075385</v>
          </cell>
        </row>
        <row r="35">
          <cell r="B35">
            <v>5522935</v>
          </cell>
        </row>
        <row r="36">
          <cell r="B36">
            <v>2010895</v>
          </cell>
        </row>
        <row r="37">
          <cell r="B37">
            <v>2830213</v>
          </cell>
        </row>
        <row r="38">
          <cell r="B38">
            <v>5722942</v>
          </cell>
        </row>
        <row r="39">
          <cell r="B39">
            <v>2807459</v>
          </cell>
        </row>
        <row r="40">
          <cell r="B40">
            <v>5141583</v>
          </cell>
        </row>
        <row r="41">
          <cell r="B41">
            <v>2661128</v>
          </cell>
        </row>
        <row r="42">
          <cell r="B42">
            <v>5878756</v>
          </cell>
        </row>
        <row r="43">
          <cell r="B43">
            <v>5874963</v>
          </cell>
        </row>
        <row r="44">
          <cell r="B44">
            <v>6195598</v>
          </cell>
        </row>
        <row r="45">
          <cell r="B45">
            <v>5253535</v>
          </cell>
        </row>
        <row r="46">
          <cell r="B46">
            <v>6636624</v>
          </cell>
        </row>
        <row r="47">
          <cell r="B47">
            <v>2867494</v>
          </cell>
        </row>
        <row r="48">
          <cell r="B48">
            <v>5320607</v>
          </cell>
        </row>
        <row r="49">
          <cell r="B49">
            <v>5272378</v>
          </cell>
        </row>
        <row r="50">
          <cell r="B50">
            <v>2011239</v>
          </cell>
        </row>
        <row r="51">
          <cell r="B51">
            <v>5295858</v>
          </cell>
        </row>
        <row r="52">
          <cell r="B52">
            <v>5118115</v>
          </cell>
        </row>
        <row r="53">
          <cell r="B53">
            <v>5809797</v>
          </cell>
        </row>
        <row r="54">
          <cell r="B54">
            <v>5095549</v>
          </cell>
        </row>
        <row r="55">
          <cell r="B55">
            <v>2788705</v>
          </cell>
        </row>
        <row r="56">
          <cell r="B56">
            <v>5260833</v>
          </cell>
        </row>
        <row r="57">
          <cell r="B57">
            <v>2766337</v>
          </cell>
        </row>
        <row r="58">
          <cell r="B58">
            <v>5810086</v>
          </cell>
        </row>
        <row r="59">
          <cell r="B59">
            <v>2780518</v>
          </cell>
        </row>
        <row r="60">
          <cell r="B60">
            <v>5528089</v>
          </cell>
        </row>
        <row r="61">
          <cell r="B61">
            <v>2057573</v>
          </cell>
        </row>
        <row r="62">
          <cell r="B62">
            <v>2034859</v>
          </cell>
        </row>
        <row r="63">
          <cell r="B63">
            <v>5150884</v>
          </cell>
        </row>
        <row r="64">
          <cell r="B64">
            <v>5401801</v>
          </cell>
        </row>
        <row r="65">
          <cell r="B65">
            <v>5106656</v>
          </cell>
        </row>
        <row r="66">
          <cell r="B66">
            <v>5120365</v>
          </cell>
        </row>
        <row r="67">
          <cell r="B67">
            <v>5774047</v>
          </cell>
        </row>
        <row r="68">
          <cell r="B68">
            <v>2663813</v>
          </cell>
        </row>
        <row r="69">
          <cell r="B69">
            <v>5364884</v>
          </cell>
        </row>
        <row r="70">
          <cell r="B70">
            <v>5104424</v>
          </cell>
        </row>
        <row r="71">
          <cell r="B71">
            <v>5586119</v>
          </cell>
        </row>
        <row r="72">
          <cell r="B72">
            <v>5618339</v>
          </cell>
        </row>
        <row r="73">
          <cell r="B73">
            <v>6141536</v>
          </cell>
        </row>
        <row r="74">
          <cell r="B74">
            <v>2861224</v>
          </cell>
        </row>
        <row r="75">
          <cell r="B75">
            <v>6414877</v>
          </cell>
        </row>
        <row r="76">
          <cell r="B76">
            <v>5699134</v>
          </cell>
        </row>
        <row r="77">
          <cell r="B77">
            <v>6342485</v>
          </cell>
        </row>
        <row r="78">
          <cell r="B78">
            <v>6896197</v>
          </cell>
        </row>
        <row r="79">
          <cell r="B79">
            <v>5118344</v>
          </cell>
        </row>
        <row r="80">
          <cell r="B80">
            <v>5166667</v>
          </cell>
        </row>
        <row r="81">
          <cell r="B81">
            <v>5439183</v>
          </cell>
        </row>
        <row r="82">
          <cell r="B82">
            <v>5872006</v>
          </cell>
        </row>
        <row r="83">
          <cell r="B83">
            <v>5452503</v>
          </cell>
        </row>
        <row r="84">
          <cell r="B84">
            <v>2668505</v>
          </cell>
        </row>
        <row r="85">
          <cell r="B85">
            <v>5369223</v>
          </cell>
        </row>
        <row r="86">
          <cell r="B86">
            <v>5097517</v>
          </cell>
        </row>
        <row r="87">
          <cell r="B87">
            <v>2014491</v>
          </cell>
        </row>
        <row r="88">
          <cell r="B88">
            <v>2344343</v>
          </cell>
        </row>
        <row r="89">
          <cell r="B89">
            <v>5288703</v>
          </cell>
        </row>
        <row r="90">
          <cell r="B90">
            <v>5133351</v>
          </cell>
        </row>
        <row r="91">
          <cell r="B91">
            <v>5137977</v>
          </cell>
        </row>
        <row r="92">
          <cell r="B92">
            <v>2784165</v>
          </cell>
        </row>
        <row r="93">
          <cell r="B93">
            <v>5294088</v>
          </cell>
        </row>
        <row r="94">
          <cell r="B94">
            <v>2678187</v>
          </cell>
        </row>
        <row r="95">
          <cell r="B95">
            <v>6232485</v>
          </cell>
        </row>
        <row r="96">
          <cell r="B96">
            <v>2819996</v>
          </cell>
        </row>
        <row r="97">
          <cell r="B97">
            <v>6413811</v>
          </cell>
        </row>
        <row r="98">
          <cell r="B98">
            <v>2100231</v>
          </cell>
        </row>
        <row r="99">
          <cell r="B99">
            <v>2061848</v>
          </cell>
        </row>
        <row r="100">
          <cell r="B100">
            <v>5015243</v>
          </cell>
        </row>
        <row r="101">
          <cell r="B101">
            <v>5830974</v>
          </cell>
        </row>
        <row r="102">
          <cell r="B102">
            <v>2718243</v>
          </cell>
        </row>
        <row r="103">
          <cell r="B103">
            <v>2872943</v>
          </cell>
        </row>
        <row r="104">
          <cell r="B104">
            <v>2855119</v>
          </cell>
        </row>
        <row r="105">
          <cell r="B105">
            <v>2839717</v>
          </cell>
        </row>
        <row r="106">
          <cell r="B106">
            <v>5877288</v>
          </cell>
        </row>
        <row r="107">
          <cell r="B107">
            <v>2618176</v>
          </cell>
        </row>
        <row r="108">
          <cell r="B108">
            <v>2708701</v>
          </cell>
        </row>
        <row r="109">
          <cell r="B109">
            <v>5261198</v>
          </cell>
        </row>
        <row r="110">
          <cell r="B110">
            <v>6268048</v>
          </cell>
        </row>
        <row r="111">
          <cell r="B111">
            <v>2887134</v>
          </cell>
        </row>
        <row r="112">
          <cell r="B112">
            <v>2550466</v>
          </cell>
        </row>
        <row r="113">
          <cell r="B113">
            <v>5502977</v>
          </cell>
        </row>
        <row r="114">
          <cell r="B114">
            <v>6101615</v>
          </cell>
        </row>
        <row r="115">
          <cell r="B115">
            <v>5124913</v>
          </cell>
        </row>
        <row r="116">
          <cell r="B116">
            <v>2094533</v>
          </cell>
        </row>
        <row r="117">
          <cell r="B117">
            <v>5352827</v>
          </cell>
        </row>
        <row r="118">
          <cell r="B118">
            <v>2029278</v>
          </cell>
        </row>
        <row r="119">
          <cell r="B119">
            <v>2008572</v>
          </cell>
        </row>
        <row r="120">
          <cell r="B120">
            <v>5217652</v>
          </cell>
        </row>
        <row r="121">
          <cell r="B121">
            <v>5435528</v>
          </cell>
        </row>
        <row r="122">
          <cell r="B122">
            <v>2095025</v>
          </cell>
        </row>
        <row r="123">
          <cell r="B123">
            <v>5084555</v>
          </cell>
        </row>
        <row r="124">
          <cell r="B124">
            <v>2887746</v>
          </cell>
        </row>
        <row r="125">
          <cell r="B125">
            <v>2074192</v>
          </cell>
        </row>
        <row r="126">
          <cell r="B126">
            <v>5671833</v>
          </cell>
        </row>
        <row r="128">
          <cell r="B128">
            <v>2657457</v>
          </cell>
        </row>
      </sheetData>
      <sheetData sheetId="7">
        <row r="2">
          <cell r="B2" t="str">
            <v>Компанийн регистр</v>
          </cell>
        </row>
        <row r="3">
          <cell r="B3">
            <v>2011239</v>
          </cell>
        </row>
        <row r="4">
          <cell r="B4">
            <v>5097517</v>
          </cell>
        </row>
        <row r="5">
          <cell r="B5">
            <v>5809797</v>
          </cell>
        </row>
        <row r="6">
          <cell r="B6">
            <v>5118344</v>
          </cell>
        </row>
        <row r="7">
          <cell r="B7">
            <v>5095549</v>
          </cell>
        </row>
        <row r="8">
          <cell r="B8">
            <v>2784165</v>
          </cell>
        </row>
        <row r="9">
          <cell r="B9">
            <v>5133351</v>
          </cell>
        </row>
        <row r="10">
          <cell r="B10">
            <v>6172768</v>
          </cell>
        </row>
        <row r="11">
          <cell r="B11">
            <v>2788705</v>
          </cell>
        </row>
        <row r="12">
          <cell r="B12">
            <v>5439183</v>
          </cell>
        </row>
        <row r="13">
          <cell r="B13">
            <v>2008572</v>
          </cell>
        </row>
        <row r="14">
          <cell r="B14">
            <v>5215919</v>
          </cell>
        </row>
        <row r="15">
          <cell r="B15">
            <v>5502977</v>
          </cell>
        </row>
        <row r="16">
          <cell r="B16">
            <v>2708701</v>
          </cell>
        </row>
        <row r="17">
          <cell r="B17">
            <v>2014491</v>
          </cell>
        </row>
        <row r="18">
          <cell r="B18">
            <v>6414877</v>
          </cell>
        </row>
        <row r="19">
          <cell r="B19">
            <v>5369223</v>
          </cell>
        </row>
        <row r="20">
          <cell r="B20">
            <v>5294088</v>
          </cell>
        </row>
        <row r="21">
          <cell r="B21">
            <v>2855119</v>
          </cell>
        </row>
        <row r="22">
          <cell r="B22">
            <v>2094533</v>
          </cell>
        </row>
        <row r="23">
          <cell r="B23">
            <v>5722942</v>
          </cell>
        </row>
        <row r="24">
          <cell r="B24">
            <v>2867494</v>
          </cell>
        </row>
        <row r="25">
          <cell r="B25">
            <v>6463932</v>
          </cell>
        </row>
        <row r="26">
          <cell r="B26">
            <v>5260833</v>
          </cell>
        </row>
        <row r="27">
          <cell r="B27">
            <v>2051303</v>
          </cell>
        </row>
        <row r="28">
          <cell r="B28">
            <v>2061848</v>
          </cell>
        </row>
        <row r="29">
          <cell r="B29">
            <v>2766337</v>
          </cell>
        </row>
        <row r="30">
          <cell r="B30">
            <v>5810086</v>
          </cell>
        </row>
        <row r="31">
          <cell r="B31">
            <v>5217652</v>
          </cell>
        </row>
        <row r="32">
          <cell r="B32">
            <v>2780518</v>
          </cell>
        </row>
        <row r="33">
          <cell r="B33">
            <v>5272378</v>
          </cell>
        </row>
        <row r="34">
          <cell r="B34">
            <v>5467268</v>
          </cell>
        </row>
        <row r="35">
          <cell r="B35">
            <v>5522935</v>
          </cell>
        </row>
        <row r="36">
          <cell r="B36">
            <v>5528089</v>
          </cell>
        </row>
        <row r="37">
          <cell r="B37">
            <v>5396662</v>
          </cell>
        </row>
        <row r="38">
          <cell r="B38">
            <v>5830974</v>
          </cell>
        </row>
        <row r="39">
          <cell r="B39">
            <v>2057573</v>
          </cell>
        </row>
        <row r="40">
          <cell r="B40">
            <v>5699134</v>
          </cell>
        </row>
        <row r="41">
          <cell r="B41">
            <v>5412153</v>
          </cell>
        </row>
        <row r="42">
          <cell r="B42">
            <v>2034859</v>
          </cell>
        </row>
        <row r="43">
          <cell r="B43">
            <v>5253535</v>
          </cell>
        </row>
        <row r="44">
          <cell r="B44">
            <v>5150884</v>
          </cell>
        </row>
        <row r="45">
          <cell r="B45">
            <v>5051304</v>
          </cell>
        </row>
        <row r="46">
          <cell r="B46">
            <v>5401801</v>
          </cell>
        </row>
        <row r="47">
          <cell r="B47">
            <v>2550466</v>
          </cell>
        </row>
        <row r="48">
          <cell r="B48">
            <v>5051134</v>
          </cell>
        </row>
        <row r="49">
          <cell r="B49">
            <v>2095025</v>
          </cell>
        </row>
        <row r="50">
          <cell r="B50">
            <v>2045931</v>
          </cell>
        </row>
        <row r="51">
          <cell r="B51">
            <v>2029278</v>
          </cell>
        </row>
        <row r="52">
          <cell r="B52">
            <v>5106567</v>
          </cell>
        </row>
        <row r="53">
          <cell r="B53">
            <v>5141583</v>
          </cell>
        </row>
        <row r="54">
          <cell r="B54">
            <v>5118115</v>
          </cell>
        </row>
        <row r="55">
          <cell r="B55">
            <v>5106656</v>
          </cell>
        </row>
        <row r="56">
          <cell r="B56">
            <v>2010895</v>
          </cell>
        </row>
        <row r="57">
          <cell r="B57">
            <v>5295858</v>
          </cell>
        </row>
        <row r="58">
          <cell r="B58">
            <v>6287727</v>
          </cell>
        </row>
        <row r="59">
          <cell r="B59">
            <v>2659603</v>
          </cell>
        </row>
        <row r="60">
          <cell r="B60">
            <v>2678187</v>
          </cell>
        </row>
        <row r="61">
          <cell r="B61">
            <v>2657457</v>
          </cell>
        </row>
        <row r="62">
          <cell r="B62">
            <v>3615243</v>
          </cell>
        </row>
        <row r="63">
          <cell r="B63">
            <v>3623955</v>
          </cell>
        </row>
        <row r="64">
          <cell r="B64">
            <v>5199077</v>
          </cell>
        </row>
        <row r="65">
          <cell r="B65">
            <v>2075385</v>
          </cell>
        </row>
        <row r="66">
          <cell r="B66">
            <v>2867095</v>
          </cell>
        </row>
        <row r="67">
          <cell r="B67">
            <v>5076285</v>
          </cell>
        </row>
        <row r="68">
          <cell r="B68">
            <v>5084555</v>
          </cell>
        </row>
        <row r="69">
          <cell r="B69">
            <v>5261198</v>
          </cell>
        </row>
        <row r="70">
          <cell r="B70">
            <v>5288703</v>
          </cell>
        </row>
        <row r="71">
          <cell r="B71">
            <v>6232485</v>
          </cell>
        </row>
        <row r="72">
          <cell r="B72">
            <v>6101615</v>
          </cell>
        </row>
        <row r="73">
          <cell r="B73">
            <v>5120365</v>
          </cell>
        </row>
        <row r="74">
          <cell r="B74">
            <v>2016656</v>
          </cell>
        </row>
        <row r="75">
          <cell r="B75">
            <v>5872006</v>
          </cell>
        </row>
        <row r="76">
          <cell r="B76">
            <v>5774047</v>
          </cell>
        </row>
        <row r="77">
          <cell r="B77">
            <v>5105439</v>
          </cell>
        </row>
        <row r="78">
          <cell r="B78">
            <v>2663813</v>
          </cell>
        </row>
        <row r="79">
          <cell r="B79">
            <v>2016931</v>
          </cell>
        </row>
        <row r="80">
          <cell r="B80">
            <v>5513618</v>
          </cell>
        </row>
        <row r="81">
          <cell r="B81">
            <v>2807459</v>
          </cell>
        </row>
        <row r="82">
          <cell r="B82">
            <v>2872943</v>
          </cell>
        </row>
        <row r="83">
          <cell r="B83">
            <v>6268048</v>
          </cell>
        </row>
        <row r="84">
          <cell r="B84">
            <v>5874963</v>
          </cell>
        </row>
        <row r="85">
          <cell r="B85">
            <v>6636624</v>
          </cell>
        </row>
        <row r="86">
          <cell r="B86">
            <v>2839717</v>
          </cell>
        </row>
        <row r="87">
          <cell r="B87">
            <v>2344343</v>
          </cell>
        </row>
        <row r="88">
          <cell r="B88">
            <v>2819996</v>
          </cell>
        </row>
        <row r="89">
          <cell r="B89">
            <v>2868687</v>
          </cell>
        </row>
        <row r="90">
          <cell r="B90">
            <v>5877288</v>
          </cell>
        </row>
        <row r="91">
          <cell r="B91">
            <v>6195598</v>
          </cell>
        </row>
        <row r="92">
          <cell r="B92">
            <v>6413811</v>
          </cell>
        </row>
        <row r="93">
          <cell r="B93">
            <v>2887134</v>
          </cell>
        </row>
        <row r="94">
          <cell r="B94">
            <v>2618176</v>
          </cell>
        </row>
        <row r="95">
          <cell r="B95">
            <v>5364884</v>
          </cell>
        </row>
        <row r="96">
          <cell r="B96">
            <v>2100231</v>
          </cell>
        </row>
        <row r="97">
          <cell r="B97">
            <v>2661128</v>
          </cell>
        </row>
        <row r="98">
          <cell r="B98">
            <v>5878756</v>
          </cell>
        </row>
        <row r="99">
          <cell r="B99">
            <v>2166631</v>
          </cell>
        </row>
        <row r="100">
          <cell r="B100">
            <v>5671833</v>
          </cell>
        </row>
        <row r="101">
          <cell r="B101">
            <v>5104424</v>
          </cell>
        </row>
        <row r="102">
          <cell r="B102">
            <v>2668505</v>
          </cell>
        </row>
        <row r="103">
          <cell r="B103">
            <v>2697947</v>
          </cell>
        </row>
        <row r="104">
          <cell r="B104">
            <v>5352827</v>
          </cell>
        </row>
        <row r="105">
          <cell r="B105">
            <v>2548747</v>
          </cell>
        </row>
        <row r="106">
          <cell r="B106">
            <v>2641984</v>
          </cell>
        </row>
        <row r="107">
          <cell r="B107">
            <v>6342485</v>
          </cell>
        </row>
        <row r="108">
          <cell r="B108">
            <v>5166667</v>
          </cell>
        </row>
        <row r="109">
          <cell r="B109">
            <v>5482046</v>
          </cell>
        </row>
        <row r="110">
          <cell r="B110">
            <v>2050374</v>
          </cell>
        </row>
        <row r="111">
          <cell r="B111">
            <v>2004879</v>
          </cell>
        </row>
        <row r="112">
          <cell r="B112">
            <v>2830213</v>
          </cell>
        </row>
        <row r="113">
          <cell r="B113">
            <v>5320607</v>
          </cell>
        </row>
        <row r="114">
          <cell r="B114">
            <v>5586119</v>
          </cell>
        </row>
        <row r="115">
          <cell r="B115">
            <v>5015243</v>
          </cell>
        </row>
        <row r="116">
          <cell r="B116">
            <v>5452503</v>
          </cell>
        </row>
        <row r="117">
          <cell r="B117">
            <v>2887746</v>
          </cell>
        </row>
        <row r="118">
          <cell r="B118">
            <v>5618339</v>
          </cell>
        </row>
        <row r="119">
          <cell r="B119">
            <v>2718243</v>
          </cell>
        </row>
        <row r="120">
          <cell r="B120">
            <v>6896197</v>
          </cell>
        </row>
        <row r="121">
          <cell r="B121">
            <v>5435528</v>
          </cell>
        </row>
        <row r="122">
          <cell r="B122">
            <v>5824826</v>
          </cell>
        </row>
        <row r="123">
          <cell r="B123">
            <v>6141536</v>
          </cell>
        </row>
        <row r="124">
          <cell r="B124">
            <v>5124913</v>
          </cell>
        </row>
        <row r="125">
          <cell r="B125">
            <v>2074192</v>
          </cell>
        </row>
        <row r="126">
          <cell r="B126">
            <v>2861224</v>
          </cell>
        </row>
        <row r="127">
          <cell r="B127">
            <v>5137977</v>
          </cell>
        </row>
      </sheetData>
      <sheetData sheetId="8">
        <row r="2">
          <cell r="B2" t="str">
            <v>Компанийн регистр</v>
          </cell>
        </row>
        <row r="3">
          <cell r="B3">
            <v>2011239</v>
          </cell>
        </row>
        <row r="4">
          <cell r="B4">
            <v>5097517</v>
          </cell>
        </row>
        <row r="5">
          <cell r="B5">
            <v>5809797</v>
          </cell>
        </row>
        <row r="6">
          <cell r="B6">
            <v>5118344</v>
          </cell>
        </row>
        <row r="7">
          <cell r="B7">
            <v>5095549</v>
          </cell>
        </row>
        <row r="8">
          <cell r="B8">
            <v>2784165</v>
          </cell>
        </row>
        <row r="9">
          <cell r="B9">
            <v>5133351</v>
          </cell>
        </row>
        <row r="10">
          <cell r="B10">
            <v>6172768</v>
          </cell>
        </row>
        <row r="11">
          <cell r="B11">
            <v>2788705</v>
          </cell>
        </row>
        <row r="12">
          <cell r="B12">
            <v>5439183</v>
          </cell>
        </row>
        <row r="13">
          <cell r="B13">
            <v>2008572</v>
          </cell>
        </row>
        <row r="14">
          <cell r="B14">
            <v>5215919</v>
          </cell>
        </row>
        <row r="15">
          <cell r="B15">
            <v>5502977</v>
          </cell>
        </row>
        <row r="16">
          <cell r="B16">
            <v>2708701</v>
          </cell>
        </row>
        <row r="17">
          <cell r="B17">
            <v>2014491</v>
          </cell>
        </row>
        <row r="18">
          <cell r="B18">
            <v>6414877</v>
          </cell>
        </row>
        <row r="19">
          <cell r="B19">
            <v>5369223</v>
          </cell>
        </row>
        <row r="20">
          <cell r="B20">
            <v>5294088</v>
          </cell>
        </row>
        <row r="21">
          <cell r="B21">
            <v>2855119</v>
          </cell>
        </row>
        <row r="22">
          <cell r="B22">
            <v>2094533</v>
          </cell>
        </row>
        <row r="23">
          <cell r="B23">
            <v>5722942</v>
          </cell>
        </row>
        <row r="24">
          <cell r="B24">
            <v>2867494</v>
          </cell>
        </row>
        <row r="25">
          <cell r="B25">
            <v>6463932</v>
          </cell>
        </row>
        <row r="26">
          <cell r="B26">
            <v>5260833</v>
          </cell>
        </row>
        <row r="27">
          <cell r="B27">
            <v>2051303</v>
          </cell>
        </row>
        <row r="28">
          <cell r="B28">
            <v>2061848</v>
          </cell>
        </row>
        <row r="29">
          <cell r="B29">
            <v>2766337</v>
          </cell>
        </row>
        <row r="30">
          <cell r="B30">
            <v>5810086</v>
          </cell>
        </row>
        <row r="31">
          <cell r="B31">
            <v>5217652</v>
          </cell>
        </row>
        <row r="32">
          <cell r="B32">
            <v>2780518</v>
          </cell>
        </row>
        <row r="33">
          <cell r="B33">
            <v>5272378</v>
          </cell>
        </row>
        <row r="34">
          <cell r="B34">
            <v>5467268</v>
          </cell>
        </row>
        <row r="35">
          <cell r="B35">
            <v>5522935</v>
          </cell>
        </row>
        <row r="36">
          <cell r="B36">
            <v>5528089</v>
          </cell>
        </row>
        <row r="37">
          <cell r="B37">
            <v>5396662</v>
          </cell>
        </row>
        <row r="38">
          <cell r="B38">
            <v>5830974</v>
          </cell>
        </row>
        <row r="39">
          <cell r="B39">
            <v>2057573</v>
          </cell>
        </row>
        <row r="40">
          <cell r="B40">
            <v>5699134</v>
          </cell>
        </row>
        <row r="41">
          <cell r="B41">
            <v>5412153</v>
          </cell>
        </row>
        <row r="42">
          <cell r="B42">
            <v>2034859</v>
          </cell>
        </row>
        <row r="43">
          <cell r="B43">
            <v>5253535</v>
          </cell>
        </row>
        <row r="44">
          <cell r="B44">
            <v>5150884</v>
          </cell>
        </row>
        <row r="45">
          <cell r="B45">
            <v>5051304</v>
          </cell>
        </row>
        <row r="46">
          <cell r="B46">
            <v>5401801</v>
          </cell>
        </row>
        <row r="47">
          <cell r="B47">
            <v>2550466</v>
          </cell>
        </row>
        <row r="48">
          <cell r="B48">
            <v>5051134</v>
          </cell>
        </row>
        <row r="49">
          <cell r="B49">
            <v>2095025</v>
          </cell>
        </row>
        <row r="50">
          <cell r="B50">
            <v>2045931</v>
          </cell>
        </row>
        <row r="51">
          <cell r="B51">
            <v>2029278</v>
          </cell>
        </row>
        <row r="52">
          <cell r="B52">
            <v>5106567</v>
          </cell>
        </row>
        <row r="53">
          <cell r="B53">
            <v>5141583</v>
          </cell>
        </row>
        <row r="54">
          <cell r="B54">
            <v>5118115</v>
          </cell>
        </row>
        <row r="55">
          <cell r="B55">
            <v>5106656</v>
          </cell>
        </row>
        <row r="56">
          <cell r="B56">
            <v>2010895</v>
          </cell>
        </row>
        <row r="57">
          <cell r="B57">
            <v>5295858</v>
          </cell>
        </row>
        <row r="58">
          <cell r="B58">
            <v>6287727</v>
          </cell>
        </row>
        <row r="59">
          <cell r="B59">
            <v>2659603</v>
          </cell>
        </row>
        <row r="60">
          <cell r="B60">
            <v>2678187</v>
          </cell>
        </row>
        <row r="61">
          <cell r="B61">
            <v>2657457</v>
          </cell>
        </row>
        <row r="62">
          <cell r="B62">
            <v>3615243</v>
          </cell>
        </row>
        <row r="63">
          <cell r="B63">
            <v>3623955</v>
          </cell>
        </row>
        <row r="64">
          <cell r="B64">
            <v>5199077</v>
          </cell>
        </row>
        <row r="65">
          <cell r="B65">
            <v>2075385</v>
          </cell>
        </row>
        <row r="66">
          <cell r="B66">
            <v>2867095</v>
          </cell>
        </row>
        <row r="67">
          <cell r="B67">
            <v>5076285</v>
          </cell>
        </row>
        <row r="68">
          <cell r="B68">
            <v>5084555</v>
          </cell>
        </row>
        <row r="69">
          <cell r="B69">
            <v>5261198</v>
          </cell>
        </row>
        <row r="70">
          <cell r="B70">
            <v>5288703</v>
          </cell>
        </row>
        <row r="71">
          <cell r="B71">
            <v>6232485</v>
          </cell>
        </row>
        <row r="72">
          <cell r="B72">
            <v>6101615</v>
          </cell>
        </row>
        <row r="73">
          <cell r="B73">
            <v>5120365</v>
          </cell>
        </row>
        <row r="74">
          <cell r="B74">
            <v>2016656</v>
          </cell>
        </row>
        <row r="75">
          <cell r="B75">
            <v>5872006</v>
          </cell>
        </row>
        <row r="76">
          <cell r="B76">
            <v>5774047</v>
          </cell>
        </row>
        <row r="77">
          <cell r="B77">
            <v>5105439</v>
          </cell>
        </row>
        <row r="78">
          <cell r="B78">
            <v>2663813</v>
          </cell>
        </row>
        <row r="79">
          <cell r="B79">
            <v>2016931</v>
          </cell>
        </row>
        <row r="80">
          <cell r="B80">
            <v>5513618</v>
          </cell>
        </row>
        <row r="81">
          <cell r="B81">
            <v>2807459</v>
          </cell>
        </row>
        <row r="82">
          <cell r="B82">
            <v>2872943</v>
          </cell>
        </row>
        <row r="83">
          <cell r="B83">
            <v>6268048</v>
          </cell>
        </row>
        <row r="84">
          <cell r="B84">
            <v>5874963</v>
          </cell>
        </row>
        <row r="85">
          <cell r="B85">
            <v>6636624</v>
          </cell>
        </row>
        <row r="86">
          <cell r="B86">
            <v>2839717</v>
          </cell>
        </row>
        <row r="87">
          <cell r="B87">
            <v>2344343</v>
          </cell>
        </row>
        <row r="88">
          <cell r="B88">
            <v>2819996</v>
          </cell>
        </row>
        <row r="89">
          <cell r="B89">
            <v>2868687</v>
          </cell>
        </row>
        <row r="90">
          <cell r="B90">
            <v>5877288</v>
          </cell>
        </row>
        <row r="91">
          <cell r="B91">
            <v>6195598</v>
          </cell>
        </row>
        <row r="92">
          <cell r="B92">
            <v>6413811</v>
          </cell>
        </row>
        <row r="93">
          <cell r="B93">
            <v>2887134</v>
          </cell>
        </row>
        <row r="94">
          <cell r="B94">
            <v>2618176</v>
          </cell>
        </row>
        <row r="95">
          <cell r="B95">
            <v>5364884</v>
          </cell>
        </row>
        <row r="96">
          <cell r="B96">
            <v>2100231</v>
          </cell>
        </row>
        <row r="97">
          <cell r="B97">
            <v>2661128</v>
          </cell>
        </row>
        <row r="98">
          <cell r="B98">
            <v>5878756</v>
          </cell>
        </row>
        <row r="99">
          <cell r="B99">
            <v>2166631</v>
          </cell>
        </row>
        <row r="100">
          <cell r="B100">
            <v>5671833</v>
          </cell>
        </row>
        <row r="101">
          <cell r="B101">
            <v>5104424</v>
          </cell>
        </row>
        <row r="102">
          <cell r="B102">
            <v>2668505</v>
          </cell>
        </row>
        <row r="103">
          <cell r="B103">
            <v>2697947</v>
          </cell>
        </row>
        <row r="104">
          <cell r="B104">
            <v>5352827</v>
          </cell>
        </row>
        <row r="105">
          <cell r="B105">
            <v>2548747</v>
          </cell>
        </row>
        <row r="106">
          <cell r="B106">
            <v>2641984</v>
          </cell>
        </row>
        <row r="107">
          <cell r="B107">
            <v>6342485</v>
          </cell>
        </row>
        <row r="108">
          <cell r="B108">
            <v>5166667</v>
          </cell>
        </row>
        <row r="109">
          <cell r="B109">
            <v>5482046</v>
          </cell>
        </row>
        <row r="110">
          <cell r="B110">
            <v>2050374</v>
          </cell>
        </row>
        <row r="111">
          <cell r="B111">
            <v>2004879</v>
          </cell>
        </row>
        <row r="112">
          <cell r="B112">
            <v>2830213</v>
          </cell>
        </row>
        <row r="113">
          <cell r="B113">
            <v>5320607</v>
          </cell>
        </row>
        <row r="114">
          <cell r="B114">
            <v>5586119</v>
          </cell>
        </row>
        <row r="115">
          <cell r="B115">
            <v>5015243</v>
          </cell>
        </row>
        <row r="116">
          <cell r="B116">
            <v>5452503</v>
          </cell>
        </row>
        <row r="117">
          <cell r="B117">
            <v>2887746</v>
          </cell>
        </row>
        <row r="118">
          <cell r="B118">
            <v>5618339</v>
          </cell>
        </row>
        <row r="119">
          <cell r="B119">
            <v>2718243</v>
          </cell>
        </row>
        <row r="120">
          <cell r="B120">
            <v>6896197</v>
          </cell>
        </row>
        <row r="121">
          <cell r="B121">
            <v>5435528</v>
          </cell>
        </row>
        <row r="122">
          <cell r="B122">
            <v>5824826</v>
          </cell>
        </row>
        <row r="123">
          <cell r="B123">
            <v>6141536</v>
          </cell>
        </row>
        <row r="124">
          <cell r="B124">
            <v>5124913</v>
          </cell>
        </row>
        <row r="125">
          <cell r="B125">
            <v>2074192</v>
          </cell>
        </row>
        <row r="126">
          <cell r="B126">
            <v>2861224</v>
          </cell>
        </row>
        <row r="127">
          <cell r="B127">
            <v>5137977</v>
          </cell>
        </row>
      </sheetData>
      <sheetData sheetId="9">
        <row r="3">
          <cell r="B3" t="str">
            <v>Компанийн регистр</v>
          </cell>
        </row>
        <row r="4">
          <cell r="B4">
            <v>2074192</v>
          </cell>
        </row>
        <row r="5">
          <cell r="B5">
            <v>2657457</v>
          </cell>
        </row>
        <row r="6">
          <cell r="B6">
            <v>2887746</v>
          </cell>
        </row>
        <row r="7">
          <cell r="B7">
            <v>2094533</v>
          </cell>
        </row>
        <row r="8">
          <cell r="B8">
            <v>2008572</v>
          </cell>
        </row>
        <row r="9">
          <cell r="B9">
            <v>2548747</v>
          </cell>
        </row>
        <row r="10">
          <cell r="B10">
            <v>2550466</v>
          </cell>
        </row>
        <row r="11">
          <cell r="B11">
            <v>2050374</v>
          </cell>
        </row>
        <row r="12">
          <cell r="B12">
            <v>2095025</v>
          </cell>
        </row>
        <row r="13">
          <cell r="B13">
            <v>6413811</v>
          </cell>
        </row>
        <row r="14">
          <cell r="B14">
            <v>6287727</v>
          </cell>
        </row>
        <row r="15">
          <cell r="B15">
            <v>5084555</v>
          </cell>
        </row>
        <row r="16">
          <cell r="B16">
            <v>2100231</v>
          </cell>
        </row>
        <row r="17">
          <cell r="B17">
            <v>2029278</v>
          </cell>
        </row>
        <row r="18">
          <cell r="B18">
            <v>5261198</v>
          </cell>
        </row>
        <row r="19">
          <cell r="B19">
            <v>5199077</v>
          </cell>
        </row>
        <row r="20">
          <cell r="B20">
            <v>5482046</v>
          </cell>
        </row>
        <row r="21">
          <cell r="B21">
            <v>5352827</v>
          </cell>
        </row>
        <row r="22">
          <cell r="B22">
            <v>2708701</v>
          </cell>
        </row>
        <row r="23">
          <cell r="B23">
            <v>2872943</v>
          </cell>
        </row>
        <row r="24">
          <cell r="B24">
            <v>6268048</v>
          </cell>
        </row>
        <row r="25">
          <cell r="B25">
            <v>5435528</v>
          </cell>
        </row>
        <row r="26">
          <cell r="B26">
            <v>5874963</v>
          </cell>
        </row>
        <row r="27">
          <cell r="B27">
            <v>6101615</v>
          </cell>
        </row>
        <row r="28">
          <cell r="B28">
            <v>2618176</v>
          </cell>
        </row>
        <row r="29">
          <cell r="B29">
            <v>5076285</v>
          </cell>
        </row>
        <row r="30">
          <cell r="B30">
            <v>2887134</v>
          </cell>
        </row>
        <row r="31">
          <cell r="B31">
            <v>5141583</v>
          </cell>
        </row>
        <row r="32">
          <cell r="B32">
            <v>2839717</v>
          </cell>
        </row>
        <row r="33">
          <cell r="B33">
            <v>2855119</v>
          </cell>
        </row>
        <row r="34">
          <cell r="B34">
            <v>2061848</v>
          </cell>
        </row>
        <row r="35">
          <cell r="B35">
            <v>5396662</v>
          </cell>
        </row>
        <row r="36">
          <cell r="B36">
            <v>5320607</v>
          </cell>
        </row>
        <row r="37">
          <cell r="B37">
            <v>5294088</v>
          </cell>
        </row>
        <row r="38">
          <cell r="B38">
            <v>5830974</v>
          </cell>
        </row>
        <row r="39">
          <cell r="B39">
            <v>5015243</v>
          </cell>
        </row>
        <row r="40">
          <cell r="B40">
            <v>5051134</v>
          </cell>
        </row>
        <row r="41">
          <cell r="B41">
            <v>6463932</v>
          </cell>
        </row>
        <row r="42">
          <cell r="B42">
            <v>5412153</v>
          </cell>
        </row>
        <row r="43">
          <cell r="B43">
            <v>5671833</v>
          </cell>
        </row>
        <row r="44">
          <cell r="B44">
            <v>5106567</v>
          </cell>
        </row>
        <row r="45">
          <cell r="B45">
            <v>5877288</v>
          </cell>
        </row>
        <row r="46">
          <cell r="B46">
            <v>5051304</v>
          </cell>
        </row>
        <row r="47">
          <cell r="B47">
            <v>6232485</v>
          </cell>
        </row>
        <row r="48">
          <cell r="B48">
            <v>5137977</v>
          </cell>
        </row>
        <row r="49">
          <cell r="B49">
            <v>5502977</v>
          </cell>
        </row>
        <row r="50">
          <cell r="B50">
            <v>2010895</v>
          </cell>
        </row>
        <row r="51">
          <cell r="B51">
            <v>5467268</v>
          </cell>
        </row>
        <row r="52">
          <cell r="B52">
            <v>5215919</v>
          </cell>
        </row>
        <row r="53">
          <cell r="B53">
            <v>2718243</v>
          </cell>
        </row>
        <row r="54">
          <cell r="B54">
            <v>2344343</v>
          </cell>
        </row>
        <row r="55">
          <cell r="B55">
            <v>5439183</v>
          </cell>
        </row>
        <row r="56">
          <cell r="B56">
            <v>5699134</v>
          </cell>
        </row>
        <row r="57">
          <cell r="B57">
            <v>5217652</v>
          </cell>
        </row>
        <row r="58">
          <cell r="B58">
            <v>5513618</v>
          </cell>
        </row>
        <row r="59">
          <cell r="B59">
            <v>6896197</v>
          </cell>
        </row>
        <row r="60">
          <cell r="B60">
            <v>5872006</v>
          </cell>
        </row>
        <row r="61">
          <cell r="B61">
            <v>5522935</v>
          </cell>
        </row>
        <row r="62">
          <cell r="B62">
            <v>6342485</v>
          </cell>
        </row>
        <row r="63">
          <cell r="B63">
            <v>2868687</v>
          </cell>
        </row>
        <row r="64">
          <cell r="B64">
            <v>5133351</v>
          </cell>
        </row>
        <row r="65">
          <cell r="B65">
            <v>5118344</v>
          </cell>
        </row>
        <row r="66">
          <cell r="B66">
            <v>2784165</v>
          </cell>
        </row>
        <row r="67">
          <cell r="B67">
            <v>2011239</v>
          </cell>
        </row>
        <row r="68">
          <cell r="B68">
            <v>5097517</v>
          </cell>
        </row>
        <row r="69">
          <cell r="B69">
            <v>5809797</v>
          </cell>
        </row>
        <row r="70">
          <cell r="B70">
            <v>5095549</v>
          </cell>
        </row>
        <row r="71">
          <cell r="B71">
            <v>6172768</v>
          </cell>
        </row>
        <row r="72">
          <cell r="B72">
            <v>2788705</v>
          </cell>
        </row>
        <row r="73">
          <cell r="B73">
            <v>2014491</v>
          </cell>
        </row>
        <row r="74">
          <cell r="B74">
            <v>6414877</v>
          </cell>
        </row>
        <row r="75">
          <cell r="B75">
            <v>5369223</v>
          </cell>
        </row>
        <row r="76">
          <cell r="B76">
            <v>5722942</v>
          </cell>
        </row>
        <row r="77">
          <cell r="B77">
            <v>2867494</v>
          </cell>
        </row>
        <row r="78">
          <cell r="B78">
            <v>5260833</v>
          </cell>
        </row>
        <row r="79">
          <cell r="B79">
            <v>2051303</v>
          </cell>
        </row>
        <row r="80">
          <cell r="B80">
            <v>2766337</v>
          </cell>
        </row>
        <row r="81">
          <cell r="B81">
            <v>5810086</v>
          </cell>
        </row>
        <row r="82">
          <cell r="B82">
            <v>2780518</v>
          </cell>
        </row>
        <row r="83">
          <cell r="B83">
            <v>5272378</v>
          </cell>
        </row>
        <row r="84">
          <cell r="B84">
            <v>5528089</v>
          </cell>
        </row>
        <row r="85">
          <cell r="B85">
            <v>2057573</v>
          </cell>
        </row>
        <row r="86">
          <cell r="B86">
            <v>2034859</v>
          </cell>
        </row>
        <row r="87">
          <cell r="B87">
            <v>5253535</v>
          </cell>
        </row>
        <row r="88">
          <cell r="B88">
            <v>5150884</v>
          </cell>
        </row>
        <row r="89">
          <cell r="B89">
            <v>5401801</v>
          </cell>
        </row>
        <row r="90">
          <cell r="B90">
            <v>2045931</v>
          </cell>
        </row>
        <row r="91">
          <cell r="B91">
            <v>5118115</v>
          </cell>
        </row>
        <row r="92">
          <cell r="B92">
            <v>5106656</v>
          </cell>
        </row>
        <row r="93">
          <cell r="B93">
            <v>5295858</v>
          </cell>
        </row>
        <row r="94">
          <cell r="B94">
            <v>2659603</v>
          </cell>
        </row>
        <row r="95">
          <cell r="B95">
            <v>2678187</v>
          </cell>
        </row>
        <row r="96">
          <cell r="B96">
            <v>3615243</v>
          </cell>
        </row>
        <row r="97">
          <cell r="B97">
            <v>3623955</v>
          </cell>
        </row>
        <row r="98">
          <cell r="B98">
            <v>2075385</v>
          </cell>
        </row>
        <row r="99">
          <cell r="B99">
            <v>2867095</v>
          </cell>
        </row>
        <row r="100">
          <cell r="B100">
            <v>5288703</v>
          </cell>
        </row>
        <row r="101">
          <cell r="B101">
            <v>5120365</v>
          </cell>
        </row>
        <row r="102">
          <cell r="B102">
            <v>2016656</v>
          </cell>
        </row>
        <row r="103">
          <cell r="B103">
            <v>5774047</v>
          </cell>
        </row>
        <row r="104">
          <cell r="B104">
            <v>5105439</v>
          </cell>
        </row>
        <row r="105">
          <cell r="B105">
            <v>2663813</v>
          </cell>
        </row>
        <row r="106">
          <cell r="B106">
            <v>2016931</v>
          </cell>
        </row>
        <row r="107">
          <cell r="B107">
            <v>2807459</v>
          </cell>
        </row>
        <row r="108">
          <cell r="B108">
            <v>6636624</v>
          </cell>
        </row>
        <row r="109">
          <cell r="B109">
            <v>2819996</v>
          </cell>
        </row>
        <row r="110">
          <cell r="B110">
            <v>6195598</v>
          </cell>
        </row>
        <row r="111">
          <cell r="B111">
            <v>5364884</v>
          </cell>
        </row>
        <row r="112">
          <cell r="B112">
            <v>2661128</v>
          </cell>
        </row>
        <row r="113">
          <cell r="B113">
            <v>5878756</v>
          </cell>
        </row>
        <row r="114">
          <cell r="B114">
            <v>2166631</v>
          </cell>
        </row>
        <row r="115">
          <cell r="B115">
            <v>5104424</v>
          </cell>
        </row>
        <row r="116">
          <cell r="B116">
            <v>2668505</v>
          </cell>
        </row>
        <row r="117">
          <cell r="B117">
            <v>2697947</v>
          </cell>
        </row>
        <row r="118">
          <cell r="B118">
            <v>2641984</v>
          </cell>
        </row>
        <row r="119">
          <cell r="B119">
            <v>5166667</v>
          </cell>
        </row>
        <row r="120">
          <cell r="B120">
            <v>2004879</v>
          </cell>
        </row>
        <row r="121">
          <cell r="B121">
            <v>2830213</v>
          </cell>
        </row>
        <row r="122">
          <cell r="B122">
            <v>5586119</v>
          </cell>
        </row>
        <row r="123">
          <cell r="B123">
            <v>5452503</v>
          </cell>
        </row>
        <row r="124">
          <cell r="B124">
            <v>5618339</v>
          </cell>
        </row>
        <row r="125">
          <cell r="B125">
            <v>5824826</v>
          </cell>
        </row>
        <row r="126">
          <cell r="B126">
            <v>6141536</v>
          </cell>
        </row>
        <row r="127">
          <cell r="B127">
            <v>5124913</v>
          </cell>
        </row>
        <row r="128">
          <cell r="B128">
            <v>2861224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7.xml.rels><?xml version="1.0" encoding="UTF-8" standalone="yes"?>
<Relationships xmlns="http://schemas.openxmlformats.org/package/2006/relationships"><Relationship Id="rId3" Type="http://schemas.openxmlformats.org/officeDocument/2006/relationships/hyperlink" Target="javascript:void(0);" TargetMode="External"/><Relationship Id="rId2" Type="http://schemas.openxmlformats.org/officeDocument/2006/relationships/hyperlink" Target="javascript:void(0);" TargetMode="External"/><Relationship Id="rId1" Type="http://schemas.openxmlformats.org/officeDocument/2006/relationships/hyperlink" Target="javascript:void(0);"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rnod@mta.gov.mn" TargetMode="External"/><Relationship Id="rId7" Type="http://schemas.openxmlformats.org/officeDocument/2006/relationships/hyperlink" Target="mailto:chimgee@forum.mn" TargetMode="External"/><Relationship Id="rId2" Type="http://schemas.openxmlformats.org/officeDocument/2006/relationships/hyperlink" Target="mailto:delgerdalai@selenge.gov.mn" TargetMode="External"/><Relationship Id="rId1" Type="http://schemas.openxmlformats.org/officeDocument/2006/relationships/hyperlink" Target="mailto:enkhtsetseg@dundgovi.gov.mn" TargetMode="External"/><Relationship Id="rId6" Type="http://schemas.openxmlformats.org/officeDocument/2006/relationships/hyperlink" Target="mailto:khovdiintoli@gmail.com" TargetMode="External"/><Relationship Id="rId5" Type="http://schemas.openxmlformats.org/officeDocument/2006/relationships/hyperlink" Target="mailto:swb_bayar@yahoo.com;&#160;Swb.ngo@gmail.com" TargetMode="External"/><Relationship Id="rId4" Type="http://schemas.openxmlformats.org/officeDocument/2006/relationships/hyperlink" Target="mailto:sukhbaatar@burtgel.gov.m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3CC1E-EF2D-4FD1-B5B5-A174418CD8E3}">
  <dimension ref="A1:C58"/>
  <sheetViews>
    <sheetView workbookViewId="0">
      <pane ySplit="3" topLeftCell="A4" activePane="bottomLeft" state="frozen"/>
      <selection pane="bottomLeft" activeCell="B3" sqref="B3"/>
    </sheetView>
  </sheetViews>
  <sheetFormatPr defaultRowHeight="15"/>
  <cols>
    <col min="1" max="1" width="12.5703125" style="35" customWidth="1"/>
    <col min="2" max="2" width="94.140625" customWidth="1"/>
    <col min="5" max="5" width="14.85546875" customWidth="1"/>
  </cols>
  <sheetData>
    <row r="1" spans="1:3" ht="15.75" customHeight="1" thickBot="1">
      <c r="A1" s="493" t="s">
        <v>0</v>
      </c>
      <c r="B1" s="493"/>
      <c r="C1" s="493"/>
    </row>
    <row r="2" spans="1:3" ht="7.5" customHeight="1" thickTop="1" thickBot="1">
      <c r="B2" s="3"/>
    </row>
    <row r="3" spans="1:3" ht="15.75" thickTop="1">
      <c r="A3" s="16" t="s">
        <v>1</v>
      </c>
      <c r="B3" s="16" t="s">
        <v>2</v>
      </c>
    </row>
    <row r="4" spans="1:3">
      <c r="A4" s="34" t="s">
        <v>3</v>
      </c>
      <c r="B4" s="30" t="s">
        <v>4</v>
      </c>
    </row>
    <row r="5" spans="1:3">
      <c r="A5" s="34" t="s">
        <v>5</v>
      </c>
      <c r="B5" s="30" t="s">
        <v>6</v>
      </c>
    </row>
    <row r="6" spans="1:3">
      <c r="A6" s="34" t="s">
        <v>7</v>
      </c>
      <c r="B6" s="30" t="s">
        <v>8</v>
      </c>
    </row>
    <row r="7" spans="1:3">
      <c r="A7" s="34" t="s">
        <v>9</v>
      </c>
      <c r="B7" s="30" t="s">
        <v>10</v>
      </c>
    </row>
    <row r="8" spans="1:3">
      <c r="A8" s="34" t="s">
        <v>11</v>
      </c>
      <c r="B8" s="30" t="s">
        <v>12</v>
      </c>
    </row>
    <row r="9" spans="1:3">
      <c r="A9" s="34" t="s">
        <v>13</v>
      </c>
      <c r="B9" s="30" t="s">
        <v>14</v>
      </c>
    </row>
    <row r="10" spans="1:3">
      <c r="A10" s="34" t="s">
        <v>15</v>
      </c>
      <c r="B10" s="30" t="s">
        <v>16</v>
      </c>
    </row>
    <row r="11" spans="1:3">
      <c r="A11" s="34" t="s">
        <v>17</v>
      </c>
      <c r="B11" s="30" t="s">
        <v>18</v>
      </c>
    </row>
    <row r="12" spans="1:3">
      <c r="A12" s="34" t="s">
        <v>19</v>
      </c>
      <c r="B12" s="31" t="s">
        <v>20</v>
      </c>
    </row>
    <row r="13" spans="1:3">
      <c r="A13" s="34" t="s">
        <v>21</v>
      </c>
      <c r="B13" s="32" t="s">
        <v>22</v>
      </c>
    </row>
    <row r="14" spans="1:3">
      <c r="A14" s="34" t="s">
        <v>23</v>
      </c>
      <c r="B14" s="31" t="s">
        <v>24</v>
      </c>
    </row>
    <row r="15" spans="1:3">
      <c r="A15" s="34" t="s">
        <v>25</v>
      </c>
      <c r="B15" s="30" t="s">
        <v>26</v>
      </c>
    </row>
    <row r="16" spans="1:3">
      <c r="A16" s="34" t="s">
        <v>27</v>
      </c>
      <c r="B16" s="30" t="s">
        <v>28</v>
      </c>
    </row>
    <row r="17" spans="1:2">
      <c r="A17" s="34" t="s">
        <v>29</v>
      </c>
      <c r="B17" s="30" t="s">
        <v>30</v>
      </c>
    </row>
    <row r="18" spans="1:2">
      <c r="A18" s="34" t="s">
        <v>31</v>
      </c>
      <c r="B18" s="30" t="s">
        <v>32</v>
      </c>
    </row>
    <row r="19" spans="1:2">
      <c r="A19" s="34" t="s">
        <v>33</v>
      </c>
      <c r="B19" s="412" t="s">
        <v>34</v>
      </c>
    </row>
    <row r="20" spans="1:2">
      <c r="A20" s="34" t="s">
        <v>35</v>
      </c>
      <c r="B20" s="30" t="s">
        <v>36</v>
      </c>
    </row>
    <row r="21" spans="1:2">
      <c r="A21" s="34" t="s">
        <v>37</v>
      </c>
      <c r="B21" s="54" t="s">
        <v>38</v>
      </c>
    </row>
    <row r="22" spans="1:2">
      <c r="A22" s="34" t="s">
        <v>39</v>
      </c>
      <c r="B22" s="30" t="s">
        <v>40</v>
      </c>
    </row>
    <row r="23" spans="1:2">
      <c r="A23" s="34" t="s">
        <v>41</v>
      </c>
      <c r="B23" s="54" t="s">
        <v>42</v>
      </c>
    </row>
    <row r="24" spans="1:2">
      <c r="A24" s="34" t="s">
        <v>43</v>
      </c>
      <c r="B24" s="30" t="s">
        <v>44</v>
      </c>
    </row>
    <row r="25" spans="1:2">
      <c r="A25" s="34" t="s">
        <v>45</v>
      </c>
      <c r="B25" s="30" t="s">
        <v>46</v>
      </c>
    </row>
    <row r="26" spans="1:2">
      <c r="A26" s="34" t="s">
        <v>47</v>
      </c>
      <c r="B26" s="30" t="s">
        <v>48</v>
      </c>
    </row>
    <row r="27" spans="1:2">
      <c r="A27" s="34" t="s">
        <v>49</v>
      </c>
      <c r="B27" s="30" t="s">
        <v>50</v>
      </c>
    </row>
    <row r="28" spans="1:2">
      <c r="A28" s="34" t="s">
        <v>51</v>
      </c>
      <c r="B28" s="30" t="s">
        <v>52</v>
      </c>
    </row>
    <row r="29" spans="1:2">
      <c r="A29" s="34" t="s">
        <v>53</v>
      </c>
      <c r="B29" s="30" t="s">
        <v>54</v>
      </c>
    </row>
    <row r="30" spans="1:2">
      <c r="A30" s="34" t="s">
        <v>55</v>
      </c>
      <c r="B30" s="30" t="s">
        <v>56</v>
      </c>
    </row>
    <row r="31" spans="1:2">
      <c r="A31" s="34" t="s">
        <v>57</v>
      </c>
      <c r="B31" s="30" t="s">
        <v>58</v>
      </c>
    </row>
    <row r="32" spans="1:2">
      <c r="A32" s="34" t="s">
        <v>59</v>
      </c>
      <c r="B32" s="30" t="s">
        <v>60</v>
      </c>
    </row>
    <row r="33" spans="1:2">
      <c r="A33" s="34" t="s">
        <v>61</v>
      </c>
      <c r="B33" s="30" t="s">
        <v>62</v>
      </c>
    </row>
    <row r="34" spans="1:2">
      <c r="A34" s="34" t="s">
        <v>63</v>
      </c>
      <c r="B34" s="30" t="s">
        <v>64</v>
      </c>
    </row>
    <row r="35" spans="1:2">
      <c r="A35" s="34" t="s">
        <v>65</v>
      </c>
      <c r="B35" s="30" t="s">
        <v>66</v>
      </c>
    </row>
    <row r="36" spans="1:2">
      <c r="A36" s="34" t="s">
        <v>67</v>
      </c>
      <c r="B36" s="30" t="s">
        <v>68</v>
      </c>
    </row>
    <row r="37" spans="1:2">
      <c r="A37" s="34" t="s">
        <v>69</v>
      </c>
      <c r="B37" s="30" t="s">
        <v>70</v>
      </c>
    </row>
    <row r="38" spans="1:2">
      <c r="A38" s="34" t="s">
        <v>71</v>
      </c>
      <c r="B38" s="30" t="s">
        <v>72</v>
      </c>
    </row>
    <row r="39" spans="1:2">
      <c r="A39" s="34" t="s">
        <v>73</v>
      </c>
      <c r="B39" s="30" t="s">
        <v>74</v>
      </c>
    </row>
    <row r="40" spans="1:2">
      <c r="A40" s="34" t="s">
        <v>75</v>
      </c>
      <c r="B40" s="30" t="s">
        <v>76</v>
      </c>
    </row>
    <row r="41" spans="1:2">
      <c r="A41" s="34" t="s">
        <v>77</v>
      </c>
      <c r="B41" s="30" t="s">
        <v>78</v>
      </c>
    </row>
    <row r="42" spans="1:2">
      <c r="A42" s="66" t="s">
        <v>79</v>
      </c>
      <c r="B42" s="304" t="s">
        <v>80</v>
      </c>
    </row>
    <row r="43" spans="1:2">
      <c r="A43" s="66" t="s">
        <v>81</v>
      </c>
      <c r="B43" s="304" t="s">
        <v>82</v>
      </c>
    </row>
    <row r="44" spans="1:2">
      <c r="A44" s="66" t="s">
        <v>83</v>
      </c>
      <c r="B44" s="304" t="s">
        <v>84</v>
      </c>
    </row>
    <row r="45" spans="1:2">
      <c r="A45" s="66" t="s">
        <v>85</v>
      </c>
      <c r="B45" s="304" t="s">
        <v>86</v>
      </c>
    </row>
    <row r="46" spans="1:2">
      <c r="A46" s="66" t="s">
        <v>87</v>
      </c>
      <c r="B46" s="304" t="s">
        <v>88</v>
      </c>
    </row>
    <row r="47" spans="1:2">
      <c r="A47" s="34" t="s">
        <v>89</v>
      </c>
      <c r="B47" s="30" t="s">
        <v>90</v>
      </c>
    </row>
    <row r="48" spans="1:2">
      <c r="A48" s="34" t="s">
        <v>91</v>
      </c>
      <c r="B48" s="30" t="s">
        <v>92</v>
      </c>
    </row>
    <row r="49" spans="1:2">
      <c r="A49" s="34" t="s">
        <v>93</v>
      </c>
      <c r="B49" s="30" t="s">
        <v>94</v>
      </c>
    </row>
    <row r="50" spans="1:2">
      <c r="A50" s="34" t="s">
        <v>95</v>
      </c>
      <c r="B50" s="31" t="s">
        <v>96</v>
      </c>
    </row>
    <row r="51" spans="1:2">
      <c r="A51" s="34" t="s">
        <v>97</v>
      </c>
      <c r="B51" s="30" t="s">
        <v>98</v>
      </c>
    </row>
    <row r="52" spans="1:2">
      <c r="A52" s="34" t="s">
        <v>99</v>
      </c>
      <c r="B52" s="30" t="s">
        <v>100</v>
      </c>
    </row>
    <row r="53" spans="1:2">
      <c r="A53" s="34" t="s">
        <v>101</v>
      </c>
      <c r="B53" s="30" t="s">
        <v>102</v>
      </c>
    </row>
    <row r="54" spans="1:2">
      <c r="A54" s="34" t="s">
        <v>103</v>
      </c>
      <c r="B54" s="30" t="s">
        <v>104</v>
      </c>
    </row>
    <row r="55" spans="1:2">
      <c r="A55" s="34" t="s">
        <v>105</v>
      </c>
      <c r="B55" s="30" t="s">
        <v>106</v>
      </c>
    </row>
    <row r="56" spans="1:2">
      <c r="A56" s="34" t="s">
        <v>107</v>
      </c>
      <c r="B56" s="30" t="s">
        <v>108</v>
      </c>
    </row>
    <row r="57" spans="1:2">
      <c r="A57" s="34" t="s">
        <v>109</v>
      </c>
      <c r="B57" s="30" t="s">
        <v>110</v>
      </c>
    </row>
    <row r="58" spans="1:2">
      <c r="A58" s="34" t="s">
        <v>111</v>
      </c>
      <c r="B58" s="30" t="s">
        <v>112</v>
      </c>
    </row>
  </sheetData>
  <mergeCells count="1">
    <mergeCell ref="A1:C1"/>
  </mergeCells>
  <phoneticPr fontId="21"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5500F-D206-4664-9FCD-90DB769C8E37}">
  <sheetPr>
    <tabColor rgb="FF006432"/>
  </sheetPr>
  <dimension ref="A1:G129"/>
  <sheetViews>
    <sheetView workbookViewId="0">
      <pane ySplit="3" topLeftCell="A97" activePane="bottomLeft" state="frozen"/>
      <selection pane="bottomLeft" activeCell="F100" sqref="F100"/>
    </sheetView>
  </sheetViews>
  <sheetFormatPr defaultRowHeight="15"/>
  <cols>
    <col min="1" max="1" width="4.7109375" customWidth="1"/>
    <col min="2" max="2" width="13.42578125" customWidth="1"/>
    <col min="3" max="3" width="25" customWidth="1"/>
    <col min="4" max="4" width="28.28515625" customWidth="1"/>
  </cols>
  <sheetData>
    <row r="1" spans="1:7" ht="16.5" thickBot="1">
      <c r="A1" s="15" t="s">
        <v>681</v>
      </c>
      <c r="B1" s="15"/>
      <c r="C1" s="15"/>
      <c r="D1" s="15"/>
      <c r="E1" s="15"/>
      <c r="G1" s="42"/>
    </row>
    <row r="2" spans="1:7" ht="11.25" customHeight="1" thickTop="1"/>
    <row r="3" spans="1:7">
      <c r="A3" s="16" t="s">
        <v>114</v>
      </c>
      <c r="B3" s="16" t="s">
        <v>682</v>
      </c>
      <c r="C3" s="16" t="s">
        <v>115</v>
      </c>
      <c r="D3" s="16" t="s">
        <v>683</v>
      </c>
    </row>
    <row r="4" spans="1:7">
      <c r="A4" s="22">
        <v>1</v>
      </c>
      <c r="B4" s="9">
        <v>2011239</v>
      </c>
      <c r="C4" s="20" t="s">
        <v>121</v>
      </c>
      <c r="D4" s="430">
        <f>SUMIF('[1]Анхны нэгтгэл'!B:B,'[1]9'!B:B,'[1]Анхны нэгтгэл'!EG:EG)</f>
        <v>753501133.43999994</v>
      </c>
    </row>
    <row r="5" spans="1:7">
      <c r="A5" s="22">
        <f>A4+1</f>
        <v>2</v>
      </c>
      <c r="B5" s="9">
        <v>5097517</v>
      </c>
      <c r="C5" s="20" t="s">
        <v>126</v>
      </c>
      <c r="D5" s="430">
        <f>SUMIF('[1]Анхны нэгтгэл'!B:B,'[1]9'!B:B,'[1]Анхны нэгтгэл'!EG:EG)</f>
        <v>0</v>
      </c>
    </row>
    <row r="6" spans="1:7">
      <c r="A6" s="22">
        <f t="shared" ref="A6:A69" si="0">A5+1</f>
        <v>3</v>
      </c>
      <c r="B6" s="9">
        <v>5809797</v>
      </c>
      <c r="C6" s="20" t="s">
        <v>131</v>
      </c>
      <c r="D6" s="430">
        <f>SUMIF('[1]Анхны нэгтгэл'!B:B,'[1]9'!B:B,'[1]Анхны нэгтгэл'!EG:EG)</f>
        <v>-2154545499.6800003</v>
      </c>
    </row>
    <row r="7" spans="1:7">
      <c r="A7" s="22">
        <f t="shared" si="0"/>
        <v>4</v>
      </c>
      <c r="B7" s="9">
        <v>5118344</v>
      </c>
      <c r="C7" s="20" t="s">
        <v>133</v>
      </c>
      <c r="D7" s="430">
        <f>SUMIF('[1]Анхны нэгтгэл'!B:B,'[1]9'!B:B,'[1]Анхны нэгтгэл'!EG:EG)</f>
        <v>-13139817.710000001</v>
      </c>
    </row>
    <row r="8" spans="1:7">
      <c r="A8" s="22">
        <f t="shared" si="0"/>
        <v>5</v>
      </c>
      <c r="B8" s="9">
        <v>5095549</v>
      </c>
      <c r="C8" s="20" t="s">
        <v>136</v>
      </c>
      <c r="D8" s="430">
        <f>SUMIF('[1]Анхны нэгтгэл'!B:B,'[1]9'!B:B,'[1]Анхны нэгтгэл'!EG:EG)</f>
        <v>6277455640.7700005</v>
      </c>
    </row>
    <row r="9" spans="1:7">
      <c r="A9" s="22">
        <f t="shared" si="0"/>
        <v>6</v>
      </c>
      <c r="B9" s="9">
        <v>2784165</v>
      </c>
      <c r="C9" s="20" t="s">
        <v>140</v>
      </c>
      <c r="D9" s="430">
        <f>SUMIF('[1]Анхны нэгтгэл'!B:B,'[1]9'!B:B,'[1]Анхны нэгтгэл'!EG:EG)</f>
        <v>199180632.15000001</v>
      </c>
    </row>
    <row r="10" spans="1:7">
      <c r="A10" s="22">
        <f t="shared" si="0"/>
        <v>7</v>
      </c>
      <c r="B10" s="9">
        <v>5133351</v>
      </c>
      <c r="C10" s="20" t="s">
        <v>143</v>
      </c>
      <c r="D10" s="430">
        <f>SUMIF('[1]Анхны нэгтгэл'!B:B,'[1]9'!B:B,'[1]Анхны нэгтгэл'!EG:EG)</f>
        <v>-116476490</v>
      </c>
    </row>
    <row r="11" spans="1:7">
      <c r="A11" s="22">
        <f t="shared" si="0"/>
        <v>8</v>
      </c>
      <c r="B11" s="9">
        <v>6172768</v>
      </c>
      <c r="C11" s="20" t="s">
        <v>144</v>
      </c>
      <c r="D11" s="430">
        <f>SUMIF('[1]Анхны нэгтгэл'!B:B,'[1]9'!B:B,'[1]Анхны нэгтгэл'!EG:EG)</f>
        <v>731844421.88018906</v>
      </c>
    </row>
    <row r="12" spans="1:7">
      <c r="A12" s="22">
        <f t="shared" si="0"/>
        <v>9</v>
      </c>
      <c r="B12" s="9">
        <v>2788705</v>
      </c>
      <c r="C12" s="20" t="s">
        <v>146</v>
      </c>
      <c r="D12" s="430">
        <f>SUMIF('[1]Анхны нэгтгэл'!B:B,'[1]9'!B:B,'[1]Анхны нэгтгэл'!EG:EG)</f>
        <v>49776715861.379997</v>
      </c>
    </row>
    <row r="13" spans="1:7">
      <c r="A13" s="22">
        <f t="shared" si="0"/>
        <v>10</v>
      </c>
      <c r="B13" s="9">
        <v>5439183</v>
      </c>
      <c r="C13" s="20" t="s">
        <v>629</v>
      </c>
      <c r="D13" s="430">
        <f>SUMIF('[1]Анхны нэгтгэл'!B:B,'[1]9'!B:B,'[1]Анхны нэгтгэл'!EG:EG)</f>
        <v>911225248.09772599</v>
      </c>
    </row>
    <row r="14" spans="1:7">
      <c r="A14" s="22">
        <f t="shared" si="0"/>
        <v>11</v>
      </c>
      <c r="B14" s="9">
        <v>2008572</v>
      </c>
      <c r="C14" s="20" t="s">
        <v>152</v>
      </c>
      <c r="D14" s="430">
        <f>SUMIF('[1]Анхны нэгтгэл'!B:B,'[1]9'!B:B,'[1]Анхны нэгтгэл'!EG:EG)</f>
        <v>-25514287222.871498</v>
      </c>
    </row>
    <row r="15" spans="1:7">
      <c r="A15" s="22">
        <f t="shared" si="0"/>
        <v>12</v>
      </c>
      <c r="B15" s="9">
        <v>5215919</v>
      </c>
      <c r="C15" s="20" t="s">
        <v>155</v>
      </c>
      <c r="D15" s="430">
        <f>SUMIF('[1]Анхны нэгтгэл'!B:B,'[1]9'!B:B,'[1]Анхны нэгтгэл'!EG:EG)</f>
        <v>1929683560.9900005</v>
      </c>
    </row>
    <row r="16" spans="1:7">
      <c r="A16" s="22">
        <f t="shared" si="0"/>
        <v>13</v>
      </c>
      <c r="B16" s="9">
        <v>5502977</v>
      </c>
      <c r="C16" s="20" t="s">
        <v>157</v>
      </c>
      <c r="D16" s="430">
        <f>SUMIF('[1]Анхны нэгтгэл'!B:B,'[1]9'!B:B,'[1]Анхны нэгтгэл'!EG:EG)</f>
        <v>-589729220.4611851</v>
      </c>
    </row>
    <row r="17" spans="1:4">
      <c r="A17" s="22">
        <f t="shared" si="0"/>
        <v>14</v>
      </c>
      <c r="B17" s="9">
        <v>2708701</v>
      </c>
      <c r="C17" s="20" t="s">
        <v>159</v>
      </c>
      <c r="D17" s="430">
        <f>SUMIF('[1]Анхны нэгтгэл'!B:B,'[1]9'!B:B,'[1]Анхны нэгтгэл'!EG:EG)</f>
        <v>1473741422.3686943</v>
      </c>
    </row>
    <row r="18" spans="1:4">
      <c r="A18" s="22">
        <f t="shared" si="0"/>
        <v>15</v>
      </c>
      <c r="B18" s="9">
        <v>2014491</v>
      </c>
      <c r="C18" s="20" t="s">
        <v>161</v>
      </c>
      <c r="D18" s="430">
        <f>SUMIF('[1]Анхны нэгтгэл'!B:B,'[1]9'!B:B,'[1]Анхны нэгтгэл'!EG:EG)</f>
        <v>2388779324.5099998</v>
      </c>
    </row>
    <row r="19" spans="1:4">
      <c r="A19" s="22">
        <f t="shared" si="0"/>
        <v>16</v>
      </c>
      <c r="B19" s="9">
        <v>6414877</v>
      </c>
      <c r="C19" s="20" t="s">
        <v>165</v>
      </c>
      <c r="D19" s="430">
        <f>SUMIF('[1]Анхны нэгтгэл'!B:B,'[1]9'!B:B,'[1]Анхны нэгтгэл'!EG:EG)</f>
        <v>95612607.599999994</v>
      </c>
    </row>
    <row r="20" spans="1:4">
      <c r="A20" s="22">
        <f t="shared" si="0"/>
        <v>17</v>
      </c>
      <c r="B20" s="9">
        <v>5369223</v>
      </c>
      <c r="C20" s="20" t="s">
        <v>168</v>
      </c>
      <c r="D20" s="430">
        <f>SUMIF('[1]Анхны нэгтгэл'!B:B,'[1]9'!B:B,'[1]Анхны нэгтгэл'!EG:EG)</f>
        <v>127493316.67449996</v>
      </c>
    </row>
    <row r="21" spans="1:4">
      <c r="A21" s="22">
        <f t="shared" si="0"/>
        <v>18</v>
      </c>
      <c r="B21" s="9">
        <v>5294088</v>
      </c>
      <c r="C21" s="20" t="s">
        <v>169</v>
      </c>
      <c r="D21" s="430">
        <f>SUMIF('[1]Анхны нэгтгэл'!B:B,'[1]9'!B:B,'[1]Анхны нэгтгэл'!EG:EG)</f>
        <v>-118093746.01278707</v>
      </c>
    </row>
    <row r="22" spans="1:4">
      <c r="A22" s="22">
        <f t="shared" si="0"/>
        <v>19</v>
      </c>
      <c r="B22" s="9">
        <v>2855119</v>
      </c>
      <c r="C22" s="20" t="s">
        <v>173</v>
      </c>
      <c r="D22" s="430">
        <f>SUMIF('[1]Анхны нэгтгэл'!B:B,'[1]9'!B:B,'[1]Анхны нэгтгэл'!EG:EG)</f>
        <v>889748492.09729099</v>
      </c>
    </row>
    <row r="23" spans="1:4">
      <c r="A23" s="22">
        <f t="shared" si="0"/>
        <v>20</v>
      </c>
      <c r="B23" s="9">
        <v>2094533</v>
      </c>
      <c r="C23" s="20" t="s">
        <v>174</v>
      </c>
      <c r="D23" s="430">
        <f>SUMIF('[1]Анхны нэгтгэл'!B:B,'[1]9'!B:B,'[1]Анхны нэгтгэл'!EG:EG)</f>
        <v>-25167444146.310028</v>
      </c>
    </row>
    <row r="24" spans="1:4">
      <c r="A24" s="22">
        <f t="shared" si="0"/>
        <v>21</v>
      </c>
      <c r="B24" s="9">
        <v>5722942</v>
      </c>
      <c r="C24" s="20" t="s">
        <v>175</v>
      </c>
      <c r="D24" s="430">
        <f>SUMIF('[1]Анхны нэгтгэл'!B:B,'[1]9'!B:B,'[1]Анхны нэгтгэл'!EG:EG)</f>
        <v>1042292827.057934</v>
      </c>
    </row>
    <row r="25" spans="1:4">
      <c r="A25" s="22">
        <f t="shared" si="0"/>
        <v>22</v>
      </c>
      <c r="B25" s="9">
        <v>2867494</v>
      </c>
      <c r="C25" s="20" t="s">
        <v>176</v>
      </c>
      <c r="D25" s="430">
        <f>SUMIF('[1]Анхны нэгтгэл'!B:B,'[1]9'!B:B,'[1]Анхны нэгтгэл'!EG:EG)</f>
        <v>19361811.84</v>
      </c>
    </row>
    <row r="26" spans="1:4">
      <c r="A26" s="22">
        <f t="shared" si="0"/>
        <v>23</v>
      </c>
      <c r="B26" s="9">
        <v>6463932</v>
      </c>
      <c r="C26" s="20" t="s">
        <v>177</v>
      </c>
      <c r="D26" s="430">
        <f>SUMIF('[1]Анхны нэгтгэл'!B:B,'[1]9'!B:B,'[1]Анхны нэгтгэл'!EG:EG)</f>
        <v>3179012564.9755478</v>
      </c>
    </row>
    <row r="27" spans="1:4">
      <c r="A27" s="22">
        <f t="shared" si="0"/>
        <v>24</v>
      </c>
      <c r="B27" s="9">
        <v>5260833</v>
      </c>
      <c r="C27" s="20" t="s">
        <v>178</v>
      </c>
      <c r="D27" s="430">
        <f>SUMIF('[1]Анхны нэгтгэл'!B:B,'[1]9'!B:B,'[1]Анхны нэгтгэл'!EG:EG)</f>
        <v>3726400</v>
      </c>
    </row>
    <row r="28" spans="1:4">
      <c r="A28" s="22">
        <f t="shared" si="0"/>
        <v>25</v>
      </c>
      <c r="B28" s="9">
        <v>2051303</v>
      </c>
      <c r="C28" s="20" t="s">
        <v>179</v>
      </c>
      <c r="D28" s="430">
        <f>SUMIF('[1]Анхны нэгтгэл'!B:B,'[1]9'!B:B,'[1]Анхны нэгтгэл'!EG:EG)</f>
        <v>37978093262.971909</v>
      </c>
    </row>
    <row r="29" spans="1:4">
      <c r="A29" s="22">
        <f t="shared" si="0"/>
        <v>26</v>
      </c>
      <c r="B29" s="9">
        <v>2061848</v>
      </c>
      <c r="C29" s="20" t="s">
        <v>183</v>
      </c>
      <c r="D29" s="430">
        <f>SUMIF('[1]Анхны нэгтгэл'!B:B,'[1]9'!B:B,'[1]Анхны нэгтгэл'!EG:EG)</f>
        <v>-31707825.779999986</v>
      </c>
    </row>
    <row r="30" spans="1:4">
      <c r="A30" s="22">
        <f t="shared" si="0"/>
        <v>27</v>
      </c>
      <c r="B30" s="9">
        <v>2766337</v>
      </c>
      <c r="C30" s="20" t="s">
        <v>185</v>
      </c>
      <c r="D30" s="430">
        <f>SUMIF('[1]Анхны нэгтгэл'!B:B,'[1]9'!B:B,'[1]Анхны нэгтгэл'!EG:EG)</f>
        <v>1604380947.24</v>
      </c>
    </row>
    <row r="31" spans="1:4">
      <c r="A31" s="22">
        <f t="shared" si="0"/>
        <v>28</v>
      </c>
      <c r="B31" s="9">
        <v>5810086</v>
      </c>
      <c r="C31" s="20" t="s">
        <v>187</v>
      </c>
      <c r="D31" s="430">
        <f>SUMIF('[1]Анхны нэгтгэл'!B:B,'[1]9'!B:B,'[1]Анхны нэгтгэл'!EG:EG)</f>
        <v>1266685507.4100001</v>
      </c>
    </row>
    <row r="32" spans="1:4">
      <c r="A32" s="22">
        <f t="shared" si="0"/>
        <v>29</v>
      </c>
      <c r="B32" s="9">
        <v>5217652</v>
      </c>
      <c r="C32" s="20" t="s">
        <v>188</v>
      </c>
      <c r="D32" s="430">
        <f>SUMIF('[1]Анхны нэгтгэл'!B:B,'[1]9'!B:B,'[1]Анхны нэгтгэл'!EG:EG)</f>
        <v>-11695354484.161863</v>
      </c>
    </row>
    <row r="33" spans="1:4">
      <c r="A33" s="22">
        <f t="shared" si="0"/>
        <v>30</v>
      </c>
      <c r="B33" s="9">
        <v>2780518</v>
      </c>
      <c r="C33" s="20" t="s">
        <v>189</v>
      </c>
      <c r="D33" s="430">
        <f>SUMIF('[1]Анхны нэгтгэл'!B:B,'[1]9'!B:B,'[1]Анхны нэгтгэл'!EG:EG)</f>
        <v>-232168265.86000004</v>
      </c>
    </row>
    <row r="34" spans="1:4">
      <c r="A34" s="22">
        <f t="shared" si="0"/>
        <v>31</v>
      </c>
      <c r="B34" s="9">
        <v>5272378</v>
      </c>
      <c r="C34" s="20" t="s">
        <v>193</v>
      </c>
      <c r="D34" s="430">
        <f>SUMIF('[1]Анхны нэгтгэл'!B:B,'[1]9'!B:B,'[1]Анхны нэгтгэл'!EG:EG)</f>
        <v>3281690550.6677003</v>
      </c>
    </row>
    <row r="35" spans="1:4">
      <c r="A35" s="22">
        <f t="shared" si="0"/>
        <v>32</v>
      </c>
      <c r="B35" s="9">
        <v>5467268</v>
      </c>
      <c r="C35" s="20" t="s">
        <v>194</v>
      </c>
      <c r="D35" s="430">
        <f>SUMIF('[1]Анхны нэгтгэл'!B:B,'[1]9'!B:B,'[1]Анхны нэгтгэл'!EG:EG)</f>
        <v>2208040419.4005198</v>
      </c>
    </row>
    <row r="36" spans="1:4">
      <c r="A36" s="22">
        <f t="shared" si="0"/>
        <v>33</v>
      </c>
      <c r="B36" s="9">
        <v>5522935</v>
      </c>
      <c r="C36" s="20" t="s">
        <v>196</v>
      </c>
      <c r="D36" s="430">
        <f>SUMIF('[1]Анхны нэгтгэл'!B:B,'[1]9'!B:B,'[1]Анхны нэгтгэл'!EG:EG)</f>
        <v>188175990.81480002</v>
      </c>
    </row>
    <row r="37" spans="1:4">
      <c r="A37" s="22">
        <f t="shared" si="0"/>
        <v>34</v>
      </c>
      <c r="B37" s="9">
        <v>5528089</v>
      </c>
      <c r="C37" s="20" t="s">
        <v>197</v>
      </c>
      <c r="D37" s="430">
        <f>SUMIF('[1]Анхны нэгтгэл'!B:B,'[1]9'!B:B,'[1]Анхны нэгтгэл'!EG:EG)</f>
        <v>0</v>
      </c>
    </row>
    <row r="38" spans="1:4">
      <c r="A38" s="22">
        <f t="shared" si="0"/>
        <v>35</v>
      </c>
      <c r="B38" s="9">
        <v>5396662</v>
      </c>
      <c r="C38" s="20" t="s">
        <v>198</v>
      </c>
      <c r="D38" s="430">
        <f>SUMIF('[1]Анхны нэгтгэл'!B:B,'[1]9'!B:B,'[1]Анхны нэгтгэл'!EG:EG)</f>
        <v>3195432282.7887344</v>
      </c>
    </row>
    <row r="39" spans="1:4">
      <c r="A39" s="22">
        <f t="shared" si="0"/>
        <v>36</v>
      </c>
      <c r="B39" s="9">
        <v>5830974</v>
      </c>
      <c r="C39" s="20" t="s">
        <v>199</v>
      </c>
      <c r="D39" s="430">
        <f>SUMIF('[1]Анхны нэгтгэл'!B:B,'[1]9'!B:B,'[1]Анхны нэгтгэл'!EG:EG)</f>
        <v>-33750956712.531837</v>
      </c>
    </row>
    <row r="40" spans="1:4">
      <c r="A40" s="22">
        <f t="shared" si="0"/>
        <v>37</v>
      </c>
      <c r="B40" s="9">
        <v>2057573</v>
      </c>
      <c r="C40" s="20" t="s">
        <v>201</v>
      </c>
      <c r="D40" s="430">
        <f>SUMIF('[1]Анхны нэгтгэл'!B:B,'[1]9'!B:B,'[1]Анхны нэгтгэл'!EG:EG)</f>
        <v>202252240.15049803</v>
      </c>
    </row>
    <row r="41" spans="1:4">
      <c r="A41" s="22">
        <f t="shared" si="0"/>
        <v>38</v>
      </c>
      <c r="B41" s="9">
        <v>5699134</v>
      </c>
      <c r="C41" s="20" t="s">
        <v>202</v>
      </c>
      <c r="D41" s="430">
        <f>SUMIF('[1]Анхны нэгтгэл'!B:B,'[1]9'!B:B,'[1]Анхны нэгтгэл'!EG:EG)</f>
        <v>406753867.70455492</v>
      </c>
    </row>
    <row r="42" spans="1:4">
      <c r="A42" s="22">
        <f t="shared" si="0"/>
        <v>39</v>
      </c>
      <c r="B42" s="9">
        <v>5412153</v>
      </c>
      <c r="C42" s="20" t="s">
        <v>203</v>
      </c>
      <c r="D42" s="430">
        <f>SUMIF('[1]Анхны нэгтгэл'!B:B,'[1]9'!B:B,'[1]Анхны нэгтгэл'!EG:EG)</f>
        <v>-300199254.91350007</v>
      </c>
    </row>
    <row r="43" spans="1:4">
      <c r="A43" s="22">
        <f t="shared" si="0"/>
        <v>40</v>
      </c>
      <c r="B43" s="9">
        <v>2034859</v>
      </c>
      <c r="C43" s="20" t="s">
        <v>204</v>
      </c>
      <c r="D43" s="430">
        <f>SUMIF('[1]Анхны нэгтгэл'!B:B,'[1]9'!B:B,'[1]Анхны нэгтгэл'!EG:EG)</f>
        <v>41972453.410000049</v>
      </c>
    </row>
    <row r="44" spans="1:4">
      <c r="A44" s="22">
        <f t="shared" si="0"/>
        <v>41</v>
      </c>
      <c r="B44" s="9">
        <v>5253535</v>
      </c>
      <c r="C44" s="20" t="s">
        <v>208</v>
      </c>
      <c r="D44" s="430">
        <f>SUMIF('[1]Анхны нэгтгэл'!B:B,'[1]9'!B:B,'[1]Анхны нэгтгэл'!EG:EG)</f>
        <v>4672640962.4215298</v>
      </c>
    </row>
    <row r="45" spans="1:4">
      <c r="A45" s="22">
        <f t="shared" si="0"/>
        <v>42</v>
      </c>
      <c r="B45" s="9">
        <v>5150884</v>
      </c>
      <c r="C45" s="20" t="s">
        <v>210</v>
      </c>
      <c r="D45" s="430">
        <f>SUMIF('[1]Анхны нэгтгэл'!B:B,'[1]9'!B:B,'[1]Анхны нэгтгэл'!EG:EG)</f>
        <v>12001000</v>
      </c>
    </row>
    <row r="46" spans="1:4">
      <c r="A46" s="22">
        <f t="shared" si="0"/>
        <v>43</v>
      </c>
      <c r="B46" s="9">
        <v>5051304</v>
      </c>
      <c r="C46" s="20" t="s">
        <v>211</v>
      </c>
      <c r="D46" s="430">
        <f>SUMIF('[1]Анхны нэгтгэл'!B:B,'[1]9'!B:B,'[1]Анхны нэгтгэл'!EG:EG)</f>
        <v>1625450602.5891571</v>
      </c>
    </row>
    <row r="47" spans="1:4">
      <c r="A47" s="22">
        <f t="shared" si="0"/>
        <v>44</v>
      </c>
      <c r="B47" s="9">
        <v>5401801</v>
      </c>
      <c r="C47" s="20" t="s">
        <v>213</v>
      </c>
      <c r="D47" s="430">
        <f>SUMIF('[1]Анхны нэгтгэл'!B:B,'[1]9'!B:B,'[1]Анхны нэгтгэл'!EG:EG)</f>
        <v>1404335247.2619998</v>
      </c>
    </row>
    <row r="48" spans="1:4">
      <c r="A48" s="22">
        <f t="shared" si="0"/>
        <v>45</v>
      </c>
      <c r="B48" s="9">
        <v>2550466</v>
      </c>
      <c r="C48" s="20" t="s">
        <v>214</v>
      </c>
      <c r="D48" s="430">
        <f>SUMIF('[1]Анхны нэгтгэл'!B:B,'[1]9'!B:B,'[1]Анхны нэгтгэл'!EG:EG)</f>
        <v>2733213303.5821157</v>
      </c>
    </row>
    <row r="49" spans="1:4">
      <c r="A49" s="22">
        <f t="shared" si="0"/>
        <v>46</v>
      </c>
      <c r="B49" s="9">
        <v>5051134</v>
      </c>
      <c r="C49" s="20" t="s">
        <v>216</v>
      </c>
      <c r="D49" s="430">
        <f>SUMIF('[1]Анхны нэгтгэл'!B:B,'[1]9'!B:B,'[1]Анхны нэгтгэл'!EG:EG)</f>
        <v>1612331493.4297543</v>
      </c>
    </row>
    <row r="50" spans="1:4">
      <c r="A50" s="22">
        <f t="shared" si="0"/>
        <v>47</v>
      </c>
      <c r="B50" s="9">
        <v>2095025</v>
      </c>
      <c r="C50" s="20" t="s">
        <v>217</v>
      </c>
      <c r="D50" s="430">
        <f>SUMIF('[1]Анхны нэгтгэл'!B:B,'[1]9'!B:B,'[1]Анхны нэгтгэл'!EG:EG)</f>
        <v>26292795408.918713</v>
      </c>
    </row>
    <row r="51" spans="1:4">
      <c r="A51" s="22">
        <f t="shared" si="0"/>
        <v>48</v>
      </c>
      <c r="B51" s="9">
        <v>2045931</v>
      </c>
      <c r="C51" s="20" t="s">
        <v>218</v>
      </c>
      <c r="D51" s="430">
        <f>SUMIF('[1]Анхны нэгтгэл'!B:B,'[1]9'!B:B,'[1]Анхны нэгтгэл'!EG:EG)</f>
        <v>1675800059.7380724</v>
      </c>
    </row>
    <row r="52" spans="1:4">
      <c r="A52" s="22">
        <f t="shared" si="0"/>
        <v>49</v>
      </c>
      <c r="B52" s="9">
        <v>2029278</v>
      </c>
      <c r="C52" s="20" t="s">
        <v>219</v>
      </c>
      <c r="D52" s="430">
        <f>SUMIF('[1]Анхны нэгтгэл'!B:B,'[1]9'!B:B,'[1]Анхны нэгтгэл'!EG:EG)</f>
        <v>-1887787700.1105161</v>
      </c>
    </row>
    <row r="53" spans="1:4">
      <c r="A53" s="22">
        <f t="shared" si="0"/>
        <v>50</v>
      </c>
      <c r="B53" s="9">
        <v>5106567</v>
      </c>
      <c r="C53" s="20" t="s">
        <v>220</v>
      </c>
      <c r="D53" s="430">
        <f>SUMIF('[1]Анхны нэгтгэл'!B:B,'[1]9'!B:B,'[1]Анхны нэгтгэл'!EG:EG)</f>
        <v>5999742687.066925</v>
      </c>
    </row>
    <row r="54" spans="1:4">
      <c r="A54" s="22">
        <f t="shared" si="0"/>
        <v>51</v>
      </c>
      <c r="B54" s="9">
        <v>5141583</v>
      </c>
      <c r="C54" s="20" t="s">
        <v>222</v>
      </c>
      <c r="D54" s="430">
        <f>SUMIF('[1]Анхны нэгтгэл'!B:B,'[1]9'!B:B,'[1]Анхны нэгтгэл'!EG:EG)</f>
        <v>1259849830.8760738</v>
      </c>
    </row>
    <row r="55" spans="1:4">
      <c r="A55" s="22">
        <f t="shared" si="0"/>
        <v>52</v>
      </c>
      <c r="B55" s="9">
        <v>5118115</v>
      </c>
      <c r="C55" s="20" t="s">
        <v>223</v>
      </c>
      <c r="D55" s="430">
        <f>SUMIF('[1]Анхны нэгтгэл'!B:B,'[1]9'!B:B,'[1]Анхны нэгтгэл'!EG:EG)</f>
        <v>10659602534.661135</v>
      </c>
    </row>
    <row r="56" spans="1:4">
      <c r="A56" s="22">
        <f t="shared" si="0"/>
        <v>53</v>
      </c>
      <c r="B56" s="9">
        <v>5106656</v>
      </c>
      <c r="C56" s="20" t="s">
        <v>224</v>
      </c>
      <c r="D56" s="430">
        <f>SUMIF('[1]Анхны нэгтгэл'!B:B,'[1]9'!B:B,'[1]Анхны нэгтгэл'!EG:EG)</f>
        <v>1089740814.7074981</v>
      </c>
    </row>
    <row r="57" spans="1:4">
      <c r="A57" s="22">
        <f t="shared" si="0"/>
        <v>54</v>
      </c>
      <c r="B57" s="9">
        <v>2010895</v>
      </c>
      <c r="C57" s="20" t="s">
        <v>225</v>
      </c>
      <c r="D57" s="430">
        <f>SUMIF('[1]Анхны нэгтгэл'!B:B,'[1]9'!B:B,'[1]Анхны нэгтгэл'!EG:EG)</f>
        <v>82896967.841323018</v>
      </c>
    </row>
    <row r="58" spans="1:4">
      <c r="A58" s="22">
        <f t="shared" si="0"/>
        <v>55</v>
      </c>
      <c r="B58" s="9">
        <v>5295858</v>
      </c>
      <c r="C58" s="20" t="s">
        <v>227</v>
      </c>
      <c r="D58" s="430">
        <f>SUMIF('[1]Анхны нэгтгэл'!B:B,'[1]9'!B:B,'[1]Анхны нэгтгэл'!EG:EG)</f>
        <v>4008344791.6765609</v>
      </c>
    </row>
    <row r="59" spans="1:4">
      <c r="A59" s="22">
        <f t="shared" si="0"/>
        <v>56</v>
      </c>
      <c r="B59" s="9">
        <v>6287727</v>
      </c>
      <c r="C59" s="20" t="s">
        <v>228</v>
      </c>
      <c r="D59" s="430">
        <f>SUMIF('[1]Анхны нэгтгэл'!B:B,'[1]9'!B:B,'[1]Анхны нэгтгэл'!EG:EG)</f>
        <v>1191035576.010812</v>
      </c>
    </row>
    <row r="60" spans="1:4">
      <c r="A60" s="22">
        <f t="shared" si="0"/>
        <v>57</v>
      </c>
      <c r="B60" s="9">
        <v>2659603</v>
      </c>
      <c r="C60" s="20" t="s">
        <v>229</v>
      </c>
      <c r="D60" s="430">
        <f>SUMIF('[1]Анхны нэгтгэл'!B:B,'[1]9'!B:B,'[1]Анхны нэгтгэл'!EG:EG)</f>
        <v>11017600155.734999</v>
      </c>
    </row>
    <row r="61" spans="1:4">
      <c r="A61" s="22">
        <f t="shared" si="0"/>
        <v>58</v>
      </c>
      <c r="B61" s="9">
        <v>2678187</v>
      </c>
      <c r="C61" s="20" t="s">
        <v>230</v>
      </c>
      <c r="D61" s="430">
        <f>SUMIF('[1]Анхны нэгтгэл'!B:B,'[1]9'!B:B,'[1]Анхны нэгтгэл'!EG:EG)</f>
        <v>-1843027399.9405885</v>
      </c>
    </row>
    <row r="62" spans="1:4">
      <c r="A62" s="22">
        <f t="shared" si="0"/>
        <v>59</v>
      </c>
      <c r="B62" s="9">
        <v>2657457</v>
      </c>
      <c r="C62" s="20" t="s">
        <v>231</v>
      </c>
      <c r="D62" s="430">
        <f>SUMIF('[1]Анхны нэгтгэл'!B:B,'[1]9'!B:B,'[1]Анхны нэгтгэл'!EG:EG)</f>
        <v>-130092994211.4623</v>
      </c>
    </row>
    <row r="63" spans="1:4">
      <c r="A63" s="22">
        <f t="shared" si="0"/>
        <v>60</v>
      </c>
      <c r="B63" s="9">
        <v>3615243</v>
      </c>
      <c r="C63" s="20" t="s">
        <v>232</v>
      </c>
      <c r="D63" s="430">
        <f>SUMIF('[1]Анхны нэгтгэл'!B:B,'[1]9'!B:B,'[1]Анхны нэгтгэл'!EG:EG)</f>
        <v>1816974484.96</v>
      </c>
    </row>
    <row r="64" spans="1:4">
      <c r="A64" s="22">
        <f t="shared" si="0"/>
        <v>61</v>
      </c>
      <c r="B64" s="9">
        <v>3623955</v>
      </c>
      <c r="C64" s="20" t="s">
        <v>236</v>
      </c>
      <c r="D64" s="430">
        <f>SUMIF('[1]Анхны нэгтгэл'!B:B,'[1]9'!B:B,'[1]Анхны нэгтгэл'!EG:EG)</f>
        <v>344523368.39633101</v>
      </c>
    </row>
    <row r="65" spans="1:4">
      <c r="A65" s="22">
        <f t="shared" si="0"/>
        <v>62</v>
      </c>
      <c r="B65" s="9">
        <v>5199077</v>
      </c>
      <c r="C65" s="20" t="s">
        <v>239</v>
      </c>
      <c r="D65" s="430">
        <f>SUMIF('[1]Анхны нэгтгэл'!B:B,'[1]9'!B:B,'[1]Анхны нэгтгэл'!EG:EG)</f>
        <v>116415202471.86043</v>
      </c>
    </row>
    <row r="66" spans="1:4">
      <c r="A66" s="22">
        <f t="shared" si="0"/>
        <v>63</v>
      </c>
      <c r="B66" s="9">
        <v>2075385</v>
      </c>
      <c r="C66" s="20" t="s">
        <v>240</v>
      </c>
      <c r="D66" s="430">
        <f>SUMIF('[1]Анхны нэгтгэл'!B:B,'[1]9'!B:B,'[1]Анхны нэгтгэл'!EG:EG)</f>
        <v>7493242154.960001</v>
      </c>
    </row>
    <row r="67" spans="1:4">
      <c r="A67" s="22">
        <f t="shared" si="0"/>
        <v>64</v>
      </c>
      <c r="B67" s="9">
        <v>2867095</v>
      </c>
      <c r="C67" s="20" t="s">
        <v>241</v>
      </c>
      <c r="D67" s="430">
        <f>SUMIF('[1]Анхны нэгтгэл'!B:B,'[1]9'!B:B,'[1]Анхны нэгтгэл'!EG:EG)</f>
        <v>1968511864.1800003</v>
      </c>
    </row>
    <row r="68" spans="1:4">
      <c r="A68" s="22">
        <f t="shared" si="0"/>
        <v>65</v>
      </c>
      <c r="B68" s="9">
        <v>5076285</v>
      </c>
      <c r="C68" s="20" t="s">
        <v>242</v>
      </c>
      <c r="D68" s="430">
        <f>SUMIF('[1]Анхны нэгтгэл'!B:B,'[1]9'!B:B,'[1]Анхны нэгтгэл'!EG:EG)</f>
        <v>6523853396.1870708</v>
      </c>
    </row>
    <row r="69" spans="1:4">
      <c r="A69" s="22">
        <f t="shared" si="0"/>
        <v>66</v>
      </c>
      <c r="B69" s="9">
        <v>5084555</v>
      </c>
      <c r="C69" s="20" t="s">
        <v>243</v>
      </c>
      <c r="D69" s="430">
        <f>SUMIF('[1]Анхны нэгтгэл'!B:B,'[1]9'!B:B,'[1]Анхны нэгтгэл'!EG:EG)</f>
        <v>-16828311554.198763</v>
      </c>
    </row>
    <row r="70" spans="1:4">
      <c r="A70" s="22">
        <f t="shared" ref="A70:A128" si="1">A69+1</f>
        <v>67</v>
      </c>
      <c r="B70" s="9">
        <v>5261198</v>
      </c>
      <c r="C70" s="20" t="s">
        <v>244</v>
      </c>
      <c r="D70" s="430">
        <f>SUMIF('[1]Анхны нэгтгэл'!B:B,'[1]9'!B:B,'[1]Анхны нэгтгэл'!EG:EG)</f>
        <v>8100177056.5024958</v>
      </c>
    </row>
    <row r="71" spans="1:4">
      <c r="A71" s="22">
        <f t="shared" si="1"/>
        <v>68</v>
      </c>
      <c r="B71" s="9">
        <v>5288703</v>
      </c>
      <c r="C71" s="20" t="s">
        <v>246</v>
      </c>
      <c r="D71" s="430">
        <f>SUMIF('[1]Анхны нэгтгэл'!B:B,'[1]9'!B:B,'[1]Анхны нэгтгэл'!EG:EG)</f>
        <v>1627939752.678349</v>
      </c>
    </row>
    <row r="72" spans="1:4">
      <c r="A72" s="22">
        <f t="shared" si="1"/>
        <v>69</v>
      </c>
      <c r="B72" s="9">
        <v>6232485</v>
      </c>
      <c r="C72" s="20" t="s">
        <v>248</v>
      </c>
      <c r="D72" s="430">
        <f>SUMIF('[1]Анхны нэгтгэл'!B:B,'[1]9'!B:B,'[1]Анхны нэгтгэл'!EG:EG)</f>
        <v>-61698552.649999812</v>
      </c>
    </row>
    <row r="73" spans="1:4">
      <c r="A73" s="22">
        <f t="shared" si="1"/>
        <v>70</v>
      </c>
      <c r="B73" s="9">
        <v>6101615</v>
      </c>
      <c r="C73" s="20" t="s">
        <v>249</v>
      </c>
      <c r="D73" s="430">
        <f>SUMIF('[1]Анхны нэгтгэл'!B:B,'[1]9'!B:B,'[1]Анхны нэгтгэл'!EG:EG)</f>
        <v>2815753532.3199992</v>
      </c>
    </row>
    <row r="74" spans="1:4">
      <c r="A74" s="22">
        <f t="shared" si="1"/>
        <v>71</v>
      </c>
      <c r="B74" s="9">
        <v>5120365</v>
      </c>
      <c r="C74" s="20" t="s">
        <v>250</v>
      </c>
      <c r="D74" s="430">
        <f>SUMIF('[1]Анхны нэгтгэл'!B:B,'[1]9'!B:B,'[1]Анхны нэгтгэл'!EG:EG)</f>
        <v>0</v>
      </c>
    </row>
    <row r="75" spans="1:4">
      <c r="A75" s="22">
        <f t="shared" si="1"/>
        <v>72</v>
      </c>
      <c r="B75" s="9">
        <v>2016656</v>
      </c>
      <c r="C75" s="20" t="s">
        <v>251</v>
      </c>
      <c r="D75" s="430">
        <f>SUMIF('[1]Анхны нэгтгэл'!B:B,'[1]9'!B:B,'[1]Анхны нэгтгэл'!EG:EG)</f>
        <v>113601068877.77</v>
      </c>
    </row>
    <row r="76" spans="1:4">
      <c r="A76" s="22">
        <f t="shared" si="1"/>
        <v>73</v>
      </c>
      <c r="B76" s="9">
        <v>5872006</v>
      </c>
      <c r="C76" s="20" t="s">
        <v>253</v>
      </c>
      <c r="D76" s="430">
        <f>SUMIF('[1]Анхны нэгтгэл'!B:B,'[1]9'!B:B,'[1]Анхны нэгтгэл'!EG:EG)</f>
        <v>2315580180.5300002</v>
      </c>
    </row>
    <row r="77" spans="1:4">
      <c r="A77" s="22">
        <f t="shared" si="1"/>
        <v>74</v>
      </c>
      <c r="B77" s="9">
        <v>5774047</v>
      </c>
      <c r="C77" s="20" t="s">
        <v>254</v>
      </c>
      <c r="D77" s="430">
        <f>SUMIF('[1]Анхны нэгтгэл'!B:B,'[1]9'!B:B,'[1]Анхны нэгтгэл'!EG:EG)</f>
        <v>33942446.170000002</v>
      </c>
    </row>
    <row r="78" spans="1:4">
      <c r="A78" s="22">
        <f t="shared" si="1"/>
        <v>75</v>
      </c>
      <c r="B78" s="9">
        <v>5105439</v>
      </c>
      <c r="C78" s="20" t="s">
        <v>257</v>
      </c>
      <c r="D78" s="430">
        <f>SUMIF('[1]Анхны нэгтгэл'!B:B,'[1]9'!B:B,'[1]Анхны нэгтгэл'!EG:EG)</f>
        <v>1063877668.459083</v>
      </c>
    </row>
    <row r="79" spans="1:4">
      <c r="A79" s="22">
        <f t="shared" si="1"/>
        <v>76</v>
      </c>
      <c r="B79" s="9">
        <v>2663813</v>
      </c>
      <c r="C79" s="20" t="s">
        <v>258</v>
      </c>
      <c r="D79" s="430">
        <f>SUMIF('[1]Анхны нэгтгэл'!B:B,'[1]9'!B:B,'[1]Анхны нэгтгэл'!EG:EG)</f>
        <v>-14699555.09</v>
      </c>
    </row>
    <row r="80" spans="1:4">
      <c r="A80" s="22">
        <f t="shared" si="1"/>
        <v>77</v>
      </c>
      <c r="B80" s="9">
        <v>2016931</v>
      </c>
      <c r="C80" s="20" t="s">
        <v>260</v>
      </c>
      <c r="D80" s="430">
        <f>SUMIF('[1]Анхны нэгтгэл'!B:B,'[1]9'!B:B,'[1]Анхны нэгтгэл'!EG:EG)</f>
        <v>819498219.90118098</v>
      </c>
    </row>
    <row r="81" spans="1:4">
      <c r="A81" s="22">
        <f t="shared" si="1"/>
        <v>78</v>
      </c>
      <c r="B81" s="9">
        <v>5513618</v>
      </c>
      <c r="C81" s="20" t="s">
        <v>263</v>
      </c>
      <c r="D81" s="430">
        <f>SUMIF('[1]Анхны нэгтгэл'!B:B,'[1]9'!B:B,'[1]Анхны нэгтгэл'!EG:EG)</f>
        <v>1003635818.3200001</v>
      </c>
    </row>
    <row r="82" spans="1:4">
      <c r="A82" s="22">
        <f t="shared" si="1"/>
        <v>79</v>
      </c>
      <c r="B82" s="9">
        <v>2807459</v>
      </c>
      <c r="C82" s="20" t="s">
        <v>264</v>
      </c>
      <c r="D82" s="430">
        <f>SUMIF('[1]Анхны нэгтгэл'!B:B,'[1]9'!B:B,'[1]Анхны нэгтгэл'!EG:EG)</f>
        <v>6230472612.7858858</v>
      </c>
    </row>
    <row r="83" spans="1:4">
      <c r="A83" s="22">
        <f t="shared" si="1"/>
        <v>80</v>
      </c>
      <c r="B83" s="9">
        <v>2872943</v>
      </c>
      <c r="C83" s="20" t="s">
        <v>265</v>
      </c>
      <c r="D83" s="430">
        <f>SUMIF('[1]Анхны нэгтгэл'!B:B,'[1]9'!B:B,'[1]Анхны нэгтгэл'!EG:EG)</f>
        <v>-1787797985.9423749</v>
      </c>
    </row>
    <row r="84" spans="1:4">
      <c r="A84" s="22">
        <f t="shared" si="1"/>
        <v>81</v>
      </c>
      <c r="B84" s="9">
        <v>6268048</v>
      </c>
      <c r="C84" s="20" t="s">
        <v>266</v>
      </c>
      <c r="D84" s="430">
        <f>SUMIF('[1]Анхны нэгтгэл'!B:B,'[1]9'!B:B,'[1]Анхны нэгтгэл'!EG:EG)</f>
        <v>-991617590.49653006</v>
      </c>
    </row>
    <row r="85" spans="1:4">
      <c r="A85" s="22">
        <f t="shared" si="1"/>
        <v>82</v>
      </c>
      <c r="B85" s="9">
        <v>5874963</v>
      </c>
      <c r="C85" s="20" t="s">
        <v>268</v>
      </c>
      <c r="D85" s="430">
        <f>SUMIF('[1]Анхны нэгтгэл'!B:B,'[1]9'!B:B,'[1]Анхны нэгтгэл'!EG:EG)</f>
        <v>410586148.49399996</v>
      </c>
    </row>
    <row r="86" spans="1:4">
      <c r="A86" s="22">
        <f t="shared" si="1"/>
        <v>83</v>
      </c>
      <c r="B86" s="9">
        <v>6636624</v>
      </c>
      <c r="C86" s="20" t="s">
        <v>269</v>
      </c>
      <c r="D86" s="430">
        <f>SUMIF('[1]Анхны нэгтгэл'!B:B,'[1]9'!B:B,'[1]Анхны нэгтгэл'!EG:EG)</f>
        <v>0</v>
      </c>
    </row>
    <row r="87" spans="1:4">
      <c r="A87" s="22">
        <f t="shared" si="1"/>
        <v>84</v>
      </c>
      <c r="B87" s="9">
        <v>2839717</v>
      </c>
      <c r="C87" s="20" t="s">
        <v>270</v>
      </c>
      <c r="D87" s="430">
        <f>SUMIF('[1]Анхны нэгтгэл'!B:B,'[1]9'!B:B,'[1]Анхны нэгтгэл'!EG:EG)</f>
        <v>-116267744.5141291</v>
      </c>
    </row>
    <row r="88" spans="1:4">
      <c r="A88" s="22">
        <f t="shared" si="1"/>
        <v>85</v>
      </c>
      <c r="B88" s="9">
        <v>2344343</v>
      </c>
      <c r="C88" s="20" t="s">
        <v>271</v>
      </c>
      <c r="D88" s="430">
        <f>SUMIF('[1]Анхны нэгтгэл'!B:B,'[1]9'!B:B,'[1]Анхны нэгтгэл'!EG:EG)</f>
        <v>76120397.799999982</v>
      </c>
    </row>
    <row r="89" spans="1:4">
      <c r="A89" s="22">
        <f t="shared" si="1"/>
        <v>86</v>
      </c>
      <c r="B89" s="9">
        <v>2819996</v>
      </c>
      <c r="C89" s="20" t="s">
        <v>273</v>
      </c>
      <c r="D89" s="430">
        <f>SUMIF('[1]Анхны нэгтгэл'!B:B,'[1]9'!B:B,'[1]Анхны нэгтгэл'!EG:EG)</f>
        <v>416075357.34739602</v>
      </c>
    </row>
    <row r="90" spans="1:4">
      <c r="A90" s="22">
        <f t="shared" si="1"/>
        <v>87</v>
      </c>
      <c r="B90" s="9">
        <v>2868687</v>
      </c>
      <c r="C90" s="20" t="s">
        <v>277</v>
      </c>
      <c r="D90" s="430">
        <f>SUMIF('[1]Анхны нэгтгэл'!B:B,'[1]9'!B:B,'[1]Анхны нэгтгэл'!EG:EG)</f>
        <v>1017210996.7925931</v>
      </c>
    </row>
    <row r="91" spans="1:4">
      <c r="A91" s="22">
        <f t="shared" si="1"/>
        <v>88</v>
      </c>
      <c r="B91" s="9">
        <v>5877288</v>
      </c>
      <c r="C91" s="20" t="s">
        <v>279</v>
      </c>
      <c r="D91" s="430">
        <f>SUMIF('[1]Анхны нэгтгэл'!B:B,'[1]9'!B:B,'[1]Анхны нэгтгэл'!EG:EG)</f>
        <v>-431064452.88000011</v>
      </c>
    </row>
    <row r="92" spans="1:4">
      <c r="A92" s="22">
        <f t="shared" si="1"/>
        <v>89</v>
      </c>
      <c r="B92" s="9">
        <v>6195598</v>
      </c>
      <c r="C92" s="20" t="s">
        <v>281</v>
      </c>
      <c r="D92" s="430">
        <f>SUMIF('[1]Анхны нэгтгэл'!B:B,'[1]9'!B:B,'[1]Анхны нэгтгэл'!EG:EG)</f>
        <v>2007332378.615</v>
      </c>
    </row>
    <row r="93" spans="1:4">
      <c r="A93" s="22">
        <f t="shared" si="1"/>
        <v>90</v>
      </c>
      <c r="B93" s="9">
        <v>6413811</v>
      </c>
      <c r="C93" s="20" t="s">
        <v>282</v>
      </c>
      <c r="D93" s="430">
        <f>SUMIF('[1]Анхны нэгтгэл'!B:B,'[1]9'!B:B,'[1]Анхны нэгтгэл'!EG:EG)</f>
        <v>-26510817248.162937</v>
      </c>
    </row>
    <row r="94" spans="1:4">
      <c r="A94" s="22">
        <f t="shared" si="1"/>
        <v>91</v>
      </c>
      <c r="B94" s="9">
        <v>2887134</v>
      </c>
      <c r="C94" s="20" t="s">
        <v>283</v>
      </c>
      <c r="D94" s="430">
        <f>SUMIF('[1]Анхны нэгтгэл'!B:B,'[1]9'!B:B,'[1]Анхны нэгтгэл'!EG:EG)</f>
        <v>-1324465963.1199973</v>
      </c>
    </row>
    <row r="95" spans="1:4">
      <c r="A95" s="22">
        <f t="shared" si="1"/>
        <v>92</v>
      </c>
      <c r="B95" s="9">
        <v>2618176</v>
      </c>
      <c r="C95" s="20" t="s">
        <v>284</v>
      </c>
      <c r="D95" s="430">
        <f>SUMIF('[1]Анхны нэгтгэл'!B:B,'[1]9'!B:B,'[1]Анхны нэгтгэл'!EG:EG)</f>
        <v>-260921462.49853492</v>
      </c>
    </row>
    <row r="96" spans="1:4">
      <c r="A96" s="22">
        <f t="shared" si="1"/>
        <v>93</v>
      </c>
      <c r="B96" s="9">
        <v>5364884</v>
      </c>
      <c r="C96" s="20" t="s">
        <v>285</v>
      </c>
      <c r="D96" s="430">
        <f>SUMIF('[1]Анхны нэгтгэл'!B:B,'[1]9'!B:B,'[1]Анхны нэгтгэл'!EG:EG)</f>
        <v>0</v>
      </c>
    </row>
    <row r="97" spans="1:4">
      <c r="A97" s="22">
        <f t="shared" si="1"/>
        <v>94</v>
      </c>
      <c r="B97" s="9">
        <v>2100231</v>
      </c>
      <c r="C97" s="20" t="s">
        <v>286</v>
      </c>
      <c r="D97" s="430">
        <f>SUMIF('[1]Анхны нэгтгэл'!B:B,'[1]9'!B:B,'[1]Анхны нэгтгэл'!EG:EG)</f>
        <v>-2154497662.031776</v>
      </c>
    </row>
    <row r="98" spans="1:4">
      <c r="A98" s="22">
        <f t="shared" si="1"/>
        <v>95</v>
      </c>
      <c r="B98" s="9">
        <v>2661128</v>
      </c>
      <c r="C98" s="20" t="s">
        <v>287</v>
      </c>
      <c r="D98" s="430">
        <f>SUMIF('[1]Анхны нэгтгэл'!B:B,'[1]9'!B:B,'[1]Анхны нэгтгэл'!EG:EG)</f>
        <v>213098347.57000002</v>
      </c>
    </row>
    <row r="99" spans="1:4">
      <c r="A99" s="22">
        <f t="shared" si="1"/>
        <v>96</v>
      </c>
      <c r="B99" s="9">
        <v>5878756</v>
      </c>
      <c r="C99" s="20" t="s">
        <v>290</v>
      </c>
      <c r="D99" s="430">
        <f>SUMIF('[1]Анхны нэгтгэл'!B:B,'[1]9'!B:B,'[1]Анхны нэгтгэл'!EG:EG)</f>
        <v>1482572855.8625839</v>
      </c>
    </row>
    <row r="100" spans="1:4">
      <c r="A100" s="22">
        <f t="shared" si="1"/>
        <v>97</v>
      </c>
      <c r="B100" s="9">
        <v>2166631</v>
      </c>
      <c r="C100" s="20" t="s">
        <v>292</v>
      </c>
      <c r="D100" s="430">
        <f>SUMIF('[1]Анхны нэгтгэл'!B:B,'[1]9'!B:B,'[1]Анхны нэгтгэл'!EG:EG)</f>
        <v>2381026353.82935</v>
      </c>
    </row>
    <row r="101" spans="1:4">
      <c r="A101" s="22">
        <f t="shared" si="1"/>
        <v>98</v>
      </c>
      <c r="B101" s="9">
        <v>5671833</v>
      </c>
      <c r="C101" s="20" t="s">
        <v>296</v>
      </c>
      <c r="D101" s="430">
        <f>SUMIF('[1]Анхны нэгтгэл'!B:B,'[1]9'!B:B,'[1]Анхны нэгтгэл'!EG:EG)</f>
        <v>-17094398394.283318</v>
      </c>
    </row>
    <row r="102" spans="1:4">
      <c r="A102" s="22">
        <f t="shared" si="1"/>
        <v>99</v>
      </c>
      <c r="B102" s="9">
        <v>5104424</v>
      </c>
      <c r="C102" s="20" t="s">
        <v>297</v>
      </c>
      <c r="D102" s="430">
        <f>SUMIF('[1]Анхны нэгтгэл'!B:B,'[1]9'!B:B,'[1]Анхны нэгтгэл'!EG:EG)</f>
        <v>1103051545.14955</v>
      </c>
    </row>
    <row r="103" spans="1:4">
      <c r="A103" s="22">
        <f t="shared" si="1"/>
        <v>100</v>
      </c>
      <c r="B103" s="9">
        <v>2668505</v>
      </c>
      <c r="C103" s="20" t="s">
        <v>298</v>
      </c>
      <c r="D103" s="430">
        <f>SUMIF('[1]Анхны нэгтгэл'!B:B,'[1]9'!B:B,'[1]Анхны нэгтгэл'!EG:EG)</f>
        <v>2476990803.3200002</v>
      </c>
    </row>
    <row r="104" spans="1:4">
      <c r="A104" s="22">
        <f t="shared" si="1"/>
        <v>101</v>
      </c>
      <c r="B104" s="9">
        <v>2697947</v>
      </c>
      <c r="C104" s="20" t="s">
        <v>299</v>
      </c>
      <c r="D104" s="430">
        <f>SUMIF('[1]Анхны нэгтгэл'!B:B,'[1]9'!B:B,'[1]Анхны нэгтгэл'!EG:EG)</f>
        <v>289720303084.35852</v>
      </c>
    </row>
    <row r="105" spans="1:4">
      <c r="A105" s="22">
        <f t="shared" si="1"/>
        <v>102</v>
      </c>
      <c r="B105" s="9">
        <v>5352827</v>
      </c>
      <c r="C105" s="20" t="s">
        <v>300</v>
      </c>
      <c r="D105" s="430">
        <f>SUMIF('[1]Анхны нэгтгэл'!B:B,'[1]9'!B:B,'[1]Анхны нэгтгэл'!EG:EG)</f>
        <v>-2655520870.8098407</v>
      </c>
    </row>
    <row r="106" spans="1:4">
      <c r="A106" s="22">
        <f t="shared" si="1"/>
        <v>103</v>
      </c>
      <c r="B106" s="9">
        <v>2548747</v>
      </c>
      <c r="C106" s="20" t="s">
        <v>301</v>
      </c>
      <c r="D106" s="430">
        <f>SUMIF('[1]Анхны нэгтгэл'!B:B,'[1]9'!B:B,'[1]Анхны нэгтгэл'!EG:EG)</f>
        <v>21519941858.570923</v>
      </c>
    </row>
    <row r="107" spans="1:4">
      <c r="A107" s="22">
        <f t="shared" si="1"/>
        <v>104</v>
      </c>
      <c r="B107" s="9">
        <v>2641984</v>
      </c>
      <c r="C107" s="20" t="s">
        <v>303</v>
      </c>
      <c r="D107" s="430">
        <f>SUMIF('[1]Анхны нэгтгэл'!B:B,'[1]9'!B:B,'[1]Анхны нэгтгэл'!EG:EG)</f>
        <v>8389819276.2401628</v>
      </c>
    </row>
    <row r="108" spans="1:4">
      <c r="A108" s="22">
        <f t="shared" si="1"/>
        <v>105</v>
      </c>
      <c r="B108" s="9">
        <v>6342485</v>
      </c>
      <c r="C108" s="20" t="s">
        <v>306</v>
      </c>
      <c r="D108" s="430">
        <f>SUMIF('[1]Анхны нэгтгэл'!B:B,'[1]9'!B:B,'[1]Анхны нэгтгэл'!EG:EG)</f>
        <v>-2685778.1000000425</v>
      </c>
    </row>
    <row r="109" spans="1:4">
      <c r="A109" s="22">
        <f t="shared" si="1"/>
        <v>106</v>
      </c>
      <c r="B109" s="9">
        <v>5166667</v>
      </c>
      <c r="C109" s="20" t="s">
        <v>307</v>
      </c>
      <c r="D109" s="430">
        <f>SUMIF('[1]Анхны нэгтгэл'!B:B,'[1]9'!B:B,'[1]Анхны нэгтгэл'!EG:EG)</f>
        <v>-16815474.600000001</v>
      </c>
    </row>
    <row r="110" spans="1:4">
      <c r="A110" s="22">
        <f t="shared" si="1"/>
        <v>107</v>
      </c>
      <c r="B110" s="9">
        <v>5482046</v>
      </c>
      <c r="C110" s="20" t="s">
        <v>308</v>
      </c>
      <c r="D110" s="430">
        <f>SUMIF('[1]Анхны нэгтгэл'!B:B,'[1]9'!B:B,'[1]Анхны нэгтгэл'!EG:EG)</f>
        <v>744182296.82941198</v>
      </c>
    </row>
    <row r="111" spans="1:4">
      <c r="A111" s="22">
        <f t="shared" si="1"/>
        <v>108</v>
      </c>
      <c r="B111" s="9">
        <v>2050374</v>
      </c>
      <c r="C111" s="20" t="s">
        <v>309</v>
      </c>
      <c r="D111" s="430">
        <f>SUMIF('[1]Анхны нэгтгэл'!B:B,'[1]9'!B:B,'[1]Анхны нэгтгэл'!EG:EG)</f>
        <v>4685848777.2399998</v>
      </c>
    </row>
    <row r="112" spans="1:4">
      <c r="A112" s="22">
        <f t="shared" si="1"/>
        <v>109</v>
      </c>
      <c r="B112" s="9">
        <v>2004879</v>
      </c>
      <c r="C112" s="20" t="s">
        <v>311</v>
      </c>
      <c r="D112" s="430">
        <f>SUMIF('[1]Анхны нэгтгэл'!B:B,'[1]9'!B:B,'[1]Анхны нэгтгэл'!EG:EG)</f>
        <v>5560212141.1199627</v>
      </c>
    </row>
    <row r="113" spans="1:4">
      <c r="A113" s="22">
        <f t="shared" si="1"/>
        <v>110</v>
      </c>
      <c r="B113" s="9">
        <v>2830213</v>
      </c>
      <c r="C113" s="20" t="s">
        <v>314</v>
      </c>
      <c r="D113" s="430">
        <f>SUMIF('[1]Анхны нэгтгэл'!B:B,'[1]9'!B:B,'[1]Анхны нэгтгэл'!EG:EG)</f>
        <v>66308486011.819427</v>
      </c>
    </row>
    <row r="114" spans="1:4">
      <c r="A114" s="22">
        <f t="shared" si="1"/>
        <v>111</v>
      </c>
      <c r="B114" s="9">
        <v>5320607</v>
      </c>
      <c r="C114" s="20" t="s">
        <v>315</v>
      </c>
      <c r="D114" s="430">
        <f>SUMIF('[1]Анхны нэгтгэл'!B:B,'[1]9'!B:B,'[1]Анхны нэгтгэл'!EG:EG)</f>
        <v>245440655.71281505</v>
      </c>
    </row>
    <row r="115" spans="1:4">
      <c r="A115" s="22">
        <f t="shared" si="1"/>
        <v>112</v>
      </c>
      <c r="B115" s="9">
        <v>5586119</v>
      </c>
      <c r="C115" s="20" t="s">
        <v>316</v>
      </c>
      <c r="D115" s="430">
        <f>SUMIF('[1]Анхны нэгтгэл'!B:B,'[1]9'!B:B,'[1]Анхны нэгтгэл'!EG:EG)</f>
        <v>0</v>
      </c>
    </row>
    <row r="116" spans="1:4">
      <c r="A116" s="22">
        <f t="shared" si="1"/>
        <v>113</v>
      </c>
      <c r="B116" s="9">
        <v>5015243</v>
      </c>
      <c r="C116" s="20" t="s">
        <v>317</v>
      </c>
      <c r="D116" s="430">
        <f>SUMIF('[1]Анхны нэгтгэл'!B:B,'[1]9'!B:B,'[1]Анхны нэгтгэл'!EG:EG)</f>
        <v>-751923937.58325219</v>
      </c>
    </row>
    <row r="117" spans="1:4">
      <c r="A117" s="22">
        <f t="shared" si="1"/>
        <v>114</v>
      </c>
      <c r="B117" s="9">
        <v>5452503</v>
      </c>
      <c r="C117" s="20" t="s">
        <v>318</v>
      </c>
      <c r="D117" s="430">
        <f>SUMIF('[1]Анхны нэгтгэл'!B:B,'[1]9'!B:B,'[1]Анхны нэгтгэл'!EG:EG)</f>
        <v>859118124.72604096</v>
      </c>
    </row>
    <row r="118" spans="1:4">
      <c r="A118" s="22">
        <f t="shared" si="1"/>
        <v>115</v>
      </c>
      <c r="B118" s="9">
        <v>2887746</v>
      </c>
      <c r="C118" s="20" t="s">
        <v>319</v>
      </c>
      <c r="D118" s="430">
        <f>SUMIF('[1]Анхны нэгтгэл'!B:B,'[1]9'!B:B,'[1]Анхны нэгтгэл'!EG:EG)</f>
        <v>34799478090.733948</v>
      </c>
    </row>
    <row r="119" spans="1:4">
      <c r="A119" s="22">
        <f t="shared" si="1"/>
        <v>116</v>
      </c>
      <c r="B119" s="9">
        <v>5618339</v>
      </c>
      <c r="C119" s="20" t="s">
        <v>320</v>
      </c>
      <c r="D119" s="430">
        <f>SUMIF('[1]Анхны нэгтгэл'!B:B,'[1]9'!B:B,'[1]Анхны нэгтгэл'!EG:EG)</f>
        <v>36763329.719999999</v>
      </c>
    </row>
    <row r="120" spans="1:4">
      <c r="A120" s="22">
        <f t="shared" si="1"/>
        <v>117</v>
      </c>
      <c r="B120" s="9">
        <v>2718243</v>
      </c>
      <c r="C120" s="20" t="s">
        <v>321</v>
      </c>
      <c r="D120" s="430">
        <f>SUMIF('[1]Анхны нэгтгэл'!B:B,'[1]9'!B:B,'[1]Анхны нэгтгэл'!EG:EG)</f>
        <v>399940277.89600003</v>
      </c>
    </row>
    <row r="121" spans="1:4">
      <c r="A121" s="22">
        <f t="shared" si="1"/>
        <v>118</v>
      </c>
      <c r="B121" s="9">
        <v>6896197</v>
      </c>
      <c r="C121" s="20" t="s">
        <v>322</v>
      </c>
      <c r="D121" s="430">
        <f>SUMIF('[1]Анхны нэгтгэл'!B:B,'[1]9'!B:B,'[1]Анхны нэгтгэл'!EG:EG)</f>
        <v>14094362.66</v>
      </c>
    </row>
    <row r="122" spans="1:4">
      <c r="A122" s="22">
        <f t="shared" si="1"/>
        <v>119</v>
      </c>
      <c r="B122" s="9">
        <v>5435528</v>
      </c>
      <c r="C122" s="20" t="s">
        <v>323</v>
      </c>
      <c r="D122" s="430">
        <f>SUMIF('[1]Анхны нэгтгэл'!B:B,'[1]9'!B:B,'[1]Анхны нэгтгэл'!EG:EG)</f>
        <v>6386152388.8802776</v>
      </c>
    </row>
    <row r="123" spans="1:4">
      <c r="A123" s="22">
        <f t="shared" si="1"/>
        <v>120</v>
      </c>
      <c r="B123" s="9">
        <v>5824826</v>
      </c>
      <c r="C123" s="20" t="s">
        <v>324</v>
      </c>
      <c r="D123" s="430">
        <f>SUMIF('[1]Анхны нэгтгэл'!B:B,'[1]9'!B:B,'[1]Анхны нэгтгэл'!EG:EG)</f>
        <v>1773857331.9953072</v>
      </c>
    </row>
    <row r="124" spans="1:4">
      <c r="A124" s="22">
        <f t="shared" si="1"/>
        <v>121</v>
      </c>
      <c r="B124" s="9">
        <v>6141536</v>
      </c>
      <c r="C124" s="20" t="s">
        <v>325</v>
      </c>
      <c r="D124" s="430">
        <f>SUMIF('[1]Анхны нэгтгэл'!B:B,'[1]9'!B:B,'[1]Анхны нэгтгэл'!EG:EG)</f>
        <v>15504300</v>
      </c>
    </row>
    <row r="125" spans="1:4">
      <c r="A125" s="22">
        <f t="shared" si="1"/>
        <v>122</v>
      </c>
      <c r="B125" s="9">
        <v>5124913</v>
      </c>
      <c r="C125" s="20" t="s">
        <v>326</v>
      </c>
      <c r="D125" s="430">
        <f>SUMIF('[1]Анхны нэгтгэл'!B:B,'[1]9'!B:B,'[1]Анхны нэгтгэл'!EG:EG)</f>
        <v>-3243060647.9500017</v>
      </c>
    </row>
    <row r="126" spans="1:4">
      <c r="A126" s="22">
        <f t="shared" si="1"/>
        <v>123</v>
      </c>
      <c r="B126" s="9">
        <v>2074192</v>
      </c>
      <c r="C126" s="20" t="s">
        <v>327</v>
      </c>
      <c r="D126" s="430">
        <f>SUMIF('[1]Анхны нэгтгэл'!B:B,'[1]9'!B:B,'[1]Анхны нэгтгэл'!EG:EG)</f>
        <v>-9507865930.4168396</v>
      </c>
    </row>
    <row r="127" spans="1:4">
      <c r="A127" s="22">
        <f t="shared" si="1"/>
        <v>124</v>
      </c>
      <c r="B127" s="9">
        <v>2861224</v>
      </c>
      <c r="C127" s="20" t="s">
        <v>331</v>
      </c>
      <c r="D127" s="430">
        <f>SUMIF('[1]Анхны нэгтгэл'!B:B,'[1]9'!B:B,'[1]Анхны нэгтгэл'!EG:EG)</f>
        <v>1199411552.24</v>
      </c>
    </row>
    <row r="128" spans="1:4">
      <c r="A128" s="22">
        <f t="shared" si="1"/>
        <v>125</v>
      </c>
      <c r="B128" s="9">
        <v>5137977</v>
      </c>
      <c r="C128" s="20" t="s">
        <v>332</v>
      </c>
      <c r="D128" s="430">
        <f>SUMIF('[1]Анхны нэгтгэл'!B:B,'[1]9'!B:B,'[1]Анхны нэгтгэл'!EG:EG)</f>
        <v>519473395.39151698</v>
      </c>
    </row>
    <row r="129" spans="4:4">
      <c r="D129" s="431"/>
    </row>
  </sheetData>
  <conditionalFormatting sqref="B4:B33 B89">
    <cfRule type="duplicateValues" dxfId="537" priority="12"/>
  </conditionalFormatting>
  <conditionalFormatting sqref="B34:B83">
    <cfRule type="duplicateValues" dxfId="536" priority="11"/>
  </conditionalFormatting>
  <conditionalFormatting sqref="B84">
    <cfRule type="duplicateValues" dxfId="535" priority="10"/>
  </conditionalFormatting>
  <conditionalFormatting sqref="B85">
    <cfRule type="duplicateValues" dxfId="534" priority="9"/>
  </conditionalFormatting>
  <conditionalFormatting sqref="B86">
    <cfRule type="duplicateValues" dxfId="533" priority="8"/>
  </conditionalFormatting>
  <conditionalFormatting sqref="B87">
    <cfRule type="duplicateValues" dxfId="532" priority="7"/>
  </conditionalFormatting>
  <conditionalFormatting sqref="B88">
    <cfRule type="duplicateValues" dxfId="531" priority="6"/>
  </conditionalFormatting>
  <conditionalFormatting sqref="B90:B128">
    <cfRule type="duplicateValues" dxfId="530" priority="13"/>
  </conditionalFormatting>
  <conditionalFormatting sqref="C4:C33 C89">
    <cfRule type="duplicateValues" dxfId="529" priority="4"/>
  </conditionalFormatting>
  <conditionalFormatting sqref="C34:C83">
    <cfRule type="duplicateValues" dxfId="528" priority="3"/>
  </conditionalFormatting>
  <conditionalFormatting sqref="C84">
    <cfRule type="duplicateValues" dxfId="527" priority="1"/>
  </conditionalFormatting>
  <conditionalFormatting sqref="C85:C88">
    <cfRule type="duplicateValues" dxfId="526" priority="2"/>
  </conditionalFormatting>
  <conditionalFormatting sqref="C90:C128">
    <cfRule type="duplicateValues" dxfId="525" priority="5"/>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0369-3895-4E5E-8934-5666B5338168}">
  <sheetPr>
    <tabColor rgb="FF006432"/>
  </sheetPr>
  <dimension ref="A1:N129"/>
  <sheetViews>
    <sheetView workbookViewId="0">
      <selection activeCell="D17" sqref="D17"/>
    </sheetView>
  </sheetViews>
  <sheetFormatPr defaultRowHeight="15"/>
  <cols>
    <col min="1" max="1" width="5.5703125" customWidth="1"/>
    <col min="2" max="2" width="11.5703125" customWidth="1"/>
    <col min="3" max="3" width="34.7109375" customWidth="1"/>
    <col min="4" max="4" width="22.42578125" customWidth="1"/>
    <col min="5" max="5" width="21.85546875" customWidth="1"/>
    <col min="6" max="6" width="21.42578125" customWidth="1"/>
    <col min="7" max="7" width="20.5703125" customWidth="1"/>
    <col min="8" max="8" width="21.140625" customWidth="1"/>
    <col min="9" max="9" width="18.5703125" customWidth="1"/>
    <col min="10" max="10" width="21.5703125" customWidth="1"/>
    <col min="11" max="11" width="19.5703125" customWidth="1"/>
    <col min="12" max="12" width="20.85546875" customWidth="1"/>
  </cols>
  <sheetData>
    <row r="1" spans="1:14" ht="16.5" thickBot="1">
      <c r="A1" s="15" t="s">
        <v>684</v>
      </c>
      <c r="B1" s="15"/>
      <c r="C1" s="15"/>
      <c r="D1" s="15"/>
      <c r="E1" s="15"/>
      <c r="F1" s="15"/>
      <c r="G1" s="15"/>
      <c r="H1" s="15"/>
      <c r="I1" s="15"/>
      <c r="J1" s="15"/>
      <c r="N1" s="45"/>
    </row>
    <row r="2" spans="1:14" ht="15.75" customHeight="1" thickTop="1">
      <c r="A2" s="503" t="s">
        <v>114</v>
      </c>
      <c r="B2" s="505" t="s">
        <v>685</v>
      </c>
      <c r="C2" s="505" t="s">
        <v>115</v>
      </c>
      <c r="D2" s="507" t="s">
        <v>686</v>
      </c>
      <c r="E2" s="508"/>
      <c r="F2" s="509"/>
      <c r="G2" s="507" t="s">
        <v>687</v>
      </c>
      <c r="H2" s="508"/>
      <c r="I2" s="509"/>
      <c r="J2" s="500" t="s">
        <v>688</v>
      </c>
      <c r="K2" s="501"/>
      <c r="L2" s="502"/>
    </row>
    <row r="3" spans="1:14" ht="22.5" customHeight="1">
      <c r="A3" s="504"/>
      <c r="B3" s="506"/>
      <c r="C3" s="506"/>
      <c r="D3" s="432" t="s">
        <v>689</v>
      </c>
      <c r="E3" s="432" t="s">
        <v>690</v>
      </c>
      <c r="F3" s="432" t="s">
        <v>691</v>
      </c>
      <c r="G3" s="432" t="s">
        <v>692</v>
      </c>
      <c r="H3" s="432" t="s">
        <v>693</v>
      </c>
      <c r="I3" s="432" t="s">
        <v>694</v>
      </c>
      <c r="J3" s="432" t="s">
        <v>695</v>
      </c>
      <c r="K3" s="432" t="s">
        <v>696</v>
      </c>
      <c r="L3" s="432" t="s">
        <v>697</v>
      </c>
    </row>
    <row r="4" spans="1:14">
      <c r="A4" s="22">
        <v>1</v>
      </c>
      <c r="B4" s="9">
        <v>2011239</v>
      </c>
      <c r="C4" s="20" t="s">
        <v>121</v>
      </c>
      <c r="D4" s="427">
        <f>SUMIF('[1]Анхны нэгтгэл'!B:B,'[1]10'!B:B,'[1]Анхны нэгтгэл'!EE:EE)</f>
        <v>869329406.43999994</v>
      </c>
      <c r="E4" s="427">
        <f>SUMIF('[1]Анхны нэгтгэл'!B:B,'[1]10'!B:B,'[1]Анхны нэгтгэл'!EF:EF)</f>
        <v>115828273</v>
      </c>
      <c r="F4" s="427">
        <f t="shared" ref="F4:F35" si="0">+D4-E4</f>
        <v>753501133.43999994</v>
      </c>
      <c r="G4" s="427">
        <f t="shared" ref="G4:G35" si="1">-(D4-J4)</f>
        <v>3000000</v>
      </c>
      <c r="H4" s="427">
        <f t="shared" ref="H4:H35" si="2">-(E4-K4)</f>
        <v>753501133.43999994</v>
      </c>
      <c r="I4" s="427">
        <f t="shared" ref="I4:I35" si="3">G4-H4</f>
        <v>-750501133.43999994</v>
      </c>
      <c r="J4" s="427">
        <f>SUMIF([1]Нэгтгэл!B:B,'[1]10'!B:B,[1]Нэгтгэл!EE:EE)</f>
        <v>872329406.43999994</v>
      </c>
      <c r="K4" s="427">
        <f>SUMIF([1]Нэгтгэл!B:B,'[1]10'!B:B,[1]Нэгтгэл!EF:EF)</f>
        <v>869329406.43999994</v>
      </c>
      <c r="L4" s="427">
        <f t="shared" ref="L4:L35" si="4">+J4-K4</f>
        <v>3000000</v>
      </c>
    </row>
    <row r="5" spans="1:14">
      <c r="A5" s="22">
        <f t="shared" ref="A5:A36" si="5">A4+1</f>
        <v>2</v>
      </c>
      <c r="B5" s="9">
        <v>5097517</v>
      </c>
      <c r="C5" s="20" t="s">
        <v>126</v>
      </c>
      <c r="D5" s="427">
        <f>SUMIF('[1]Анхны нэгтгэл'!B:B,'[1]10'!B:B,'[1]Анхны нэгтгэл'!EE:EE)</f>
        <v>0</v>
      </c>
      <c r="E5" s="427">
        <f>SUMIF('[1]Анхны нэгтгэл'!B:B,'[1]10'!B:B,'[1]Анхны нэгтгэл'!EF:EF)</f>
        <v>0</v>
      </c>
      <c r="F5" s="427">
        <f t="shared" si="0"/>
        <v>0</v>
      </c>
      <c r="G5" s="427">
        <f t="shared" si="1"/>
        <v>6789</v>
      </c>
      <c r="H5" s="427">
        <f t="shared" si="2"/>
        <v>49101139</v>
      </c>
      <c r="I5" s="427">
        <f t="shared" si="3"/>
        <v>-49094350</v>
      </c>
      <c r="J5" s="427">
        <f>SUMIF([1]Нэгтгэл!B:B,'[1]10'!B:B,[1]Нэгтгэл!EE:EE)</f>
        <v>6789</v>
      </c>
      <c r="K5" s="427">
        <f>SUMIF([1]Нэгтгэл!B:B,'[1]10'!B:B,[1]Нэгтгэл!EF:EF)</f>
        <v>49101139</v>
      </c>
      <c r="L5" s="427">
        <f t="shared" si="4"/>
        <v>-49094350</v>
      </c>
    </row>
    <row r="6" spans="1:14">
      <c r="A6" s="22">
        <f t="shared" si="5"/>
        <v>3</v>
      </c>
      <c r="B6" s="9">
        <v>5809797</v>
      </c>
      <c r="C6" s="20" t="s">
        <v>131</v>
      </c>
      <c r="D6" s="427">
        <f>SUMIF('[1]Анхны нэгтгэл'!B:B,'[1]10'!B:B,'[1]Анхны нэгтгэл'!EE:EE)</f>
        <v>2324027703.3199997</v>
      </c>
      <c r="E6" s="427">
        <f>SUMIF('[1]Анхны нэгтгэл'!B:B,'[1]10'!B:B,'[1]Анхны нэгтгэл'!EF:EF)</f>
        <v>4478573203</v>
      </c>
      <c r="F6" s="427">
        <f t="shared" si="0"/>
        <v>-2154545499.6800003</v>
      </c>
      <c r="G6" s="427">
        <f t="shared" si="1"/>
        <v>-2324027703.3199997</v>
      </c>
      <c r="H6" s="427">
        <f t="shared" si="2"/>
        <v>-4478573203</v>
      </c>
      <c r="I6" s="427">
        <f t="shared" si="3"/>
        <v>2154545499.6800003</v>
      </c>
      <c r="J6" s="427">
        <f>SUMIF([1]Нэгтгэл!B:B,'[1]10'!B:B,[1]Нэгтгэл!EE:EE)</f>
        <v>0</v>
      </c>
      <c r="K6" s="427">
        <f>SUMIF([1]Нэгтгэл!B:B,'[1]10'!B:B,[1]Нэгтгэл!EF:EF)</f>
        <v>0</v>
      </c>
      <c r="L6" s="427">
        <f t="shared" si="4"/>
        <v>0</v>
      </c>
    </row>
    <row r="7" spans="1:14">
      <c r="A7" s="22">
        <f t="shared" si="5"/>
        <v>4</v>
      </c>
      <c r="B7" s="9">
        <v>5118344</v>
      </c>
      <c r="C7" s="20" t="s">
        <v>133</v>
      </c>
      <c r="D7" s="427">
        <f>SUMIF('[1]Анхны нэгтгэл'!B:B,'[1]10'!B:B,'[1]Анхны нэгтгэл'!EE:EE)</f>
        <v>65814741.289999999</v>
      </c>
      <c r="E7" s="427">
        <f>SUMIF('[1]Анхны нэгтгэл'!B:B,'[1]10'!B:B,'[1]Анхны нэгтгэл'!EF:EF)</f>
        <v>78954559</v>
      </c>
      <c r="F7" s="427">
        <f t="shared" si="0"/>
        <v>-13139817.710000001</v>
      </c>
      <c r="G7" s="427">
        <f t="shared" si="1"/>
        <v>0</v>
      </c>
      <c r="H7" s="427">
        <f t="shared" si="2"/>
        <v>-1732728.7400000095</v>
      </c>
      <c r="I7" s="427">
        <f t="shared" si="3"/>
        <v>1732728.7400000095</v>
      </c>
      <c r="J7" s="427">
        <f>SUMIF([1]Нэгтгэл!B:B,'[1]10'!B:B,[1]Нэгтгэл!EE:EE)</f>
        <v>65814741.289999999</v>
      </c>
      <c r="K7" s="427">
        <f>SUMIF([1]Нэгтгэл!B:B,'[1]10'!B:B,[1]Нэгтгэл!EF:EF)</f>
        <v>77221830.25999999</v>
      </c>
      <c r="L7" s="427">
        <f t="shared" si="4"/>
        <v>-11407088.969999991</v>
      </c>
    </row>
    <row r="8" spans="1:14">
      <c r="A8" s="22">
        <f t="shared" si="5"/>
        <v>5</v>
      </c>
      <c r="B8" s="9">
        <v>5095549</v>
      </c>
      <c r="C8" s="20" t="s">
        <v>136</v>
      </c>
      <c r="D8" s="427">
        <f>SUMIF('[1]Анхны нэгтгэл'!B:B,'[1]10'!B:B,'[1]Анхны нэгтгэл'!EE:EE)</f>
        <v>6659287595.7700005</v>
      </c>
      <c r="E8" s="427">
        <f>SUMIF('[1]Анхны нэгтгэл'!B:B,'[1]10'!B:B,'[1]Анхны нэгтгэл'!EF:EF)</f>
        <v>381831955</v>
      </c>
      <c r="F8" s="427">
        <f t="shared" si="0"/>
        <v>6277455640.7700005</v>
      </c>
      <c r="G8" s="427">
        <f t="shared" si="1"/>
        <v>-6659287595.7700005</v>
      </c>
      <c r="H8" s="427">
        <f t="shared" si="2"/>
        <v>-381831955</v>
      </c>
      <c r="I8" s="427">
        <f t="shared" si="3"/>
        <v>-6277455640.7700005</v>
      </c>
      <c r="J8" s="427">
        <f>SUMIF([1]Нэгтгэл!B:B,'[1]10'!B:B,[1]Нэгтгэл!EE:EE)</f>
        <v>0</v>
      </c>
      <c r="K8" s="427">
        <f>SUMIF([1]Нэгтгэл!B:B,'[1]10'!B:B,[1]Нэгтгэл!EF:EF)</f>
        <v>0</v>
      </c>
      <c r="L8" s="427">
        <f t="shared" si="4"/>
        <v>0</v>
      </c>
    </row>
    <row r="9" spans="1:14">
      <c r="A9" s="22">
        <f t="shared" si="5"/>
        <v>6</v>
      </c>
      <c r="B9" s="9">
        <v>2784165</v>
      </c>
      <c r="C9" s="20" t="s">
        <v>140</v>
      </c>
      <c r="D9" s="427">
        <f>SUMIF('[1]Анхны нэгтгэл'!B:B,'[1]10'!B:B,'[1]Анхны нэгтгэл'!EE:EE)</f>
        <v>994021603.1500001</v>
      </c>
      <c r="E9" s="427">
        <f>SUMIF('[1]Анхны нэгтгэл'!B:B,'[1]10'!B:B,'[1]Анхны нэгтгэл'!EF:EF)</f>
        <v>794840971</v>
      </c>
      <c r="F9" s="427">
        <f t="shared" si="0"/>
        <v>199180632.1500001</v>
      </c>
      <c r="G9" s="427">
        <f t="shared" si="1"/>
        <v>0</v>
      </c>
      <c r="H9" s="427">
        <f t="shared" si="2"/>
        <v>325629599.95000005</v>
      </c>
      <c r="I9" s="427">
        <f t="shared" si="3"/>
        <v>-325629599.95000005</v>
      </c>
      <c r="J9" s="427">
        <f>SUMIF([1]Нэгтгэл!B:B,'[1]10'!B:B,[1]Нэгтгэл!EE:EE)</f>
        <v>994021603.1500001</v>
      </c>
      <c r="K9" s="427">
        <f>SUMIF([1]Нэгтгэл!B:B,'[1]10'!B:B,[1]Нэгтгэл!EF:EF)</f>
        <v>1120470570.95</v>
      </c>
      <c r="L9" s="427">
        <f t="shared" si="4"/>
        <v>-126448967.79999995</v>
      </c>
    </row>
    <row r="10" spans="1:14">
      <c r="A10" s="22">
        <f t="shared" si="5"/>
        <v>7</v>
      </c>
      <c r="B10" s="9">
        <v>5133351</v>
      </c>
      <c r="C10" s="20" t="s">
        <v>143</v>
      </c>
      <c r="D10" s="427">
        <f>SUMIF('[1]Анхны нэгтгэл'!B:B,'[1]10'!B:B,'[1]Анхны нэгтгэл'!EE:EE)</f>
        <v>31518247</v>
      </c>
      <c r="E10" s="427">
        <f>SUMIF('[1]Анхны нэгтгэл'!B:B,'[1]10'!B:B,'[1]Анхны нэгтгэл'!EF:EF)</f>
        <v>147994737</v>
      </c>
      <c r="F10" s="427">
        <f t="shared" si="0"/>
        <v>-116476490</v>
      </c>
      <c r="G10" s="427">
        <f t="shared" si="1"/>
        <v>0</v>
      </c>
      <c r="H10" s="427">
        <f t="shared" si="2"/>
        <v>-8655103</v>
      </c>
      <c r="I10" s="427">
        <f t="shared" si="3"/>
        <v>8655103</v>
      </c>
      <c r="J10" s="427">
        <f>SUMIF([1]Нэгтгэл!B:B,'[1]10'!B:B,[1]Нэгтгэл!EE:EE)</f>
        <v>31518247</v>
      </c>
      <c r="K10" s="427">
        <f>SUMIF([1]Нэгтгэл!B:B,'[1]10'!B:B,[1]Нэгтгэл!EF:EF)</f>
        <v>139339634</v>
      </c>
      <c r="L10" s="427">
        <f t="shared" si="4"/>
        <v>-107821387</v>
      </c>
    </row>
    <row r="11" spans="1:14">
      <c r="A11" s="22">
        <f t="shared" si="5"/>
        <v>8</v>
      </c>
      <c r="B11" s="9">
        <v>6172768</v>
      </c>
      <c r="C11" s="20" t="s">
        <v>144</v>
      </c>
      <c r="D11" s="427">
        <f>SUMIF('[1]Анхны нэгтгэл'!B:B,'[1]10'!B:B,'[1]Анхны нэгтгэл'!EE:EE)</f>
        <v>810166504.88018906</v>
      </c>
      <c r="E11" s="427">
        <f>SUMIF('[1]Анхны нэгтгэл'!B:B,'[1]10'!B:B,'[1]Анхны нэгтгэл'!EF:EF)</f>
        <v>78322083</v>
      </c>
      <c r="F11" s="427">
        <f t="shared" si="0"/>
        <v>731844421.88018906</v>
      </c>
      <c r="G11" s="427">
        <f t="shared" si="1"/>
        <v>0</v>
      </c>
      <c r="H11" s="427">
        <f t="shared" si="2"/>
        <v>7524765.25</v>
      </c>
      <c r="I11" s="427">
        <f t="shared" si="3"/>
        <v>-7524765.25</v>
      </c>
      <c r="J11" s="427">
        <f>SUMIF([1]Нэгтгэл!B:B,'[1]10'!B:B,[1]Нэгтгэл!EE:EE)</f>
        <v>810166504.88018906</v>
      </c>
      <c r="K11" s="427">
        <f>SUMIF([1]Нэгтгэл!B:B,'[1]10'!B:B,[1]Нэгтгэл!EF:EF)</f>
        <v>85846848.25</v>
      </c>
      <c r="L11" s="427">
        <f t="shared" si="4"/>
        <v>724319656.63018906</v>
      </c>
    </row>
    <row r="12" spans="1:14">
      <c r="A12" s="22">
        <f t="shared" si="5"/>
        <v>9</v>
      </c>
      <c r="B12" s="9">
        <v>2788705</v>
      </c>
      <c r="C12" s="20" t="s">
        <v>146</v>
      </c>
      <c r="D12" s="427">
        <f>SUMIF('[1]Анхны нэгтгэл'!B:B,'[1]10'!B:B,'[1]Анхны нэгтгэл'!EE:EE)</f>
        <v>49776715861.379997</v>
      </c>
      <c r="E12" s="427">
        <f>SUMIF('[1]Анхны нэгтгэл'!B:B,'[1]10'!B:B,'[1]Анхны нэгтгэл'!EF:EF)</f>
        <v>0</v>
      </c>
      <c r="F12" s="427">
        <f t="shared" si="0"/>
        <v>49776715861.379997</v>
      </c>
      <c r="G12" s="427">
        <f t="shared" si="1"/>
        <v>-49776715861.379997</v>
      </c>
      <c r="H12" s="427">
        <f t="shared" si="2"/>
        <v>0</v>
      </c>
      <c r="I12" s="427">
        <f t="shared" si="3"/>
        <v>-49776715861.379997</v>
      </c>
      <c r="J12" s="427">
        <f>SUMIF([1]Нэгтгэл!B:B,'[1]10'!B:B,[1]Нэгтгэл!EE:EE)</f>
        <v>0</v>
      </c>
      <c r="K12" s="427">
        <f>SUMIF([1]Нэгтгэл!B:B,'[1]10'!B:B,[1]Нэгтгэл!EF:EF)</f>
        <v>0</v>
      </c>
      <c r="L12" s="427">
        <f t="shared" si="4"/>
        <v>0</v>
      </c>
    </row>
    <row r="13" spans="1:14">
      <c r="A13" s="22">
        <f t="shared" si="5"/>
        <v>10</v>
      </c>
      <c r="B13" s="9">
        <v>5439183</v>
      </c>
      <c r="C13" s="20" t="s">
        <v>629</v>
      </c>
      <c r="D13" s="427">
        <f>SUMIF('[1]Анхны нэгтгэл'!B:B,'[1]10'!B:B,'[1]Анхны нэгтгэл'!EE:EE)</f>
        <v>2307525674.0977259</v>
      </c>
      <c r="E13" s="427">
        <f>SUMIF('[1]Анхны нэгтгэл'!B:B,'[1]10'!B:B,'[1]Анхны нэгтгэл'!EF:EF)</f>
        <v>1396300426</v>
      </c>
      <c r="F13" s="427">
        <f t="shared" si="0"/>
        <v>911225248.09772587</v>
      </c>
      <c r="G13" s="427">
        <f t="shared" si="1"/>
        <v>0</v>
      </c>
      <c r="H13" s="427">
        <f t="shared" si="2"/>
        <v>928826105.64772606</v>
      </c>
      <c r="I13" s="427">
        <f t="shared" si="3"/>
        <v>-928826105.64772606</v>
      </c>
      <c r="J13" s="427">
        <f>SUMIF([1]Нэгтгэл!B:B,'[1]10'!B:B,[1]Нэгтгэл!EE:EE)</f>
        <v>2307525674.0977259</v>
      </c>
      <c r="K13" s="427">
        <f>SUMIF([1]Нэгтгэл!B:B,'[1]10'!B:B,[1]Нэгтгэл!EF:EF)</f>
        <v>2325126531.6477261</v>
      </c>
      <c r="L13" s="427">
        <f t="shared" si="4"/>
        <v>-17600857.550000191</v>
      </c>
    </row>
    <row r="14" spans="1:14">
      <c r="A14" s="22">
        <f t="shared" si="5"/>
        <v>11</v>
      </c>
      <c r="B14" s="9">
        <v>2008572</v>
      </c>
      <c r="C14" s="20" t="s">
        <v>152</v>
      </c>
      <c r="D14" s="427">
        <f>SUMIF('[1]Анхны нэгтгэл'!B:B,'[1]10'!B:B,'[1]Анхны нэгтгэл'!EE:EE)</f>
        <v>23970827911.128502</v>
      </c>
      <c r="E14" s="427">
        <f>SUMIF('[1]Анхны нэгтгэл'!B:B,'[1]10'!B:B,'[1]Анхны нэгтгэл'!EF:EF)</f>
        <v>49485115134</v>
      </c>
      <c r="F14" s="427">
        <f t="shared" si="0"/>
        <v>-25514287222.871498</v>
      </c>
      <c r="G14" s="427">
        <f t="shared" si="1"/>
        <v>0</v>
      </c>
      <c r="H14" s="427">
        <f t="shared" si="2"/>
        <v>-21574595396.434998</v>
      </c>
      <c r="I14" s="427">
        <f t="shared" si="3"/>
        <v>21574595396.434998</v>
      </c>
      <c r="J14" s="427">
        <f>SUMIF([1]Нэгтгэл!B:B,'[1]10'!B:B,[1]Нэгтгэл!EE:EE)</f>
        <v>23970827911.128502</v>
      </c>
      <c r="K14" s="427">
        <f>SUMIF([1]Нэгтгэл!B:B,'[1]10'!B:B,[1]Нэгтгэл!EF:EF)</f>
        <v>27910519737.565002</v>
      </c>
      <c r="L14" s="427">
        <f t="shared" si="4"/>
        <v>-3939691826.4365005</v>
      </c>
    </row>
    <row r="15" spans="1:14">
      <c r="A15" s="22">
        <f t="shared" si="5"/>
        <v>12</v>
      </c>
      <c r="B15" s="9">
        <v>5215919</v>
      </c>
      <c r="C15" s="20" t="s">
        <v>155</v>
      </c>
      <c r="D15" s="427">
        <f>SUMIF('[1]Анхны нэгтгэл'!B:B,'[1]10'!B:B,'[1]Анхны нэгтгэл'!EE:EE)</f>
        <v>3498923450.9900002</v>
      </c>
      <c r="E15" s="427">
        <f>SUMIF('[1]Анхны нэгтгэл'!B:B,'[1]10'!B:B,'[1]Анхны нэгтгэл'!EF:EF)</f>
        <v>1569239890</v>
      </c>
      <c r="F15" s="427">
        <f t="shared" si="0"/>
        <v>1929683560.9900002</v>
      </c>
      <c r="G15" s="427">
        <f t="shared" si="1"/>
        <v>0</v>
      </c>
      <c r="H15" s="427">
        <f t="shared" si="2"/>
        <v>-1110367826.8</v>
      </c>
      <c r="I15" s="427">
        <f t="shared" si="3"/>
        <v>1110367826.8</v>
      </c>
      <c r="J15" s="427">
        <f>SUMIF([1]Нэгтгэл!B:B,'[1]10'!B:B,[1]Нэгтгэл!EE:EE)</f>
        <v>3498923450.9900002</v>
      </c>
      <c r="K15" s="427">
        <f>SUMIF([1]Нэгтгэл!B:B,'[1]10'!B:B,[1]Нэгтгэл!EF:EF)</f>
        <v>458872063.19999999</v>
      </c>
      <c r="L15" s="427">
        <f t="shared" si="4"/>
        <v>3040051387.7900004</v>
      </c>
    </row>
    <row r="16" spans="1:14">
      <c r="A16" s="22">
        <f t="shared" si="5"/>
        <v>13</v>
      </c>
      <c r="B16" s="9">
        <v>5502977</v>
      </c>
      <c r="C16" s="20" t="s">
        <v>157</v>
      </c>
      <c r="D16" s="427">
        <f>SUMIF('[1]Анхны нэгтгэл'!B:B,'[1]10'!B:B,'[1]Анхны нэгтгэл'!EE:EE)</f>
        <v>2477568017.538815</v>
      </c>
      <c r="E16" s="427">
        <f>SUMIF('[1]Анхны нэгтгэл'!B:B,'[1]10'!B:B,'[1]Анхны нэгтгэл'!EF:EF)</f>
        <v>3067297238</v>
      </c>
      <c r="F16" s="427">
        <f t="shared" si="0"/>
        <v>-589729220.46118498</v>
      </c>
      <c r="G16" s="427">
        <f t="shared" si="1"/>
        <v>0</v>
      </c>
      <c r="H16" s="427">
        <f t="shared" si="2"/>
        <v>742944928.53999996</v>
      </c>
      <c r="I16" s="427">
        <f t="shared" si="3"/>
        <v>-742944928.53999996</v>
      </c>
      <c r="J16" s="427">
        <f>SUMIF([1]Нэгтгэл!B:B,'[1]10'!B:B,[1]Нэгтгэл!EE:EE)</f>
        <v>2477568017.538815</v>
      </c>
      <c r="K16" s="427">
        <f>SUMIF([1]Нэгтгэл!B:B,'[1]10'!B:B,[1]Нэгтгэл!EF:EF)</f>
        <v>3810242166.54</v>
      </c>
      <c r="L16" s="427">
        <f t="shared" si="4"/>
        <v>-1332674149.0011849</v>
      </c>
    </row>
    <row r="17" spans="1:12">
      <c r="A17" s="22">
        <f t="shared" si="5"/>
        <v>14</v>
      </c>
      <c r="B17" s="9">
        <v>2708701</v>
      </c>
      <c r="C17" s="20" t="s">
        <v>159</v>
      </c>
      <c r="D17" s="427">
        <f>SUMIF('[1]Анхны нэгтгэл'!B:B,'[1]10'!B:B,'[1]Анхны нэгтгэл'!EE:EE)</f>
        <v>12593031717.368696</v>
      </c>
      <c r="E17" s="427">
        <f>SUMIF('[1]Анхны нэгтгэл'!B:B,'[1]10'!B:B,'[1]Анхны нэгтгэл'!EF:EF)</f>
        <v>11119290295</v>
      </c>
      <c r="F17" s="427">
        <f t="shared" si="0"/>
        <v>1473741422.3686962</v>
      </c>
      <c r="G17" s="427">
        <f t="shared" si="1"/>
        <v>0</v>
      </c>
      <c r="H17" s="427">
        <f t="shared" si="2"/>
        <v>2470063231.7731476</v>
      </c>
      <c r="I17" s="427">
        <f t="shared" si="3"/>
        <v>-2470063231.7731476</v>
      </c>
      <c r="J17" s="427">
        <f>SUMIF([1]Нэгтгэл!B:B,'[1]10'!B:B,[1]Нэгтгэл!EE:EE)</f>
        <v>12593031717.368696</v>
      </c>
      <c r="K17" s="427">
        <f>SUMIF([1]Нэгтгэл!B:B,'[1]10'!B:B,[1]Нэгтгэл!EF:EF)</f>
        <v>13589353526.773148</v>
      </c>
      <c r="L17" s="427">
        <f t="shared" si="4"/>
        <v>-996321809.40445137</v>
      </c>
    </row>
    <row r="18" spans="1:12">
      <c r="A18" s="22">
        <f t="shared" si="5"/>
        <v>15</v>
      </c>
      <c r="B18" s="9">
        <v>2014491</v>
      </c>
      <c r="C18" s="20" t="s">
        <v>161</v>
      </c>
      <c r="D18" s="427">
        <f>SUMIF('[1]Анхны нэгтгэл'!B:B,'[1]10'!B:B,'[1]Анхны нэгтгэл'!EE:EE)</f>
        <v>2388779324.5099998</v>
      </c>
      <c r="E18" s="427">
        <f>SUMIF('[1]Анхны нэгтгэл'!B:B,'[1]10'!B:B,'[1]Анхны нэгтгэл'!EF:EF)</f>
        <v>0</v>
      </c>
      <c r="F18" s="427">
        <f t="shared" si="0"/>
        <v>2388779324.5099998</v>
      </c>
      <c r="G18" s="427">
        <f t="shared" si="1"/>
        <v>0</v>
      </c>
      <c r="H18" s="427">
        <f t="shared" si="2"/>
        <v>2465560848.5099998</v>
      </c>
      <c r="I18" s="427">
        <f t="shared" si="3"/>
        <v>-2465560848.5099998</v>
      </c>
      <c r="J18" s="427">
        <f>SUMIF([1]Нэгтгэл!B:B,'[1]10'!B:B,[1]Нэгтгэл!EE:EE)</f>
        <v>2388779324.5099998</v>
      </c>
      <c r="K18" s="427">
        <f>SUMIF([1]Нэгтгэл!B:B,'[1]10'!B:B,[1]Нэгтгэл!EF:EF)</f>
        <v>2465560848.5099998</v>
      </c>
      <c r="L18" s="427">
        <f t="shared" si="4"/>
        <v>-76781524</v>
      </c>
    </row>
    <row r="19" spans="1:12">
      <c r="A19" s="22">
        <f t="shared" si="5"/>
        <v>16</v>
      </c>
      <c r="B19" s="9">
        <v>6414877</v>
      </c>
      <c r="C19" s="20" t="s">
        <v>165</v>
      </c>
      <c r="D19" s="427">
        <f>SUMIF('[1]Анхны нэгтгэл'!B:B,'[1]10'!B:B,'[1]Анхны нэгтгэл'!EE:EE)</f>
        <v>140444122.59999999</v>
      </c>
      <c r="E19" s="427">
        <f>SUMIF('[1]Анхны нэгтгэл'!B:B,'[1]10'!B:B,'[1]Анхны нэгтгэл'!EF:EF)</f>
        <v>44831515</v>
      </c>
      <c r="F19" s="427">
        <f t="shared" si="0"/>
        <v>95612607.599999994</v>
      </c>
      <c r="G19" s="427">
        <f t="shared" si="1"/>
        <v>0</v>
      </c>
      <c r="H19" s="427">
        <f t="shared" si="2"/>
        <v>96327954.620000005</v>
      </c>
      <c r="I19" s="427">
        <f t="shared" si="3"/>
        <v>-96327954.620000005</v>
      </c>
      <c r="J19" s="427">
        <f>SUMIF([1]Нэгтгэл!B:B,'[1]10'!B:B,[1]Нэгтгэл!EE:EE)</f>
        <v>140444122.59999999</v>
      </c>
      <c r="K19" s="427">
        <f>SUMIF([1]Нэгтгэл!B:B,'[1]10'!B:B,[1]Нэгтгэл!EF:EF)</f>
        <v>141159469.62</v>
      </c>
      <c r="L19" s="427">
        <f t="shared" si="4"/>
        <v>-715347.02000001073</v>
      </c>
    </row>
    <row r="20" spans="1:12">
      <c r="A20" s="22">
        <f t="shared" si="5"/>
        <v>17</v>
      </c>
      <c r="B20" s="9">
        <v>5369223</v>
      </c>
      <c r="C20" s="20" t="s">
        <v>168</v>
      </c>
      <c r="D20" s="427">
        <f>SUMIF('[1]Анхны нэгтгэл'!B:B,'[1]10'!B:B,'[1]Анхны нэгтгэл'!EE:EE)</f>
        <v>2892885743.6745</v>
      </c>
      <c r="E20" s="427">
        <f>SUMIF('[1]Анхны нэгтгэл'!B:B,'[1]10'!B:B,'[1]Анхны нэгтгэл'!EF:EF)</f>
        <v>2765392427</v>
      </c>
      <c r="F20" s="427">
        <f t="shared" si="0"/>
        <v>127493316.67449999</v>
      </c>
      <c r="G20" s="427">
        <f t="shared" si="1"/>
        <v>0</v>
      </c>
      <c r="H20" s="427">
        <f t="shared" si="2"/>
        <v>166518630.67449999</v>
      </c>
      <c r="I20" s="427">
        <f t="shared" si="3"/>
        <v>-166518630.67449999</v>
      </c>
      <c r="J20" s="427">
        <f>SUMIF([1]Нэгтгэл!B:B,'[1]10'!B:B,[1]Нэгтгэл!EE:EE)</f>
        <v>2892885743.6745</v>
      </c>
      <c r="K20" s="427">
        <f>SUMIF([1]Нэгтгэл!B:B,'[1]10'!B:B,[1]Нэгтгэл!EF:EF)</f>
        <v>2931911057.6745</v>
      </c>
      <c r="L20" s="427">
        <f t="shared" si="4"/>
        <v>-39025314</v>
      </c>
    </row>
    <row r="21" spans="1:12">
      <c r="A21" s="22">
        <f t="shared" si="5"/>
        <v>18</v>
      </c>
      <c r="B21" s="9">
        <v>5294088</v>
      </c>
      <c r="C21" s="20" t="s">
        <v>169</v>
      </c>
      <c r="D21" s="427">
        <f>SUMIF('[1]Анхны нэгтгэл'!B:B,'[1]10'!B:B,'[1]Анхны нэгтгэл'!EE:EE)</f>
        <v>2753160392.9872131</v>
      </c>
      <c r="E21" s="427">
        <f>SUMIF('[1]Анхны нэгтгэл'!B:B,'[1]10'!B:B,'[1]Анхны нэгтгэл'!EF:EF)</f>
        <v>2871254139</v>
      </c>
      <c r="F21" s="427">
        <f t="shared" si="0"/>
        <v>-118093746.01278687</v>
      </c>
      <c r="G21" s="427">
        <f t="shared" si="1"/>
        <v>0</v>
      </c>
      <c r="H21" s="427">
        <f t="shared" si="2"/>
        <v>28636434.657213211</v>
      </c>
      <c r="I21" s="427">
        <f t="shared" si="3"/>
        <v>-28636434.657213211</v>
      </c>
      <c r="J21" s="427">
        <f>SUMIF([1]Нэгтгэл!B:B,'[1]10'!B:B,[1]Нэгтгэл!EE:EE)</f>
        <v>2753160392.9872131</v>
      </c>
      <c r="K21" s="427">
        <f>SUMIF([1]Нэгтгэл!B:B,'[1]10'!B:B,[1]Нэгтгэл!EF:EF)</f>
        <v>2899890573.6572132</v>
      </c>
      <c r="L21" s="427">
        <f t="shared" si="4"/>
        <v>-146730180.67000008</v>
      </c>
    </row>
    <row r="22" spans="1:12">
      <c r="A22" s="22">
        <f t="shared" si="5"/>
        <v>19</v>
      </c>
      <c r="B22" s="9">
        <v>2855119</v>
      </c>
      <c r="C22" s="20" t="s">
        <v>173</v>
      </c>
      <c r="D22" s="427">
        <f>SUMIF('[1]Анхны нэгтгэл'!B:B,'[1]10'!B:B,'[1]Анхны нэгтгэл'!EE:EE)</f>
        <v>42773876302.09729</v>
      </c>
      <c r="E22" s="427">
        <f>SUMIF('[1]Анхны нэгтгэл'!B:B,'[1]10'!B:B,'[1]Анхны нэгтгэл'!EF:EF)</f>
        <v>41884127810</v>
      </c>
      <c r="F22" s="427">
        <f t="shared" si="0"/>
        <v>889748492.09729004</v>
      </c>
      <c r="G22" s="427">
        <f t="shared" si="1"/>
        <v>0</v>
      </c>
      <c r="H22" s="427">
        <f t="shared" si="2"/>
        <v>1287011422.8239746</v>
      </c>
      <c r="I22" s="427">
        <f t="shared" si="3"/>
        <v>-1287011422.8239746</v>
      </c>
      <c r="J22" s="427">
        <f>SUMIF([1]Нэгтгэл!B:B,'[1]10'!B:B,[1]Нэгтгэл!EE:EE)</f>
        <v>42773876302.09729</v>
      </c>
      <c r="K22" s="427">
        <f>SUMIF([1]Нэгтгэл!B:B,'[1]10'!B:B,[1]Нэгтгэл!EF:EF)</f>
        <v>43171139232.823975</v>
      </c>
      <c r="L22" s="427">
        <f t="shared" si="4"/>
        <v>-397262930.72668457</v>
      </c>
    </row>
    <row r="23" spans="1:12">
      <c r="A23" s="22">
        <f t="shared" si="5"/>
        <v>20</v>
      </c>
      <c r="B23" s="9">
        <v>2094533</v>
      </c>
      <c r="C23" s="20" t="s">
        <v>174</v>
      </c>
      <c r="D23" s="427">
        <f>SUMIF('[1]Анхны нэгтгэл'!B:B,'[1]10'!B:B,'[1]Анхны нэгтгэл'!EE:EE)</f>
        <v>46032377027.689964</v>
      </c>
      <c r="E23" s="427">
        <f>SUMIF('[1]Анхны нэгтгэл'!B:B,'[1]10'!B:B,'[1]Анхны нэгтгэл'!EF:EF)</f>
        <v>71199821174</v>
      </c>
      <c r="F23" s="427">
        <f t="shared" si="0"/>
        <v>-25167444146.310036</v>
      </c>
      <c r="G23" s="427">
        <f t="shared" si="1"/>
        <v>22853854222.999992</v>
      </c>
      <c r="H23" s="427">
        <f t="shared" si="2"/>
        <v>315646419</v>
      </c>
      <c r="I23" s="427">
        <f t="shared" si="3"/>
        <v>22538207803.999992</v>
      </c>
      <c r="J23" s="427">
        <f>SUMIF([1]Нэгтгэл!B:B,'[1]10'!B:B,[1]Нэгтгэл!EE:EE)</f>
        <v>68886231250.689957</v>
      </c>
      <c r="K23" s="427">
        <f>SUMIF([1]Нэгтгэл!B:B,'[1]10'!B:B,[1]Нэгтгэл!EF:EF)</f>
        <v>71515467593</v>
      </c>
      <c r="L23" s="427">
        <f t="shared" si="4"/>
        <v>-2629236342.3100433</v>
      </c>
    </row>
    <row r="24" spans="1:12">
      <c r="A24" s="22">
        <f t="shared" si="5"/>
        <v>21</v>
      </c>
      <c r="B24" s="9">
        <v>5722942</v>
      </c>
      <c r="C24" s="20" t="s">
        <v>175</v>
      </c>
      <c r="D24" s="427">
        <f>SUMIF('[1]Анхны нэгтгэл'!B:B,'[1]10'!B:B,'[1]Анхны нэгтгэл'!EE:EE)</f>
        <v>1042292827.057934</v>
      </c>
      <c r="E24" s="427">
        <f>SUMIF('[1]Анхны нэгтгэл'!B:B,'[1]10'!B:B,'[1]Анхны нэгтгэл'!EF:EF)</f>
        <v>0</v>
      </c>
      <c r="F24" s="427">
        <f t="shared" si="0"/>
        <v>1042292827.057934</v>
      </c>
      <c r="G24" s="427">
        <f t="shared" si="1"/>
        <v>0</v>
      </c>
      <c r="H24" s="427">
        <f t="shared" si="2"/>
        <v>928481686.08000004</v>
      </c>
      <c r="I24" s="427">
        <f t="shared" si="3"/>
        <v>-928481686.08000004</v>
      </c>
      <c r="J24" s="427">
        <f>SUMIF([1]Нэгтгэл!B:B,'[1]10'!B:B,[1]Нэгтгэл!EE:EE)</f>
        <v>1042292827.057934</v>
      </c>
      <c r="K24" s="427">
        <f>SUMIF([1]Нэгтгэл!B:B,'[1]10'!B:B,[1]Нэгтгэл!EF:EF)</f>
        <v>928481686.08000004</v>
      </c>
      <c r="L24" s="427">
        <f t="shared" si="4"/>
        <v>113811140.977934</v>
      </c>
    </row>
    <row r="25" spans="1:12">
      <c r="A25" s="22">
        <f t="shared" si="5"/>
        <v>22</v>
      </c>
      <c r="B25" s="9">
        <v>2867494</v>
      </c>
      <c r="C25" s="20" t="s">
        <v>176</v>
      </c>
      <c r="D25" s="427">
        <f>SUMIF('[1]Анхны нэгтгэл'!B:B,'[1]10'!B:B,'[1]Анхны нэгтгэл'!EE:EE)</f>
        <v>25172111.84</v>
      </c>
      <c r="E25" s="427">
        <f>SUMIF('[1]Анхны нэгтгэл'!B:B,'[1]10'!B:B,'[1]Анхны нэгтгэл'!EF:EF)</f>
        <v>5810300</v>
      </c>
      <c r="F25" s="427">
        <f t="shared" si="0"/>
        <v>19361811.84</v>
      </c>
      <c r="G25" s="427">
        <f t="shared" si="1"/>
        <v>0</v>
      </c>
      <c r="H25" s="427">
        <f t="shared" si="2"/>
        <v>0</v>
      </c>
      <c r="I25" s="427">
        <f t="shared" si="3"/>
        <v>0</v>
      </c>
      <c r="J25" s="427">
        <f>SUMIF([1]Нэгтгэл!B:B,'[1]10'!B:B,[1]Нэгтгэл!EE:EE)</f>
        <v>25172111.84</v>
      </c>
      <c r="K25" s="427">
        <f>SUMIF([1]Нэгтгэл!B:B,'[1]10'!B:B,[1]Нэгтгэл!EF:EF)</f>
        <v>5810300</v>
      </c>
      <c r="L25" s="427">
        <f t="shared" si="4"/>
        <v>19361811.84</v>
      </c>
    </row>
    <row r="26" spans="1:12">
      <c r="A26" s="22">
        <f t="shared" si="5"/>
        <v>23</v>
      </c>
      <c r="B26" s="9">
        <v>6463932</v>
      </c>
      <c r="C26" s="20" t="s">
        <v>177</v>
      </c>
      <c r="D26" s="427">
        <f>SUMIF('[1]Анхны нэгтгэл'!B:B,'[1]10'!B:B,'[1]Анхны нэгтгэл'!EE:EE)</f>
        <v>4682932249.9755478</v>
      </c>
      <c r="E26" s="427">
        <f>SUMIF('[1]Анхны нэгтгэл'!B:B,'[1]10'!B:B,'[1]Анхны нэгтгэл'!EF:EF)</f>
        <v>1503919685</v>
      </c>
      <c r="F26" s="427">
        <f t="shared" si="0"/>
        <v>3179012564.9755478</v>
      </c>
      <c r="G26" s="427">
        <f t="shared" si="1"/>
        <v>0</v>
      </c>
      <c r="H26" s="427">
        <f t="shared" si="2"/>
        <v>175530858.43668199</v>
      </c>
      <c r="I26" s="427">
        <f t="shared" si="3"/>
        <v>-175530858.43668199</v>
      </c>
      <c r="J26" s="427">
        <f>SUMIF([1]Нэгтгэл!B:B,'[1]10'!B:B,[1]Нэгтгэл!EE:EE)</f>
        <v>4682932249.9755478</v>
      </c>
      <c r="K26" s="427">
        <f>SUMIF([1]Нэгтгэл!B:B,'[1]10'!B:B,[1]Нэгтгэл!EF:EF)</f>
        <v>1679450543.436682</v>
      </c>
      <c r="L26" s="427">
        <f t="shared" si="4"/>
        <v>3003481706.538866</v>
      </c>
    </row>
    <row r="27" spans="1:12">
      <c r="A27" s="22">
        <f t="shared" si="5"/>
        <v>24</v>
      </c>
      <c r="B27" s="9">
        <v>5260833</v>
      </c>
      <c r="C27" s="20" t="s">
        <v>178</v>
      </c>
      <c r="D27" s="427">
        <f>SUMIF('[1]Анхны нэгтгэл'!B:B,'[1]10'!B:B,'[1]Анхны нэгтгэл'!EE:EE)</f>
        <v>3726400</v>
      </c>
      <c r="E27" s="427">
        <f>SUMIF('[1]Анхны нэгтгэл'!B:B,'[1]10'!B:B,'[1]Анхны нэгтгэл'!EF:EF)</f>
        <v>0</v>
      </c>
      <c r="F27" s="427">
        <f t="shared" si="0"/>
        <v>3726400</v>
      </c>
      <c r="G27" s="427">
        <f t="shared" si="1"/>
        <v>-3726400</v>
      </c>
      <c r="H27" s="427">
        <f t="shared" si="2"/>
        <v>0</v>
      </c>
      <c r="I27" s="427">
        <f t="shared" si="3"/>
        <v>-3726400</v>
      </c>
      <c r="J27" s="427">
        <f>SUMIF([1]Нэгтгэл!B:B,'[1]10'!B:B,[1]Нэгтгэл!EE:EE)</f>
        <v>0</v>
      </c>
      <c r="K27" s="427">
        <f>SUMIF([1]Нэгтгэл!B:B,'[1]10'!B:B,[1]Нэгтгэл!EF:EF)</f>
        <v>0</v>
      </c>
      <c r="L27" s="427">
        <f t="shared" si="4"/>
        <v>0</v>
      </c>
    </row>
    <row r="28" spans="1:12">
      <c r="A28" s="22">
        <f t="shared" si="5"/>
        <v>25</v>
      </c>
      <c r="B28" s="9">
        <v>2051303</v>
      </c>
      <c r="C28" s="20" t="s">
        <v>179</v>
      </c>
      <c r="D28" s="427">
        <f>SUMIF('[1]Анхны нэгтгэл'!B:B,'[1]10'!B:B,'[1]Анхны нэгтгэл'!EE:EE)</f>
        <v>37978093262.971909</v>
      </c>
      <c r="E28" s="427">
        <f>SUMIF('[1]Анхны нэгтгэл'!B:B,'[1]10'!B:B,'[1]Анхны нэгтгэл'!EF:EF)</f>
        <v>0</v>
      </c>
      <c r="F28" s="427">
        <f t="shared" si="0"/>
        <v>37978093262.971909</v>
      </c>
      <c r="G28" s="427">
        <f t="shared" si="1"/>
        <v>0</v>
      </c>
      <c r="H28" s="427">
        <f t="shared" si="2"/>
        <v>32208843924.255779</v>
      </c>
      <c r="I28" s="427">
        <f t="shared" si="3"/>
        <v>-32208843924.255779</v>
      </c>
      <c r="J28" s="427">
        <f>SUMIF([1]Нэгтгэл!B:B,'[1]10'!B:B,[1]Нэгтгэл!EE:EE)</f>
        <v>37978093262.971909</v>
      </c>
      <c r="K28" s="427">
        <f>SUMIF([1]Нэгтгэл!B:B,'[1]10'!B:B,[1]Нэгтгэл!EF:EF)</f>
        <v>32208843924.255779</v>
      </c>
      <c r="L28" s="427">
        <f t="shared" si="4"/>
        <v>5769249338.7161293</v>
      </c>
    </row>
    <row r="29" spans="1:12">
      <c r="A29" s="22">
        <f t="shared" si="5"/>
        <v>26</v>
      </c>
      <c r="B29" s="9">
        <v>2061848</v>
      </c>
      <c r="C29" s="20" t="s">
        <v>183</v>
      </c>
      <c r="D29" s="427">
        <f>SUMIF('[1]Анхны нэгтгэл'!B:B,'[1]10'!B:B,'[1]Анхны нэгтгэл'!EE:EE)</f>
        <v>171603664.22000003</v>
      </c>
      <c r="E29" s="427">
        <f>SUMIF('[1]Анхны нэгтгэл'!B:B,'[1]10'!B:B,'[1]Анхны нэгтгэл'!EF:EF)</f>
        <v>203311490</v>
      </c>
      <c r="F29" s="427">
        <f t="shared" si="0"/>
        <v>-31707825.779999971</v>
      </c>
      <c r="G29" s="427">
        <f t="shared" si="1"/>
        <v>0</v>
      </c>
      <c r="H29" s="427">
        <f t="shared" si="2"/>
        <v>324417946.49000001</v>
      </c>
      <c r="I29" s="427">
        <f t="shared" si="3"/>
        <v>-324417946.49000001</v>
      </c>
      <c r="J29" s="427">
        <f>SUMIF([1]Нэгтгэл!B:B,'[1]10'!B:B,[1]Нэгтгэл!EE:EE)</f>
        <v>171603664.22000003</v>
      </c>
      <c r="K29" s="427">
        <f>SUMIF([1]Нэгтгэл!B:B,'[1]10'!B:B,[1]Нэгтгэл!EF:EF)</f>
        <v>527729436.49000001</v>
      </c>
      <c r="L29" s="427">
        <f t="shared" si="4"/>
        <v>-356125772.26999998</v>
      </c>
    </row>
    <row r="30" spans="1:12">
      <c r="A30" s="22">
        <f t="shared" si="5"/>
        <v>27</v>
      </c>
      <c r="B30" s="9">
        <v>2766337</v>
      </c>
      <c r="C30" s="20" t="s">
        <v>185</v>
      </c>
      <c r="D30" s="427">
        <f>SUMIF('[1]Анхны нэгтгэл'!B:B,'[1]10'!B:B,'[1]Анхны нэгтгэл'!EE:EE)</f>
        <v>1604380947.24</v>
      </c>
      <c r="E30" s="427">
        <f>SUMIF('[1]Анхны нэгтгэл'!B:B,'[1]10'!B:B,'[1]Анхны нэгтгэл'!EF:EF)</f>
        <v>0</v>
      </c>
      <c r="F30" s="427">
        <f t="shared" si="0"/>
        <v>1604380947.24</v>
      </c>
      <c r="G30" s="427">
        <f t="shared" si="1"/>
        <v>-1604380947.24</v>
      </c>
      <c r="H30" s="427">
        <f t="shared" si="2"/>
        <v>0</v>
      </c>
      <c r="I30" s="427">
        <f t="shared" si="3"/>
        <v>-1604380947.24</v>
      </c>
      <c r="J30" s="427">
        <f>SUMIF([1]Нэгтгэл!B:B,'[1]10'!B:B,[1]Нэгтгэл!EE:EE)</f>
        <v>0</v>
      </c>
      <c r="K30" s="427">
        <f>SUMIF([1]Нэгтгэл!B:B,'[1]10'!B:B,[1]Нэгтгэл!EF:EF)</f>
        <v>0</v>
      </c>
      <c r="L30" s="427">
        <f t="shared" si="4"/>
        <v>0</v>
      </c>
    </row>
    <row r="31" spans="1:12">
      <c r="A31" s="22">
        <f t="shared" si="5"/>
        <v>28</v>
      </c>
      <c r="B31" s="9">
        <v>5810086</v>
      </c>
      <c r="C31" s="20" t="s">
        <v>187</v>
      </c>
      <c r="D31" s="427">
        <f>SUMIF('[1]Анхны нэгтгэл'!B:B,'[1]10'!B:B,'[1]Анхны нэгтгэл'!EE:EE)</f>
        <v>1266685507.4100001</v>
      </c>
      <c r="E31" s="427">
        <f>SUMIF('[1]Анхны нэгтгэл'!B:B,'[1]10'!B:B,'[1]Анхны нэгтгэл'!EF:EF)</f>
        <v>0</v>
      </c>
      <c r="F31" s="427">
        <f t="shared" si="0"/>
        <v>1266685507.4100001</v>
      </c>
      <c r="G31" s="427">
        <f t="shared" si="1"/>
        <v>-1266685507.4100001</v>
      </c>
      <c r="H31" s="427">
        <f t="shared" si="2"/>
        <v>0</v>
      </c>
      <c r="I31" s="427">
        <f t="shared" si="3"/>
        <v>-1266685507.4100001</v>
      </c>
      <c r="J31" s="427">
        <f>SUMIF([1]Нэгтгэл!B:B,'[1]10'!B:B,[1]Нэгтгэл!EE:EE)</f>
        <v>0</v>
      </c>
      <c r="K31" s="427">
        <f>SUMIF([1]Нэгтгэл!B:B,'[1]10'!B:B,[1]Нэгтгэл!EF:EF)</f>
        <v>0</v>
      </c>
      <c r="L31" s="427">
        <f t="shared" si="4"/>
        <v>0</v>
      </c>
    </row>
    <row r="32" spans="1:12">
      <c r="A32" s="22">
        <f t="shared" si="5"/>
        <v>29</v>
      </c>
      <c r="B32" s="9">
        <v>5217652</v>
      </c>
      <c r="C32" s="20" t="s">
        <v>188</v>
      </c>
      <c r="D32" s="427">
        <f>SUMIF('[1]Анхны нэгтгэл'!B:B,'[1]10'!B:B,'[1]Анхны нэгтгэл'!EE:EE)</f>
        <v>16138770655.838137</v>
      </c>
      <c r="E32" s="427">
        <f>SUMIF('[1]Анхны нэгтгэл'!B:B,'[1]10'!B:B,'[1]Анхны нэгтгэл'!EF:EF)</f>
        <v>27834125140</v>
      </c>
      <c r="F32" s="427">
        <f t="shared" si="0"/>
        <v>-11695354484.161863</v>
      </c>
      <c r="G32" s="427">
        <f t="shared" si="1"/>
        <v>0</v>
      </c>
      <c r="H32" s="427">
        <f t="shared" si="2"/>
        <v>-7452773127.2370682</v>
      </c>
      <c r="I32" s="427">
        <f t="shared" si="3"/>
        <v>7452773127.2370682</v>
      </c>
      <c r="J32" s="427">
        <f>SUMIF([1]Нэгтгэл!B:B,'[1]10'!B:B,[1]Нэгтгэл!EE:EE)</f>
        <v>16138770655.838137</v>
      </c>
      <c r="K32" s="427">
        <f>SUMIF([1]Нэгтгэл!B:B,'[1]10'!B:B,[1]Нэгтгэл!EF:EF)</f>
        <v>20381352012.762932</v>
      </c>
      <c r="L32" s="427">
        <f t="shared" si="4"/>
        <v>-4242581356.9247952</v>
      </c>
    </row>
    <row r="33" spans="1:12">
      <c r="A33" s="22">
        <f t="shared" si="5"/>
        <v>30</v>
      </c>
      <c r="B33" s="9">
        <v>2780518</v>
      </c>
      <c r="C33" s="20" t="s">
        <v>189</v>
      </c>
      <c r="D33" s="427">
        <f>SUMIF('[1]Анхны нэгтгэл'!B:B,'[1]10'!B:B,'[1]Анхны нэгтгэл'!EE:EE)</f>
        <v>1052864887.1399999</v>
      </c>
      <c r="E33" s="427">
        <f>SUMIF('[1]Анхны нэгтгэл'!B:B,'[1]10'!B:B,'[1]Анхны нэгтгэл'!EF:EF)</f>
        <v>1285033153</v>
      </c>
      <c r="F33" s="427">
        <f t="shared" si="0"/>
        <v>-232168265.86000013</v>
      </c>
      <c r="G33" s="427">
        <f t="shared" si="1"/>
        <v>-1052864887.1399999</v>
      </c>
      <c r="H33" s="427">
        <f t="shared" si="2"/>
        <v>-1285033153</v>
      </c>
      <c r="I33" s="427">
        <f t="shared" si="3"/>
        <v>232168265.86000013</v>
      </c>
      <c r="J33" s="427">
        <f>SUMIF([1]Нэгтгэл!B:B,'[1]10'!B:B,[1]Нэгтгэл!EE:EE)</f>
        <v>0</v>
      </c>
      <c r="K33" s="427">
        <f>SUMIF([1]Нэгтгэл!B:B,'[1]10'!B:B,[1]Нэгтгэл!EF:EF)</f>
        <v>0</v>
      </c>
      <c r="L33" s="427">
        <f t="shared" si="4"/>
        <v>0</v>
      </c>
    </row>
    <row r="34" spans="1:12">
      <c r="A34" s="22">
        <f t="shared" si="5"/>
        <v>31</v>
      </c>
      <c r="B34" s="9">
        <v>5272378</v>
      </c>
      <c r="C34" s="20" t="s">
        <v>193</v>
      </c>
      <c r="D34" s="427">
        <f>SUMIF('[1]Анхны нэгтгэл'!B:B,'[1]10'!B:B,'[1]Анхны нэгтгэл'!EE:EE)</f>
        <v>3281690550.6677003</v>
      </c>
      <c r="E34" s="427">
        <f>SUMIF('[1]Анхны нэгтгэл'!B:B,'[1]10'!B:B,'[1]Анхны нэгтгэл'!EF:EF)</f>
        <v>0</v>
      </c>
      <c r="F34" s="427">
        <f t="shared" si="0"/>
        <v>3281690550.6677003</v>
      </c>
      <c r="G34" s="427">
        <f t="shared" si="1"/>
        <v>0</v>
      </c>
      <c r="H34" s="427">
        <f t="shared" si="2"/>
        <v>3267176592.3077002</v>
      </c>
      <c r="I34" s="427">
        <f t="shared" si="3"/>
        <v>-3267176592.3077002</v>
      </c>
      <c r="J34" s="427">
        <f>SUMIF([1]Нэгтгэл!B:B,'[1]10'!B:B,[1]Нэгтгэл!EE:EE)</f>
        <v>3281690550.6677003</v>
      </c>
      <c r="K34" s="427">
        <f>SUMIF([1]Нэгтгэл!B:B,'[1]10'!B:B,[1]Нэгтгэл!EF:EF)</f>
        <v>3267176592.3077002</v>
      </c>
      <c r="L34" s="427">
        <f t="shared" si="4"/>
        <v>14513958.360000134</v>
      </c>
    </row>
    <row r="35" spans="1:12">
      <c r="A35" s="22">
        <f t="shared" si="5"/>
        <v>32</v>
      </c>
      <c r="B35" s="9">
        <v>5467268</v>
      </c>
      <c r="C35" s="20" t="s">
        <v>194</v>
      </c>
      <c r="D35" s="427">
        <f>SUMIF('[1]Анхны нэгтгэл'!B:B,'[1]10'!B:B,'[1]Анхны нэгтгэл'!EE:EE)</f>
        <v>17865932370.400517</v>
      </c>
      <c r="E35" s="427">
        <f>SUMIF('[1]Анхны нэгтгэл'!B:B,'[1]10'!B:B,'[1]Анхны нэгтгэл'!EF:EF)</f>
        <v>15657891951</v>
      </c>
      <c r="F35" s="427">
        <f t="shared" si="0"/>
        <v>2208040419.4005165</v>
      </c>
      <c r="G35" s="427">
        <f t="shared" si="1"/>
        <v>0</v>
      </c>
      <c r="H35" s="427">
        <f t="shared" si="2"/>
        <v>489977657.51051903</v>
      </c>
      <c r="I35" s="427">
        <f t="shared" si="3"/>
        <v>-489977657.51051903</v>
      </c>
      <c r="J35" s="427">
        <f>SUMIF([1]Нэгтгэл!B:B,'[1]10'!B:B,[1]Нэгтгэл!EE:EE)</f>
        <v>17865932370.400517</v>
      </c>
      <c r="K35" s="427">
        <f>SUMIF([1]Нэгтгэл!B:B,'[1]10'!B:B,[1]Нэгтгэл!EF:EF)</f>
        <v>16147869608.510519</v>
      </c>
      <c r="L35" s="427">
        <f t="shared" si="4"/>
        <v>1718062761.8899975</v>
      </c>
    </row>
    <row r="36" spans="1:12">
      <c r="A36" s="22">
        <f t="shared" si="5"/>
        <v>33</v>
      </c>
      <c r="B36" s="9">
        <v>5522935</v>
      </c>
      <c r="C36" s="20" t="s">
        <v>196</v>
      </c>
      <c r="D36" s="427">
        <f>SUMIF('[1]Анхны нэгтгэл'!B:B,'[1]10'!B:B,'[1]Анхны нэгтгэл'!EE:EE)</f>
        <v>781108434.81480002</v>
      </c>
      <c r="E36" s="427">
        <f>SUMIF('[1]Анхны нэгтгэл'!B:B,'[1]10'!B:B,'[1]Анхны нэгтгэл'!EF:EF)</f>
        <v>592932444</v>
      </c>
      <c r="F36" s="427">
        <f t="shared" ref="F36:F67" si="6">+D36-E36</f>
        <v>188175990.81480002</v>
      </c>
      <c r="G36" s="427">
        <f t="shared" ref="G36:G67" si="7">-(D36-J36)</f>
        <v>0</v>
      </c>
      <c r="H36" s="427">
        <f t="shared" ref="H36:H67" si="8">-(E36-K36)</f>
        <v>45998275.524800062</v>
      </c>
      <c r="I36" s="427">
        <f t="shared" ref="I36:I67" si="9">G36-H36</f>
        <v>-45998275.524800062</v>
      </c>
      <c r="J36" s="427">
        <f>SUMIF([1]Нэгтгэл!B:B,'[1]10'!B:B,[1]Нэгтгэл!EE:EE)</f>
        <v>781108434.81480002</v>
      </c>
      <c r="K36" s="427">
        <f>SUMIF([1]Нэгтгэл!B:B,'[1]10'!B:B,[1]Нэгтгэл!EF:EF)</f>
        <v>638930719.52480006</v>
      </c>
      <c r="L36" s="427">
        <f t="shared" ref="L36:L67" si="10">+J36-K36</f>
        <v>142177715.28999996</v>
      </c>
    </row>
    <row r="37" spans="1:12">
      <c r="A37" s="22">
        <f t="shared" ref="A37:A68" si="11">A36+1</f>
        <v>34</v>
      </c>
      <c r="B37" s="9">
        <v>5528089</v>
      </c>
      <c r="C37" s="20" t="s">
        <v>197</v>
      </c>
      <c r="D37" s="427">
        <f>SUMIF('[1]Анхны нэгтгэл'!B:B,'[1]10'!B:B,'[1]Анхны нэгтгэл'!EE:EE)</f>
        <v>0</v>
      </c>
      <c r="E37" s="427">
        <f>SUMIF('[1]Анхны нэгтгэл'!B:B,'[1]10'!B:B,'[1]Анхны нэгтгэл'!EF:EF)</f>
        <v>0</v>
      </c>
      <c r="F37" s="427">
        <f t="shared" si="6"/>
        <v>0</v>
      </c>
      <c r="G37" s="427">
        <f t="shared" si="7"/>
        <v>0</v>
      </c>
      <c r="H37" s="427">
        <f t="shared" si="8"/>
        <v>0</v>
      </c>
      <c r="I37" s="427">
        <f t="shared" si="9"/>
        <v>0</v>
      </c>
      <c r="J37" s="427">
        <f>SUMIF([1]Нэгтгэл!B:B,'[1]10'!B:B,[1]Нэгтгэл!EE:EE)</f>
        <v>0</v>
      </c>
      <c r="K37" s="427">
        <f>SUMIF([1]Нэгтгэл!B:B,'[1]10'!B:B,[1]Нэгтгэл!EF:EF)</f>
        <v>0</v>
      </c>
      <c r="L37" s="427">
        <f t="shared" si="10"/>
        <v>0</v>
      </c>
    </row>
    <row r="38" spans="1:12">
      <c r="A38" s="22">
        <f t="shared" si="11"/>
        <v>35</v>
      </c>
      <c r="B38" s="9">
        <v>5396662</v>
      </c>
      <c r="C38" s="20" t="s">
        <v>198</v>
      </c>
      <c r="D38" s="427">
        <f>SUMIF('[1]Анхны нэгтгэл'!B:B,'[1]10'!B:B,'[1]Анхны нэгтгэл'!EE:EE)</f>
        <v>4938746397.7887344</v>
      </c>
      <c r="E38" s="427">
        <f>SUMIF('[1]Анхны нэгтгэл'!B:B,'[1]10'!B:B,'[1]Анхны нэгтгэл'!EF:EF)</f>
        <v>1743314115</v>
      </c>
      <c r="F38" s="427">
        <f t="shared" si="6"/>
        <v>3195432282.7887344</v>
      </c>
      <c r="G38" s="427">
        <f t="shared" si="7"/>
        <v>0</v>
      </c>
      <c r="H38" s="427">
        <f t="shared" si="8"/>
        <v>328602058.55873489</v>
      </c>
      <c r="I38" s="427">
        <f t="shared" si="9"/>
        <v>-328602058.55873489</v>
      </c>
      <c r="J38" s="427">
        <f>SUMIF([1]Нэгтгэл!B:B,'[1]10'!B:B,[1]Нэгтгэл!EE:EE)</f>
        <v>4938746397.7887344</v>
      </c>
      <c r="K38" s="427">
        <f>SUMIF([1]Нэгтгэл!B:B,'[1]10'!B:B,[1]Нэгтгэл!EF:EF)</f>
        <v>2071916173.5587349</v>
      </c>
      <c r="L38" s="427">
        <f t="shared" si="10"/>
        <v>2866830224.2299995</v>
      </c>
    </row>
    <row r="39" spans="1:12">
      <c r="A39" s="22">
        <f t="shared" si="11"/>
        <v>36</v>
      </c>
      <c r="B39" s="9">
        <v>5830974</v>
      </c>
      <c r="C39" s="20" t="s">
        <v>199</v>
      </c>
      <c r="D39" s="427">
        <f>SUMIF('[1]Анхны нэгтгэл'!B:B,'[1]10'!B:B,'[1]Анхны нэгтгэл'!EE:EE)</f>
        <v>37006248050.46817</v>
      </c>
      <c r="E39" s="427">
        <f>SUMIF('[1]Анхны нэгтгэл'!B:B,'[1]10'!B:B,'[1]Анхны нэгтгэл'!EF:EF)</f>
        <v>70757204763</v>
      </c>
      <c r="F39" s="427">
        <f t="shared" si="6"/>
        <v>-33750956712.53183</v>
      </c>
      <c r="G39" s="427">
        <f t="shared" si="7"/>
        <v>0</v>
      </c>
      <c r="H39" s="427">
        <f t="shared" si="8"/>
        <v>-33382992348.971832</v>
      </c>
      <c r="I39" s="427">
        <f t="shared" si="9"/>
        <v>33382992348.971832</v>
      </c>
      <c r="J39" s="427">
        <f>SUMIF([1]Нэгтгэл!B:B,'[1]10'!B:B,[1]Нэгтгэл!EE:EE)</f>
        <v>37006248050.46817</v>
      </c>
      <c r="K39" s="427">
        <f>SUMIF([1]Нэгтгэл!B:B,'[1]10'!B:B,[1]Нэгтгэл!EF:EF)</f>
        <v>37374212414.028168</v>
      </c>
      <c r="L39" s="427">
        <f t="shared" si="10"/>
        <v>-367964363.55999756</v>
      </c>
    </row>
    <row r="40" spans="1:12">
      <c r="A40" s="22">
        <f t="shared" si="11"/>
        <v>37</v>
      </c>
      <c r="B40" s="9">
        <v>2057573</v>
      </c>
      <c r="C40" s="20" t="s">
        <v>201</v>
      </c>
      <c r="D40" s="427">
        <f>SUMIF('[1]Анхны нэгтгэл'!B:B,'[1]10'!B:B,'[1]Анхны нэгтгэл'!EE:EE)</f>
        <v>1128306578.1504982</v>
      </c>
      <c r="E40" s="427">
        <f>SUMIF('[1]Анхны нэгтгэл'!B:B,'[1]10'!B:B,'[1]Анхны нэгтгэл'!EF:EF)</f>
        <v>926054338</v>
      </c>
      <c r="F40" s="427">
        <f t="shared" si="6"/>
        <v>202252240.15049815</v>
      </c>
      <c r="G40" s="427">
        <f t="shared" si="7"/>
        <v>-1128306578.1504982</v>
      </c>
      <c r="H40" s="427">
        <f t="shared" si="8"/>
        <v>-926054338</v>
      </c>
      <c r="I40" s="427">
        <f t="shared" si="9"/>
        <v>-202252240.15049815</v>
      </c>
      <c r="J40" s="427">
        <f>SUMIF([1]Нэгтгэл!B:B,'[1]10'!B:B,[1]Нэгтгэл!EE:EE)</f>
        <v>0</v>
      </c>
      <c r="K40" s="427">
        <f>SUMIF([1]Нэгтгэл!B:B,'[1]10'!B:B,[1]Нэгтгэл!EF:EF)</f>
        <v>0</v>
      </c>
      <c r="L40" s="427">
        <f t="shared" si="10"/>
        <v>0</v>
      </c>
    </row>
    <row r="41" spans="1:12">
      <c r="A41" s="22">
        <f t="shared" si="11"/>
        <v>38</v>
      </c>
      <c r="B41" s="9">
        <v>5699134</v>
      </c>
      <c r="C41" s="20" t="s">
        <v>202</v>
      </c>
      <c r="D41" s="427">
        <f>SUMIF('[1]Анхны нэгтгэл'!B:B,'[1]10'!B:B,'[1]Анхны нэгтгэл'!EE:EE)</f>
        <v>2364931269.704555</v>
      </c>
      <c r="E41" s="427">
        <f>SUMIF('[1]Анхны нэгтгэл'!B:B,'[1]10'!B:B,'[1]Анхны нэгтгэл'!EF:EF)</f>
        <v>1958177402</v>
      </c>
      <c r="F41" s="427">
        <f t="shared" si="6"/>
        <v>406753867.70455503</v>
      </c>
      <c r="G41" s="427">
        <f t="shared" si="7"/>
        <v>16665720</v>
      </c>
      <c r="H41" s="427">
        <f t="shared" si="8"/>
        <v>428508870.41455507</v>
      </c>
      <c r="I41" s="427">
        <f t="shared" si="9"/>
        <v>-411843150.41455507</v>
      </c>
      <c r="J41" s="427">
        <f>SUMIF([1]Нэгтгэл!B:B,'[1]10'!B:B,[1]Нэгтгэл!EE:EE)</f>
        <v>2381596989.704555</v>
      </c>
      <c r="K41" s="427">
        <f>SUMIF([1]Нэгтгэл!B:B,'[1]10'!B:B,[1]Нэгтгэл!EF:EF)</f>
        <v>2386686272.4145551</v>
      </c>
      <c r="L41" s="427">
        <f t="shared" si="10"/>
        <v>-5089282.7100000381</v>
      </c>
    </row>
    <row r="42" spans="1:12">
      <c r="A42" s="22">
        <f t="shared" si="11"/>
        <v>39</v>
      </c>
      <c r="B42" s="9">
        <v>5412153</v>
      </c>
      <c r="C42" s="20" t="s">
        <v>203</v>
      </c>
      <c r="D42" s="427">
        <f>SUMIF('[1]Анхны нэгтгэл'!B:B,'[1]10'!B:B,'[1]Анхны нэгтгэл'!EE:EE)</f>
        <v>1006860745.0865</v>
      </c>
      <c r="E42" s="427">
        <f>SUMIF('[1]Анхны нэгтгэл'!B:B,'[1]10'!B:B,'[1]Анхны нэгтгэл'!EF:EF)</f>
        <v>1307060000</v>
      </c>
      <c r="F42" s="427">
        <f t="shared" si="6"/>
        <v>-300199254.91349995</v>
      </c>
      <c r="G42" s="427">
        <f t="shared" si="7"/>
        <v>0</v>
      </c>
      <c r="H42" s="427">
        <f t="shared" si="8"/>
        <v>-679779376.28349996</v>
      </c>
      <c r="I42" s="427">
        <f t="shared" si="9"/>
        <v>679779376.28349996</v>
      </c>
      <c r="J42" s="427">
        <f>SUMIF([1]Нэгтгэл!B:B,'[1]10'!B:B,[1]Нэгтгэл!EE:EE)</f>
        <v>1006860745.0865</v>
      </c>
      <c r="K42" s="427">
        <f>SUMIF([1]Нэгтгэл!B:B,'[1]10'!B:B,[1]Нэгтгэл!EF:EF)</f>
        <v>627280623.71650004</v>
      </c>
      <c r="L42" s="427">
        <f t="shared" si="10"/>
        <v>379580121.37</v>
      </c>
    </row>
    <row r="43" spans="1:12">
      <c r="A43" s="22">
        <f t="shared" si="11"/>
        <v>40</v>
      </c>
      <c r="B43" s="9">
        <v>2034859</v>
      </c>
      <c r="C43" s="20" t="s">
        <v>204</v>
      </c>
      <c r="D43" s="427">
        <f>SUMIF('[1]Анхны нэгтгэл'!B:B,'[1]10'!B:B,'[1]Анхны нэгтгэл'!EE:EE)</f>
        <v>990346857.41000009</v>
      </c>
      <c r="E43" s="427">
        <f>SUMIF('[1]Анхны нэгтгэл'!B:B,'[1]10'!B:B,'[1]Анхны нэгтгэл'!EF:EF)</f>
        <v>948374404</v>
      </c>
      <c r="F43" s="427">
        <f t="shared" si="6"/>
        <v>41972453.410000086</v>
      </c>
      <c r="G43" s="427">
        <f t="shared" si="7"/>
        <v>-990346857.41000009</v>
      </c>
      <c r="H43" s="427">
        <f t="shared" si="8"/>
        <v>-948374404</v>
      </c>
      <c r="I43" s="427">
        <f t="shared" si="9"/>
        <v>-41972453.410000086</v>
      </c>
      <c r="J43" s="427">
        <f>SUMIF([1]Нэгтгэл!B:B,'[1]10'!B:B,[1]Нэгтгэл!EE:EE)</f>
        <v>0</v>
      </c>
      <c r="K43" s="427">
        <f>SUMIF([1]Нэгтгэл!B:B,'[1]10'!B:B,[1]Нэгтгэл!EF:EF)</f>
        <v>0</v>
      </c>
      <c r="L43" s="427">
        <f t="shared" si="10"/>
        <v>0</v>
      </c>
    </row>
    <row r="44" spans="1:12">
      <c r="A44" s="22">
        <f t="shared" si="11"/>
        <v>41</v>
      </c>
      <c r="B44" s="9">
        <v>5253535</v>
      </c>
      <c r="C44" s="20" t="s">
        <v>208</v>
      </c>
      <c r="D44" s="427">
        <f>SUMIF('[1]Анхны нэгтгэл'!B:B,'[1]10'!B:B,'[1]Анхны нэгтгэл'!EE:EE)</f>
        <v>6781990132.4215298</v>
      </c>
      <c r="E44" s="427">
        <f>SUMIF('[1]Анхны нэгтгэл'!B:B,'[1]10'!B:B,'[1]Анхны нэгтгэл'!EF:EF)</f>
        <v>2109349170</v>
      </c>
      <c r="F44" s="427">
        <f t="shared" si="6"/>
        <v>4672640962.4215298</v>
      </c>
      <c r="G44" s="427">
        <f t="shared" si="7"/>
        <v>0</v>
      </c>
      <c r="H44" s="427">
        <f t="shared" si="8"/>
        <v>4643938617.7199993</v>
      </c>
      <c r="I44" s="427">
        <f t="shared" si="9"/>
        <v>-4643938617.7199993</v>
      </c>
      <c r="J44" s="427">
        <f>SUMIF([1]Нэгтгэл!B:B,'[1]10'!B:B,[1]Нэгтгэл!EE:EE)</f>
        <v>6781990132.4215298</v>
      </c>
      <c r="K44" s="427">
        <f>SUMIF([1]Нэгтгэл!B:B,'[1]10'!B:B,[1]Нэгтгэл!EF:EF)</f>
        <v>6753287787.7199993</v>
      </c>
      <c r="L44" s="427">
        <f t="shared" si="10"/>
        <v>28702344.701530457</v>
      </c>
    </row>
    <row r="45" spans="1:12">
      <c r="A45" s="22">
        <f t="shared" si="11"/>
        <v>42</v>
      </c>
      <c r="B45" s="9">
        <v>5150884</v>
      </c>
      <c r="C45" s="20" t="s">
        <v>210</v>
      </c>
      <c r="D45" s="427">
        <f>SUMIF('[1]Анхны нэгтгэл'!B:B,'[1]10'!B:B,'[1]Анхны нэгтгэл'!EE:EE)</f>
        <v>72723000</v>
      </c>
      <c r="E45" s="427">
        <f>SUMIF('[1]Анхны нэгтгэл'!B:B,'[1]10'!B:B,'[1]Анхны нэгтгэл'!EF:EF)</f>
        <v>60722000</v>
      </c>
      <c r="F45" s="427">
        <f t="shared" si="6"/>
        <v>12001000</v>
      </c>
      <c r="G45" s="427">
        <f t="shared" si="7"/>
        <v>-72723000</v>
      </c>
      <c r="H45" s="427">
        <f t="shared" si="8"/>
        <v>-60722000</v>
      </c>
      <c r="I45" s="427">
        <f t="shared" si="9"/>
        <v>-12001000</v>
      </c>
      <c r="J45" s="427">
        <f>SUMIF([1]Нэгтгэл!B:B,'[1]10'!B:B,[1]Нэгтгэл!EE:EE)</f>
        <v>0</v>
      </c>
      <c r="K45" s="427">
        <f>SUMIF([1]Нэгтгэл!B:B,'[1]10'!B:B,[1]Нэгтгэл!EF:EF)</f>
        <v>0</v>
      </c>
      <c r="L45" s="427">
        <f t="shared" si="10"/>
        <v>0</v>
      </c>
    </row>
    <row r="46" spans="1:12">
      <c r="A46" s="22">
        <f t="shared" si="11"/>
        <v>43</v>
      </c>
      <c r="B46" s="9">
        <v>5051304</v>
      </c>
      <c r="C46" s="20" t="s">
        <v>211</v>
      </c>
      <c r="D46" s="427">
        <f>SUMIF('[1]Анхны нэгтгэл'!B:B,'[1]10'!B:B,'[1]Анхны нэгтгэл'!EE:EE)</f>
        <v>4977851461.5891571</v>
      </c>
      <c r="E46" s="427">
        <f>SUMIF('[1]Анхны нэгтгэл'!B:B,'[1]10'!B:B,'[1]Анхны нэгтгэл'!EF:EF)</f>
        <v>3352400859</v>
      </c>
      <c r="F46" s="427">
        <f t="shared" si="6"/>
        <v>1625450602.5891571</v>
      </c>
      <c r="G46" s="427">
        <f t="shared" si="7"/>
        <v>0</v>
      </c>
      <c r="H46" s="427">
        <f t="shared" si="8"/>
        <v>-2165722956.520843</v>
      </c>
      <c r="I46" s="427">
        <f t="shared" si="9"/>
        <v>2165722956.520843</v>
      </c>
      <c r="J46" s="427">
        <f>SUMIF([1]Нэгтгэл!B:B,'[1]10'!B:B,[1]Нэгтгэл!EE:EE)</f>
        <v>4977851461.5891571</v>
      </c>
      <c r="K46" s="427">
        <f>SUMIF([1]Нэгтгэл!B:B,'[1]10'!B:B,[1]Нэгтгэл!EF:EF)</f>
        <v>1186677902.479157</v>
      </c>
      <c r="L46" s="427">
        <f t="shared" si="10"/>
        <v>3791173559.1100001</v>
      </c>
    </row>
    <row r="47" spans="1:12">
      <c r="A47" s="22">
        <f t="shared" si="11"/>
        <v>44</v>
      </c>
      <c r="B47" s="9">
        <v>5401801</v>
      </c>
      <c r="C47" s="20" t="s">
        <v>213</v>
      </c>
      <c r="D47" s="427">
        <f>SUMIF('[1]Анхны нэгтгэл'!B:B,'[1]10'!B:B,'[1]Анхны нэгтгэл'!EE:EE)</f>
        <v>1404335247.2619998</v>
      </c>
      <c r="E47" s="427">
        <f>SUMIF('[1]Анхны нэгтгэл'!B:B,'[1]10'!B:B,'[1]Анхны нэгтгэл'!EF:EF)</f>
        <v>0</v>
      </c>
      <c r="F47" s="427">
        <f t="shared" si="6"/>
        <v>1404335247.2619998</v>
      </c>
      <c r="G47" s="427">
        <f t="shared" si="7"/>
        <v>-1404335247.2619998</v>
      </c>
      <c r="H47" s="427">
        <f t="shared" si="8"/>
        <v>0</v>
      </c>
      <c r="I47" s="427">
        <f t="shared" si="9"/>
        <v>-1404335247.2619998</v>
      </c>
      <c r="J47" s="427">
        <f>SUMIF([1]Нэгтгэл!B:B,'[1]10'!B:B,[1]Нэгтгэл!EE:EE)</f>
        <v>0</v>
      </c>
      <c r="K47" s="427">
        <f>SUMIF([1]Нэгтгэл!B:B,'[1]10'!B:B,[1]Нэгтгэл!EF:EF)</f>
        <v>0</v>
      </c>
      <c r="L47" s="427">
        <f t="shared" si="10"/>
        <v>0</v>
      </c>
    </row>
    <row r="48" spans="1:12">
      <c r="A48" s="22">
        <f t="shared" si="11"/>
        <v>45</v>
      </c>
      <c r="B48" s="9">
        <v>2550466</v>
      </c>
      <c r="C48" s="20" t="s">
        <v>214</v>
      </c>
      <c r="D48" s="427">
        <f>SUMIF('[1]Анхны нэгтгэл'!B:B,'[1]10'!B:B,'[1]Анхны нэгтгэл'!EE:EE)</f>
        <v>31780616127.582119</v>
      </c>
      <c r="E48" s="427">
        <f>SUMIF('[1]Анхны нэгтгэл'!B:B,'[1]10'!B:B,'[1]Анхны нэгтгэл'!EF:EF)</f>
        <v>29047402824</v>
      </c>
      <c r="F48" s="427">
        <f t="shared" si="6"/>
        <v>2733213303.582119</v>
      </c>
      <c r="G48" s="427">
        <f t="shared" si="7"/>
        <v>1500000000</v>
      </c>
      <c r="H48" s="427">
        <f t="shared" si="8"/>
        <v>5564062392.3021088</v>
      </c>
      <c r="I48" s="427">
        <f t="shared" si="9"/>
        <v>-4064062392.3021088</v>
      </c>
      <c r="J48" s="427">
        <f>SUMIF([1]Нэгтгэл!B:B,'[1]10'!B:B,[1]Нэгтгэл!EE:EE)</f>
        <v>33280616127.582119</v>
      </c>
      <c r="K48" s="427">
        <f>SUMIF([1]Нэгтгэл!B:B,'[1]10'!B:B,[1]Нэгтгэл!EF:EF)</f>
        <v>34611465216.302109</v>
      </c>
      <c r="L48" s="427">
        <f t="shared" si="10"/>
        <v>-1330849088.7199898</v>
      </c>
    </row>
    <row r="49" spans="1:12">
      <c r="A49" s="22">
        <f t="shared" si="11"/>
        <v>46</v>
      </c>
      <c r="B49" s="9">
        <v>5051134</v>
      </c>
      <c r="C49" s="20" t="s">
        <v>216</v>
      </c>
      <c r="D49" s="427">
        <f>SUMIF('[1]Анхны нэгтгэл'!B:B,'[1]10'!B:B,'[1]Анхны нэгтгэл'!EE:EE)</f>
        <v>1845982387.4297543</v>
      </c>
      <c r="E49" s="427">
        <f>SUMIF('[1]Анхны нэгтгэл'!B:B,'[1]10'!B:B,'[1]Анхны нэгтгэл'!EF:EF)</f>
        <v>233650894</v>
      </c>
      <c r="F49" s="427">
        <f t="shared" si="6"/>
        <v>1612331493.4297543</v>
      </c>
      <c r="G49" s="427">
        <f t="shared" si="7"/>
        <v>0</v>
      </c>
      <c r="H49" s="427">
        <f t="shared" si="8"/>
        <v>290923886.699754</v>
      </c>
      <c r="I49" s="427">
        <f t="shared" si="9"/>
        <v>-290923886.699754</v>
      </c>
      <c r="J49" s="427">
        <f>SUMIF([1]Нэгтгэл!B:B,'[1]10'!B:B,[1]Нэгтгэл!EE:EE)</f>
        <v>1845982387.4297543</v>
      </c>
      <c r="K49" s="427">
        <f>SUMIF([1]Нэгтгэл!B:B,'[1]10'!B:B,[1]Нэгтгэл!EF:EF)</f>
        <v>524574780.699754</v>
      </c>
      <c r="L49" s="427">
        <f t="shared" si="10"/>
        <v>1321407606.7300003</v>
      </c>
    </row>
    <row r="50" spans="1:12">
      <c r="A50" s="22">
        <f t="shared" si="11"/>
        <v>47</v>
      </c>
      <c r="B50" s="9">
        <v>2095025</v>
      </c>
      <c r="C50" s="20" t="s">
        <v>217</v>
      </c>
      <c r="D50" s="427">
        <f>SUMIF('[1]Анхны нэгтгэл'!B:B,'[1]10'!B:B,'[1]Анхны нэгтгэл'!EE:EE)</f>
        <v>336822820620.91876</v>
      </c>
      <c r="E50" s="427">
        <f>SUMIF('[1]Анхны нэгтгэл'!B:B,'[1]10'!B:B,'[1]Анхны нэгтгэл'!EF:EF)</f>
        <v>310530025212</v>
      </c>
      <c r="F50" s="427">
        <f t="shared" si="6"/>
        <v>26292795408.918762</v>
      </c>
      <c r="G50" s="427">
        <f t="shared" si="7"/>
        <v>0</v>
      </c>
      <c r="H50" s="427">
        <f t="shared" si="8"/>
        <v>31786514362.758728</v>
      </c>
      <c r="I50" s="427">
        <f t="shared" si="9"/>
        <v>-31786514362.758728</v>
      </c>
      <c r="J50" s="427">
        <f>SUMIF([1]Нэгтгэл!B:B,'[1]10'!B:B,[1]Нэгтгэл!EE:EE)</f>
        <v>336822820620.91876</v>
      </c>
      <c r="K50" s="427">
        <f>SUMIF([1]Нэгтгэл!B:B,'[1]10'!B:B,[1]Нэгтгэл!EF:EF)</f>
        <v>342316539574.75873</v>
      </c>
      <c r="L50" s="427">
        <f t="shared" si="10"/>
        <v>-5493718953.8399658</v>
      </c>
    </row>
    <row r="51" spans="1:12">
      <c r="A51" s="22">
        <f t="shared" si="11"/>
        <v>48</v>
      </c>
      <c r="B51" s="9">
        <v>2045931</v>
      </c>
      <c r="C51" s="20" t="s">
        <v>218</v>
      </c>
      <c r="D51" s="427">
        <f>SUMIF('[1]Анхны нэгтгэл'!B:B,'[1]10'!B:B,'[1]Анхны нэгтгэл'!EE:EE)</f>
        <v>16922513729.738073</v>
      </c>
      <c r="E51" s="427">
        <f>SUMIF('[1]Анхны нэгтгэл'!B:B,'[1]10'!B:B,'[1]Анхны нэгтгэл'!EF:EF)</f>
        <v>15246713670</v>
      </c>
      <c r="F51" s="427">
        <f t="shared" si="6"/>
        <v>1675800059.7380733</v>
      </c>
      <c r="G51" s="427">
        <f t="shared" si="7"/>
        <v>0</v>
      </c>
      <c r="H51" s="427">
        <f t="shared" si="8"/>
        <v>-9607140593.8619308</v>
      </c>
      <c r="I51" s="427">
        <f t="shared" si="9"/>
        <v>9607140593.8619308</v>
      </c>
      <c r="J51" s="427">
        <f>SUMIF([1]Нэгтгэл!B:B,'[1]10'!B:B,[1]Нэгтгэл!EE:EE)</f>
        <v>16922513729.738073</v>
      </c>
      <c r="K51" s="427">
        <f>SUMIF([1]Нэгтгэл!B:B,'[1]10'!B:B,[1]Нэгтгэл!EF:EF)</f>
        <v>5639573076.1380701</v>
      </c>
      <c r="L51" s="427">
        <f t="shared" si="10"/>
        <v>11282940653.600002</v>
      </c>
    </row>
    <row r="52" spans="1:12">
      <c r="A52" s="22">
        <f t="shared" si="11"/>
        <v>49</v>
      </c>
      <c r="B52" s="9">
        <v>2029278</v>
      </c>
      <c r="C52" s="20" t="s">
        <v>219</v>
      </c>
      <c r="D52" s="427">
        <f>SUMIF('[1]Анхны нэгтгэл'!B:B,'[1]10'!B:B,'[1]Анхны нэгтгэл'!EE:EE)</f>
        <v>4213309849.8894844</v>
      </c>
      <c r="E52" s="427">
        <f>SUMIF('[1]Анхны нэгтгэл'!B:B,'[1]10'!B:B,'[1]Анхны нэгтгэл'!EF:EF)</f>
        <v>6101097550</v>
      </c>
      <c r="F52" s="427">
        <f t="shared" si="6"/>
        <v>-1887787700.1105156</v>
      </c>
      <c r="G52" s="427">
        <f t="shared" si="7"/>
        <v>0</v>
      </c>
      <c r="H52" s="427">
        <f t="shared" si="8"/>
        <v>1903362210.1894836</v>
      </c>
      <c r="I52" s="427">
        <f t="shared" si="9"/>
        <v>-1903362210.1894836</v>
      </c>
      <c r="J52" s="427">
        <f>SUMIF([1]Нэгтгэл!B:B,'[1]10'!B:B,[1]Нэгтгэл!EE:EE)</f>
        <v>4213309849.8894844</v>
      </c>
      <c r="K52" s="427">
        <f>SUMIF([1]Нэгтгэл!B:B,'[1]10'!B:B,[1]Нэгтгэл!EF:EF)</f>
        <v>8004459760.1894836</v>
      </c>
      <c r="L52" s="427">
        <f t="shared" si="10"/>
        <v>-3791149910.2999992</v>
      </c>
    </row>
    <row r="53" spans="1:12">
      <c r="A53" s="22">
        <f t="shared" si="11"/>
        <v>50</v>
      </c>
      <c r="B53" s="9">
        <v>5106567</v>
      </c>
      <c r="C53" s="20" t="s">
        <v>220</v>
      </c>
      <c r="D53" s="427">
        <f>SUMIF('[1]Анхны нэгтгэл'!B:B,'[1]10'!B:B,'[1]Анхны нэгтгэл'!EE:EE)</f>
        <v>14530650827.066925</v>
      </c>
      <c r="E53" s="427">
        <f>SUMIF('[1]Анхны нэгтгэл'!B:B,'[1]10'!B:B,'[1]Анхны нэгтгэл'!EF:EF)</f>
        <v>8530908140</v>
      </c>
      <c r="F53" s="427">
        <f t="shared" si="6"/>
        <v>5999742687.066925</v>
      </c>
      <c r="G53" s="427">
        <f t="shared" si="7"/>
        <v>0</v>
      </c>
      <c r="H53" s="427">
        <f t="shared" si="8"/>
        <v>4992338390.4469242</v>
      </c>
      <c r="I53" s="427">
        <f t="shared" si="9"/>
        <v>-4992338390.4469242</v>
      </c>
      <c r="J53" s="427">
        <f>SUMIF([1]Нэгтгэл!B:B,'[1]10'!B:B,[1]Нэгтгэл!EE:EE)</f>
        <v>14530650827.066925</v>
      </c>
      <c r="K53" s="427">
        <f>SUMIF([1]Нэгтгэл!B:B,'[1]10'!B:B,[1]Нэгтгэл!EF:EF)</f>
        <v>13523246530.446924</v>
      </c>
      <c r="L53" s="427">
        <f t="shared" si="10"/>
        <v>1007404296.6200008</v>
      </c>
    </row>
    <row r="54" spans="1:12">
      <c r="A54" s="22">
        <f t="shared" si="11"/>
        <v>51</v>
      </c>
      <c r="B54" s="9">
        <v>5141583</v>
      </c>
      <c r="C54" s="20" t="s">
        <v>222</v>
      </c>
      <c r="D54" s="427">
        <f>SUMIF('[1]Анхны нэгтгэл'!B:B,'[1]10'!B:B,'[1]Анхны нэгтгэл'!EE:EE)</f>
        <v>123348033352.87607</v>
      </c>
      <c r="E54" s="427">
        <f>SUMIF('[1]Анхны нэгтгэл'!B:B,'[1]10'!B:B,'[1]Анхны нэгтгэл'!EF:EF)</f>
        <v>122088183522</v>
      </c>
      <c r="F54" s="427">
        <f t="shared" si="6"/>
        <v>1259849830.8760681</v>
      </c>
      <c r="G54" s="427">
        <f t="shared" si="7"/>
        <v>0</v>
      </c>
      <c r="H54" s="427">
        <f t="shared" si="8"/>
        <v>1154205730.4060669</v>
      </c>
      <c r="I54" s="427">
        <f t="shared" si="9"/>
        <v>-1154205730.4060669</v>
      </c>
      <c r="J54" s="427">
        <f>SUMIF([1]Нэгтгэл!B:B,'[1]10'!B:B,[1]Нэгтгэл!EE:EE)</f>
        <v>123348033352.87607</v>
      </c>
      <c r="K54" s="427">
        <f>SUMIF([1]Нэгтгэл!B:B,'[1]10'!B:B,[1]Нэгтгэл!EF:EF)</f>
        <v>123242389252.40607</v>
      </c>
      <c r="L54" s="427">
        <f t="shared" si="10"/>
        <v>105644100.47000122</v>
      </c>
    </row>
    <row r="55" spans="1:12">
      <c r="A55" s="22">
        <f t="shared" si="11"/>
        <v>52</v>
      </c>
      <c r="B55" s="9">
        <v>5118115</v>
      </c>
      <c r="C55" s="20" t="s">
        <v>223</v>
      </c>
      <c r="D55" s="427">
        <f>SUMIF('[1]Анхны нэгтгэл'!B:B,'[1]10'!B:B,'[1]Анхны нэгтгэл'!EE:EE)</f>
        <v>10659602534.661135</v>
      </c>
      <c r="E55" s="427">
        <f>SUMIF('[1]Анхны нэгтгэл'!B:B,'[1]10'!B:B,'[1]Анхны нэгтгэл'!EF:EF)</f>
        <v>0</v>
      </c>
      <c r="F55" s="427">
        <f t="shared" si="6"/>
        <v>10659602534.661135</v>
      </c>
      <c r="G55" s="427">
        <f t="shared" si="7"/>
        <v>0</v>
      </c>
      <c r="H55" s="427">
        <f t="shared" si="8"/>
        <v>10659191334.661135</v>
      </c>
      <c r="I55" s="427">
        <f t="shared" si="9"/>
        <v>-10659191334.661135</v>
      </c>
      <c r="J55" s="427">
        <f>SUMIF([1]Нэгтгэл!B:B,'[1]10'!B:B,[1]Нэгтгэл!EE:EE)</f>
        <v>10659602534.661135</v>
      </c>
      <c r="K55" s="427">
        <f>SUMIF([1]Нэгтгэл!B:B,'[1]10'!B:B,[1]Нэгтгэл!EF:EF)</f>
        <v>10659191334.661135</v>
      </c>
      <c r="L55" s="427">
        <f t="shared" si="10"/>
        <v>411200</v>
      </c>
    </row>
    <row r="56" spans="1:12">
      <c r="A56" s="22">
        <f t="shared" si="11"/>
        <v>53</v>
      </c>
      <c r="B56" s="9">
        <v>5106656</v>
      </c>
      <c r="C56" s="20" t="s">
        <v>224</v>
      </c>
      <c r="D56" s="427">
        <f>SUMIF('[1]Анхны нэгтгэл'!B:B,'[1]10'!B:B,'[1]Анхны нэгтгэл'!EE:EE)</f>
        <v>1089740814.7074981</v>
      </c>
      <c r="E56" s="427">
        <f>SUMIF('[1]Анхны нэгтгэл'!B:B,'[1]10'!B:B,'[1]Анхны нэгтгэл'!EF:EF)</f>
        <v>0</v>
      </c>
      <c r="F56" s="427">
        <f t="shared" si="6"/>
        <v>1089740814.7074981</v>
      </c>
      <c r="G56" s="427">
        <f t="shared" si="7"/>
        <v>-1089740814.7074981</v>
      </c>
      <c r="H56" s="427">
        <f t="shared" si="8"/>
        <v>0</v>
      </c>
      <c r="I56" s="427">
        <f t="shared" si="9"/>
        <v>-1089740814.7074981</v>
      </c>
      <c r="J56" s="427">
        <f>SUMIF([1]Нэгтгэл!B:B,'[1]10'!B:B,[1]Нэгтгэл!EE:EE)</f>
        <v>0</v>
      </c>
      <c r="K56" s="427">
        <f>SUMIF([1]Нэгтгэл!B:B,'[1]10'!B:B,[1]Нэгтгэл!EF:EF)</f>
        <v>0</v>
      </c>
      <c r="L56" s="427">
        <f t="shared" si="10"/>
        <v>0</v>
      </c>
    </row>
    <row r="57" spans="1:12">
      <c r="A57" s="22">
        <f t="shared" si="11"/>
        <v>54</v>
      </c>
      <c r="B57" s="9">
        <v>2010895</v>
      </c>
      <c r="C57" s="20" t="s">
        <v>225</v>
      </c>
      <c r="D57" s="427">
        <f>SUMIF('[1]Анхны нэгтгэл'!B:B,'[1]10'!B:B,'[1]Анхны нэгтгэл'!EE:EE)</f>
        <v>1147844092.8413229</v>
      </c>
      <c r="E57" s="427">
        <f>SUMIF('[1]Анхны нэгтгэл'!B:B,'[1]10'!B:B,'[1]Анхны нэгтгэл'!EF:EF)</f>
        <v>1064947125</v>
      </c>
      <c r="F57" s="427">
        <f t="shared" si="6"/>
        <v>82896967.841322899</v>
      </c>
      <c r="G57" s="427">
        <f t="shared" si="7"/>
        <v>3500</v>
      </c>
      <c r="H57" s="427">
        <f t="shared" si="8"/>
        <v>-39972291.238677025</v>
      </c>
      <c r="I57" s="427">
        <f t="shared" si="9"/>
        <v>39975791.238677025</v>
      </c>
      <c r="J57" s="427">
        <f>SUMIF([1]Нэгтгэл!B:B,'[1]10'!B:B,[1]Нэгтгэл!EE:EE)</f>
        <v>1147847592.8413229</v>
      </c>
      <c r="K57" s="427">
        <f>SUMIF([1]Нэгтгэл!B:B,'[1]10'!B:B,[1]Нэгтгэл!EF:EF)</f>
        <v>1024974833.761323</v>
      </c>
      <c r="L57" s="427">
        <f t="shared" si="10"/>
        <v>122872759.07999992</v>
      </c>
    </row>
    <row r="58" spans="1:12">
      <c r="A58" s="22">
        <f t="shared" si="11"/>
        <v>55</v>
      </c>
      <c r="B58" s="9">
        <v>5295858</v>
      </c>
      <c r="C58" s="20" t="s">
        <v>227</v>
      </c>
      <c r="D58" s="427">
        <f>SUMIF('[1]Анхны нэгтгэл'!B:B,'[1]10'!B:B,'[1]Анхны нэгтгэл'!EE:EE)</f>
        <v>4008344791.6765609</v>
      </c>
      <c r="E58" s="427">
        <f>SUMIF('[1]Анхны нэгтгэл'!B:B,'[1]10'!B:B,'[1]Анхны нэгтгэл'!EF:EF)</f>
        <v>0</v>
      </c>
      <c r="F58" s="427">
        <f t="shared" si="6"/>
        <v>4008344791.6765609</v>
      </c>
      <c r="G58" s="427">
        <f t="shared" si="7"/>
        <v>0</v>
      </c>
      <c r="H58" s="427">
        <f t="shared" si="8"/>
        <v>4007543991.6765609</v>
      </c>
      <c r="I58" s="427">
        <f t="shared" si="9"/>
        <v>-4007543991.6765609</v>
      </c>
      <c r="J58" s="427">
        <f>SUMIF([1]Нэгтгэл!B:B,'[1]10'!B:B,[1]Нэгтгэл!EE:EE)</f>
        <v>4008344791.6765609</v>
      </c>
      <c r="K58" s="427">
        <f>SUMIF([1]Нэгтгэл!B:B,'[1]10'!B:B,[1]Нэгтгэл!EF:EF)</f>
        <v>4007543991.6765609</v>
      </c>
      <c r="L58" s="427">
        <f t="shared" si="10"/>
        <v>800800</v>
      </c>
    </row>
    <row r="59" spans="1:12">
      <c r="A59" s="22">
        <f t="shared" si="11"/>
        <v>56</v>
      </c>
      <c r="B59" s="9">
        <v>6287727</v>
      </c>
      <c r="C59" s="20" t="s">
        <v>228</v>
      </c>
      <c r="D59" s="427">
        <f>SUMIF('[1]Анхны нэгтгэл'!B:B,'[1]10'!B:B,'[1]Анхны нэгтгэл'!EE:EE)</f>
        <v>2410437149.0108123</v>
      </c>
      <c r="E59" s="427">
        <f>SUMIF('[1]Анхны нэгтгэл'!B:B,'[1]10'!B:B,'[1]Анхны нэгтгэл'!EF:EF)</f>
        <v>1219401573</v>
      </c>
      <c r="F59" s="427">
        <f t="shared" si="6"/>
        <v>1191035576.0108123</v>
      </c>
      <c r="G59" s="427">
        <f t="shared" si="7"/>
        <v>13371682</v>
      </c>
      <c r="H59" s="427">
        <f t="shared" si="8"/>
        <v>26303306.820811987</v>
      </c>
      <c r="I59" s="427">
        <f t="shared" si="9"/>
        <v>-12931624.820811987</v>
      </c>
      <c r="J59" s="427">
        <f>SUMIF([1]Нэгтгэл!B:B,'[1]10'!B:B,[1]Нэгтгэл!EE:EE)</f>
        <v>2423808831.0108123</v>
      </c>
      <c r="K59" s="427">
        <f>SUMIF([1]Нэгтгэл!B:B,'[1]10'!B:B,[1]Нэгтгэл!EF:EF)</f>
        <v>1245704879.820812</v>
      </c>
      <c r="L59" s="427">
        <f t="shared" si="10"/>
        <v>1178103951.1900003</v>
      </c>
    </row>
    <row r="60" spans="1:12">
      <c r="A60" s="22">
        <f t="shared" si="11"/>
        <v>57</v>
      </c>
      <c r="B60" s="9">
        <v>2659603</v>
      </c>
      <c r="C60" s="20" t="s">
        <v>229</v>
      </c>
      <c r="D60" s="427">
        <f>SUMIF('[1]Анхны нэгтгэл'!B:B,'[1]10'!B:B,'[1]Анхны нэгтгэл'!EE:EE)</f>
        <v>11017600155.734999</v>
      </c>
      <c r="E60" s="427">
        <f>SUMIF('[1]Анхны нэгтгэл'!B:B,'[1]10'!B:B,'[1]Анхны нэгтгэл'!EF:EF)</f>
        <v>0</v>
      </c>
      <c r="F60" s="427">
        <f t="shared" si="6"/>
        <v>11017600155.734999</v>
      </c>
      <c r="G60" s="427">
        <f t="shared" si="7"/>
        <v>0</v>
      </c>
      <c r="H60" s="427">
        <f t="shared" si="8"/>
        <v>9467650775.5249996</v>
      </c>
      <c r="I60" s="427">
        <f t="shared" si="9"/>
        <v>-9467650775.5249996</v>
      </c>
      <c r="J60" s="427">
        <f>SUMIF([1]Нэгтгэл!B:B,'[1]10'!B:B,[1]Нэгтгэл!EE:EE)</f>
        <v>11017600155.734999</v>
      </c>
      <c r="K60" s="427">
        <f>SUMIF([1]Нэгтгэл!B:B,'[1]10'!B:B,[1]Нэгтгэл!EF:EF)</f>
        <v>9467650775.5249996</v>
      </c>
      <c r="L60" s="427">
        <f t="shared" si="10"/>
        <v>1549949380.2099991</v>
      </c>
    </row>
    <row r="61" spans="1:12">
      <c r="A61" s="22">
        <f t="shared" si="11"/>
        <v>58</v>
      </c>
      <c r="B61" s="9">
        <v>2678187</v>
      </c>
      <c r="C61" s="20" t="s">
        <v>230</v>
      </c>
      <c r="D61" s="427">
        <f>SUMIF('[1]Анхны нэгтгэл'!B:B,'[1]10'!B:B,'[1]Анхны нэгтгэл'!EE:EE)</f>
        <v>2656284840.059412</v>
      </c>
      <c r="E61" s="427">
        <f>SUMIF('[1]Анхны нэгтгэл'!B:B,'[1]10'!B:B,'[1]Анхны нэгтгэл'!EF:EF)</f>
        <v>4499312240</v>
      </c>
      <c r="F61" s="427">
        <f t="shared" si="6"/>
        <v>-1843027399.940588</v>
      </c>
      <c r="G61" s="427">
        <f t="shared" si="7"/>
        <v>0</v>
      </c>
      <c r="H61" s="427">
        <f t="shared" si="8"/>
        <v>-1687913167.440588</v>
      </c>
      <c r="I61" s="427">
        <f t="shared" si="9"/>
        <v>1687913167.440588</v>
      </c>
      <c r="J61" s="427">
        <f>SUMIF([1]Нэгтгэл!B:B,'[1]10'!B:B,[1]Нэгтгэл!EE:EE)</f>
        <v>2656284840.059412</v>
      </c>
      <c r="K61" s="427">
        <f>SUMIF([1]Нэгтгэл!B:B,'[1]10'!B:B,[1]Нэгтгэл!EF:EF)</f>
        <v>2811399072.559412</v>
      </c>
      <c r="L61" s="427">
        <f t="shared" si="10"/>
        <v>-155114232.5</v>
      </c>
    </row>
    <row r="62" spans="1:12">
      <c r="A62" s="22">
        <f t="shared" si="11"/>
        <v>59</v>
      </c>
      <c r="B62" s="9">
        <v>2657457</v>
      </c>
      <c r="C62" s="20" t="s">
        <v>231</v>
      </c>
      <c r="D62" s="427">
        <f>SUMIF('[1]Анхны нэгтгэл'!B:B,'[1]10'!B:B,'[1]Анхны нэгтгэл'!EE:EE)</f>
        <v>734901887485.53772</v>
      </c>
      <c r="E62" s="427">
        <f>SUMIF('[1]Анхны нэгтгэл'!B:B,'[1]10'!B:B,'[1]Анхны нэгтгэл'!EF:EF)</f>
        <v>864994881697</v>
      </c>
      <c r="F62" s="427">
        <f t="shared" si="6"/>
        <v>-130092994211.46228</v>
      </c>
      <c r="G62" s="427">
        <f t="shared" si="7"/>
        <v>0</v>
      </c>
      <c r="H62" s="427">
        <f t="shared" si="8"/>
        <v>52161326378.53772</v>
      </c>
      <c r="I62" s="427">
        <f t="shared" si="9"/>
        <v>-52161326378.53772</v>
      </c>
      <c r="J62" s="427">
        <f>SUMIF([1]Нэгтгэл!B:B,'[1]10'!B:B,[1]Нэгтгэл!EE:EE)</f>
        <v>734901887485.53772</v>
      </c>
      <c r="K62" s="427">
        <f>SUMIF([1]Нэгтгэл!B:B,'[1]10'!B:B,[1]Нэгтгэл!EF:EF)</f>
        <v>917156208075.53772</v>
      </c>
      <c r="L62" s="427">
        <f t="shared" si="10"/>
        <v>-182254320590</v>
      </c>
    </row>
    <row r="63" spans="1:12">
      <c r="A63" s="22">
        <f t="shared" si="11"/>
        <v>60</v>
      </c>
      <c r="B63" s="9">
        <v>3615243</v>
      </c>
      <c r="C63" s="20" t="s">
        <v>232</v>
      </c>
      <c r="D63" s="427">
        <f>SUMIF('[1]Анхны нэгтгэл'!B:B,'[1]10'!B:B,'[1]Анхны нэгтгэл'!EE:EE)</f>
        <v>1880074484.96</v>
      </c>
      <c r="E63" s="427">
        <f>SUMIF('[1]Анхны нэгтгэл'!B:B,'[1]10'!B:B,'[1]Анхны нэгтгэл'!EF:EF)</f>
        <v>63100000</v>
      </c>
      <c r="F63" s="427">
        <f t="shared" si="6"/>
        <v>1816974484.96</v>
      </c>
      <c r="G63" s="427">
        <f t="shared" si="7"/>
        <v>0</v>
      </c>
      <c r="H63" s="427">
        <f t="shared" si="8"/>
        <v>756047631.19000006</v>
      </c>
      <c r="I63" s="427">
        <f t="shared" si="9"/>
        <v>-756047631.19000006</v>
      </c>
      <c r="J63" s="427">
        <f>SUMIF([1]Нэгтгэл!B:B,'[1]10'!B:B,[1]Нэгтгэл!EE:EE)</f>
        <v>1880074484.96</v>
      </c>
      <c r="K63" s="427">
        <f>SUMIF([1]Нэгтгэл!B:B,'[1]10'!B:B,[1]Нэгтгэл!EF:EF)</f>
        <v>819147631.19000006</v>
      </c>
      <c r="L63" s="427">
        <f t="shared" si="10"/>
        <v>1060926853.77</v>
      </c>
    </row>
    <row r="64" spans="1:12">
      <c r="A64" s="22">
        <f t="shared" si="11"/>
        <v>61</v>
      </c>
      <c r="B64" s="9">
        <v>3623955</v>
      </c>
      <c r="C64" s="20" t="s">
        <v>236</v>
      </c>
      <c r="D64" s="427">
        <f>SUMIF('[1]Анхны нэгтгэл'!B:B,'[1]10'!B:B,'[1]Анхны нэгтгэл'!EE:EE)</f>
        <v>1138221363.3963311</v>
      </c>
      <c r="E64" s="427">
        <f>SUMIF('[1]Анхны нэгтгэл'!B:B,'[1]10'!B:B,'[1]Анхны нэгтгэл'!EF:EF)</f>
        <v>793697995</v>
      </c>
      <c r="F64" s="427">
        <f t="shared" si="6"/>
        <v>344523368.39633107</v>
      </c>
      <c r="G64" s="427">
        <f t="shared" si="7"/>
        <v>0</v>
      </c>
      <c r="H64" s="427">
        <f t="shared" si="8"/>
        <v>111899020.91633105</v>
      </c>
      <c r="I64" s="427">
        <f t="shared" si="9"/>
        <v>-111899020.91633105</v>
      </c>
      <c r="J64" s="427">
        <f>SUMIF([1]Нэгтгэл!B:B,'[1]10'!B:B,[1]Нэгтгэл!EE:EE)</f>
        <v>1138221363.3963311</v>
      </c>
      <c r="K64" s="427">
        <f>SUMIF([1]Нэгтгэл!B:B,'[1]10'!B:B,[1]Нэгтгэл!EF:EF)</f>
        <v>905597015.91633105</v>
      </c>
      <c r="L64" s="427">
        <f t="shared" si="10"/>
        <v>232624347.48000002</v>
      </c>
    </row>
    <row r="65" spans="1:12">
      <c r="A65" s="22">
        <f t="shared" si="11"/>
        <v>62</v>
      </c>
      <c r="B65" s="9">
        <v>5199077</v>
      </c>
      <c r="C65" s="20" t="s">
        <v>239</v>
      </c>
      <c r="D65" s="427">
        <f>SUMIF('[1]Анхны нэгтгэл'!B:B,'[1]10'!B:B,'[1]Анхны нэгтгэл'!EE:EE)</f>
        <v>169319243349.86041</v>
      </c>
      <c r="E65" s="427">
        <f>SUMIF('[1]Анхны нэгтгэл'!B:B,'[1]10'!B:B,'[1]Анхны нэгтгэл'!EF:EF)</f>
        <v>52904040878</v>
      </c>
      <c r="F65" s="427">
        <f t="shared" si="6"/>
        <v>116415202471.86041</v>
      </c>
      <c r="G65" s="427">
        <f t="shared" si="7"/>
        <v>600000</v>
      </c>
      <c r="H65" s="427">
        <f t="shared" si="8"/>
        <v>297175609.93042755</v>
      </c>
      <c r="I65" s="427">
        <f t="shared" si="9"/>
        <v>-296575609.93042755</v>
      </c>
      <c r="J65" s="427">
        <f>SUMIF([1]Нэгтгэл!B:B,'[1]10'!B:B,[1]Нэгтгэл!EE:EE)</f>
        <v>169319843349.86041</v>
      </c>
      <c r="K65" s="427">
        <f>SUMIF([1]Нэгтгэл!B:B,'[1]10'!B:B,[1]Нэгтгэл!EF:EF)</f>
        <v>53201216487.930428</v>
      </c>
      <c r="L65" s="427">
        <f t="shared" si="10"/>
        <v>116118626861.92999</v>
      </c>
    </row>
    <row r="66" spans="1:12">
      <c r="A66" s="22">
        <f t="shared" si="11"/>
        <v>63</v>
      </c>
      <c r="B66" s="9">
        <v>2075385</v>
      </c>
      <c r="C66" s="20" t="s">
        <v>240</v>
      </c>
      <c r="D66" s="427">
        <f>SUMIF('[1]Анхны нэгтгэл'!B:B,'[1]10'!B:B,'[1]Анхны нэгтгэл'!EE:EE)</f>
        <v>7493242154.960001</v>
      </c>
      <c r="E66" s="427">
        <f>SUMIF('[1]Анхны нэгтгэл'!B:B,'[1]10'!B:B,'[1]Анхны нэгтгэл'!EF:EF)</f>
        <v>0</v>
      </c>
      <c r="F66" s="427">
        <f t="shared" si="6"/>
        <v>7493242154.960001</v>
      </c>
      <c r="G66" s="427">
        <f t="shared" si="7"/>
        <v>0</v>
      </c>
      <c r="H66" s="427">
        <f t="shared" si="8"/>
        <v>7344580363.7600002</v>
      </c>
      <c r="I66" s="427">
        <f t="shared" si="9"/>
        <v>-7344580363.7600002</v>
      </c>
      <c r="J66" s="427">
        <f>SUMIF([1]Нэгтгэл!B:B,'[1]10'!B:B,[1]Нэгтгэл!EE:EE)</f>
        <v>7493242154.960001</v>
      </c>
      <c r="K66" s="427">
        <f>SUMIF([1]Нэгтгэл!B:B,'[1]10'!B:B,[1]Нэгтгэл!EF:EF)</f>
        <v>7344580363.7600002</v>
      </c>
      <c r="L66" s="427">
        <f t="shared" si="10"/>
        <v>148661791.20000076</v>
      </c>
    </row>
    <row r="67" spans="1:12">
      <c r="A67" s="22">
        <f t="shared" si="11"/>
        <v>64</v>
      </c>
      <c r="B67" s="9">
        <v>2867095</v>
      </c>
      <c r="C67" s="20" t="s">
        <v>241</v>
      </c>
      <c r="D67" s="427">
        <f>SUMIF('[1]Анхны нэгтгэл'!B:B,'[1]10'!B:B,'[1]Анхны нэгтгэл'!EE:EE)</f>
        <v>1968511864.1800003</v>
      </c>
      <c r="E67" s="427">
        <f>SUMIF('[1]Анхны нэгтгэл'!B:B,'[1]10'!B:B,'[1]Анхны нэгтгэл'!EF:EF)</f>
        <v>0</v>
      </c>
      <c r="F67" s="427">
        <f t="shared" si="6"/>
        <v>1968511864.1800003</v>
      </c>
      <c r="G67" s="427">
        <f t="shared" si="7"/>
        <v>0</v>
      </c>
      <c r="H67" s="427">
        <f t="shared" si="8"/>
        <v>1598496416.5700002</v>
      </c>
      <c r="I67" s="427">
        <f t="shared" si="9"/>
        <v>-1598496416.5700002</v>
      </c>
      <c r="J67" s="427">
        <f>SUMIF([1]Нэгтгэл!B:B,'[1]10'!B:B,[1]Нэгтгэл!EE:EE)</f>
        <v>1968511864.1800003</v>
      </c>
      <c r="K67" s="427">
        <f>SUMIF([1]Нэгтгэл!B:B,'[1]10'!B:B,[1]Нэгтгэл!EF:EF)</f>
        <v>1598496416.5700002</v>
      </c>
      <c r="L67" s="427">
        <f t="shared" si="10"/>
        <v>370015447.61000013</v>
      </c>
    </row>
    <row r="68" spans="1:12">
      <c r="A68" s="22">
        <f t="shared" si="11"/>
        <v>65</v>
      </c>
      <c r="B68" s="9">
        <v>5076285</v>
      </c>
      <c r="C68" s="20" t="s">
        <v>242</v>
      </c>
      <c r="D68" s="427">
        <f>SUMIF('[1]Анхны нэгтгэл'!B:B,'[1]10'!B:B,'[1]Анхны нэгтгэл'!EE:EE)</f>
        <v>12534891494.187071</v>
      </c>
      <c r="E68" s="427">
        <f>SUMIF('[1]Анхны нэгтгэл'!B:B,'[1]10'!B:B,'[1]Анхны нэгтгэл'!EF:EF)</f>
        <v>6011038098</v>
      </c>
      <c r="F68" s="427">
        <f t="shared" ref="F68:F99" si="12">+D68-E68</f>
        <v>6523853396.1870708</v>
      </c>
      <c r="G68" s="427">
        <f t="shared" ref="G68:G99" si="13">-(D68-J68)</f>
        <v>0</v>
      </c>
      <c r="H68" s="427">
        <f t="shared" ref="H68:H99" si="14">-(E68-K68)</f>
        <v>4322593166.8425331</v>
      </c>
      <c r="I68" s="427">
        <f t="shared" ref="I68:I99" si="15">G68-H68</f>
        <v>-4322593166.8425331</v>
      </c>
      <c r="J68" s="427">
        <f>SUMIF([1]Нэгтгэл!B:B,'[1]10'!B:B,[1]Нэгтгэл!EE:EE)</f>
        <v>12534891494.187071</v>
      </c>
      <c r="K68" s="427">
        <f>SUMIF([1]Нэгтгэл!B:B,'[1]10'!B:B,[1]Нэгтгэл!EF:EF)</f>
        <v>10333631264.842533</v>
      </c>
      <c r="L68" s="427">
        <f t="shared" ref="L68:L99" si="16">+J68-K68</f>
        <v>2201260229.3445377</v>
      </c>
    </row>
    <row r="69" spans="1:12">
      <c r="A69" s="22">
        <f t="shared" ref="A69:A100" si="17">A68+1</f>
        <v>66</v>
      </c>
      <c r="B69" s="9">
        <v>5084555</v>
      </c>
      <c r="C69" s="20" t="s">
        <v>243</v>
      </c>
      <c r="D69" s="427">
        <f>SUMIF('[1]Анхны нэгтгэл'!B:B,'[1]10'!B:B,'[1]Анхны нэгтгэл'!EE:EE)</f>
        <v>256860863268.80124</v>
      </c>
      <c r="E69" s="427">
        <f>SUMIF('[1]Анхны нэгтгэл'!B:B,'[1]10'!B:B,'[1]Анхны нэгтгэл'!EF:EF)</f>
        <v>273689174823</v>
      </c>
      <c r="F69" s="427">
        <f t="shared" si="12"/>
        <v>-16828311554.198761</v>
      </c>
      <c r="G69" s="427">
        <f t="shared" si="13"/>
        <v>0</v>
      </c>
      <c r="H69" s="427">
        <f t="shared" si="14"/>
        <v>-8987703974.1811523</v>
      </c>
      <c r="I69" s="427">
        <f t="shared" si="15"/>
        <v>8987703974.1811523</v>
      </c>
      <c r="J69" s="427">
        <f>SUMIF([1]Нэгтгэл!B:B,'[1]10'!B:B,[1]Нэгтгэл!EE:EE)</f>
        <v>256860863268.80124</v>
      </c>
      <c r="K69" s="427">
        <f>SUMIF([1]Нэгтгэл!B:B,'[1]10'!B:B,[1]Нэгтгэл!EF:EF)</f>
        <v>264701470848.81885</v>
      </c>
      <c r="L69" s="427">
        <f t="shared" si="16"/>
        <v>-7840607580.0176086</v>
      </c>
    </row>
    <row r="70" spans="1:12">
      <c r="A70" s="22">
        <f t="shared" si="17"/>
        <v>67</v>
      </c>
      <c r="B70" s="9">
        <v>5261198</v>
      </c>
      <c r="C70" s="20" t="s">
        <v>244</v>
      </c>
      <c r="D70" s="427">
        <f>SUMIF('[1]Анхны нэгтгэл'!B:B,'[1]10'!B:B,'[1]Анхны нэгтгэл'!EE:EE)</f>
        <v>112081576299.50249</v>
      </c>
      <c r="E70" s="427">
        <f>SUMIF('[1]Анхны нэгтгэл'!B:B,'[1]10'!B:B,'[1]Анхны нэгтгэл'!EF:EF)</f>
        <v>103981399243</v>
      </c>
      <c r="F70" s="427">
        <f t="shared" si="12"/>
        <v>8100177056.5024872</v>
      </c>
      <c r="G70" s="427">
        <f t="shared" si="13"/>
        <v>0</v>
      </c>
      <c r="H70" s="427">
        <f t="shared" si="14"/>
        <v>9180508254.2024994</v>
      </c>
      <c r="I70" s="427">
        <f t="shared" si="15"/>
        <v>-9180508254.2024994</v>
      </c>
      <c r="J70" s="427">
        <f>SUMIF([1]Нэгтгэл!B:B,'[1]10'!B:B,[1]Нэгтгэл!EE:EE)</f>
        <v>112081576299.50249</v>
      </c>
      <c r="K70" s="427">
        <f>SUMIF([1]Нэгтгэл!B:B,'[1]10'!B:B,[1]Нэгтгэл!EF:EF)</f>
        <v>113161907497.2025</v>
      </c>
      <c r="L70" s="427">
        <f t="shared" si="16"/>
        <v>-1080331197.7000122</v>
      </c>
    </row>
    <row r="71" spans="1:12">
      <c r="A71" s="22">
        <f t="shared" si="17"/>
        <v>68</v>
      </c>
      <c r="B71" s="9">
        <v>5288703</v>
      </c>
      <c r="C71" s="20" t="s">
        <v>246</v>
      </c>
      <c r="D71" s="427">
        <f>SUMIF('[1]Анхны нэгтгэл'!B:B,'[1]10'!B:B,'[1]Анхны нэгтгэл'!EE:EE)</f>
        <v>2034461222.678349</v>
      </c>
      <c r="E71" s="427">
        <f>SUMIF('[1]Анхны нэгтгэл'!B:B,'[1]10'!B:B,'[1]Анхны нэгтгэл'!EF:EF)</f>
        <v>406521470</v>
      </c>
      <c r="F71" s="427">
        <f t="shared" si="12"/>
        <v>1627939752.678349</v>
      </c>
      <c r="G71" s="427">
        <f t="shared" si="13"/>
        <v>0</v>
      </c>
      <c r="H71" s="427">
        <f t="shared" si="14"/>
        <v>1726105685.898349</v>
      </c>
      <c r="I71" s="427">
        <f t="shared" si="15"/>
        <v>-1726105685.898349</v>
      </c>
      <c r="J71" s="427">
        <f>SUMIF([1]Нэгтгэл!B:B,'[1]10'!B:B,[1]Нэгтгэл!EE:EE)</f>
        <v>2034461222.678349</v>
      </c>
      <c r="K71" s="427">
        <f>SUMIF([1]Нэгтгэл!B:B,'[1]10'!B:B,[1]Нэгтгэл!EF:EF)</f>
        <v>2132627155.898349</v>
      </c>
      <c r="L71" s="427">
        <f t="shared" si="16"/>
        <v>-98165933.220000029</v>
      </c>
    </row>
    <row r="72" spans="1:12">
      <c r="A72" s="22">
        <f t="shared" si="17"/>
        <v>69</v>
      </c>
      <c r="B72" s="9">
        <v>6232485</v>
      </c>
      <c r="C72" s="20" t="s">
        <v>248</v>
      </c>
      <c r="D72" s="427">
        <f>SUMIF('[1]Анхны нэгтгэл'!B:B,'[1]10'!B:B,'[1]Анхны нэгтгэл'!EE:EE)</f>
        <v>6361408391.3500004</v>
      </c>
      <c r="E72" s="427">
        <f>SUMIF('[1]Анхны нэгтгэл'!B:B,'[1]10'!B:B,'[1]Анхны нэгтгэл'!EF:EF)</f>
        <v>6423106944</v>
      </c>
      <c r="F72" s="427">
        <f t="shared" si="12"/>
        <v>-61698552.649999619</v>
      </c>
      <c r="G72" s="427">
        <f t="shared" si="13"/>
        <v>0</v>
      </c>
      <c r="H72" s="427">
        <f t="shared" si="14"/>
        <v>106387768.77999973</v>
      </c>
      <c r="I72" s="427">
        <f t="shared" si="15"/>
        <v>-106387768.77999973</v>
      </c>
      <c r="J72" s="427">
        <f>SUMIF([1]Нэгтгэл!B:B,'[1]10'!B:B,[1]Нэгтгэл!EE:EE)</f>
        <v>6361408391.3500004</v>
      </c>
      <c r="K72" s="427">
        <f>SUMIF([1]Нэгтгэл!B:B,'[1]10'!B:B,[1]Нэгтгэл!EF:EF)</f>
        <v>6529494712.7799997</v>
      </c>
      <c r="L72" s="427">
        <f t="shared" si="16"/>
        <v>-168086321.42999935</v>
      </c>
    </row>
    <row r="73" spans="1:12">
      <c r="A73" s="22">
        <f t="shared" si="17"/>
        <v>70</v>
      </c>
      <c r="B73" s="9">
        <v>6101615</v>
      </c>
      <c r="C73" s="20" t="s">
        <v>249</v>
      </c>
      <c r="D73" s="427">
        <f>SUMIF('[1]Анхны нэгтгэл'!B:B,'[1]10'!B:B,'[1]Анхны нэгтгэл'!EE:EE)</f>
        <v>13142213005.32</v>
      </c>
      <c r="E73" s="427">
        <f>SUMIF('[1]Анхны нэгтгэл'!B:B,'[1]10'!B:B,'[1]Анхны нэгтгэл'!EF:EF)</f>
        <v>10326459473</v>
      </c>
      <c r="F73" s="427">
        <f t="shared" si="12"/>
        <v>2815753532.3199997</v>
      </c>
      <c r="G73" s="427">
        <f t="shared" si="13"/>
        <v>0</v>
      </c>
      <c r="H73" s="427">
        <f t="shared" si="14"/>
        <v>4413766682.9300003</v>
      </c>
      <c r="I73" s="427">
        <f t="shared" si="15"/>
        <v>-4413766682.9300003</v>
      </c>
      <c r="J73" s="427">
        <f>SUMIF([1]Нэгтгэл!B:B,'[1]10'!B:B,[1]Нэгтгэл!EE:EE)</f>
        <v>13142213005.32</v>
      </c>
      <c r="K73" s="427">
        <f>SUMIF([1]Нэгтгэл!B:B,'[1]10'!B:B,[1]Нэгтгэл!EF:EF)</f>
        <v>14740226155.93</v>
      </c>
      <c r="L73" s="427">
        <f t="shared" si="16"/>
        <v>-1598013150.6100006</v>
      </c>
    </row>
    <row r="74" spans="1:12">
      <c r="A74" s="22">
        <f t="shared" si="17"/>
        <v>71</v>
      </c>
      <c r="B74" s="9">
        <v>5120365</v>
      </c>
      <c r="C74" s="20" t="s">
        <v>250</v>
      </c>
      <c r="D74" s="427">
        <f>SUMIF('[1]Анхны нэгтгэл'!B:B,'[1]10'!B:B,'[1]Анхны нэгтгэл'!EE:EE)</f>
        <v>0</v>
      </c>
      <c r="E74" s="427">
        <f>SUMIF('[1]Анхны нэгтгэл'!B:B,'[1]10'!B:B,'[1]Анхны нэгтгэл'!EF:EF)</f>
        <v>0</v>
      </c>
      <c r="F74" s="427">
        <f t="shared" si="12"/>
        <v>0</v>
      </c>
      <c r="G74" s="427">
        <f t="shared" si="13"/>
        <v>0</v>
      </c>
      <c r="H74" s="427">
        <f t="shared" si="14"/>
        <v>0</v>
      </c>
      <c r="I74" s="427">
        <f t="shared" si="15"/>
        <v>0</v>
      </c>
      <c r="J74" s="427">
        <f>SUMIF([1]Нэгтгэл!B:B,'[1]10'!B:B,[1]Нэгтгэл!EE:EE)</f>
        <v>0</v>
      </c>
      <c r="K74" s="427">
        <f>SUMIF([1]Нэгтгэл!B:B,'[1]10'!B:B,[1]Нэгтгэл!EF:EF)</f>
        <v>0</v>
      </c>
      <c r="L74" s="427">
        <f t="shared" si="16"/>
        <v>0</v>
      </c>
    </row>
    <row r="75" spans="1:12">
      <c r="A75" s="22">
        <f t="shared" si="17"/>
        <v>72</v>
      </c>
      <c r="B75" s="9">
        <v>2016656</v>
      </c>
      <c r="C75" s="20" t="s">
        <v>251</v>
      </c>
      <c r="D75" s="427">
        <f>SUMIF('[1]Анхны нэгтгэл'!B:B,'[1]10'!B:B,'[1]Анхны нэгтгэл'!EE:EE)</f>
        <v>113601068877.77</v>
      </c>
      <c r="E75" s="427">
        <f>SUMIF('[1]Анхны нэгтгэл'!B:B,'[1]10'!B:B,'[1]Анхны нэгтгэл'!EF:EF)</f>
        <v>0</v>
      </c>
      <c r="F75" s="427">
        <f t="shared" si="12"/>
        <v>113601068877.77</v>
      </c>
      <c r="G75" s="427">
        <f t="shared" si="13"/>
        <v>0</v>
      </c>
      <c r="H75" s="427">
        <f t="shared" si="14"/>
        <v>106652162457.77</v>
      </c>
      <c r="I75" s="427">
        <f t="shared" si="15"/>
        <v>-106652162457.77</v>
      </c>
      <c r="J75" s="427">
        <f>SUMIF([1]Нэгтгэл!B:B,'[1]10'!B:B,[1]Нэгтгэл!EE:EE)</f>
        <v>113601068877.77</v>
      </c>
      <c r="K75" s="427">
        <f>SUMIF([1]Нэгтгэл!B:B,'[1]10'!B:B,[1]Нэгтгэл!EF:EF)</f>
        <v>106652162457.77</v>
      </c>
      <c r="L75" s="427">
        <f t="shared" si="16"/>
        <v>6948906420</v>
      </c>
    </row>
    <row r="76" spans="1:12">
      <c r="A76" s="22">
        <f t="shared" si="17"/>
        <v>73</v>
      </c>
      <c r="B76" s="9">
        <v>5872006</v>
      </c>
      <c r="C76" s="20" t="s">
        <v>253</v>
      </c>
      <c r="D76" s="427">
        <f>SUMIF('[1]Анхны нэгтгэл'!B:B,'[1]10'!B:B,'[1]Анхны нэгтгэл'!EE:EE)</f>
        <v>2352283105.5300002</v>
      </c>
      <c r="E76" s="427">
        <f>SUMIF('[1]Анхны нэгтгэл'!B:B,'[1]10'!B:B,'[1]Анхны нэгтгэл'!EF:EF)</f>
        <v>36702925</v>
      </c>
      <c r="F76" s="427">
        <f t="shared" si="12"/>
        <v>2315580180.5300002</v>
      </c>
      <c r="G76" s="427">
        <f t="shared" si="13"/>
        <v>0</v>
      </c>
      <c r="H76" s="427">
        <f t="shared" si="14"/>
        <v>2334579005.5300002</v>
      </c>
      <c r="I76" s="427">
        <f t="shared" si="15"/>
        <v>-2334579005.5300002</v>
      </c>
      <c r="J76" s="427">
        <f>SUMIF([1]Нэгтгэл!B:B,'[1]10'!B:B,[1]Нэгтгэл!EE:EE)</f>
        <v>2352283105.5300002</v>
      </c>
      <c r="K76" s="427">
        <f>SUMIF([1]Нэгтгэл!B:B,'[1]10'!B:B,[1]Нэгтгэл!EF:EF)</f>
        <v>2371281930.5300002</v>
      </c>
      <c r="L76" s="427">
        <f t="shared" si="16"/>
        <v>-18998825</v>
      </c>
    </row>
    <row r="77" spans="1:12">
      <c r="A77" s="22">
        <f t="shared" si="17"/>
        <v>74</v>
      </c>
      <c r="B77" s="9">
        <v>5774047</v>
      </c>
      <c r="C77" s="20" t="s">
        <v>254</v>
      </c>
      <c r="D77" s="427">
        <f>SUMIF('[1]Анхны нэгтгэл'!B:B,'[1]10'!B:B,'[1]Анхны нэгтгэл'!EE:EE)</f>
        <v>33942446.170000002</v>
      </c>
      <c r="E77" s="427">
        <f>SUMIF('[1]Анхны нэгтгэл'!B:B,'[1]10'!B:B,'[1]Анхны нэгтгэл'!EF:EF)</f>
        <v>0</v>
      </c>
      <c r="F77" s="427">
        <f t="shared" si="12"/>
        <v>33942446.170000002</v>
      </c>
      <c r="G77" s="427">
        <f t="shared" si="13"/>
        <v>-33942446.170000002</v>
      </c>
      <c r="H77" s="427">
        <f t="shared" si="14"/>
        <v>0</v>
      </c>
      <c r="I77" s="427">
        <f t="shared" si="15"/>
        <v>-33942446.170000002</v>
      </c>
      <c r="J77" s="427">
        <f>SUMIF([1]Нэгтгэл!B:B,'[1]10'!B:B,[1]Нэгтгэл!EE:EE)</f>
        <v>0</v>
      </c>
      <c r="K77" s="427">
        <f>SUMIF([1]Нэгтгэл!B:B,'[1]10'!B:B,[1]Нэгтгэл!EF:EF)</f>
        <v>0</v>
      </c>
      <c r="L77" s="427">
        <f t="shared" si="16"/>
        <v>0</v>
      </c>
    </row>
    <row r="78" spans="1:12">
      <c r="A78" s="22">
        <f t="shared" si="17"/>
        <v>75</v>
      </c>
      <c r="B78" s="9">
        <v>5105439</v>
      </c>
      <c r="C78" s="20" t="s">
        <v>257</v>
      </c>
      <c r="D78" s="427">
        <f>SUMIF('[1]Анхны нэгтгэл'!B:B,'[1]10'!B:B,'[1]Анхны нэгтгэл'!EE:EE)</f>
        <v>1063877668.459083</v>
      </c>
      <c r="E78" s="427">
        <f>SUMIF('[1]Анхны нэгтгэл'!B:B,'[1]10'!B:B,'[1]Анхны нэгтгэл'!EF:EF)</f>
        <v>0</v>
      </c>
      <c r="F78" s="427">
        <f t="shared" si="12"/>
        <v>1063877668.459083</v>
      </c>
      <c r="G78" s="427">
        <f t="shared" si="13"/>
        <v>0</v>
      </c>
      <c r="H78" s="427">
        <f t="shared" si="14"/>
        <v>496608013.14908302</v>
      </c>
      <c r="I78" s="427">
        <f t="shared" si="15"/>
        <v>-496608013.14908302</v>
      </c>
      <c r="J78" s="427">
        <f>SUMIF([1]Нэгтгэл!B:B,'[1]10'!B:B,[1]Нэгтгэл!EE:EE)</f>
        <v>1063877668.459083</v>
      </c>
      <c r="K78" s="427">
        <f>SUMIF([1]Нэгтгэл!B:B,'[1]10'!B:B,[1]Нэгтгэл!EF:EF)</f>
        <v>496608013.14908302</v>
      </c>
      <c r="L78" s="427">
        <f t="shared" si="16"/>
        <v>567269655.30999994</v>
      </c>
    </row>
    <row r="79" spans="1:12">
      <c r="A79" s="22">
        <f t="shared" si="17"/>
        <v>76</v>
      </c>
      <c r="B79" s="9">
        <v>2663813</v>
      </c>
      <c r="C79" s="20" t="s">
        <v>258</v>
      </c>
      <c r="D79" s="427">
        <f>SUMIF('[1]Анхны нэгтгэл'!B:B,'[1]10'!B:B,'[1]Анхны нэгтгэл'!EE:EE)</f>
        <v>219054.91</v>
      </c>
      <c r="E79" s="427">
        <f>SUMIF('[1]Анхны нэгтгэл'!B:B,'[1]10'!B:B,'[1]Анхны нэгтгэл'!EF:EF)</f>
        <v>14918610</v>
      </c>
      <c r="F79" s="427">
        <f t="shared" si="12"/>
        <v>-14699555.09</v>
      </c>
      <c r="G79" s="427">
        <f t="shared" si="13"/>
        <v>-219054.91</v>
      </c>
      <c r="H79" s="427">
        <f t="shared" si="14"/>
        <v>-14918610</v>
      </c>
      <c r="I79" s="427">
        <f t="shared" si="15"/>
        <v>14699555.09</v>
      </c>
      <c r="J79" s="427">
        <f>SUMIF([1]Нэгтгэл!B:B,'[1]10'!B:B,[1]Нэгтгэл!EE:EE)</f>
        <v>0</v>
      </c>
      <c r="K79" s="427">
        <f>SUMIF([1]Нэгтгэл!B:B,'[1]10'!B:B,[1]Нэгтгэл!EF:EF)</f>
        <v>0</v>
      </c>
      <c r="L79" s="427">
        <f t="shared" si="16"/>
        <v>0</v>
      </c>
    </row>
    <row r="80" spans="1:12">
      <c r="A80" s="22">
        <f t="shared" si="17"/>
        <v>77</v>
      </c>
      <c r="B80" s="9">
        <v>2016931</v>
      </c>
      <c r="C80" s="20" t="s">
        <v>260</v>
      </c>
      <c r="D80" s="427">
        <f>SUMIF('[1]Анхны нэгтгэл'!B:B,'[1]10'!B:B,'[1]Анхны нэгтгэл'!EE:EE)</f>
        <v>819498219.90118098</v>
      </c>
      <c r="E80" s="427">
        <f>SUMIF('[1]Анхны нэгтгэл'!B:B,'[1]10'!B:B,'[1]Анхны нэгтгэл'!EF:EF)</f>
        <v>0</v>
      </c>
      <c r="F80" s="427">
        <f t="shared" si="12"/>
        <v>819498219.90118098</v>
      </c>
      <c r="G80" s="427">
        <f t="shared" si="13"/>
        <v>0</v>
      </c>
      <c r="H80" s="427">
        <f t="shared" si="14"/>
        <v>438273344.89118099</v>
      </c>
      <c r="I80" s="427">
        <f t="shared" si="15"/>
        <v>-438273344.89118099</v>
      </c>
      <c r="J80" s="427">
        <f>SUMIF([1]Нэгтгэл!B:B,'[1]10'!B:B,[1]Нэгтгэл!EE:EE)</f>
        <v>819498219.90118098</v>
      </c>
      <c r="K80" s="427">
        <f>SUMIF([1]Нэгтгэл!B:B,'[1]10'!B:B,[1]Нэгтгэл!EF:EF)</f>
        <v>438273344.89118099</v>
      </c>
      <c r="L80" s="427">
        <f t="shared" si="16"/>
        <v>381224875.00999999</v>
      </c>
    </row>
    <row r="81" spans="1:12">
      <c r="A81" s="22">
        <f t="shared" si="17"/>
        <v>78</v>
      </c>
      <c r="B81" s="9">
        <v>5513618</v>
      </c>
      <c r="C81" s="20" t="s">
        <v>263</v>
      </c>
      <c r="D81" s="427">
        <f>SUMIF('[1]Анхны нэгтгэл'!B:B,'[1]10'!B:B,'[1]Анхны нэгтгэл'!EE:EE)</f>
        <v>1006795351.3200001</v>
      </c>
      <c r="E81" s="427">
        <f>SUMIF('[1]Анхны нэгтгэл'!B:B,'[1]10'!B:B,'[1]Анхны нэгтгэл'!EF:EF)</f>
        <v>3159533</v>
      </c>
      <c r="F81" s="427">
        <f t="shared" si="12"/>
        <v>1003635818.3200001</v>
      </c>
      <c r="G81" s="427">
        <f t="shared" si="13"/>
        <v>0</v>
      </c>
      <c r="H81" s="427">
        <f t="shared" si="14"/>
        <v>61514819.460000001</v>
      </c>
      <c r="I81" s="427">
        <f t="shared" si="15"/>
        <v>-61514819.460000001</v>
      </c>
      <c r="J81" s="427">
        <f>SUMIF([1]Нэгтгэл!B:B,'[1]10'!B:B,[1]Нэгтгэл!EE:EE)</f>
        <v>1006795351.3200001</v>
      </c>
      <c r="K81" s="427">
        <f>SUMIF([1]Нэгтгэл!B:B,'[1]10'!B:B,[1]Нэгтгэл!EF:EF)</f>
        <v>64674352.460000001</v>
      </c>
      <c r="L81" s="427">
        <f t="shared" si="16"/>
        <v>942120998.86000001</v>
      </c>
    </row>
    <row r="82" spans="1:12">
      <c r="A82" s="22">
        <f t="shared" si="17"/>
        <v>79</v>
      </c>
      <c r="B82" s="9">
        <v>2807459</v>
      </c>
      <c r="C82" s="20" t="s">
        <v>264</v>
      </c>
      <c r="D82" s="427">
        <f>SUMIF('[1]Анхны нэгтгэл'!B:B,'[1]10'!B:B,'[1]Анхны нэгтгэл'!EE:EE)</f>
        <v>6694616092.7858858</v>
      </c>
      <c r="E82" s="427">
        <f>SUMIF('[1]Анхны нэгтгэл'!B:B,'[1]10'!B:B,'[1]Анхны нэгтгэл'!EF:EF)</f>
        <v>464143480</v>
      </c>
      <c r="F82" s="427">
        <f t="shared" si="12"/>
        <v>6230472612.7858858</v>
      </c>
      <c r="G82" s="427">
        <f t="shared" si="13"/>
        <v>0</v>
      </c>
      <c r="H82" s="427">
        <f t="shared" si="14"/>
        <v>6123968909.1270599</v>
      </c>
      <c r="I82" s="427">
        <f t="shared" si="15"/>
        <v>-6123968909.1270599</v>
      </c>
      <c r="J82" s="427">
        <f>SUMIF([1]Нэгтгэл!B:B,'[1]10'!B:B,[1]Нэгтгэл!EE:EE)</f>
        <v>6694616092.7858858</v>
      </c>
      <c r="K82" s="427">
        <f>SUMIF([1]Нэгтгэл!B:B,'[1]10'!B:B,[1]Нэгтгэл!EF:EF)</f>
        <v>6588112389.1270599</v>
      </c>
      <c r="L82" s="427">
        <f t="shared" si="16"/>
        <v>106503703.65882587</v>
      </c>
    </row>
    <row r="83" spans="1:12">
      <c r="A83" s="22">
        <f t="shared" si="17"/>
        <v>80</v>
      </c>
      <c r="B83" s="9">
        <v>2872943</v>
      </c>
      <c r="C83" s="20" t="s">
        <v>265</v>
      </c>
      <c r="D83" s="427">
        <f>SUMIF('[1]Анхны нэгтгэл'!B:B,'[1]10'!B:B,'[1]Анхны нэгтгэл'!EE:EE)</f>
        <v>2687075698.0576248</v>
      </c>
      <c r="E83" s="427">
        <f>SUMIF('[1]Анхны нэгтгэл'!B:B,'[1]10'!B:B,'[1]Анхны нэгтгэл'!EF:EF)</f>
        <v>4474873684</v>
      </c>
      <c r="F83" s="427">
        <f t="shared" si="12"/>
        <v>-1787797985.9423752</v>
      </c>
      <c r="G83" s="427">
        <f t="shared" si="13"/>
        <v>0</v>
      </c>
      <c r="H83" s="427">
        <f t="shared" si="14"/>
        <v>-1402400305.3462496</v>
      </c>
      <c r="I83" s="427">
        <f t="shared" si="15"/>
        <v>1402400305.3462496</v>
      </c>
      <c r="J83" s="427">
        <f>SUMIF([1]Нэгтгэл!B:B,'[1]10'!B:B,[1]Нэгтгэл!EE:EE)</f>
        <v>2687075698.0576248</v>
      </c>
      <c r="K83" s="427">
        <f>SUMIF([1]Нэгтгэл!B:B,'[1]10'!B:B,[1]Нэгтгэл!EF:EF)</f>
        <v>3072473378.6537504</v>
      </c>
      <c r="L83" s="427">
        <f t="shared" si="16"/>
        <v>-385397680.5961256</v>
      </c>
    </row>
    <row r="84" spans="1:12">
      <c r="A84" s="22">
        <f t="shared" si="17"/>
        <v>81</v>
      </c>
      <c r="B84" s="9">
        <v>6268048</v>
      </c>
      <c r="C84" s="20" t="s">
        <v>266</v>
      </c>
      <c r="D84" s="427">
        <f>SUMIF('[1]Анхны нэгтгэл'!B:B,'[1]10'!B:B,'[1]Анхны нэгтгэл'!EE:EE)</f>
        <v>1408368918.5034699</v>
      </c>
      <c r="E84" s="427">
        <f>SUMIF('[1]Анхны нэгтгэл'!B:B,'[1]10'!B:B,'[1]Анхны нэгтгэл'!EF:EF)</f>
        <v>2399986509</v>
      </c>
      <c r="F84" s="427">
        <f t="shared" si="12"/>
        <v>-991617590.49653006</v>
      </c>
      <c r="G84" s="427">
        <f t="shared" si="13"/>
        <v>0</v>
      </c>
      <c r="H84" s="427">
        <f t="shared" si="14"/>
        <v>315608397.37047482</v>
      </c>
      <c r="I84" s="427">
        <f t="shared" si="15"/>
        <v>-315608397.37047482</v>
      </c>
      <c r="J84" s="427">
        <f>SUMIF([1]Нэгтгэл!B:B,'[1]10'!B:B,[1]Нэгтгэл!EE:EE)</f>
        <v>1408368918.5034699</v>
      </c>
      <c r="K84" s="427">
        <f>SUMIF([1]Нэгтгэл!B:B,'[1]10'!B:B,[1]Нэгтгэл!EF:EF)</f>
        <v>2715594906.3704748</v>
      </c>
      <c r="L84" s="427">
        <f t="shared" si="16"/>
        <v>-1307225987.8670049</v>
      </c>
    </row>
    <row r="85" spans="1:12">
      <c r="A85" s="22">
        <f t="shared" si="17"/>
        <v>82</v>
      </c>
      <c r="B85" s="9">
        <v>5874963</v>
      </c>
      <c r="C85" s="20" t="s">
        <v>268</v>
      </c>
      <c r="D85" s="427">
        <f>SUMIF('[1]Анхны нэгтгэл'!B:B,'[1]10'!B:B,'[1]Анхны нэгтгэл'!EE:EE)</f>
        <v>2082199808.494</v>
      </c>
      <c r="E85" s="427">
        <f>SUMIF('[1]Анхны нэгтгэл'!B:B,'[1]10'!B:B,'[1]Анхны нэгтгэл'!EF:EF)</f>
        <v>1671613660</v>
      </c>
      <c r="F85" s="427">
        <f t="shared" si="12"/>
        <v>410586148.49399996</v>
      </c>
      <c r="G85" s="427">
        <f t="shared" si="13"/>
        <v>0</v>
      </c>
      <c r="H85" s="427">
        <f t="shared" si="14"/>
        <v>369778895.36999989</v>
      </c>
      <c r="I85" s="427">
        <f t="shared" si="15"/>
        <v>-369778895.36999989</v>
      </c>
      <c r="J85" s="427">
        <f>SUMIF([1]Нэгтгэл!B:B,'[1]10'!B:B,[1]Нэгтгэл!EE:EE)</f>
        <v>2082199808.494</v>
      </c>
      <c r="K85" s="427">
        <f>SUMIF([1]Нэгтгэл!B:B,'[1]10'!B:B,[1]Нэгтгэл!EF:EF)</f>
        <v>2041392555.3699999</v>
      </c>
      <c r="L85" s="427">
        <f t="shared" si="16"/>
        <v>40807253.124000072</v>
      </c>
    </row>
    <row r="86" spans="1:12">
      <c r="A86" s="22">
        <f t="shared" si="17"/>
        <v>83</v>
      </c>
      <c r="B86" s="9">
        <v>6636624</v>
      </c>
      <c r="C86" s="20" t="s">
        <v>269</v>
      </c>
      <c r="D86" s="427">
        <f>SUMIF('[1]Анхны нэгтгэл'!B:B,'[1]10'!B:B,'[1]Анхны нэгтгэл'!EE:EE)</f>
        <v>0</v>
      </c>
      <c r="E86" s="427">
        <f>SUMIF('[1]Анхны нэгтгэл'!B:B,'[1]10'!B:B,'[1]Анхны нэгтгэл'!EF:EF)</f>
        <v>0</v>
      </c>
      <c r="F86" s="427">
        <f t="shared" si="12"/>
        <v>0</v>
      </c>
      <c r="G86" s="427">
        <f t="shared" si="13"/>
        <v>26113050</v>
      </c>
      <c r="H86" s="427">
        <f t="shared" si="14"/>
        <v>0</v>
      </c>
      <c r="I86" s="427">
        <f t="shared" si="15"/>
        <v>26113050</v>
      </c>
      <c r="J86" s="427">
        <f>SUMIF([1]Нэгтгэл!B:B,'[1]10'!B:B,[1]Нэгтгэл!EE:EE)</f>
        <v>26113050</v>
      </c>
      <c r="K86" s="427">
        <f>SUMIF([1]Нэгтгэл!B:B,'[1]10'!B:B,[1]Нэгтгэл!EF:EF)</f>
        <v>0</v>
      </c>
      <c r="L86" s="427">
        <f t="shared" si="16"/>
        <v>26113050</v>
      </c>
    </row>
    <row r="87" spans="1:12">
      <c r="A87" s="22">
        <f t="shared" si="17"/>
        <v>84</v>
      </c>
      <c r="B87" s="9">
        <v>2839717</v>
      </c>
      <c r="C87" s="20" t="s">
        <v>270</v>
      </c>
      <c r="D87" s="427">
        <f>SUMIF('[1]Анхны нэгтгэл'!B:B,'[1]10'!B:B,'[1]Анхны нэгтгэл'!EE:EE)</f>
        <v>4392854196.4858713</v>
      </c>
      <c r="E87" s="427">
        <f>SUMIF('[1]Анхны нэгтгэл'!B:B,'[1]10'!B:B,'[1]Анхны нэгтгэл'!EF:EF)</f>
        <v>4509121941</v>
      </c>
      <c r="F87" s="427">
        <f t="shared" si="12"/>
        <v>-116267744.51412868</v>
      </c>
      <c r="G87" s="427">
        <f t="shared" si="13"/>
        <v>0</v>
      </c>
      <c r="H87" s="427">
        <f t="shared" si="14"/>
        <v>305642384.45720768</v>
      </c>
      <c r="I87" s="427">
        <f t="shared" si="15"/>
        <v>-305642384.45720768</v>
      </c>
      <c r="J87" s="427">
        <f>SUMIF([1]Нэгтгэл!B:B,'[1]10'!B:B,[1]Нэгтгэл!EE:EE)</f>
        <v>4392854196.4858713</v>
      </c>
      <c r="K87" s="427">
        <f>SUMIF([1]Нэгтгэл!B:B,'[1]10'!B:B,[1]Нэгтгэл!EF:EF)</f>
        <v>4814764325.4572077</v>
      </c>
      <c r="L87" s="427">
        <f t="shared" si="16"/>
        <v>-421910128.97133636</v>
      </c>
    </row>
    <row r="88" spans="1:12">
      <c r="A88" s="22">
        <f t="shared" si="17"/>
        <v>85</v>
      </c>
      <c r="B88" s="9">
        <v>2344343</v>
      </c>
      <c r="C88" s="20" t="s">
        <v>271</v>
      </c>
      <c r="D88" s="427">
        <f>SUMIF('[1]Анхны нэгтгэл'!B:B,'[1]10'!B:B,'[1]Анхны нэгтгэл'!EE:EE)</f>
        <v>1324719116.8</v>
      </c>
      <c r="E88" s="427">
        <f>SUMIF('[1]Анхны нэгтгэл'!B:B,'[1]10'!B:B,'[1]Анхны нэгтгэл'!EF:EF)</f>
        <v>1248598719</v>
      </c>
      <c r="F88" s="427">
        <f t="shared" si="12"/>
        <v>76120397.799999952</v>
      </c>
      <c r="G88" s="427">
        <f t="shared" si="13"/>
        <v>0</v>
      </c>
      <c r="H88" s="427">
        <f t="shared" si="14"/>
        <v>173406531.51999998</v>
      </c>
      <c r="I88" s="427">
        <f t="shared" si="15"/>
        <v>-173406531.51999998</v>
      </c>
      <c r="J88" s="427">
        <f>SUMIF([1]Нэгтгэл!B:B,'[1]10'!B:B,[1]Нэгтгэл!EE:EE)</f>
        <v>1324719116.8</v>
      </c>
      <c r="K88" s="427">
        <f>SUMIF([1]Нэгтгэл!B:B,'[1]10'!B:B,[1]Нэгтгэл!EF:EF)</f>
        <v>1422005250.52</v>
      </c>
      <c r="L88" s="427">
        <f t="shared" si="16"/>
        <v>-97286133.720000029</v>
      </c>
    </row>
    <row r="89" spans="1:12">
      <c r="A89" s="22">
        <f t="shared" si="17"/>
        <v>86</v>
      </c>
      <c r="B89" s="9">
        <v>2819996</v>
      </c>
      <c r="C89" s="20" t="s">
        <v>273</v>
      </c>
      <c r="D89" s="427">
        <f>SUMIF('[1]Анхны нэгтгэл'!B:B,'[1]10'!B:B,'[1]Анхны нэгтгэл'!EE:EE)</f>
        <v>3871284281.3473959</v>
      </c>
      <c r="E89" s="427">
        <f>SUMIF('[1]Анхны нэгтгэл'!B:B,'[1]10'!B:B,'[1]Анхны нэгтгэл'!EF:EF)</f>
        <v>3455208924</v>
      </c>
      <c r="F89" s="427">
        <f t="shared" si="12"/>
        <v>416075357.3473959</v>
      </c>
      <c r="G89" s="427">
        <f t="shared" si="13"/>
        <v>0</v>
      </c>
      <c r="H89" s="427">
        <f t="shared" si="14"/>
        <v>586335109.54739618</v>
      </c>
      <c r="I89" s="427">
        <f t="shared" si="15"/>
        <v>-586335109.54739618</v>
      </c>
      <c r="J89" s="427">
        <f>SUMIF([1]Нэгтгэл!B:B,'[1]10'!B:B,[1]Нэгтгэл!EE:EE)</f>
        <v>3871284281.3473959</v>
      </c>
      <c r="K89" s="427">
        <f>SUMIF([1]Нэгтгэл!B:B,'[1]10'!B:B,[1]Нэгтгэл!EF:EF)</f>
        <v>4041544033.5473962</v>
      </c>
      <c r="L89" s="427">
        <f t="shared" si="16"/>
        <v>-170259752.20000029</v>
      </c>
    </row>
    <row r="90" spans="1:12">
      <c r="A90" s="22">
        <f t="shared" si="17"/>
        <v>87</v>
      </c>
      <c r="B90" s="9">
        <v>2868687</v>
      </c>
      <c r="C90" s="20" t="s">
        <v>277</v>
      </c>
      <c r="D90" s="427">
        <f>SUMIF('[1]Анхны нэгтгэл'!B:B,'[1]10'!B:B,'[1]Анхны нэгтгэл'!EE:EE)</f>
        <v>1041348197.7925931</v>
      </c>
      <c r="E90" s="427">
        <f>SUMIF('[1]Анхны нэгтгэл'!B:B,'[1]10'!B:B,'[1]Анхны нэгтгэл'!EF:EF)</f>
        <v>24137201</v>
      </c>
      <c r="F90" s="427">
        <f t="shared" si="12"/>
        <v>1017210996.7925931</v>
      </c>
      <c r="G90" s="427">
        <f t="shared" si="13"/>
        <v>0</v>
      </c>
      <c r="H90" s="427">
        <f t="shared" si="14"/>
        <v>427353383.84259301</v>
      </c>
      <c r="I90" s="427">
        <f t="shared" si="15"/>
        <v>-427353383.84259301</v>
      </c>
      <c r="J90" s="427">
        <f>SUMIF([1]Нэгтгэл!B:B,'[1]10'!B:B,[1]Нэгтгэл!EE:EE)</f>
        <v>1041348197.7925931</v>
      </c>
      <c r="K90" s="427">
        <f>SUMIF([1]Нэгтгэл!B:B,'[1]10'!B:B,[1]Нэгтгэл!EF:EF)</f>
        <v>451490584.84259301</v>
      </c>
      <c r="L90" s="427">
        <f t="shared" si="16"/>
        <v>589857612.95000005</v>
      </c>
    </row>
    <row r="91" spans="1:12">
      <c r="A91" s="22">
        <f t="shared" si="17"/>
        <v>88</v>
      </c>
      <c r="B91" s="9">
        <v>5877288</v>
      </c>
      <c r="C91" s="20" t="s">
        <v>279</v>
      </c>
      <c r="D91" s="427">
        <f>SUMIF('[1]Анхны нэгтгэл'!B:B,'[1]10'!B:B,'[1]Анхны нэгтгэл'!EE:EE)</f>
        <v>6541585736.1199999</v>
      </c>
      <c r="E91" s="427">
        <f>SUMIF('[1]Анхны нэгтгэл'!B:B,'[1]10'!B:B,'[1]Анхны нэгтгэл'!EF:EF)</f>
        <v>6972650189</v>
      </c>
      <c r="F91" s="427">
        <f t="shared" si="12"/>
        <v>-431064452.88000011</v>
      </c>
      <c r="G91" s="427">
        <f t="shared" si="13"/>
        <v>0</v>
      </c>
      <c r="H91" s="427">
        <f t="shared" si="14"/>
        <v>63289922.649999619</v>
      </c>
      <c r="I91" s="427">
        <f t="shared" si="15"/>
        <v>-63289922.649999619</v>
      </c>
      <c r="J91" s="427">
        <f>SUMIF([1]Нэгтгэл!B:B,'[1]10'!B:B,[1]Нэгтгэл!EE:EE)</f>
        <v>6541585736.1199999</v>
      </c>
      <c r="K91" s="427">
        <f>SUMIF([1]Нэгтгэл!B:B,'[1]10'!B:B,[1]Нэгтгэл!EF:EF)</f>
        <v>7035940111.6499996</v>
      </c>
      <c r="L91" s="427">
        <f t="shared" si="16"/>
        <v>-494354375.52999973</v>
      </c>
    </row>
    <row r="92" spans="1:12">
      <c r="A92" s="22">
        <f t="shared" si="17"/>
        <v>89</v>
      </c>
      <c r="B92" s="9">
        <v>6195598</v>
      </c>
      <c r="C92" s="20" t="s">
        <v>281</v>
      </c>
      <c r="D92" s="427">
        <f>SUMIF('[1]Анхны нэгтгэл'!B:B,'[1]10'!B:B,'[1]Анхны нэгтгэл'!EE:EE)</f>
        <v>2007332398.615</v>
      </c>
      <c r="E92" s="427">
        <f>SUMIF('[1]Анхны нэгтгэл'!B:B,'[1]10'!B:B,'[1]Анхны нэгтгэл'!EF:EF)</f>
        <v>20</v>
      </c>
      <c r="F92" s="427">
        <f t="shared" si="12"/>
        <v>2007332378.615</v>
      </c>
      <c r="G92" s="427">
        <f t="shared" si="13"/>
        <v>11548780</v>
      </c>
      <c r="H92" s="427">
        <f t="shared" si="14"/>
        <v>1983438741.3799999</v>
      </c>
      <c r="I92" s="427">
        <f t="shared" si="15"/>
        <v>-1971889961.3799999</v>
      </c>
      <c r="J92" s="427">
        <f>SUMIF([1]Нэгтгэл!B:B,'[1]10'!B:B,[1]Нэгтгэл!EE:EE)</f>
        <v>2018881178.615</v>
      </c>
      <c r="K92" s="427">
        <f>SUMIF([1]Нэгтгэл!B:B,'[1]10'!B:B,[1]Нэгтгэл!EF:EF)</f>
        <v>1983438761.3799999</v>
      </c>
      <c r="L92" s="427">
        <f t="shared" si="16"/>
        <v>35442417.235000134</v>
      </c>
    </row>
    <row r="93" spans="1:12">
      <c r="A93" s="22">
        <f t="shared" si="17"/>
        <v>90</v>
      </c>
      <c r="B93" s="9">
        <v>6413811</v>
      </c>
      <c r="C93" s="20" t="s">
        <v>282</v>
      </c>
      <c r="D93" s="427">
        <f>SUMIF('[1]Анхны нэгтгэл'!B:B,'[1]10'!B:B,'[1]Анхны нэгтгэл'!EE:EE)</f>
        <v>11316004091.837067</v>
      </c>
      <c r="E93" s="427">
        <f>SUMIF('[1]Анхны нэгтгэл'!B:B,'[1]10'!B:B,'[1]Анхны нэгтгэл'!EF:EF)</f>
        <v>37826821340</v>
      </c>
      <c r="F93" s="427">
        <f t="shared" si="12"/>
        <v>-26510817248.162933</v>
      </c>
      <c r="G93" s="427">
        <f t="shared" si="13"/>
        <v>2774285</v>
      </c>
      <c r="H93" s="427">
        <f t="shared" si="14"/>
        <v>-26254360947.222931</v>
      </c>
      <c r="I93" s="427">
        <f t="shared" si="15"/>
        <v>26257135232.222931</v>
      </c>
      <c r="J93" s="427">
        <f>SUMIF([1]Нэгтгэл!B:B,'[1]10'!B:B,[1]Нэгтгэл!EE:EE)</f>
        <v>11318778376.837067</v>
      </c>
      <c r="K93" s="427">
        <f>SUMIF([1]Нэгтгэл!B:B,'[1]10'!B:B,[1]Нэгтгэл!EF:EF)</f>
        <v>11572460392.777067</v>
      </c>
      <c r="L93" s="427">
        <f t="shared" si="16"/>
        <v>-253682015.94000053</v>
      </c>
    </row>
    <row r="94" spans="1:12">
      <c r="A94" s="22">
        <f t="shared" si="17"/>
        <v>91</v>
      </c>
      <c r="B94" s="9">
        <v>2887134</v>
      </c>
      <c r="C94" s="20" t="s">
        <v>283</v>
      </c>
      <c r="D94" s="427">
        <f>SUMIF('[1]Анхны нэгтгэл'!B:B,'[1]10'!B:B,'[1]Анхны нэгтгэл'!EE:EE)</f>
        <v>59293543290.879997</v>
      </c>
      <c r="E94" s="427">
        <f>SUMIF('[1]Анхны нэгтгэл'!B:B,'[1]10'!B:B,'[1]Анхны нэгтгэл'!EF:EF)</f>
        <v>60618009254</v>
      </c>
      <c r="F94" s="427">
        <f t="shared" si="12"/>
        <v>-1324465963.1200027</v>
      </c>
      <c r="G94" s="427">
        <f t="shared" si="13"/>
        <v>0</v>
      </c>
      <c r="H94" s="427">
        <f t="shared" si="14"/>
        <v>0.37000274658203125</v>
      </c>
      <c r="I94" s="427">
        <f t="shared" si="15"/>
        <v>-0.37000274658203125</v>
      </c>
      <c r="J94" s="427">
        <f>SUMIF([1]Нэгтгэл!B:B,'[1]10'!B:B,[1]Нэгтгэл!EE:EE)</f>
        <v>59293543290.879997</v>
      </c>
      <c r="K94" s="427">
        <f>SUMIF([1]Нэгтгэл!B:B,'[1]10'!B:B,[1]Нэгтгэл!EF:EF)</f>
        <v>60618009254.370003</v>
      </c>
      <c r="L94" s="427">
        <f t="shared" si="16"/>
        <v>-1324465963.4900055</v>
      </c>
    </row>
    <row r="95" spans="1:12">
      <c r="A95" s="22">
        <f t="shared" si="17"/>
        <v>92</v>
      </c>
      <c r="B95" s="9">
        <v>2618176</v>
      </c>
      <c r="C95" s="20" t="s">
        <v>284</v>
      </c>
      <c r="D95" s="427">
        <f>SUMIF('[1]Анхны нэгтгэл'!B:B,'[1]10'!B:B,'[1]Анхны нэгтгэл'!EE:EE)</f>
        <v>2358781166.5014653</v>
      </c>
      <c r="E95" s="427">
        <f>SUMIF('[1]Анхны нэгтгэл'!B:B,'[1]10'!B:B,'[1]Анхны нэгтгэл'!EF:EF)</f>
        <v>2619702629</v>
      </c>
      <c r="F95" s="427">
        <f t="shared" si="12"/>
        <v>-260921462.49853468</v>
      </c>
      <c r="G95" s="427">
        <f t="shared" si="13"/>
        <v>0</v>
      </c>
      <c r="H95" s="427">
        <f t="shared" si="14"/>
        <v>336145318.23146534</v>
      </c>
      <c r="I95" s="427">
        <f t="shared" si="15"/>
        <v>-336145318.23146534</v>
      </c>
      <c r="J95" s="427">
        <f>SUMIF([1]Нэгтгэл!B:B,'[1]10'!B:B,[1]Нэгтгэл!EE:EE)</f>
        <v>2358781166.5014653</v>
      </c>
      <c r="K95" s="427">
        <f>SUMIF([1]Нэгтгэл!B:B,'[1]10'!B:B,[1]Нэгтгэл!EF:EF)</f>
        <v>2955847947.2314653</v>
      </c>
      <c r="L95" s="427">
        <f t="shared" si="16"/>
        <v>-597066780.73000002</v>
      </c>
    </row>
    <row r="96" spans="1:12">
      <c r="A96" s="22">
        <f t="shared" si="17"/>
        <v>93</v>
      </c>
      <c r="B96" s="9">
        <v>5364884</v>
      </c>
      <c r="C96" s="20" t="s">
        <v>285</v>
      </c>
      <c r="D96" s="427">
        <f>SUMIF('[1]Анхны нэгтгэл'!B:B,'[1]10'!B:B,'[1]Анхны нэгтгэл'!EE:EE)</f>
        <v>0</v>
      </c>
      <c r="E96" s="427">
        <f>SUMIF('[1]Анхны нэгтгэл'!B:B,'[1]10'!B:B,'[1]Анхны нэгтгэл'!EF:EF)</f>
        <v>0</v>
      </c>
      <c r="F96" s="427">
        <f t="shared" si="12"/>
        <v>0</v>
      </c>
      <c r="G96" s="427">
        <f t="shared" si="13"/>
        <v>0</v>
      </c>
      <c r="H96" s="427">
        <f t="shared" si="14"/>
        <v>0</v>
      </c>
      <c r="I96" s="427">
        <f t="shared" si="15"/>
        <v>0</v>
      </c>
      <c r="J96" s="427">
        <f>SUMIF([1]Нэгтгэл!B:B,'[1]10'!B:B,[1]Нэгтгэл!EE:EE)</f>
        <v>0</v>
      </c>
      <c r="K96" s="427">
        <f>SUMIF([1]Нэгтгэл!B:B,'[1]10'!B:B,[1]Нэгтгэл!EF:EF)</f>
        <v>0</v>
      </c>
      <c r="L96" s="427">
        <f t="shared" si="16"/>
        <v>0</v>
      </c>
    </row>
    <row r="97" spans="1:12">
      <c r="A97" s="22">
        <f t="shared" si="17"/>
        <v>94</v>
      </c>
      <c r="B97" s="9">
        <v>2100231</v>
      </c>
      <c r="C97" s="20" t="s">
        <v>286</v>
      </c>
      <c r="D97" s="427">
        <f>SUMIF('[1]Анхны нэгтгэл'!B:B,'[1]10'!B:B,'[1]Анхны нэгтгэл'!EE:EE)</f>
        <v>1809969298.968224</v>
      </c>
      <c r="E97" s="427">
        <f>SUMIF('[1]Анхны нэгтгэл'!B:B,'[1]10'!B:B,'[1]Анхны нэгтгэл'!EF:EF)</f>
        <v>3964466961</v>
      </c>
      <c r="F97" s="427">
        <f t="shared" si="12"/>
        <v>-2154497662.031776</v>
      </c>
      <c r="G97" s="427">
        <f t="shared" si="13"/>
        <v>15</v>
      </c>
      <c r="H97" s="427">
        <f t="shared" si="14"/>
        <v>-1856520309.617656</v>
      </c>
      <c r="I97" s="427">
        <f t="shared" si="15"/>
        <v>1856520324.617656</v>
      </c>
      <c r="J97" s="427">
        <f>SUMIF([1]Нэгтгэл!B:B,'[1]10'!B:B,[1]Нэгтгэл!EE:EE)</f>
        <v>1809969313.968224</v>
      </c>
      <c r="K97" s="427">
        <f>SUMIF([1]Нэгтгэл!B:B,'[1]10'!B:B,[1]Нэгтгэл!EF:EF)</f>
        <v>2107946651.382344</v>
      </c>
      <c r="L97" s="427">
        <f t="shared" si="16"/>
        <v>-297977337.41411996</v>
      </c>
    </row>
    <row r="98" spans="1:12">
      <c r="A98" s="22">
        <f t="shared" si="17"/>
        <v>95</v>
      </c>
      <c r="B98" s="9">
        <v>2661128</v>
      </c>
      <c r="C98" s="20" t="s">
        <v>287</v>
      </c>
      <c r="D98" s="427">
        <f>SUMIF('[1]Анхны нэгтгэл'!B:B,'[1]10'!B:B,'[1]Анхны нэгтгэл'!EE:EE)</f>
        <v>1058168572.5700001</v>
      </c>
      <c r="E98" s="427">
        <f>SUMIF('[1]Анхны нэгтгэл'!B:B,'[1]10'!B:B,'[1]Анхны нэгтгэл'!EF:EF)</f>
        <v>845070225</v>
      </c>
      <c r="F98" s="427">
        <f t="shared" si="12"/>
        <v>213098347.57000005</v>
      </c>
      <c r="G98" s="427">
        <f t="shared" si="13"/>
        <v>0</v>
      </c>
      <c r="H98" s="427">
        <f t="shared" si="14"/>
        <v>136439191.06000006</v>
      </c>
      <c r="I98" s="427">
        <f t="shared" si="15"/>
        <v>-136439191.06000006</v>
      </c>
      <c r="J98" s="427">
        <f>SUMIF([1]Нэгтгэл!B:B,'[1]10'!B:B,[1]Нэгтгэл!EE:EE)</f>
        <v>1058168572.5700001</v>
      </c>
      <c r="K98" s="427">
        <f>SUMIF([1]Нэгтгэл!B:B,'[1]10'!B:B,[1]Нэгтгэл!EF:EF)</f>
        <v>981509416.06000006</v>
      </c>
      <c r="L98" s="427">
        <f t="shared" si="16"/>
        <v>76659156.50999999</v>
      </c>
    </row>
    <row r="99" spans="1:12">
      <c r="A99" s="22">
        <f t="shared" si="17"/>
        <v>96</v>
      </c>
      <c r="B99" s="9">
        <v>5878756</v>
      </c>
      <c r="C99" s="20" t="s">
        <v>290</v>
      </c>
      <c r="D99" s="427">
        <f>SUMIF('[1]Анхны нэгтгэл'!B:B,'[1]10'!B:B,'[1]Анхны нэгтгэл'!EE:EE)</f>
        <v>1482572855.8625839</v>
      </c>
      <c r="E99" s="427">
        <f>SUMIF('[1]Анхны нэгтгэл'!B:B,'[1]10'!B:B,'[1]Анхны нэгтгэл'!EF:EF)</f>
        <v>0</v>
      </c>
      <c r="F99" s="427">
        <f t="shared" si="12"/>
        <v>1482572855.8625839</v>
      </c>
      <c r="G99" s="427">
        <f t="shared" si="13"/>
        <v>0</v>
      </c>
      <c r="H99" s="427">
        <f t="shared" si="14"/>
        <v>1432536344.3625839</v>
      </c>
      <c r="I99" s="427">
        <f t="shared" si="15"/>
        <v>-1432536344.3625839</v>
      </c>
      <c r="J99" s="427">
        <f>SUMIF([1]Нэгтгэл!B:B,'[1]10'!B:B,[1]Нэгтгэл!EE:EE)</f>
        <v>1482572855.8625839</v>
      </c>
      <c r="K99" s="427">
        <f>SUMIF([1]Нэгтгэл!B:B,'[1]10'!B:B,[1]Нэгтгэл!EF:EF)</f>
        <v>1432536344.3625839</v>
      </c>
      <c r="L99" s="427">
        <f t="shared" si="16"/>
        <v>50036511.5</v>
      </c>
    </row>
    <row r="100" spans="1:12">
      <c r="A100" s="22">
        <f t="shared" si="17"/>
        <v>97</v>
      </c>
      <c r="B100" s="9">
        <v>2166631</v>
      </c>
      <c r="C100" s="20" t="s">
        <v>292</v>
      </c>
      <c r="D100" s="427">
        <f>SUMIF('[1]Анхны нэгтгэл'!B:B,'[1]10'!B:B,'[1]Анхны нэгтгэл'!EE:EE)</f>
        <v>2381026353.82935</v>
      </c>
      <c r="E100" s="427">
        <f>SUMIF('[1]Анхны нэгтгэл'!B:B,'[1]10'!B:B,'[1]Анхны нэгтгэл'!EF:EF)</f>
        <v>0</v>
      </c>
      <c r="F100" s="427">
        <f t="shared" ref="F100:F128" si="18">+D100-E100</f>
        <v>2381026353.82935</v>
      </c>
      <c r="G100" s="427">
        <f t="shared" ref="G100:G128" si="19">-(D100-J100)</f>
        <v>0</v>
      </c>
      <c r="H100" s="427">
        <f t="shared" ref="H100:H128" si="20">-(E100-K100)</f>
        <v>1623184616.10935</v>
      </c>
      <c r="I100" s="427">
        <f t="shared" ref="I100:I128" si="21">G100-H100</f>
        <v>-1623184616.10935</v>
      </c>
      <c r="J100" s="427">
        <f>SUMIF([1]Нэгтгэл!B:B,'[1]10'!B:B,[1]Нэгтгэл!EE:EE)</f>
        <v>2381026353.82935</v>
      </c>
      <c r="K100" s="427">
        <f>SUMIF([1]Нэгтгэл!B:B,'[1]10'!B:B,[1]Нэгтгэл!EF:EF)</f>
        <v>1623184616.10935</v>
      </c>
      <c r="L100" s="427">
        <f t="shared" ref="L100:L128" si="22">+J100-K100</f>
        <v>757841737.72000003</v>
      </c>
    </row>
    <row r="101" spans="1:12">
      <c r="A101" s="22">
        <f t="shared" ref="A101:A128" si="23">A100+1</f>
        <v>98</v>
      </c>
      <c r="B101" s="9">
        <v>5671833</v>
      </c>
      <c r="C101" s="20" t="s">
        <v>296</v>
      </c>
      <c r="D101" s="427">
        <f>SUMIF('[1]Анхны нэгтгэл'!B:B,'[1]10'!B:B,'[1]Анхны нэгтгэл'!EE:EE)</f>
        <v>60235922659.716682</v>
      </c>
      <c r="E101" s="427">
        <f>SUMIF('[1]Анхны нэгтгэл'!B:B,'[1]10'!B:B,'[1]Анхны нэгтгэл'!EF:EF)</f>
        <v>77330321054</v>
      </c>
      <c r="F101" s="427">
        <f t="shared" si="18"/>
        <v>-17094398394.283318</v>
      </c>
      <c r="G101" s="427">
        <f t="shared" si="19"/>
        <v>0</v>
      </c>
      <c r="H101" s="427">
        <f t="shared" si="20"/>
        <v>25907628343.326691</v>
      </c>
      <c r="I101" s="427">
        <f t="shared" si="21"/>
        <v>-25907628343.326691</v>
      </c>
      <c r="J101" s="427">
        <f>SUMIF([1]Нэгтгэл!B:B,'[1]10'!B:B,[1]Нэгтгэл!EE:EE)</f>
        <v>60235922659.716682</v>
      </c>
      <c r="K101" s="427">
        <f>SUMIF([1]Нэгтгэл!B:B,'[1]10'!B:B,[1]Нэгтгэл!EF:EF)</f>
        <v>103237949397.32669</v>
      </c>
      <c r="L101" s="427">
        <f t="shared" si="22"/>
        <v>-43002026737.610008</v>
      </c>
    </row>
    <row r="102" spans="1:12">
      <c r="A102" s="22">
        <f t="shared" si="23"/>
        <v>99</v>
      </c>
      <c r="B102" s="9">
        <v>5104424</v>
      </c>
      <c r="C102" s="20" t="s">
        <v>297</v>
      </c>
      <c r="D102" s="427">
        <f>SUMIF('[1]Анхны нэгтгэл'!B:B,'[1]10'!B:B,'[1]Анхны нэгтгэл'!EE:EE)</f>
        <v>1103051545.14955</v>
      </c>
      <c r="E102" s="427">
        <f>SUMIF('[1]Анхны нэгтгэл'!B:B,'[1]10'!B:B,'[1]Анхны нэгтгэл'!EF:EF)</f>
        <v>0</v>
      </c>
      <c r="F102" s="427">
        <f t="shared" si="18"/>
        <v>1103051545.14955</v>
      </c>
      <c r="G102" s="427">
        <f t="shared" si="19"/>
        <v>-1103051545.14955</v>
      </c>
      <c r="H102" s="427">
        <f t="shared" si="20"/>
        <v>0</v>
      </c>
      <c r="I102" s="427">
        <f t="shared" si="21"/>
        <v>-1103051545.14955</v>
      </c>
      <c r="J102" s="427">
        <f>SUMIF([1]Нэгтгэл!B:B,'[1]10'!B:B,[1]Нэгтгэл!EE:EE)</f>
        <v>0</v>
      </c>
      <c r="K102" s="427">
        <f>SUMIF([1]Нэгтгэл!B:B,'[1]10'!B:B,[1]Нэгтгэл!EF:EF)</f>
        <v>0</v>
      </c>
      <c r="L102" s="427">
        <f t="shared" si="22"/>
        <v>0</v>
      </c>
    </row>
    <row r="103" spans="1:12">
      <c r="A103" s="22">
        <f t="shared" si="23"/>
        <v>100</v>
      </c>
      <c r="B103" s="9">
        <v>2668505</v>
      </c>
      <c r="C103" s="20" t="s">
        <v>298</v>
      </c>
      <c r="D103" s="427">
        <f>SUMIF('[1]Анхны нэгтгэл'!B:B,'[1]10'!B:B,'[1]Анхны нэгтгэл'!EE:EE)</f>
        <v>3057280424.3200002</v>
      </c>
      <c r="E103" s="427">
        <f>SUMIF('[1]Анхны нэгтгэл'!B:B,'[1]10'!B:B,'[1]Анхны нэгтгэл'!EF:EF)</f>
        <v>580289621</v>
      </c>
      <c r="F103" s="427">
        <f t="shared" si="18"/>
        <v>2476990803.3200002</v>
      </c>
      <c r="G103" s="427">
        <f t="shared" si="19"/>
        <v>0</v>
      </c>
      <c r="H103" s="427">
        <f t="shared" si="20"/>
        <v>2500083924.2600002</v>
      </c>
      <c r="I103" s="427">
        <f t="shared" si="21"/>
        <v>-2500083924.2600002</v>
      </c>
      <c r="J103" s="427">
        <f>SUMIF([1]Нэгтгэл!B:B,'[1]10'!B:B,[1]Нэгтгэл!EE:EE)</f>
        <v>3057280424.3200002</v>
      </c>
      <c r="K103" s="427">
        <f>SUMIF([1]Нэгтгэл!B:B,'[1]10'!B:B,[1]Нэгтгэл!EF:EF)</f>
        <v>3080373545.2600002</v>
      </c>
      <c r="L103" s="427">
        <f t="shared" si="22"/>
        <v>-23093120.940000057</v>
      </c>
    </row>
    <row r="104" spans="1:12">
      <c r="A104" s="22">
        <f t="shared" si="23"/>
        <v>101</v>
      </c>
      <c r="B104" s="9">
        <v>2697947</v>
      </c>
      <c r="C104" s="20" t="s">
        <v>299</v>
      </c>
      <c r="D104" s="427">
        <f>SUMIF('[1]Анхны нэгтгэл'!B:B,'[1]10'!B:B,'[1]Анхны нэгтгэл'!EE:EE)</f>
        <v>289720303084.35852</v>
      </c>
      <c r="E104" s="427">
        <f>SUMIF('[1]Анхны нэгтгэл'!B:B,'[1]10'!B:B,'[1]Анхны нэгтгэл'!EF:EF)</f>
        <v>0</v>
      </c>
      <c r="F104" s="427">
        <f t="shared" si="18"/>
        <v>289720303084.35852</v>
      </c>
      <c r="G104" s="427">
        <f t="shared" si="19"/>
        <v>0</v>
      </c>
      <c r="H104" s="427">
        <f t="shared" si="20"/>
        <v>280820260787.74854</v>
      </c>
      <c r="I104" s="427">
        <f t="shared" si="21"/>
        <v>-280820260787.74854</v>
      </c>
      <c r="J104" s="427">
        <f>SUMIF([1]Нэгтгэл!B:B,'[1]10'!B:B,[1]Нэгтгэл!EE:EE)</f>
        <v>289720303084.35852</v>
      </c>
      <c r="K104" s="427">
        <f>SUMIF([1]Нэгтгэл!B:B,'[1]10'!B:B,[1]Нэгтгэл!EF:EF)</f>
        <v>280820260787.74854</v>
      </c>
      <c r="L104" s="427">
        <f t="shared" si="22"/>
        <v>8900042296.6099854</v>
      </c>
    </row>
    <row r="105" spans="1:12">
      <c r="A105" s="22">
        <f t="shared" si="23"/>
        <v>102</v>
      </c>
      <c r="B105" s="9">
        <v>5352827</v>
      </c>
      <c r="C105" s="20" t="s">
        <v>300</v>
      </c>
      <c r="D105" s="427">
        <f>SUMIF('[1]Анхны нэгтгэл'!B:B,'[1]10'!B:B,'[1]Анхны нэгтгэл'!EE:EE)</f>
        <v>30862411947.190159</v>
      </c>
      <c r="E105" s="427">
        <f>SUMIF('[1]Анхны нэгтгэл'!B:B,'[1]10'!B:B,'[1]Анхны нэгтгэл'!EF:EF)</f>
        <v>33517932818</v>
      </c>
      <c r="F105" s="427">
        <f t="shared" si="18"/>
        <v>-2655520870.8098412</v>
      </c>
      <c r="G105" s="427">
        <f t="shared" si="19"/>
        <v>0</v>
      </c>
      <c r="H105" s="427">
        <f t="shared" si="20"/>
        <v>582248783.82015991</v>
      </c>
      <c r="I105" s="427">
        <f t="shared" si="21"/>
        <v>-582248783.82015991</v>
      </c>
      <c r="J105" s="427">
        <f>SUMIF([1]Нэгтгэл!B:B,'[1]10'!B:B,[1]Нэгтгэл!EE:EE)</f>
        <v>30862411947.190159</v>
      </c>
      <c r="K105" s="427">
        <f>SUMIF([1]Нэгтгэл!B:B,'[1]10'!B:B,[1]Нэгтгэл!EF:EF)</f>
        <v>34100181601.82016</v>
      </c>
      <c r="L105" s="427">
        <f t="shared" si="22"/>
        <v>-3237769654.6300011</v>
      </c>
    </row>
    <row r="106" spans="1:12">
      <c r="A106" s="22">
        <f t="shared" si="23"/>
        <v>103</v>
      </c>
      <c r="B106" s="9">
        <v>2548747</v>
      </c>
      <c r="C106" s="20" t="s">
        <v>301</v>
      </c>
      <c r="D106" s="427">
        <f>SUMIF('[1]Анхны нэгтгэл'!B:B,'[1]10'!B:B,'[1]Анхны нэгтгэл'!EE:EE)</f>
        <v>80805948201.570908</v>
      </c>
      <c r="E106" s="427">
        <f>SUMIF('[1]Анхны нэгтгэл'!B:B,'[1]10'!B:B,'[1]Анхны нэгтгэл'!EF:EF)</f>
        <v>59286006343</v>
      </c>
      <c r="F106" s="427">
        <f t="shared" si="18"/>
        <v>21519941858.570908</v>
      </c>
      <c r="G106" s="427">
        <f t="shared" si="19"/>
        <v>0</v>
      </c>
      <c r="H106" s="427">
        <f t="shared" si="20"/>
        <v>20717566873.51091</v>
      </c>
      <c r="I106" s="427">
        <f t="shared" si="21"/>
        <v>-20717566873.51091</v>
      </c>
      <c r="J106" s="427">
        <f>SUMIF([1]Нэгтгэл!B:B,'[1]10'!B:B,[1]Нэгтгэл!EE:EE)</f>
        <v>80805948201.570908</v>
      </c>
      <c r="K106" s="427">
        <f>SUMIF([1]Нэгтгэл!B:B,'[1]10'!B:B,[1]Нэгтгэл!EF:EF)</f>
        <v>80003573216.51091</v>
      </c>
      <c r="L106" s="427">
        <f t="shared" si="22"/>
        <v>802374985.05999756</v>
      </c>
    </row>
    <row r="107" spans="1:12">
      <c r="A107" s="22">
        <f t="shared" si="23"/>
        <v>104</v>
      </c>
      <c r="B107" s="9">
        <v>2641984</v>
      </c>
      <c r="C107" s="20" t="s">
        <v>303</v>
      </c>
      <c r="D107" s="427">
        <f>SUMIF('[1]Анхны нэгтгэл'!B:B,'[1]10'!B:B,'[1]Анхны нэгтгэл'!EE:EE)</f>
        <v>8389819276.2401628</v>
      </c>
      <c r="E107" s="427">
        <f>SUMIF('[1]Анхны нэгтгэл'!B:B,'[1]10'!B:B,'[1]Анхны нэгтгэл'!EF:EF)</f>
        <v>0</v>
      </c>
      <c r="F107" s="427">
        <f t="shared" si="18"/>
        <v>8389819276.2401628</v>
      </c>
      <c r="G107" s="427">
        <f t="shared" si="19"/>
        <v>0</v>
      </c>
      <c r="H107" s="427">
        <f t="shared" si="20"/>
        <v>3436279068.2201614</v>
      </c>
      <c r="I107" s="427">
        <f t="shared" si="21"/>
        <v>-3436279068.2201614</v>
      </c>
      <c r="J107" s="427">
        <f>SUMIF([1]Нэгтгэл!B:B,'[1]10'!B:B,[1]Нэгтгэл!EE:EE)</f>
        <v>8389819276.2401628</v>
      </c>
      <c r="K107" s="427">
        <f>SUMIF([1]Нэгтгэл!B:B,'[1]10'!B:B,[1]Нэгтгэл!EF:EF)</f>
        <v>3436279068.2201614</v>
      </c>
      <c r="L107" s="427">
        <f t="shared" si="22"/>
        <v>4953540208.0200014</v>
      </c>
    </row>
    <row r="108" spans="1:12">
      <c r="A108" s="22">
        <f t="shared" si="23"/>
        <v>105</v>
      </c>
      <c r="B108" s="9">
        <v>6342485</v>
      </c>
      <c r="C108" s="20" t="s">
        <v>306</v>
      </c>
      <c r="D108" s="427">
        <f>SUMIF('[1]Анхны нэгтгэл'!B:B,'[1]10'!B:B,'[1]Анхны нэгтгэл'!EE:EE)</f>
        <v>1694877830.9000001</v>
      </c>
      <c r="E108" s="427">
        <f>SUMIF('[1]Анхны нэгтгэл'!B:B,'[1]10'!B:B,'[1]Анхны нэгтгэл'!EF:EF)</f>
        <v>1697563609</v>
      </c>
      <c r="F108" s="427">
        <f t="shared" si="18"/>
        <v>-2685778.0999999046</v>
      </c>
      <c r="G108" s="427">
        <f t="shared" si="19"/>
        <v>0</v>
      </c>
      <c r="H108" s="427">
        <f t="shared" si="20"/>
        <v>3015141.4799997807</v>
      </c>
      <c r="I108" s="427">
        <f t="shared" si="21"/>
        <v>-3015141.4799997807</v>
      </c>
      <c r="J108" s="427">
        <f>SUMIF([1]Нэгтгэл!B:B,'[1]10'!B:B,[1]Нэгтгэл!EE:EE)</f>
        <v>1694877830.9000001</v>
      </c>
      <c r="K108" s="427">
        <f>SUMIF([1]Нэгтгэл!B:B,'[1]10'!B:B,[1]Нэгтгэл!EF:EF)</f>
        <v>1700578750.4799998</v>
      </c>
      <c r="L108" s="427">
        <f t="shared" si="22"/>
        <v>-5700919.5799996853</v>
      </c>
    </row>
    <row r="109" spans="1:12">
      <c r="A109" s="22">
        <f t="shared" si="23"/>
        <v>106</v>
      </c>
      <c r="B109" s="9">
        <v>5166667</v>
      </c>
      <c r="C109" s="20" t="s">
        <v>307</v>
      </c>
      <c r="D109" s="427">
        <f>SUMIF('[1]Анхны нэгтгэл'!B:B,'[1]10'!B:B,'[1]Анхны нэгтгэл'!EE:EE)</f>
        <v>561245.4</v>
      </c>
      <c r="E109" s="427">
        <f>SUMIF('[1]Анхны нэгтгэл'!B:B,'[1]10'!B:B,'[1]Анхны нэгтгэл'!EF:EF)</f>
        <v>17376720</v>
      </c>
      <c r="F109" s="427">
        <f t="shared" si="18"/>
        <v>-16815474.600000001</v>
      </c>
      <c r="G109" s="427">
        <f t="shared" si="19"/>
        <v>0</v>
      </c>
      <c r="H109" s="427">
        <f t="shared" si="20"/>
        <v>51245.39999999851</v>
      </c>
      <c r="I109" s="427">
        <f t="shared" si="21"/>
        <v>-51245.39999999851</v>
      </c>
      <c r="J109" s="427">
        <f>SUMIF([1]Нэгтгэл!B:B,'[1]10'!B:B,[1]Нэгтгэл!EE:EE)</f>
        <v>561245.4</v>
      </c>
      <c r="K109" s="427">
        <f>SUMIF([1]Нэгтгэл!B:B,'[1]10'!B:B,[1]Нэгтгэл!EF:EF)</f>
        <v>17427965.399999999</v>
      </c>
      <c r="L109" s="427">
        <f t="shared" si="22"/>
        <v>-16866720</v>
      </c>
    </row>
    <row r="110" spans="1:12">
      <c r="A110" s="22">
        <f t="shared" si="23"/>
        <v>107</v>
      </c>
      <c r="B110" s="9">
        <v>5482046</v>
      </c>
      <c r="C110" s="20" t="s">
        <v>308</v>
      </c>
      <c r="D110" s="427">
        <f>SUMIF('[1]Анхны нэгтгэл'!B:B,'[1]10'!B:B,'[1]Анхны нэгтгэл'!EE:EE)</f>
        <v>1791840534.829412</v>
      </c>
      <c r="E110" s="427">
        <f>SUMIF('[1]Анхны нэгтгэл'!B:B,'[1]10'!B:B,'[1]Анхны нэгтгэл'!EF:EF)</f>
        <v>1047658238</v>
      </c>
      <c r="F110" s="427">
        <f t="shared" si="18"/>
        <v>744182296.82941198</v>
      </c>
      <c r="G110" s="427">
        <f t="shared" si="19"/>
        <v>0</v>
      </c>
      <c r="H110" s="427">
        <f t="shared" si="20"/>
        <v>343080010.82941198</v>
      </c>
      <c r="I110" s="427">
        <f t="shared" si="21"/>
        <v>-343080010.82941198</v>
      </c>
      <c r="J110" s="427">
        <f>SUMIF([1]Нэгтгэл!B:B,'[1]10'!B:B,[1]Нэгтгэл!EE:EE)</f>
        <v>1791840534.829412</v>
      </c>
      <c r="K110" s="427">
        <f>SUMIF([1]Нэгтгэл!B:B,'[1]10'!B:B,[1]Нэгтгэл!EF:EF)</f>
        <v>1390738248.829412</v>
      </c>
      <c r="L110" s="427">
        <f t="shared" si="22"/>
        <v>401102286</v>
      </c>
    </row>
    <row r="111" spans="1:12">
      <c r="A111" s="22">
        <f t="shared" si="23"/>
        <v>108</v>
      </c>
      <c r="B111" s="9">
        <v>2050374</v>
      </c>
      <c r="C111" s="20" t="s">
        <v>309</v>
      </c>
      <c r="D111" s="427">
        <f>SUMIF('[1]Анхны нэгтгэл'!B:B,'[1]10'!B:B,'[1]Анхны нэгтгэл'!EE:EE)</f>
        <v>14670925248.24</v>
      </c>
      <c r="E111" s="427">
        <f>SUMIF('[1]Анхны нэгтгэл'!B:B,'[1]10'!B:B,'[1]Анхны нэгтгэл'!EF:EF)</f>
        <v>9985076471</v>
      </c>
      <c r="F111" s="427">
        <f t="shared" si="18"/>
        <v>4685848777.2399998</v>
      </c>
      <c r="G111" s="427">
        <f t="shared" si="19"/>
        <v>0</v>
      </c>
      <c r="H111" s="427">
        <f t="shared" si="20"/>
        <v>1167515427.1399994</v>
      </c>
      <c r="I111" s="427">
        <f t="shared" si="21"/>
        <v>-1167515427.1399994</v>
      </c>
      <c r="J111" s="427">
        <f>SUMIF([1]Нэгтгэл!B:B,'[1]10'!B:B,[1]Нэгтгэл!EE:EE)</f>
        <v>14670925248.24</v>
      </c>
      <c r="K111" s="427">
        <f>SUMIF([1]Нэгтгэл!B:B,'[1]10'!B:B,[1]Нэгтгэл!EF:EF)</f>
        <v>11152591898.139999</v>
      </c>
      <c r="L111" s="427">
        <f t="shared" si="22"/>
        <v>3518333350.1000004</v>
      </c>
    </row>
    <row r="112" spans="1:12">
      <c r="A112" s="22">
        <f t="shared" si="23"/>
        <v>109</v>
      </c>
      <c r="B112" s="9">
        <v>2004879</v>
      </c>
      <c r="C112" s="20" t="s">
        <v>311</v>
      </c>
      <c r="D112" s="427">
        <f>SUMIF('[1]Анхны нэгтгэл'!B:B,'[1]10'!B:B,'[1]Анхны нэгтгэл'!EE:EE)</f>
        <v>5560212141.1199627</v>
      </c>
      <c r="E112" s="427">
        <f>SUMIF('[1]Анхны нэгтгэл'!B:B,'[1]10'!B:B,'[1]Анхны нэгтгэл'!EF:EF)</f>
        <v>0</v>
      </c>
      <c r="F112" s="427">
        <f t="shared" si="18"/>
        <v>5560212141.1199627</v>
      </c>
      <c r="G112" s="427">
        <f t="shared" si="19"/>
        <v>0</v>
      </c>
      <c r="H112" s="427">
        <f t="shared" si="20"/>
        <v>2698825247.879962</v>
      </c>
      <c r="I112" s="427">
        <f t="shared" si="21"/>
        <v>-2698825247.879962</v>
      </c>
      <c r="J112" s="427">
        <f>SUMIF([1]Нэгтгэл!B:B,'[1]10'!B:B,[1]Нэгтгэл!EE:EE)</f>
        <v>5560212141.1199627</v>
      </c>
      <c r="K112" s="427">
        <f>SUMIF([1]Нэгтгэл!B:B,'[1]10'!B:B,[1]Нэгтгэл!EF:EF)</f>
        <v>2698825247.879962</v>
      </c>
      <c r="L112" s="427">
        <f t="shared" si="22"/>
        <v>2861386893.2400007</v>
      </c>
    </row>
    <row r="113" spans="1:12">
      <c r="A113" s="22">
        <f t="shared" si="23"/>
        <v>110</v>
      </c>
      <c r="B113" s="9">
        <v>2830213</v>
      </c>
      <c r="C113" s="20" t="s">
        <v>314</v>
      </c>
      <c r="D113" s="427">
        <f>SUMIF('[1]Анхны нэгтгэл'!B:B,'[1]10'!B:B,'[1]Анхны нэгтгэл'!EE:EE)</f>
        <v>66308486011.819427</v>
      </c>
      <c r="E113" s="427">
        <f>SUMIF('[1]Анхны нэгтгэл'!B:B,'[1]10'!B:B,'[1]Анхны нэгтгэл'!EF:EF)</f>
        <v>0</v>
      </c>
      <c r="F113" s="427">
        <f t="shared" si="18"/>
        <v>66308486011.819427</v>
      </c>
      <c r="G113" s="427">
        <f t="shared" si="19"/>
        <v>0</v>
      </c>
      <c r="H113" s="427">
        <f t="shared" si="20"/>
        <v>66190587811.819427</v>
      </c>
      <c r="I113" s="427">
        <f t="shared" si="21"/>
        <v>-66190587811.819427</v>
      </c>
      <c r="J113" s="427">
        <f>SUMIF([1]Нэгтгэл!B:B,'[1]10'!B:B,[1]Нэгтгэл!EE:EE)</f>
        <v>66308486011.819427</v>
      </c>
      <c r="K113" s="427">
        <f>SUMIF([1]Нэгтгэл!B:B,'[1]10'!B:B,[1]Нэгтгэл!EF:EF)</f>
        <v>66190587811.819427</v>
      </c>
      <c r="L113" s="427">
        <f t="shared" si="22"/>
        <v>117898200</v>
      </c>
    </row>
    <row r="114" spans="1:12">
      <c r="A114" s="22">
        <f t="shared" si="23"/>
        <v>111</v>
      </c>
      <c r="B114" s="9">
        <v>5320607</v>
      </c>
      <c r="C114" s="20" t="s">
        <v>315</v>
      </c>
      <c r="D114" s="427">
        <f>SUMIF('[1]Анхны нэгтгэл'!B:B,'[1]10'!B:B,'[1]Анхны нэгтгэл'!EE:EE)</f>
        <v>1218846008.712815</v>
      </c>
      <c r="E114" s="427">
        <f>SUMIF('[1]Анхны нэгтгэл'!B:B,'[1]10'!B:B,'[1]Анхны нэгтгэл'!EF:EF)</f>
        <v>973405353</v>
      </c>
      <c r="F114" s="427">
        <f t="shared" si="18"/>
        <v>245440655.71281505</v>
      </c>
      <c r="G114" s="427">
        <f t="shared" si="19"/>
        <v>0</v>
      </c>
      <c r="H114" s="427">
        <f t="shared" si="20"/>
        <v>226543244.86126184</v>
      </c>
      <c r="I114" s="427">
        <f t="shared" si="21"/>
        <v>-226543244.86126184</v>
      </c>
      <c r="J114" s="427">
        <f>SUMIF([1]Нэгтгэл!B:B,'[1]10'!B:B,[1]Нэгтгэл!EE:EE)</f>
        <v>1218846008.712815</v>
      </c>
      <c r="K114" s="427">
        <f>SUMIF([1]Нэгтгэл!B:B,'[1]10'!B:B,[1]Нэгтгэл!EF:EF)</f>
        <v>1199948597.8612618</v>
      </c>
      <c r="L114" s="427">
        <f t="shared" si="22"/>
        <v>18897410.851553202</v>
      </c>
    </row>
    <row r="115" spans="1:12">
      <c r="A115" s="22">
        <f t="shared" si="23"/>
        <v>112</v>
      </c>
      <c r="B115" s="9">
        <v>5586119</v>
      </c>
      <c r="C115" s="20" t="s">
        <v>316</v>
      </c>
      <c r="D115" s="427">
        <f>SUMIF('[1]Анхны нэгтгэл'!B:B,'[1]10'!B:B,'[1]Анхны нэгтгэл'!EE:EE)</f>
        <v>0</v>
      </c>
      <c r="E115" s="427">
        <f>SUMIF('[1]Анхны нэгтгэл'!B:B,'[1]10'!B:B,'[1]Анхны нэгтгэл'!EF:EF)</f>
        <v>0</v>
      </c>
      <c r="F115" s="427">
        <f t="shared" si="18"/>
        <v>0</v>
      </c>
      <c r="G115" s="427">
        <f t="shared" si="19"/>
        <v>0</v>
      </c>
      <c r="H115" s="427">
        <f t="shared" si="20"/>
        <v>0</v>
      </c>
      <c r="I115" s="427">
        <f t="shared" si="21"/>
        <v>0</v>
      </c>
      <c r="J115" s="427">
        <f>SUMIF([1]Нэгтгэл!B:B,'[1]10'!B:B,[1]Нэгтгэл!EE:EE)</f>
        <v>0</v>
      </c>
      <c r="K115" s="427">
        <f>SUMIF([1]Нэгтгэл!B:B,'[1]10'!B:B,[1]Нэгтгэл!EF:EF)</f>
        <v>0</v>
      </c>
      <c r="L115" s="427">
        <f t="shared" si="22"/>
        <v>0</v>
      </c>
    </row>
    <row r="116" spans="1:12">
      <c r="A116" s="22">
        <f t="shared" si="23"/>
        <v>113</v>
      </c>
      <c r="B116" s="9">
        <v>5015243</v>
      </c>
      <c r="C116" s="20" t="s">
        <v>317</v>
      </c>
      <c r="D116" s="427">
        <f>SUMIF('[1]Анхны нэгтгэл'!B:B,'[1]10'!B:B,'[1]Анхны нэгтгэл'!EE:EE)</f>
        <v>1046695963.4167479</v>
      </c>
      <c r="E116" s="427">
        <f>SUMIF('[1]Анхны нэгтгэл'!B:B,'[1]10'!B:B,'[1]Анхны нэгтгэл'!EF:EF)</f>
        <v>1798619901</v>
      </c>
      <c r="F116" s="427">
        <f t="shared" si="18"/>
        <v>-751923937.58325207</v>
      </c>
      <c r="G116" s="427">
        <f t="shared" si="19"/>
        <v>0</v>
      </c>
      <c r="H116" s="427">
        <f t="shared" si="20"/>
        <v>-389136595.64325213</v>
      </c>
      <c r="I116" s="427">
        <f t="shared" si="21"/>
        <v>389136595.64325213</v>
      </c>
      <c r="J116" s="427">
        <f>SUMIF([1]Нэгтгэл!B:B,'[1]10'!B:B,[1]Нэгтгэл!EE:EE)</f>
        <v>1046695963.4167479</v>
      </c>
      <c r="K116" s="427">
        <f>SUMIF([1]Нэгтгэл!B:B,'[1]10'!B:B,[1]Нэгтгэл!EF:EF)</f>
        <v>1409483305.3567479</v>
      </c>
      <c r="L116" s="427">
        <f t="shared" si="22"/>
        <v>-362787341.93999994</v>
      </c>
    </row>
    <row r="117" spans="1:12">
      <c r="A117" s="22">
        <f t="shared" si="23"/>
        <v>114</v>
      </c>
      <c r="B117" s="9">
        <v>5452503</v>
      </c>
      <c r="C117" s="20" t="s">
        <v>318</v>
      </c>
      <c r="D117" s="427">
        <f>SUMIF('[1]Анхны нэгтгэл'!B:B,'[1]10'!B:B,'[1]Анхны нэгтгэл'!EE:EE)</f>
        <v>1337475773.7260408</v>
      </c>
      <c r="E117" s="427">
        <f>SUMIF('[1]Анхны нэгтгэл'!B:B,'[1]10'!B:B,'[1]Анхны нэгтгэл'!EF:EF)</f>
        <v>478357649</v>
      </c>
      <c r="F117" s="427">
        <f t="shared" si="18"/>
        <v>859118124.72604084</v>
      </c>
      <c r="G117" s="427">
        <f t="shared" si="19"/>
        <v>0</v>
      </c>
      <c r="H117" s="427">
        <f t="shared" si="20"/>
        <v>881165489.24604082</v>
      </c>
      <c r="I117" s="427">
        <f t="shared" si="21"/>
        <v>-881165489.24604082</v>
      </c>
      <c r="J117" s="427">
        <f>SUMIF([1]Нэгтгэл!B:B,'[1]10'!B:B,[1]Нэгтгэл!EE:EE)</f>
        <v>1337475773.7260408</v>
      </c>
      <c r="K117" s="427">
        <f>SUMIF([1]Нэгтгэл!B:B,'[1]10'!B:B,[1]Нэгтгэл!EF:EF)</f>
        <v>1359523138.2460408</v>
      </c>
      <c r="L117" s="427">
        <f t="shared" si="22"/>
        <v>-22047364.519999981</v>
      </c>
    </row>
    <row r="118" spans="1:12">
      <c r="A118" s="22">
        <f t="shared" si="23"/>
        <v>115</v>
      </c>
      <c r="B118" s="9">
        <v>2887746</v>
      </c>
      <c r="C118" s="20" t="s">
        <v>319</v>
      </c>
      <c r="D118" s="427">
        <f>SUMIF('[1]Анхны нэгтгэл'!B:B,'[1]10'!B:B,'[1]Анхны нэгтгэл'!EE:EE)</f>
        <v>414198193418.73395</v>
      </c>
      <c r="E118" s="427">
        <f>SUMIF('[1]Анхны нэгтгэл'!B:B,'[1]10'!B:B,'[1]Анхны нэгтгэл'!EF:EF)</f>
        <v>379398715328</v>
      </c>
      <c r="F118" s="427">
        <f t="shared" si="18"/>
        <v>34799478090.733948</v>
      </c>
      <c r="G118" s="427">
        <f t="shared" si="19"/>
        <v>0</v>
      </c>
      <c r="H118" s="427">
        <f t="shared" si="20"/>
        <v>47094052726.733948</v>
      </c>
      <c r="I118" s="427">
        <f t="shared" si="21"/>
        <v>-47094052726.733948</v>
      </c>
      <c r="J118" s="427">
        <f>SUMIF([1]Нэгтгэл!B:B,'[1]10'!B:B,[1]Нэгтгэл!EE:EE)</f>
        <v>414198193418.73395</v>
      </c>
      <c r="K118" s="427">
        <f>SUMIF([1]Нэгтгэл!B:B,'[1]10'!B:B,[1]Нэгтгэл!EF:EF)</f>
        <v>426492768054.73395</v>
      </c>
      <c r="L118" s="427">
        <f t="shared" si="22"/>
        <v>-12294574636</v>
      </c>
    </row>
    <row r="119" spans="1:12">
      <c r="A119" s="22">
        <f t="shared" si="23"/>
        <v>116</v>
      </c>
      <c r="B119" s="9">
        <v>5618339</v>
      </c>
      <c r="C119" s="20" t="s">
        <v>320</v>
      </c>
      <c r="D119" s="427">
        <f>SUMIF('[1]Анхны нэгтгэл'!B:B,'[1]10'!B:B,'[1]Анхны нэгтгэл'!EE:EE)</f>
        <v>962557127.72000003</v>
      </c>
      <c r="E119" s="427">
        <f>SUMIF('[1]Анхны нэгтгэл'!B:B,'[1]10'!B:B,'[1]Анхны нэгтгэл'!EF:EF)</f>
        <v>925793798</v>
      </c>
      <c r="F119" s="427">
        <f t="shared" si="18"/>
        <v>36763329.720000029</v>
      </c>
      <c r="G119" s="427">
        <f t="shared" si="19"/>
        <v>-962557127.72000003</v>
      </c>
      <c r="H119" s="427">
        <f t="shared" si="20"/>
        <v>-925793798</v>
      </c>
      <c r="I119" s="427">
        <f t="shared" si="21"/>
        <v>-36763329.720000029</v>
      </c>
      <c r="J119" s="427">
        <f>SUMIF([1]Нэгтгэл!B:B,'[1]10'!B:B,[1]Нэгтгэл!EE:EE)</f>
        <v>0</v>
      </c>
      <c r="K119" s="427">
        <f>SUMIF([1]Нэгтгэл!B:B,'[1]10'!B:B,[1]Нэгтгэл!EF:EF)</f>
        <v>0</v>
      </c>
      <c r="L119" s="427">
        <f t="shared" si="22"/>
        <v>0</v>
      </c>
    </row>
    <row r="120" spans="1:12">
      <c r="A120" s="22">
        <f t="shared" si="23"/>
        <v>117</v>
      </c>
      <c r="B120" s="9">
        <v>2718243</v>
      </c>
      <c r="C120" s="20" t="s">
        <v>321</v>
      </c>
      <c r="D120" s="427">
        <f>SUMIF('[1]Анхны нэгтгэл'!B:B,'[1]10'!B:B,'[1]Анхны нэгтгэл'!EE:EE)</f>
        <v>2057977222.8959999</v>
      </c>
      <c r="E120" s="427">
        <f>SUMIF('[1]Анхны нэгтгэл'!B:B,'[1]10'!B:B,'[1]Анхны нэгтгэл'!EF:EF)</f>
        <v>1658036945</v>
      </c>
      <c r="F120" s="427">
        <f t="shared" si="18"/>
        <v>399940277.89599991</v>
      </c>
      <c r="G120" s="427">
        <f t="shared" si="19"/>
        <v>0</v>
      </c>
      <c r="H120" s="427">
        <f t="shared" si="20"/>
        <v>771894882.74600029</v>
      </c>
      <c r="I120" s="427">
        <f t="shared" si="21"/>
        <v>-771894882.74600029</v>
      </c>
      <c r="J120" s="427">
        <f>SUMIF([1]Нэгтгэл!B:B,'[1]10'!B:B,[1]Нэгтгэл!EE:EE)</f>
        <v>2057977222.8959999</v>
      </c>
      <c r="K120" s="427">
        <f>SUMIF([1]Нэгтгэл!B:B,'[1]10'!B:B,[1]Нэгтгэл!EF:EF)</f>
        <v>2429931827.7460003</v>
      </c>
      <c r="L120" s="427">
        <f t="shared" si="22"/>
        <v>-371954604.85000038</v>
      </c>
    </row>
    <row r="121" spans="1:12">
      <c r="A121" s="22">
        <f t="shared" si="23"/>
        <v>118</v>
      </c>
      <c r="B121" s="9">
        <v>6896197</v>
      </c>
      <c r="C121" s="20" t="s">
        <v>322</v>
      </c>
      <c r="D121" s="427">
        <f>SUMIF('[1]Анхны нэгтгэл'!B:B,'[1]10'!B:B,'[1]Анхны нэгтгэл'!EE:EE)</f>
        <v>127603612.66</v>
      </c>
      <c r="E121" s="427">
        <f>SUMIF('[1]Анхны нэгтгэл'!B:B,'[1]10'!B:B,'[1]Анхны нэгтгэл'!EF:EF)</f>
        <v>113509250</v>
      </c>
      <c r="F121" s="427">
        <f t="shared" si="18"/>
        <v>14094362.659999996</v>
      </c>
      <c r="G121" s="427">
        <f t="shared" si="19"/>
        <v>40000</v>
      </c>
      <c r="H121" s="427">
        <f t="shared" si="20"/>
        <v>20619553.659999996</v>
      </c>
      <c r="I121" s="427">
        <f t="shared" si="21"/>
        <v>-20579553.659999996</v>
      </c>
      <c r="J121" s="427">
        <f>SUMIF([1]Нэгтгэл!B:B,'[1]10'!B:B,[1]Нэгтгэл!EE:EE)</f>
        <v>127643612.66</v>
      </c>
      <c r="K121" s="427">
        <f>SUMIF([1]Нэгтгэл!B:B,'[1]10'!B:B,[1]Нэгтгэл!EF:EF)</f>
        <v>134128803.66</v>
      </c>
      <c r="L121" s="427">
        <f t="shared" si="22"/>
        <v>-6485191</v>
      </c>
    </row>
    <row r="122" spans="1:12">
      <c r="A122" s="22">
        <f t="shared" si="23"/>
        <v>119</v>
      </c>
      <c r="B122" s="9">
        <v>5435528</v>
      </c>
      <c r="C122" s="20" t="s">
        <v>323</v>
      </c>
      <c r="D122" s="427">
        <f>SUMIF('[1]Анхны нэгтгэл'!B:B,'[1]10'!B:B,'[1]Анхны нэгтгэл'!EE:EE)</f>
        <v>2854882573173.8804</v>
      </c>
      <c r="E122" s="427">
        <f>SUMIF('[1]Анхны нэгтгэл'!B:B,'[1]10'!B:B,'[1]Анхны нэгтгэл'!EF:EF)</f>
        <v>2848496420785</v>
      </c>
      <c r="F122" s="427">
        <f t="shared" si="18"/>
        <v>6386152388.8803711</v>
      </c>
      <c r="G122" s="427">
        <f t="shared" si="19"/>
        <v>0</v>
      </c>
      <c r="H122" s="427">
        <f t="shared" si="20"/>
        <v>11634786527.75</v>
      </c>
      <c r="I122" s="427">
        <f t="shared" si="21"/>
        <v>-11634786527.75</v>
      </c>
      <c r="J122" s="427">
        <f>SUMIF([1]Нэгтгэл!B:B,'[1]10'!B:B,[1]Нэгтгэл!EE:EE)</f>
        <v>2854882573173.8804</v>
      </c>
      <c r="K122" s="427">
        <f>SUMIF([1]Нэгтгэл!B:B,'[1]10'!B:B,[1]Нэгтгэл!EF:EF)</f>
        <v>2860131207312.75</v>
      </c>
      <c r="L122" s="427">
        <f t="shared" si="22"/>
        <v>-5248634138.8696289</v>
      </c>
    </row>
    <row r="123" spans="1:12">
      <c r="A123" s="22">
        <f t="shared" si="23"/>
        <v>120</v>
      </c>
      <c r="B123" s="9">
        <v>5824826</v>
      </c>
      <c r="C123" s="20" t="s">
        <v>324</v>
      </c>
      <c r="D123" s="427">
        <f>SUMIF('[1]Анхны нэгтгэл'!B:B,'[1]10'!B:B,'[1]Анхны нэгтгэл'!EE:EE)</f>
        <v>1773857331.9953072</v>
      </c>
      <c r="E123" s="427">
        <f>SUMIF('[1]Анхны нэгтгэл'!B:B,'[1]10'!B:B,'[1]Анхны нэгтгэл'!EF:EF)</f>
        <v>0</v>
      </c>
      <c r="F123" s="427">
        <f t="shared" si="18"/>
        <v>1773857331.9953072</v>
      </c>
      <c r="G123" s="427">
        <f t="shared" si="19"/>
        <v>0</v>
      </c>
      <c r="H123" s="427">
        <f t="shared" si="20"/>
        <v>1570922425.6353071</v>
      </c>
      <c r="I123" s="427">
        <f t="shared" si="21"/>
        <v>-1570922425.6353071</v>
      </c>
      <c r="J123" s="427">
        <f>SUMIF([1]Нэгтгэл!B:B,'[1]10'!B:B,[1]Нэгтгэл!EE:EE)</f>
        <v>1773857331.9953072</v>
      </c>
      <c r="K123" s="427">
        <f>SUMIF([1]Нэгтгэл!B:B,'[1]10'!B:B,[1]Нэгтгэл!EF:EF)</f>
        <v>1570922425.6353071</v>
      </c>
      <c r="L123" s="427">
        <f t="shared" si="22"/>
        <v>202934906.36000013</v>
      </c>
    </row>
    <row r="124" spans="1:12">
      <c r="A124" s="22">
        <f t="shared" si="23"/>
        <v>121</v>
      </c>
      <c r="B124" s="9">
        <v>6141536</v>
      </c>
      <c r="C124" s="20" t="s">
        <v>325</v>
      </c>
      <c r="D124" s="427">
        <f>SUMIF('[1]Анхны нэгтгэл'!B:B,'[1]10'!B:B,'[1]Анхны нэгтгэл'!EE:EE)</f>
        <v>15504300</v>
      </c>
      <c r="E124" s="427">
        <f>SUMIF('[1]Анхны нэгтгэл'!B:B,'[1]10'!B:B,'[1]Анхны нэгтгэл'!EF:EF)</f>
        <v>0</v>
      </c>
      <c r="F124" s="427">
        <f t="shared" si="18"/>
        <v>15504300</v>
      </c>
      <c r="G124" s="427">
        <f t="shared" si="19"/>
        <v>-15504300</v>
      </c>
      <c r="H124" s="427">
        <f t="shared" si="20"/>
        <v>0</v>
      </c>
      <c r="I124" s="427">
        <f t="shared" si="21"/>
        <v>-15504300</v>
      </c>
      <c r="J124" s="427">
        <f>SUMIF([1]Нэгтгэл!B:B,'[1]10'!B:B,[1]Нэгтгэл!EE:EE)</f>
        <v>0</v>
      </c>
      <c r="K124" s="427">
        <f>SUMIF([1]Нэгтгэл!B:B,'[1]10'!B:B,[1]Нэгтгэл!EF:EF)</f>
        <v>0</v>
      </c>
      <c r="L124" s="427">
        <f t="shared" si="22"/>
        <v>0</v>
      </c>
    </row>
    <row r="125" spans="1:12">
      <c r="A125" s="22">
        <f t="shared" si="23"/>
        <v>122</v>
      </c>
      <c r="B125" s="9">
        <v>5124913</v>
      </c>
      <c r="C125" s="20" t="s">
        <v>326</v>
      </c>
      <c r="D125" s="427">
        <f>SUMIF('[1]Анхны нэгтгэл'!B:B,'[1]10'!B:B,'[1]Анхны нэгтгэл'!EE:EE)</f>
        <v>59558797842.049995</v>
      </c>
      <c r="E125" s="427">
        <f>SUMIF('[1]Анхны нэгтгэл'!B:B,'[1]10'!B:B,'[1]Анхны нэгтгэл'!EF:EF)</f>
        <v>62801858490</v>
      </c>
      <c r="F125" s="427">
        <f t="shared" si="18"/>
        <v>-3243060647.9500046</v>
      </c>
      <c r="G125" s="427">
        <f t="shared" si="19"/>
        <v>0</v>
      </c>
      <c r="H125" s="427">
        <f t="shared" si="20"/>
        <v>-1494620230.2300034</v>
      </c>
      <c r="I125" s="427">
        <f t="shared" si="21"/>
        <v>1494620230.2300034</v>
      </c>
      <c r="J125" s="427">
        <f>SUMIF([1]Нэгтгэл!B:B,'[1]10'!B:B,[1]Нэгтгэл!EE:EE)</f>
        <v>59558797842.049995</v>
      </c>
      <c r="K125" s="427">
        <f>SUMIF([1]Нэгтгэл!B:B,'[1]10'!B:B,[1]Нэгтгэл!EF:EF)</f>
        <v>61307238259.769997</v>
      </c>
      <c r="L125" s="427">
        <f t="shared" si="22"/>
        <v>-1748440417.7200012</v>
      </c>
    </row>
    <row r="126" spans="1:12">
      <c r="A126" s="22">
        <f t="shared" si="23"/>
        <v>123</v>
      </c>
      <c r="B126" s="9">
        <v>2074192</v>
      </c>
      <c r="C126" s="20" t="s">
        <v>327</v>
      </c>
      <c r="D126" s="427">
        <f>SUMIF('[1]Анхны нэгтгэл'!B:B,'[1]10'!B:B,'[1]Анхны нэгтгэл'!EE:EE)</f>
        <v>1569938546789.5833</v>
      </c>
      <c r="E126" s="427">
        <f>SUMIF('[1]Анхны нэгтгэл'!B:B,'[1]10'!B:B,'[1]Анхны нэгтгэл'!EF:EF)</f>
        <v>1579446412720</v>
      </c>
      <c r="F126" s="427">
        <f t="shared" si="18"/>
        <v>-9507865930.416748</v>
      </c>
      <c r="G126" s="427">
        <f t="shared" si="19"/>
        <v>415582045950</v>
      </c>
      <c r="H126" s="427">
        <f t="shared" si="20"/>
        <v>439889807121.09302</v>
      </c>
      <c r="I126" s="427">
        <f t="shared" si="21"/>
        <v>-24307761171.093018</v>
      </c>
      <c r="J126" s="427">
        <f>SUMIF([1]Нэгтгэл!B:B,'[1]10'!B:B,[1]Нэгтгэл!EE:EE)</f>
        <v>1985520592739.5833</v>
      </c>
      <c r="K126" s="427">
        <f>SUMIF([1]Нэгтгэл!B:B,'[1]10'!B:B,[1]Нэгтгэл!EF:EF)</f>
        <v>2019336219841.093</v>
      </c>
      <c r="L126" s="427">
        <f t="shared" si="22"/>
        <v>-33815627101.509766</v>
      </c>
    </row>
    <row r="127" spans="1:12">
      <c r="A127" s="22">
        <f t="shared" si="23"/>
        <v>124</v>
      </c>
      <c r="B127" s="9">
        <v>2861224</v>
      </c>
      <c r="C127" s="20" t="s">
        <v>331</v>
      </c>
      <c r="D127" s="427">
        <f>SUMIF('[1]Анхны нэгтгэл'!B:B,'[1]10'!B:B,'[1]Анхны нэгтгэл'!EE:EE)</f>
        <v>1199411552.24</v>
      </c>
      <c r="E127" s="427">
        <f>SUMIF('[1]Анхны нэгтгэл'!B:B,'[1]10'!B:B,'[1]Анхны нэгтгэл'!EF:EF)</f>
        <v>0</v>
      </c>
      <c r="F127" s="427">
        <f t="shared" si="18"/>
        <v>1199411552.24</v>
      </c>
      <c r="G127" s="427">
        <f t="shared" si="19"/>
        <v>-1199411552.24</v>
      </c>
      <c r="H127" s="427">
        <f t="shared" si="20"/>
        <v>0</v>
      </c>
      <c r="I127" s="427">
        <f t="shared" si="21"/>
        <v>-1199411552.24</v>
      </c>
      <c r="J127" s="427">
        <f>SUMIF([1]Нэгтгэл!B:B,'[1]10'!B:B,[1]Нэгтгэл!EE:EE)</f>
        <v>0</v>
      </c>
      <c r="K127" s="427">
        <f>SUMIF([1]Нэгтгэл!B:B,'[1]10'!B:B,[1]Нэгтгэл!EF:EF)</f>
        <v>0</v>
      </c>
      <c r="L127" s="427">
        <f t="shared" si="22"/>
        <v>0</v>
      </c>
    </row>
    <row r="128" spans="1:12">
      <c r="A128" s="22">
        <f t="shared" si="23"/>
        <v>125</v>
      </c>
      <c r="B128" s="9">
        <v>5137977</v>
      </c>
      <c r="C128" s="20" t="s">
        <v>332</v>
      </c>
      <c r="D128" s="427">
        <f>SUMIF('[1]Анхны нэгтгэл'!B:B,'[1]10'!B:B,'[1]Анхны нэгтгэл'!EE:EE)</f>
        <v>903104463.39151704</v>
      </c>
      <c r="E128" s="427">
        <f>SUMIF('[1]Анхны нэгтгэл'!B:B,'[1]10'!B:B,'[1]Анхны нэгтгэл'!EF:EF)</f>
        <v>383631068</v>
      </c>
      <c r="F128" s="427">
        <f t="shared" si="18"/>
        <v>519473395.39151704</v>
      </c>
      <c r="G128" s="427">
        <f t="shared" si="19"/>
        <v>0</v>
      </c>
      <c r="H128" s="427">
        <f t="shared" si="20"/>
        <v>628262445.691517</v>
      </c>
      <c r="I128" s="427">
        <f t="shared" si="21"/>
        <v>-628262445.691517</v>
      </c>
      <c r="J128" s="427">
        <f>SUMIF([1]Нэгтгэл!B:B,'[1]10'!B:B,[1]Нэгтгэл!EE:EE)</f>
        <v>903104463.39151704</v>
      </c>
      <c r="K128" s="427">
        <f>SUMIF([1]Нэгтгэл!B:B,'[1]10'!B:B,[1]Нэгтгэл!EF:EF)</f>
        <v>1011893513.691517</v>
      </c>
      <c r="L128" s="427">
        <f t="shared" si="22"/>
        <v>-108789050.29999995</v>
      </c>
    </row>
    <row r="129" spans="4:12">
      <c r="D129" s="433">
        <f t="shared" ref="D129:L129" si="24">SUM(D4:D128)</f>
        <v>7936150170147.668</v>
      </c>
      <c r="E129" s="433">
        <f t="shared" si="24"/>
        <v>7330965932379</v>
      </c>
      <c r="F129" s="433">
        <f t="shared" si="24"/>
        <v>605184237768.6687</v>
      </c>
      <c r="G129" s="433">
        <f t="shared" si="24"/>
        <v>369322196568.02045</v>
      </c>
      <c r="H129" s="433">
        <f t="shared" si="24"/>
        <v>1108177526191.5098</v>
      </c>
      <c r="I129" s="433">
        <f t="shared" si="24"/>
        <v>-738855329623.48938</v>
      </c>
      <c r="J129" s="433">
        <f t="shared" si="24"/>
        <v>8305472366715.6875</v>
      </c>
      <c r="K129" s="433">
        <f t="shared" si="24"/>
        <v>8439143458570.5098</v>
      </c>
      <c r="L129" s="433">
        <f t="shared" si="24"/>
        <v>-133671091854.82069</v>
      </c>
    </row>
  </sheetData>
  <mergeCells count="6">
    <mergeCell ref="J2:L2"/>
    <mergeCell ref="A2:A3"/>
    <mergeCell ref="B2:B3"/>
    <mergeCell ref="C2:C3"/>
    <mergeCell ref="D2:F2"/>
    <mergeCell ref="G2:I2"/>
  </mergeCells>
  <conditionalFormatting sqref="B4:B33 B89">
    <cfRule type="duplicateValues" dxfId="524" priority="12"/>
  </conditionalFormatting>
  <conditionalFormatting sqref="B34:B83">
    <cfRule type="duplicateValues" dxfId="523" priority="11"/>
  </conditionalFormatting>
  <conditionalFormatting sqref="B84">
    <cfRule type="duplicateValues" dxfId="522" priority="10"/>
  </conditionalFormatting>
  <conditionalFormatting sqref="B85">
    <cfRule type="duplicateValues" dxfId="521" priority="9"/>
  </conditionalFormatting>
  <conditionalFormatting sqref="B86">
    <cfRule type="duplicateValues" dxfId="520" priority="8"/>
  </conditionalFormatting>
  <conditionalFormatting sqref="B87">
    <cfRule type="duplicateValues" dxfId="519" priority="7"/>
  </conditionalFormatting>
  <conditionalFormatting sqref="B88">
    <cfRule type="duplicateValues" dxfId="518" priority="6"/>
  </conditionalFormatting>
  <conditionalFormatting sqref="B90:B128">
    <cfRule type="duplicateValues" dxfId="517" priority="13"/>
  </conditionalFormatting>
  <conditionalFormatting sqref="C4:C33 C89">
    <cfRule type="duplicateValues" dxfId="516" priority="4"/>
  </conditionalFormatting>
  <conditionalFormatting sqref="C34:C83">
    <cfRule type="duplicateValues" dxfId="515" priority="3"/>
  </conditionalFormatting>
  <conditionalFormatting sqref="C84">
    <cfRule type="duplicateValues" dxfId="514" priority="1"/>
  </conditionalFormatting>
  <conditionalFormatting sqref="C85:C88">
    <cfRule type="duplicateValues" dxfId="513" priority="2"/>
  </conditionalFormatting>
  <conditionalFormatting sqref="C90:C128">
    <cfRule type="duplicateValues" dxfId="512" priority="5"/>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C1522-6C91-40C6-BA33-33A78A1AA9F0}">
  <sheetPr>
    <tabColor rgb="FF006432"/>
  </sheetPr>
  <dimension ref="A1:E128"/>
  <sheetViews>
    <sheetView workbookViewId="0">
      <selection activeCell="G14" sqref="G14"/>
    </sheetView>
  </sheetViews>
  <sheetFormatPr defaultRowHeight="15"/>
  <cols>
    <col min="1" max="1" width="6.140625" customWidth="1"/>
    <col min="2" max="2" width="13.7109375" customWidth="1"/>
    <col min="3" max="3" width="31.5703125" customWidth="1"/>
    <col min="4" max="4" width="24.42578125" customWidth="1"/>
  </cols>
  <sheetData>
    <row r="1" spans="1:5" ht="16.5" thickBot="1">
      <c r="A1" s="641" t="s">
        <v>698</v>
      </c>
      <c r="B1" s="641"/>
      <c r="C1" s="641"/>
      <c r="D1" s="641"/>
      <c r="E1" s="641"/>
    </row>
    <row r="2" spans="1:5" s="8" customFormat="1" ht="26.25" thickTop="1">
      <c r="A2" s="94" t="s">
        <v>114</v>
      </c>
      <c r="B2" s="46" t="s">
        <v>682</v>
      </c>
      <c r="C2" s="46" t="s">
        <v>115</v>
      </c>
      <c r="D2" s="46" t="s">
        <v>683</v>
      </c>
    </row>
    <row r="3" spans="1:5">
      <c r="A3" s="22">
        <v>1</v>
      </c>
      <c r="B3" s="9">
        <v>2011239</v>
      </c>
      <c r="C3" s="20" t="s">
        <v>121</v>
      </c>
      <c r="D3" s="427">
        <f>SUMIF([1]Нэгтгэл!B:B,'[1]11'!B:B,[1]Нэгтгэл!EG:EG)</f>
        <v>116118626861.93001</v>
      </c>
    </row>
    <row r="4" spans="1:5">
      <c r="A4" s="22">
        <f t="shared" ref="A4:A35" si="0">SUM(A3+1)</f>
        <v>2</v>
      </c>
      <c r="B4" s="9">
        <v>5097517</v>
      </c>
      <c r="C4" s="20" t="s">
        <v>126</v>
      </c>
      <c r="D4" s="427">
        <f>SUMIF([1]Нэгтгэл!B:B,'[1]11'!B:B,[1]Нэгтгэл!EG:EG)</f>
        <v>11282940653.600002</v>
      </c>
    </row>
    <row r="5" spans="1:5">
      <c r="A5" s="22">
        <f t="shared" si="0"/>
        <v>3</v>
      </c>
      <c r="B5" s="9">
        <v>5809797</v>
      </c>
      <c r="C5" s="20" t="s">
        <v>131</v>
      </c>
      <c r="D5" s="427">
        <f>SUMIF([1]Нэгтгэл!B:B,'[1]11'!B:B,[1]Нэгтгэл!EG:EG)</f>
        <v>8900042296.6100006</v>
      </c>
    </row>
    <row r="6" spans="1:5">
      <c r="A6" s="22">
        <f t="shared" si="0"/>
        <v>4</v>
      </c>
      <c r="B6" s="9">
        <v>5118344</v>
      </c>
      <c r="C6" s="20" t="s">
        <v>133</v>
      </c>
      <c r="D6" s="427">
        <f>SUMIF([1]Нэгтгэл!B:B,'[1]11'!B:B,[1]Нэгтгэл!EG:EG)</f>
        <v>6948906420</v>
      </c>
    </row>
    <row r="7" spans="1:5">
      <c r="A7" s="22">
        <f t="shared" si="0"/>
        <v>5</v>
      </c>
      <c r="B7" s="9">
        <v>5095549</v>
      </c>
      <c r="C7" s="20" t="s">
        <v>136</v>
      </c>
      <c r="D7" s="427">
        <f>SUMIF([1]Нэгтгэл!B:B,'[1]11'!B:B,[1]Нэгтгэл!EG:EG)</f>
        <v>5769249338.7161331</v>
      </c>
    </row>
    <row r="8" spans="1:5">
      <c r="A8" s="22">
        <f t="shared" si="0"/>
        <v>6</v>
      </c>
      <c r="B8" s="9">
        <v>2784165</v>
      </c>
      <c r="C8" s="20" t="s">
        <v>140</v>
      </c>
      <c r="D8" s="427">
        <f>SUMIF([1]Нэгтгэл!B:B,'[1]11'!B:B,[1]Нэгтгэл!EG:EG)</f>
        <v>4953540208.0200005</v>
      </c>
    </row>
    <row r="9" spans="1:5">
      <c r="A9" s="22">
        <f t="shared" si="0"/>
        <v>7</v>
      </c>
      <c r="B9" s="9">
        <v>5133351</v>
      </c>
      <c r="C9" s="20" t="s">
        <v>143</v>
      </c>
      <c r="D9" s="427">
        <f>SUMIF([1]Нэгтгэл!B:B,'[1]11'!B:B,[1]Нэгтгэл!EG:EG)</f>
        <v>3791173559.1099997</v>
      </c>
    </row>
    <row r="10" spans="1:5">
      <c r="A10" s="22">
        <f t="shared" si="0"/>
        <v>8</v>
      </c>
      <c r="B10" s="9">
        <v>6172768</v>
      </c>
      <c r="C10" s="20" t="s">
        <v>144</v>
      </c>
      <c r="D10" s="427">
        <f>SUMIF([1]Нэгтгэл!B:B,'[1]11'!B:B,[1]Нэгтгэл!EG:EG)</f>
        <v>3518333350.1000004</v>
      </c>
    </row>
    <row r="11" spans="1:5">
      <c r="A11" s="22">
        <f t="shared" si="0"/>
        <v>9</v>
      </c>
      <c r="B11" s="9">
        <v>2788705</v>
      </c>
      <c r="C11" s="20" t="s">
        <v>146</v>
      </c>
      <c r="D11" s="427">
        <f>SUMIF([1]Нэгтгэл!B:B,'[1]11'!B:B,[1]Нэгтгэл!EG:EG)</f>
        <v>3040051387.7900004</v>
      </c>
    </row>
    <row r="12" spans="1:5">
      <c r="A12" s="22">
        <f t="shared" si="0"/>
        <v>10</v>
      </c>
      <c r="B12" s="9">
        <v>5439183</v>
      </c>
      <c r="C12" s="20" t="s">
        <v>629</v>
      </c>
      <c r="D12" s="427">
        <f>SUMIF([1]Нэгтгэл!B:B,'[1]11'!B:B,[1]Нэгтгэл!EG:EG)</f>
        <v>3003481706.5388656</v>
      </c>
    </row>
    <row r="13" spans="1:5">
      <c r="A13" s="22">
        <f t="shared" si="0"/>
        <v>11</v>
      </c>
      <c r="B13" s="9">
        <v>2008572</v>
      </c>
      <c r="C13" s="20" t="s">
        <v>152</v>
      </c>
      <c r="D13" s="427">
        <f>SUMIF([1]Нэгтгэл!B:B,'[1]11'!B:B,[1]Нэгтгэл!EG:EG)</f>
        <v>2866830224.2299995</v>
      </c>
    </row>
    <row r="14" spans="1:5">
      <c r="A14" s="22">
        <f t="shared" si="0"/>
        <v>12</v>
      </c>
      <c r="B14" s="9">
        <v>5215919</v>
      </c>
      <c r="C14" s="20" t="s">
        <v>155</v>
      </c>
      <c r="D14" s="427">
        <f>SUMIF([1]Нэгтгэл!B:B,'[1]11'!B:B,[1]Нэгтгэл!EG:EG)</f>
        <v>2861386893.2399998</v>
      </c>
    </row>
    <row r="15" spans="1:5">
      <c r="A15" s="22">
        <f t="shared" si="0"/>
        <v>13</v>
      </c>
      <c r="B15" s="9">
        <v>5502977</v>
      </c>
      <c r="C15" s="20" t="s">
        <v>157</v>
      </c>
      <c r="D15" s="427">
        <f>SUMIF([1]Нэгтгэл!B:B,'[1]11'!B:B,[1]Нэгтгэл!EG:EG)</f>
        <v>2201260229.3445392</v>
      </c>
    </row>
    <row r="16" spans="1:5">
      <c r="A16" s="22">
        <f t="shared" si="0"/>
        <v>14</v>
      </c>
      <c r="B16" s="9">
        <v>2708701</v>
      </c>
      <c r="C16" s="20" t="s">
        <v>159</v>
      </c>
      <c r="D16" s="427">
        <f>SUMIF([1]Нэгтгэл!B:B,'[1]11'!B:B,[1]Нэгтгэл!EG:EG)</f>
        <v>1718062761.8899999</v>
      </c>
    </row>
    <row r="17" spans="1:4">
      <c r="A17" s="22">
        <f t="shared" si="0"/>
        <v>15</v>
      </c>
      <c r="B17" s="9">
        <v>2014491</v>
      </c>
      <c r="C17" s="20" t="s">
        <v>161</v>
      </c>
      <c r="D17" s="427">
        <f>SUMIF([1]Нэгтгэл!B:B,'[1]11'!B:B,[1]Нэгтгэл!EG:EG)</f>
        <v>1549949380.21</v>
      </c>
    </row>
    <row r="18" spans="1:4">
      <c r="A18" s="22">
        <f t="shared" si="0"/>
        <v>16</v>
      </c>
      <c r="B18" s="9">
        <v>6414877</v>
      </c>
      <c r="C18" s="20" t="s">
        <v>165</v>
      </c>
      <c r="D18" s="427">
        <f>SUMIF([1]Нэгтгэл!B:B,'[1]11'!B:B,[1]Нэгтгэл!EG:EG)</f>
        <v>1321407606.73</v>
      </c>
    </row>
    <row r="19" spans="1:4">
      <c r="A19" s="22">
        <f t="shared" si="0"/>
        <v>17</v>
      </c>
      <c r="B19" s="9">
        <v>5369223</v>
      </c>
      <c r="C19" s="20" t="s">
        <v>168</v>
      </c>
      <c r="D19" s="427">
        <f>SUMIF([1]Нэгтгэл!B:B,'[1]11'!B:B,[1]Нэгтгэл!EG:EG)</f>
        <v>1178103951.1900001</v>
      </c>
    </row>
    <row r="20" spans="1:4">
      <c r="A20" s="22">
        <f t="shared" si="0"/>
        <v>18</v>
      </c>
      <c r="B20" s="9">
        <v>5294088</v>
      </c>
      <c r="C20" s="20" t="s">
        <v>169</v>
      </c>
      <c r="D20" s="427">
        <f>SUMIF([1]Нэгтгэл!B:B,'[1]11'!B:B,[1]Нэгтгэл!EG:EG)</f>
        <v>1060926853.77</v>
      </c>
    </row>
    <row r="21" spans="1:4">
      <c r="A21" s="22">
        <f t="shared" si="0"/>
        <v>19</v>
      </c>
      <c r="B21" s="9">
        <v>2855119</v>
      </c>
      <c r="C21" s="20" t="s">
        <v>173</v>
      </c>
      <c r="D21" s="427">
        <f>SUMIF([1]Нэгтгэл!B:B,'[1]11'!B:B,[1]Нэгтгэл!EG:EG)</f>
        <v>1007404296.6199999</v>
      </c>
    </row>
    <row r="22" spans="1:4">
      <c r="A22" s="22">
        <f t="shared" si="0"/>
        <v>20</v>
      </c>
      <c r="B22" s="9">
        <v>2094533</v>
      </c>
      <c r="C22" s="20" t="s">
        <v>174</v>
      </c>
      <c r="D22" s="427">
        <f>SUMIF([1]Нэгтгэл!B:B,'[1]11'!B:B,[1]Нэгтгэл!EG:EG)</f>
        <v>942120998.86000001</v>
      </c>
    </row>
    <row r="23" spans="1:4">
      <c r="A23" s="22">
        <f t="shared" si="0"/>
        <v>21</v>
      </c>
      <c r="B23" s="9">
        <v>5722942</v>
      </c>
      <c r="C23" s="20" t="s">
        <v>175</v>
      </c>
      <c r="D23" s="427">
        <f>SUMIF([1]Нэгтгэл!B:B,'[1]11'!B:B,[1]Нэгтгэл!EG:EG)</f>
        <v>802374985.05999994</v>
      </c>
    </row>
    <row r="24" spans="1:4">
      <c r="A24" s="22">
        <f t="shared" si="0"/>
        <v>22</v>
      </c>
      <c r="B24" s="9">
        <v>2867494</v>
      </c>
      <c r="C24" s="20" t="s">
        <v>176</v>
      </c>
      <c r="D24" s="427">
        <f>SUMIF([1]Нэгтгэл!B:B,'[1]11'!B:B,[1]Нэгтгэл!EG:EG)</f>
        <v>757841737.72000003</v>
      </c>
    </row>
    <row r="25" spans="1:4">
      <c r="A25" s="22">
        <f t="shared" si="0"/>
        <v>23</v>
      </c>
      <c r="B25" s="9">
        <v>6463932</v>
      </c>
      <c r="C25" s="20" t="s">
        <v>177</v>
      </c>
      <c r="D25" s="427">
        <f>SUMIF([1]Нэгтгэл!B:B,'[1]11'!B:B,[1]Нэгтгэл!EG:EG)</f>
        <v>724319656.63018906</v>
      </c>
    </row>
    <row r="26" spans="1:4">
      <c r="A26" s="22">
        <f t="shared" si="0"/>
        <v>24</v>
      </c>
      <c r="B26" s="9">
        <v>5260833</v>
      </c>
      <c r="C26" s="20" t="s">
        <v>178</v>
      </c>
      <c r="D26" s="427">
        <f>SUMIF([1]Нэгтгэл!B:B,'[1]11'!B:B,[1]Нэгтгэл!EG:EG)</f>
        <v>589857612.95000005</v>
      </c>
    </row>
    <row r="27" spans="1:4">
      <c r="A27" s="22">
        <f t="shared" si="0"/>
        <v>25</v>
      </c>
      <c r="B27" s="9">
        <v>2051303</v>
      </c>
      <c r="C27" s="20" t="s">
        <v>179</v>
      </c>
      <c r="D27" s="427">
        <f>SUMIF([1]Нэгтгэл!B:B,'[1]11'!B:B,[1]Нэгтгэл!EG:EG)</f>
        <v>567269655.30999994</v>
      </c>
    </row>
    <row r="28" spans="1:4">
      <c r="A28" s="22">
        <f t="shared" si="0"/>
        <v>26</v>
      </c>
      <c r="B28" s="9">
        <v>2061848</v>
      </c>
      <c r="C28" s="20" t="s">
        <v>183</v>
      </c>
      <c r="D28" s="427">
        <f>SUMIF([1]Нэгтгэл!B:B,'[1]11'!B:B,[1]Нэгтгэл!EG:EG)</f>
        <v>401102286</v>
      </c>
    </row>
    <row r="29" spans="1:4">
      <c r="A29" s="22">
        <f t="shared" si="0"/>
        <v>27</v>
      </c>
      <c r="B29" s="9">
        <v>2766337</v>
      </c>
      <c r="C29" s="20" t="s">
        <v>185</v>
      </c>
      <c r="D29" s="427">
        <f>SUMIF([1]Нэгтгэл!B:B,'[1]11'!B:B,[1]Нэгтгэл!EG:EG)</f>
        <v>381224875.00999999</v>
      </c>
    </row>
    <row r="30" spans="1:4">
      <c r="A30" s="22">
        <f t="shared" si="0"/>
        <v>28</v>
      </c>
      <c r="B30" s="9">
        <v>5810086</v>
      </c>
      <c r="C30" s="20" t="s">
        <v>187</v>
      </c>
      <c r="D30" s="427">
        <f>SUMIF([1]Нэгтгэл!B:B,'[1]11'!B:B,[1]Нэгтгэл!EG:EG)</f>
        <v>379580121.37</v>
      </c>
    </row>
    <row r="31" spans="1:4">
      <c r="A31" s="22">
        <f t="shared" si="0"/>
        <v>29</v>
      </c>
      <c r="B31" s="9">
        <v>5217652</v>
      </c>
      <c r="C31" s="20" t="s">
        <v>188</v>
      </c>
      <c r="D31" s="427">
        <f>SUMIF([1]Нэгтгэл!B:B,'[1]11'!B:B,[1]Нэгтгэл!EG:EG)</f>
        <v>370015447.61000001</v>
      </c>
    </row>
    <row r="32" spans="1:4">
      <c r="A32" s="22">
        <f t="shared" si="0"/>
        <v>30</v>
      </c>
      <c r="B32" s="9">
        <v>2780518</v>
      </c>
      <c r="C32" s="20" t="s">
        <v>189</v>
      </c>
      <c r="D32" s="427">
        <f>SUMIF([1]Нэгтгэл!B:B,'[1]11'!B:B,[1]Нэгтгэл!EG:EG)</f>
        <v>232624347.48000002</v>
      </c>
    </row>
    <row r="33" spans="1:4">
      <c r="A33" s="22">
        <f t="shared" si="0"/>
        <v>31</v>
      </c>
      <c r="B33" s="9">
        <v>5272378</v>
      </c>
      <c r="C33" s="20" t="s">
        <v>193</v>
      </c>
      <c r="D33" s="427">
        <f>SUMIF([1]Нэгтгэл!B:B,'[1]11'!B:B,[1]Нэгтгэл!EG:EG)</f>
        <v>202934906.36000001</v>
      </c>
    </row>
    <row r="34" spans="1:4">
      <c r="A34" s="22">
        <f t="shared" si="0"/>
        <v>32</v>
      </c>
      <c r="B34" s="9">
        <v>5467268</v>
      </c>
      <c r="C34" s="20" t="s">
        <v>194</v>
      </c>
      <c r="D34" s="427">
        <f>SUMIF([1]Нэгтгэл!B:B,'[1]11'!B:B,[1]Нэгтгэл!EG:EG)</f>
        <v>148661791.19999999</v>
      </c>
    </row>
    <row r="35" spans="1:4">
      <c r="A35" s="22">
        <f t="shared" si="0"/>
        <v>33</v>
      </c>
      <c r="B35" s="9">
        <v>5522935</v>
      </c>
      <c r="C35" s="20" t="s">
        <v>196</v>
      </c>
      <c r="D35" s="427">
        <f>SUMIF([1]Нэгтгэл!B:B,'[1]11'!B:B,[1]Нэгтгэл!EG:EG)</f>
        <v>142177715.28999996</v>
      </c>
    </row>
    <row r="36" spans="1:4">
      <c r="A36" s="22">
        <f t="shared" ref="A36:A67" si="1">SUM(A35+1)</f>
        <v>34</v>
      </c>
      <c r="B36" s="9">
        <v>5528089</v>
      </c>
      <c r="C36" s="20" t="s">
        <v>197</v>
      </c>
      <c r="D36" s="427">
        <f>SUMIF([1]Нэгтгэл!B:B,'[1]11'!B:B,[1]Нэгтгэл!EG:EG)</f>
        <v>122872759.08000004</v>
      </c>
    </row>
    <row r="37" spans="1:4">
      <c r="A37" s="22">
        <f t="shared" si="1"/>
        <v>35</v>
      </c>
      <c r="B37" s="9">
        <v>5396662</v>
      </c>
      <c r="C37" s="20" t="s">
        <v>198</v>
      </c>
      <c r="D37" s="427">
        <f>SUMIF([1]Нэгтгэл!B:B,'[1]11'!B:B,[1]Нэгтгэл!EG:EG)</f>
        <v>117898200</v>
      </c>
    </row>
    <row r="38" spans="1:4">
      <c r="A38" s="22">
        <f t="shared" si="1"/>
        <v>36</v>
      </c>
      <c r="B38" s="9">
        <v>5830974</v>
      </c>
      <c r="C38" s="20" t="s">
        <v>199</v>
      </c>
      <c r="D38" s="427">
        <f>SUMIF([1]Нэгтгэл!B:B,'[1]11'!B:B,[1]Нэгтгэл!EG:EG)</f>
        <v>113811140.97793399</v>
      </c>
    </row>
    <row r="39" spans="1:4">
      <c r="A39" s="22">
        <f t="shared" si="1"/>
        <v>37</v>
      </c>
      <c r="B39" s="9">
        <v>2057573</v>
      </c>
      <c r="C39" s="20" t="s">
        <v>201</v>
      </c>
      <c r="D39" s="427">
        <f>SUMIF([1]Нэгтгэл!B:B,'[1]11'!B:B,[1]Нэгтгэл!EG:EG)</f>
        <v>106503703.65882602</v>
      </c>
    </row>
    <row r="40" spans="1:4">
      <c r="A40" s="22">
        <f t="shared" si="1"/>
        <v>38</v>
      </c>
      <c r="B40" s="9">
        <v>5699134</v>
      </c>
      <c r="C40" s="20" t="s">
        <v>202</v>
      </c>
      <c r="D40" s="427">
        <f>SUMIF([1]Нэгтгэл!B:B,'[1]11'!B:B,[1]Нэгтгэл!EG:EG)</f>
        <v>105644100.47000468</v>
      </c>
    </row>
    <row r="41" spans="1:4">
      <c r="A41" s="22">
        <f t="shared" si="1"/>
        <v>39</v>
      </c>
      <c r="B41" s="9">
        <v>5412153</v>
      </c>
      <c r="C41" s="20" t="s">
        <v>203</v>
      </c>
      <c r="D41" s="427">
        <f>SUMIF([1]Нэгтгэл!B:B,'[1]11'!B:B,[1]Нэгтгэл!EG:EG)</f>
        <v>76659156.510000005</v>
      </c>
    </row>
    <row r="42" spans="1:4">
      <c r="A42" s="22">
        <f t="shared" si="1"/>
        <v>40</v>
      </c>
      <c r="B42" s="9">
        <v>2034859</v>
      </c>
      <c r="C42" s="20" t="s">
        <v>204</v>
      </c>
      <c r="D42" s="427">
        <f>SUMIF([1]Нэгтгэл!B:B,'[1]11'!B:B,[1]Нэгтгэл!EG:EG)</f>
        <v>50036511.5</v>
      </c>
    </row>
    <row r="43" spans="1:4">
      <c r="A43" s="22">
        <f t="shared" si="1"/>
        <v>41</v>
      </c>
      <c r="B43" s="9">
        <v>5253535</v>
      </c>
      <c r="C43" s="20" t="s">
        <v>208</v>
      </c>
      <c r="D43" s="427">
        <f>SUMIF([1]Нэгтгэл!B:B,'[1]11'!B:B,[1]Нэгтгэл!EG:EG)</f>
        <v>40807253.123999983</v>
      </c>
    </row>
    <row r="44" spans="1:4">
      <c r="A44" s="22">
        <f t="shared" si="1"/>
        <v>42</v>
      </c>
      <c r="B44" s="9">
        <v>5150884</v>
      </c>
      <c r="C44" s="20" t="s">
        <v>210</v>
      </c>
      <c r="D44" s="427">
        <f>SUMIF([1]Нэгтгэл!B:B,'[1]11'!B:B,[1]Нэгтгэл!EG:EG)</f>
        <v>35442417.234999999</v>
      </c>
    </row>
    <row r="45" spans="1:4">
      <c r="A45" s="22">
        <f t="shared" si="1"/>
        <v>43</v>
      </c>
      <c r="B45" s="9">
        <v>5051304</v>
      </c>
      <c r="C45" s="20" t="s">
        <v>211</v>
      </c>
      <c r="D45" s="427">
        <f>SUMIF([1]Нэгтгэл!B:B,'[1]11'!B:B,[1]Нэгтгэл!EG:EG)</f>
        <v>28702344.701529332</v>
      </c>
    </row>
    <row r="46" spans="1:4">
      <c r="A46" s="22">
        <f t="shared" si="1"/>
        <v>44</v>
      </c>
      <c r="B46" s="9">
        <v>5401801</v>
      </c>
      <c r="C46" s="20" t="s">
        <v>213</v>
      </c>
      <c r="D46" s="427">
        <f>SUMIF([1]Нэгтгэл!B:B,'[1]11'!B:B,[1]Нэгтгэл!EG:EG)</f>
        <v>26113050</v>
      </c>
    </row>
    <row r="47" spans="1:4">
      <c r="A47" s="22">
        <f t="shared" si="1"/>
        <v>45</v>
      </c>
      <c r="B47" s="9">
        <v>2550466</v>
      </c>
      <c r="C47" s="20" t="s">
        <v>214</v>
      </c>
      <c r="D47" s="427">
        <f>SUMIF([1]Нэгтгэл!B:B,'[1]11'!B:B,[1]Нэгтгэл!EG:EG)</f>
        <v>19361811.84</v>
      </c>
    </row>
    <row r="48" spans="1:4">
      <c r="A48" s="22">
        <f t="shared" si="1"/>
        <v>46</v>
      </c>
      <c r="B48" s="9">
        <v>5051134</v>
      </c>
      <c r="C48" s="20" t="s">
        <v>216</v>
      </c>
      <c r="D48" s="427">
        <f>SUMIF([1]Нэгтгэл!B:B,'[1]11'!B:B,[1]Нэгтгэл!EG:EG)</f>
        <v>18897410.851553015</v>
      </c>
    </row>
    <row r="49" spans="1:4">
      <c r="A49" s="22">
        <f t="shared" si="1"/>
        <v>47</v>
      </c>
      <c r="B49" s="9">
        <v>2095025</v>
      </c>
      <c r="C49" s="20" t="s">
        <v>217</v>
      </c>
      <c r="D49" s="427">
        <f>SUMIF([1]Нэгтгэл!B:B,'[1]11'!B:B,[1]Нэгтгэл!EG:EG)</f>
        <v>14513958.359999999</v>
      </c>
    </row>
    <row r="50" spans="1:4">
      <c r="A50" s="22">
        <f t="shared" si="1"/>
        <v>48</v>
      </c>
      <c r="B50" s="9">
        <v>2045931</v>
      </c>
      <c r="C50" s="20" t="s">
        <v>218</v>
      </c>
      <c r="D50" s="427">
        <f>SUMIF([1]Нэгтгэл!B:B,'[1]11'!B:B,[1]Нэгтгэл!EG:EG)</f>
        <v>3000000</v>
      </c>
    </row>
    <row r="51" spans="1:4">
      <c r="A51" s="22">
        <f t="shared" si="1"/>
        <v>49</v>
      </c>
      <c r="B51" s="9">
        <v>2029278</v>
      </c>
      <c r="C51" s="20" t="s">
        <v>219</v>
      </c>
      <c r="D51" s="427">
        <f>SUMIF([1]Нэгтгэл!B:B,'[1]11'!B:B,[1]Нэгтгэл!EG:EG)</f>
        <v>800800</v>
      </c>
    </row>
    <row r="52" spans="1:4">
      <c r="A52" s="22">
        <f t="shared" si="1"/>
        <v>50</v>
      </c>
      <c r="B52" s="9">
        <v>5106567</v>
      </c>
      <c r="C52" s="20" t="s">
        <v>220</v>
      </c>
      <c r="D52" s="427">
        <f>SUMIF([1]Нэгтгэл!B:B,'[1]11'!B:B,[1]Нэгтгэл!EG:EG)</f>
        <v>411200</v>
      </c>
    </row>
    <row r="53" spans="1:4">
      <c r="A53" s="22">
        <f t="shared" si="1"/>
        <v>51</v>
      </c>
      <c r="B53" s="9">
        <v>5141583</v>
      </c>
      <c r="C53" s="20" t="s">
        <v>222</v>
      </c>
      <c r="D53" s="427">
        <f>SUMIF([1]Нэгтгэл!B:B,'[1]11'!B:B,[1]Нэгтгэл!EG:EG)</f>
        <v>0</v>
      </c>
    </row>
    <row r="54" spans="1:4">
      <c r="A54" s="22">
        <f t="shared" si="1"/>
        <v>52</v>
      </c>
      <c r="B54" s="9">
        <v>5118115</v>
      </c>
      <c r="C54" s="20" t="s">
        <v>223</v>
      </c>
      <c r="D54" s="427">
        <f>SUMIF([1]Нэгтгэл!B:B,'[1]11'!B:B,[1]Нэгтгэл!EG:EG)</f>
        <v>0</v>
      </c>
    </row>
    <row r="55" spans="1:4">
      <c r="A55" s="22">
        <f t="shared" si="1"/>
        <v>53</v>
      </c>
      <c r="B55" s="9">
        <v>5106656</v>
      </c>
      <c r="C55" s="20" t="s">
        <v>224</v>
      </c>
      <c r="D55" s="427">
        <f>SUMIF([1]Нэгтгэл!B:B,'[1]11'!B:B,[1]Нэгтгэл!EG:EG)</f>
        <v>0</v>
      </c>
    </row>
    <row r="56" spans="1:4">
      <c r="A56" s="22">
        <f t="shared" si="1"/>
        <v>54</v>
      </c>
      <c r="B56" s="9">
        <v>2010895</v>
      </c>
      <c r="C56" s="20" t="s">
        <v>225</v>
      </c>
      <c r="D56" s="427">
        <f>SUMIF([1]Нэгтгэл!B:B,'[1]11'!B:B,[1]Нэгтгэл!EG:EG)</f>
        <v>0</v>
      </c>
    </row>
    <row r="57" spans="1:4">
      <c r="A57" s="22">
        <f t="shared" si="1"/>
        <v>55</v>
      </c>
      <c r="B57" s="9">
        <v>5295858</v>
      </c>
      <c r="C57" s="20" t="s">
        <v>227</v>
      </c>
      <c r="D57" s="427">
        <f>SUMIF([1]Нэгтгэл!B:B,'[1]11'!B:B,[1]Нэгтгэл!EG:EG)</f>
        <v>0</v>
      </c>
    </row>
    <row r="58" spans="1:4">
      <c r="A58" s="22">
        <f t="shared" si="1"/>
        <v>56</v>
      </c>
      <c r="B58" s="9">
        <v>6287727</v>
      </c>
      <c r="C58" s="20" t="s">
        <v>228</v>
      </c>
      <c r="D58" s="427">
        <f>SUMIF([1]Нэгтгэл!B:B,'[1]11'!B:B,[1]Нэгтгэл!EG:EG)</f>
        <v>0</v>
      </c>
    </row>
    <row r="59" spans="1:4">
      <c r="A59" s="22">
        <f t="shared" si="1"/>
        <v>57</v>
      </c>
      <c r="B59" s="9">
        <v>2659603</v>
      </c>
      <c r="C59" s="20" t="s">
        <v>229</v>
      </c>
      <c r="D59" s="427">
        <f>SUMIF([1]Нэгтгэл!B:B,'[1]11'!B:B,[1]Нэгтгэл!EG:EG)</f>
        <v>0</v>
      </c>
    </row>
    <row r="60" spans="1:4">
      <c r="A60" s="22">
        <f t="shared" si="1"/>
        <v>58</v>
      </c>
      <c r="B60" s="9">
        <v>2678187</v>
      </c>
      <c r="C60" s="20" t="s">
        <v>230</v>
      </c>
      <c r="D60" s="427">
        <f>SUMIF([1]Нэгтгэл!B:B,'[1]11'!B:B,[1]Нэгтгэл!EG:EG)</f>
        <v>0</v>
      </c>
    </row>
    <row r="61" spans="1:4">
      <c r="A61" s="22">
        <f t="shared" si="1"/>
        <v>59</v>
      </c>
      <c r="B61" s="9">
        <v>2657457</v>
      </c>
      <c r="C61" s="20" t="s">
        <v>231</v>
      </c>
      <c r="D61" s="427">
        <f>SUMIF([1]Нэгтгэл!B:B,'[1]11'!B:B,[1]Нэгтгэл!EG:EG)</f>
        <v>0</v>
      </c>
    </row>
    <row r="62" spans="1:4">
      <c r="A62" s="22">
        <f t="shared" si="1"/>
        <v>60</v>
      </c>
      <c r="B62" s="9">
        <v>3615243</v>
      </c>
      <c r="C62" s="20" t="s">
        <v>232</v>
      </c>
      <c r="D62" s="427">
        <f>SUMIF([1]Нэгтгэл!B:B,'[1]11'!B:B,[1]Нэгтгэл!EG:EG)</f>
        <v>0</v>
      </c>
    </row>
    <row r="63" spans="1:4">
      <c r="A63" s="22">
        <f t="shared" si="1"/>
        <v>61</v>
      </c>
      <c r="B63" s="9">
        <v>3623955</v>
      </c>
      <c r="C63" s="20" t="s">
        <v>236</v>
      </c>
      <c r="D63" s="427">
        <f>SUMIF([1]Нэгтгэл!B:B,'[1]11'!B:B,[1]Нэгтгэл!EG:EG)</f>
        <v>0</v>
      </c>
    </row>
    <row r="64" spans="1:4">
      <c r="A64" s="22">
        <f t="shared" si="1"/>
        <v>62</v>
      </c>
      <c r="B64" s="9">
        <v>5199077</v>
      </c>
      <c r="C64" s="20" t="s">
        <v>239</v>
      </c>
      <c r="D64" s="427">
        <f>SUMIF([1]Нэгтгэл!B:B,'[1]11'!B:B,[1]Нэгтгэл!EG:EG)</f>
        <v>0</v>
      </c>
    </row>
    <row r="65" spans="1:4">
      <c r="A65" s="22">
        <f t="shared" si="1"/>
        <v>63</v>
      </c>
      <c r="B65" s="9">
        <v>2075385</v>
      </c>
      <c r="C65" s="20" t="s">
        <v>240</v>
      </c>
      <c r="D65" s="427">
        <f>SUMIF([1]Нэгтгэл!B:B,'[1]11'!B:B,[1]Нэгтгэл!EG:EG)</f>
        <v>0</v>
      </c>
    </row>
    <row r="66" spans="1:4">
      <c r="A66" s="22">
        <f t="shared" si="1"/>
        <v>64</v>
      </c>
      <c r="B66" s="9">
        <v>2867095</v>
      </c>
      <c r="C66" s="20" t="s">
        <v>241</v>
      </c>
      <c r="D66" s="427">
        <f>SUMIF([1]Нэгтгэл!B:B,'[1]11'!B:B,[1]Нэгтгэл!EG:EG)</f>
        <v>0</v>
      </c>
    </row>
    <row r="67" spans="1:4">
      <c r="A67" s="22">
        <f t="shared" si="1"/>
        <v>65</v>
      </c>
      <c r="B67" s="9">
        <v>5076285</v>
      </c>
      <c r="C67" s="20" t="s">
        <v>242</v>
      </c>
      <c r="D67" s="427">
        <f>SUMIF([1]Нэгтгэл!B:B,'[1]11'!B:B,[1]Нэгтгэл!EG:EG)</f>
        <v>0</v>
      </c>
    </row>
    <row r="68" spans="1:4">
      <c r="A68" s="22">
        <f t="shared" ref="A68:A99" si="2">SUM(A67+1)</f>
        <v>66</v>
      </c>
      <c r="B68" s="9">
        <v>5084555</v>
      </c>
      <c r="C68" s="20" t="s">
        <v>243</v>
      </c>
      <c r="D68" s="427">
        <f>SUMIF([1]Нэгтгэл!B:B,'[1]11'!B:B,[1]Нэгтгэл!EG:EG)</f>
        <v>0</v>
      </c>
    </row>
    <row r="69" spans="1:4">
      <c r="A69" s="22">
        <f t="shared" si="2"/>
        <v>67</v>
      </c>
      <c r="B69" s="9">
        <v>5261198</v>
      </c>
      <c r="C69" s="20" t="s">
        <v>244</v>
      </c>
      <c r="D69" s="427">
        <f>SUMIF([1]Нэгтгэл!B:B,'[1]11'!B:B,[1]Нэгтгэл!EG:EG)</f>
        <v>0</v>
      </c>
    </row>
    <row r="70" spans="1:4">
      <c r="A70" s="22">
        <f t="shared" si="2"/>
        <v>68</v>
      </c>
      <c r="B70" s="9">
        <v>5288703</v>
      </c>
      <c r="C70" s="20" t="s">
        <v>246</v>
      </c>
      <c r="D70" s="427">
        <f>SUMIF([1]Нэгтгэл!B:B,'[1]11'!B:B,[1]Нэгтгэл!EG:EG)</f>
        <v>0</v>
      </c>
    </row>
    <row r="71" spans="1:4">
      <c r="A71" s="22">
        <f t="shared" si="2"/>
        <v>69</v>
      </c>
      <c r="B71" s="9">
        <v>6232485</v>
      </c>
      <c r="C71" s="20" t="s">
        <v>248</v>
      </c>
      <c r="D71" s="427">
        <f>SUMIF([1]Нэгтгэл!B:B,'[1]11'!B:B,[1]Нэгтгэл!EG:EG)</f>
        <v>0</v>
      </c>
    </row>
    <row r="72" spans="1:4">
      <c r="A72" s="22">
        <f t="shared" si="2"/>
        <v>70</v>
      </c>
      <c r="B72" s="9">
        <v>6101615</v>
      </c>
      <c r="C72" s="20" t="s">
        <v>249</v>
      </c>
      <c r="D72" s="427">
        <f>SUMIF([1]Нэгтгэл!B:B,'[1]11'!B:B,[1]Нэгтгэл!EG:EG)</f>
        <v>0</v>
      </c>
    </row>
    <row r="73" spans="1:4">
      <c r="A73" s="22">
        <f t="shared" si="2"/>
        <v>71</v>
      </c>
      <c r="B73" s="9">
        <v>5120365</v>
      </c>
      <c r="C73" s="20" t="s">
        <v>250</v>
      </c>
      <c r="D73" s="427">
        <f>SUMIF([1]Нэгтгэл!B:B,'[1]11'!B:B,[1]Нэгтгэл!EG:EG)</f>
        <v>0</v>
      </c>
    </row>
    <row r="74" spans="1:4">
      <c r="A74" s="22">
        <f t="shared" si="2"/>
        <v>72</v>
      </c>
      <c r="B74" s="9">
        <v>2016656</v>
      </c>
      <c r="C74" s="20" t="s">
        <v>251</v>
      </c>
      <c r="D74" s="427">
        <f>SUMIF([1]Нэгтгэл!B:B,'[1]11'!B:B,[1]Нэгтгэл!EG:EG)</f>
        <v>0</v>
      </c>
    </row>
    <row r="75" spans="1:4">
      <c r="A75" s="22">
        <f t="shared" si="2"/>
        <v>73</v>
      </c>
      <c r="B75" s="9">
        <v>5872006</v>
      </c>
      <c r="C75" s="20" t="s">
        <v>253</v>
      </c>
      <c r="D75" s="427">
        <f>SUMIF([1]Нэгтгэл!B:B,'[1]11'!B:B,[1]Нэгтгэл!EG:EG)</f>
        <v>-715347.02000000328</v>
      </c>
    </row>
    <row r="76" spans="1:4">
      <c r="A76" s="22">
        <f t="shared" si="2"/>
        <v>74</v>
      </c>
      <c r="B76" s="9">
        <v>5774047</v>
      </c>
      <c r="C76" s="20" t="s">
        <v>254</v>
      </c>
      <c r="D76" s="427">
        <f>SUMIF([1]Нэгтгэл!B:B,'[1]11'!B:B,[1]Нэгтгэл!EG:EG)</f>
        <v>-5089282.7100000381</v>
      </c>
    </row>
    <row r="77" spans="1:4">
      <c r="A77" s="22">
        <f t="shared" si="2"/>
        <v>75</v>
      </c>
      <c r="B77" s="9">
        <v>5105439</v>
      </c>
      <c r="C77" s="20" t="s">
        <v>257</v>
      </c>
      <c r="D77" s="427">
        <f>SUMIF([1]Нэгтгэл!B:B,'[1]11'!B:B,[1]Нэгтгэл!EG:EG)</f>
        <v>-5700919.5800000094</v>
      </c>
    </row>
    <row r="78" spans="1:4">
      <c r="A78" s="22">
        <f t="shared" si="2"/>
        <v>76</v>
      </c>
      <c r="B78" s="9">
        <v>2663813</v>
      </c>
      <c r="C78" s="20" t="s">
        <v>258</v>
      </c>
      <c r="D78" s="427">
        <f>SUMIF([1]Нэгтгэл!B:B,'[1]11'!B:B,[1]Нэгтгэл!EG:EG)</f>
        <v>-6485191</v>
      </c>
    </row>
    <row r="79" spans="1:4">
      <c r="A79" s="22">
        <f t="shared" si="2"/>
        <v>77</v>
      </c>
      <c r="B79" s="9">
        <v>2016931</v>
      </c>
      <c r="C79" s="20" t="s">
        <v>260</v>
      </c>
      <c r="D79" s="427">
        <f>SUMIF([1]Нэгтгэл!B:B,'[1]11'!B:B,[1]Нэгтгэл!EG:EG)</f>
        <v>-11407088.970000001</v>
      </c>
    </row>
    <row r="80" spans="1:4">
      <c r="A80" s="22">
        <f t="shared" si="2"/>
        <v>78</v>
      </c>
      <c r="B80" s="9">
        <v>5513618</v>
      </c>
      <c r="C80" s="20" t="s">
        <v>263</v>
      </c>
      <c r="D80" s="427">
        <f>SUMIF([1]Нэгтгэл!B:B,'[1]11'!B:B,[1]Нэгтгэл!EG:EG)</f>
        <v>-16866720</v>
      </c>
    </row>
    <row r="81" spans="1:4">
      <c r="A81" s="22">
        <f t="shared" si="2"/>
        <v>79</v>
      </c>
      <c r="B81" s="9">
        <v>2807459</v>
      </c>
      <c r="C81" s="20" t="s">
        <v>264</v>
      </c>
      <c r="D81" s="427">
        <f>SUMIF([1]Нэгтгэл!B:B,'[1]11'!B:B,[1]Нэгтгэл!EG:EG)</f>
        <v>-17600857.550000001</v>
      </c>
    </row>
    <row r="82" spans="1:4">
      <c r="A82" s="22">
        <f t="shared" si="2"/>
        <v>80</v>
      </c>
      <c r="B82" s="9">
        <v>2872943</v>
      </c>
      <c r="C82" s="20" t="s">
        <v>265</v>
      </c>
      <c r="D82" s="427">
        <f>SUMIF([1]Нэгтгэл!B:B,'[1]11'!B:B,[1]Нэгтгэл!EG:EG)</f>
        <v>-18998825</v>
      </c>
    </row>
    <row r="83" spans="1:4">
      <c r="A83" s="22">
        <f t="shared" si="2"/>
        <v>81</v>
      </c>
      <c r="B83" s="9">
        <v>6268048</v>
      </c>
      <c r="C83" s="20" t="s">
        <v>266</v>
      </c>
      <c r="D83" s="427">
        <f>SUMIF([1]Нэгтгэл!B:B,'[1]11'!B:B,[1]Нэгтгэл!EG:EG)</f>
        <v>-22047364.519999981</v>
      </c>
    </row>
    <row r="84" spans="1:4">
      <c r="A84" s="22">
        <f t="shared" si="2"/>
        <v>82</v>
      </c>
      <c r="B84" s="9">
        <v>5874963</v>
      </c>
      <c r="C84" s="20" t="s">
        <v>268</v>
      </c>
      <c r="D84" s="427">
        <f>SUMIF([1]Нэгтгэл!B:B,'[1]11'!B:B,[1]Нэгтгэл!EG:EG)</f>
        <v>-23093120.939999998</v>
      </c>
    </row>
    <row r="85" spans="1:4">
      <c r="A85" s="22">
        <f t="shared" si="2"/>
        <v>83</v>
      </c>
      <c r="B85" s="9">
        <v>6636624</v>
      </c>
      <c r="C85" s="20" t="s">
        <v>269</v>
      </c>
      <c r="D85" s="427">
        <f>SUMIF([1]Нэгтгэл!B:B,'[1]11'!B:B,[1]Нэгтгэл!EG:EG)</f>
        <v>-39025314</v>
      </c>
    </row>
    <row r="86" spans="1:4">
      <c r="A86" s="22">
        <f t="shared" si="2"/>
        <v>84</v>
      </c>
      <c r="B86" s="9">
        <v>2839717</v>
      </c>
      <c r="C86" s="20" t="s">
        <v>270</v>
      </c>
      <c r="D86" s="427">
        <f>SUMIF([1]Нэгтгэл!B:B,'[1]11'!B:B,[1]Нэгтгэл!EG:EG)</f>
        <v>-49094350</v>
      </c>
    </row>
    <row r="87" spans="1:4">
      <c r="A87" s="22">
        <f t="shared" si="2"/>
        <v>85</v>
      </c>
      <c r="B87" s="9">
        <v>2344343</v>
      </c>
      <c r="C87" s="20" t="s">
        <v>271</v>
      </c>
      <c r="D87" s="427">
        <f>SUMIF([1]Нэгтгэл!B:B,'[1]11'!B:B,[1]Нэгтгэл!EG:EG)</f>
        <v>-76781524</v>
      </c>
    </row>
    <row r="88" spans="1:4">
      <c r="A88" s="22">
        <f t="shared" si="2"/>
        <v>86</v>
      </c>
      <c r="B88" s="9">
        <v>2819996</v>
      </c>
      <c r="C88" s="20" t="s">
        <v>273</v>
      </c>
      <c r="D88" s="427">
        <f>SUMIF([1]Нэгтгэл!B:B,'[1]11'!B:B,[1]Нэгтгэл!EG:EG)</f>
        <v>-97286133.719999999</v>
      </c>
    </row>
    <row r="89" spans="1:4">
      <c r="A89" s="22">
        <f t="shared" si="2"/>
        <v>87</v>
      </c>
      <c r="B89" s="9">
        <v>2868687</v>
      </c>
      <c r="C89" s="20" t="s">
        <v>277</v>
      </c>
      <c r="D89" s="427">
        <f>SUMIF([1]Нэгтгэл!B:B,'[1]11'!B:B,[1]Нэгтгэл!EG:EG)</f>
        <v>-98165933.219999999</v>
      </c>
    </row>
    <row r="90" spans="1:4">
      <c r="A90" s="22">
        <f t="shared" si="2"/>
        <v>88</v>
      </c>
      <c r="B90" s="9">
        <v>5877288</v>
      </c>
      <c r="C90" s="20" t="s">
        <v>279</v>
      </c>
      <c r="D90" s="427">
        <f>SUMIF([1]Нэгтгэл!B:B,'[1]11'!B:B,[1]Нэгтгэл!EG:EG)</f>
        <v>-107821387</v>
      </c>
    </row>
    <row r="91" spans="1:4">
      <c r="A91" s="22">
        <f t="shared" si="2"/>
        <v>89</v>
      </c>
      <c r="B91" s="9">
        <v>6195598</v>
      </c>
      <c r="C91" s="20" t="s">
        <v>281</v>
      </c>
      <c r="D91" s="427">
        <f>SUMIF([1]Нэгтгэл!B:B,'[1]11'!B:B,[1]Нэгтгэл!EG:EG)</f>
        <v>-108789050.30000001</v>
      </c>
    </row>
    <row r="92" spans="1:4">
      <c r="A92" s="22">
        <f t="shared" si="2"/>
        <v>90</v>
      </c>
      <c r="B92" s="9">
        <v>6413811</v>
      </c>
      <c r="C92" s="20" t="s">
        <v>282</v>
      </c>
      <c r="D92" s="427">
        <f>SUMIF([1]Нэгтгэл!B:B,'[1]11'!B:B,[1]Нэгтгэл!EG:EG)</f>
        <v>-126448967.80000001</v>
      </c>
    </row>
    <row r="93" spans="1:4">
      <c r="A93" s="22">
        <f t="shared" si="2"/>
        <v>91</v>
      </c>
      <c r="B93" s="9">
        <v>2887134</v>
      </c>
      <c r="C93" s="20" t="s">
        <v>283</v>
      </c>
      <c r="D93" s="427">
        <f>SUMIF([1]Нэгтгэл!B:B,'[1]11'!B:B,[1]Нэгтгэл!EG:EG)</f>
        <v>-146730180.67000008</v>
      </c>
    </row>
    <row r="94" spans="1:4">
      <c r="A94" s="22">
        <f t="shared" si="2"/>
        <v>92</v>
      </c>
      <c r="B94" s="9">
        <v>2618176</v>
      </c>
      <c r="C94" s="20" t="s">
        <v>284</v>
      </c>
      <c r="D94" s="427">
        <f>SUMIF([1]Нэгтгэл!B:B,'[1]11'!B:B,[1]Нэгтгэл!EG:EG)</f>
        <v>-155114232.5</v>
      </c>
    </row>
    <row r="95" spans="1:4">
      <c r="A95" s="22">
        <f t="shared" si="2"/>
        <v>93</v>
      </c>
      <c r="B95" s="9">
        <v>5364884</v>
      </c>
      <c r="C95" s="20" t="s">
        <v>285</v>
      </c>
      <c r="D95" s="427">
        <f>SUMIF([1]Нэгтгэл!B:B,'[1]11'!B:B,[1]Нэгтгэл!EG:EG)</f>
        <v>-168086321.43000007</v>
      </c>
    </row>
    <row r="96" spans="1:4">
      <c r="A96" s="22">
        <f t="shared" si="2"/>
        <v>94</v>
      </c>
      <c r="B96" s="9">
        <v>2100231</v>
      </c>
      <c r="C96" s="20" t="s">
        <v>286</v>
      </c>
      <c r="D96" s="427">
        <f>SUMIF([1]Нэгтгэл!B:B,'[1]11'!B:B,[1]Нэгтгэл!EG:EG)</f>
        <v>-170259752.19999999</v>
      </c>
    </row>
    <row r="97" spans="1:4">
      <c r="A97" s="22">
        <f t="shared" si="2"/>
        <v>95</v>
      </c>
      <c r="B97" s="9">
        <v>2661128</v>
      </c>
      <c r="C97" s="20" t="s">
        <v>287</v>
      </c>
      <c r="D97" s="427">
        <f>SUMIF([1]Нэгтгэл!B:B,'[1]11'!B:B,[1]Нэгтгэл!EG:EG)</f>
        <v>-253682015.94000027</v>
      </c>
    </row>
    <row r="98" spans="1:4">
      <c r="A98" s="22">
        <f t="shared" si="2"/>
        <v>96</v>
      </c>
      <c r="B98" s="9">
        <v>5878756</v>
      </c>
      <c r="C98" s="20" t="s">
        <v>290</v>
      </c>
      <c r="D98" s="427">
        <f>SUMIF([1]Нэгтгэл!B:B,'[1]11'!B:B,[1]Нэгтгэл!EG:EG)</f>
        <v>-297977337.41411996</v>
      </c>
    </row>
    <row r="99" spans="1:4">
      <c r="A99" s="22">
        <f t="shared" si="2"/>
        <v>97</v>
      </c>
      <c r="B99" s="9">
        <v>2166631</v>
      </c>
      <c r="C99" s="20" t="s">
        <v>292</v>
      </c>
      <c r="D99" s="427">
        <f>SUMIF([1]Нэгтгэл!B:B,'[1]11'!B:B,[1]Нэгтгэл!EG:EG)</f>
        <v>-356125772.26999998</v>
      </c>
    </row>
    <row r="100" spans="1:4">
      <c r="A100" s="22">
        <f t="shared" ref="A100:A127" si="3">SUM(A99+1)</f>
        <v>98</v>
      </c>
      <c r="B100" s="9">
        <v>5671833</v>
      </c>
      <c r="C100" s="20" t="s">
        <v>296</v>
      </c>
      <c r="D100" s="427">
        <f>SUMIF([1]Нэгтгэл!B:B,'[1]11'!B:B,[1]Нэгтгэл!EG:EG)</f>
        <v>-362787341.94</v>
      </c>
    </row>
    <row r="101" spans="1:4">
      <c r="A101" s="22">
        <f t="shared" si="3"/>
        <v>99</v>
      </c>
      <c r="B101" s="9">
        <v>5104424</v>
      </c>
      <c r="C101" s="20" t="s">
        <v>297</v>
      </c>
      <c r="D101" s="427">
        <f>SUMIF([1]Нэгтгэл!B:B,'[1]11'!B:B,[1]Нэгтгэл!EG:EG)</f>
        <v>-367964363.55999899</v>
      </c>
    </row>
    <row r="102" spans="1:4">
      <c r="A102" s="22">
        <f t="shared" si="3"/>
        <v>100</v>
      </c>
      <c r="B102" s="9">
        <v>2668505</v>
      </c>
      <c r="C102" s="20" t="s">
        <v>298</v>
      </c>
      <c r="D102" s="427">
        <f>SUMIF([1]Нэгтгэл!B:B,'[1]11'!B:B,[1]Нэгтгэл!EG:EG)</f>
        <v>-371954604.85000002</v>
      </c>
    </row>
    <row r="103" spans="1:4">
      <c r="A103" s="22">
        <f t="shared" si="3"/>
        <v>101</v>
      </c>
      <c r="B103" s="9">
        <v>2697947</v>
      </c>
      <c r="C103" s="20" t="s">
        <v>299</v>
      </c>
      <c r="D103" s="427">
        <f>SUMIF([1]Нэгтгэл!B:B,'[1]11'!B:B,[1]Нэгтгэл!EG:EG)</f>
        <v>-385397680.59612513</v>
      </c>
    </row>
    <row r="104" spans="1:4">
      <c r="A104" s="22">
        <f t="shared" si="3"/>
        <v>102</v>
      </c>
      <c r="B104" s="9">
        <v>5352827</v>
      </c>
      <c r="C104" s="20" t="s">
        <v>300</v>
      </c>
      <c r="D104" s="427">
        <f>SUMIF([1]Нэгтгэл!B:B,'[1]11'!B:B,[1]Нэгтгэл!EG:EG)</f>
        <v>-397262930.72667903</v>
      </c>
    </row>
    <row r="105" spans="1:4">
      <c r="A105" s="22">
        <f t="shared" si="3"/>
        <v>103</v>
      </c>
      <c r="B105" s="9">
        <v>2548747</v>
      </c>
      <c r="C105" s="20" t="s">
        <v>301</v>
      </c>
      <c r="D105" s="427">
        <f>SUMIF([1]Нэгтгэл!B:B,'[1]11'!B:B,[1]Нэгтгэл!EG:EG)</f>
        <v>-421910128.97133708</v>
      </c>
    </row>
    <row r="106" spans="1:4">
      <c r="A106" s="22">
        <f t="shared" si="3"/>
        <v>104</v>
      </c>
      <c r="B106" s="9">
        <v>2641984</v>
      </c>
      <c r="C106" s="20" t="s">
        <v>303</v>
      </c>
      <c r="D106" s="427">
        <f>SUMIF([1]Нэгтгэл!B:B,'[1]11'!B:B,[1]Нэгтгэл!EG:EG)</f>
        <v>-494354375.53000015</v>
      </c>
    </row>
    <row r="107" spans="1:4">
      <c r="A107" s="22">
        <f t="shared" si="3"/>
        <v>105</v>
      </c>
      <c r="B107" s="9">
        <v>6342485</v>
      </c>
      <c r="C107" s="20" t="s">
        <v>306</v>
      </c>
      <c r="D107" s="427">
        <f>SUMIF([1]Нэгтгэл!B:B,'[1]11'!B:B,[1]Нэгтгэл!EG:EG)</f>
        <v>-597066780.73000002</v>
      </c>
    </row>
    <row r="108" spans="1:4">
      <c r="A108" s="22">
        <f t="shared" si="3"/>
        <v>106</v>
      </c>
      <c r="B108" s="9">
        <v>5166667</v>
      </c>
      <c r="C108" s="20" t="s">
        <v>307</v>
      </c>
      <c r="D108" s="427">
        <f>SUMIF([1]Нэгтгэл!B:B,'[1]11'!B:B,[1]Нэгтгэл!EG:EG)</f>
        <v>-996321809.40445197</v>
      </c>
    </row>
    <row r="109" spans="1:4">
      <c r="A109" s="22">
        <f t="shared" si="3"/>
        <v>107</v>
      </c>
      <c r="B109" s="9">
        <v>5482046</v>
      </c>
      <c r="C109" s="20" t="s">
        <v>308</v>
      </c>
      <c r="D109" s="427">
        <f>SUMIF([1]Нэгтгэл!B:B,'[1]11'!B:B,[1]Нэгтгэл!EG:EG)</f>
        <v>-1080331197.7000008</v>
      </c>
    </row>
    <row r="110" spans="1:4">
      <c r="A110" s="22">
        <f t="shared" si="3"/>
        <v>108</v>
      </c>
      <c r="B110" s="9">
        <v>2050374</v>
      </c>
      <c r="C110" s="20" t="s">
        <v>309</v>
      </c>
      <c r="D110" s="427">
        <f>SUMIF([1]Нэгтгэл!B:B,'[1]11'!B:B,[1]Нэгтгэл!EG:EG)</f>
        <v>-1307225987.8670049</v>
      </c>
    </row>
    <row r="111" spans="1:4">
      <c r="A111" s="22">
        <f t="shared" si="3"/>
        <v>109</v>
      </c>
      <c r="B111" s="9">
        <v>2004879</v>
      </c>
      <c r="C111" s="20" t="s">
        <v>311</v>
      </c>
      <c r="D111" s="427">
        <f>SUMIF([1]Нэгтгэл!B:B,'[1]11'!B:B,[1]Нэгтгэл!EG:EG)</f>
        <v>-1324465963.49</v>
      </c>
    </row>
    <row r="112" spans="1:4">
      <c r="A112" s="22">
        <f t="shared" si="3"/>
        <v>110</v>
      </c>
      <c r="B112" s="9">
        <v>2830213</v>
      </c>
      <c r="C112" s="20" t="s">
        <v>314</v>
      </c>
      <c r="D112" s="427">
        <f>SUMIF([1]Нэгтгэл!B:B,'[1]11'!B:B,[1]Нэгтгэл!EG:EG)</f>
        <v>-1330849088.7199988</v>
      </c>
    </row>
    <row r="113" spans="1:4">
      <c r="A113" s="22">
        <f t="shared" si="3"/>
        <v>111</v>
      </c>
      <c r="B113" s="9">
        <v>5320607</v>
      </c>
      <c r="C113" s="20" t="s">
        <v>315</v>
      </c>
      <c r="D113" s="427">
        <f>SUMIF([1]Нэгтгэл!B:B,'[1]11'!B:B,[1]Нэгтгэл!EG:EG)</f>
        <v>-1332674149.0011852</v>
      </c>
    </row>
    <row r="114" spans="1:4">
      <c r="A114" s="22">
        <f t="shared" si="3"/>
        <v>112</v>
      </c>
      <c r="B114" s="9">
        <v>5586119</v>
      </c>
      <c r="C114" s="20" t="s">
        <v>316</v>
      </c>
      <c r="D114" s="427">
        <f>SUMIF([1]Нэгтгэл!B:B,'[1]11'!B:B,[1]Нэгтгэл!EG:EG)</f>
        <v>-1598013150.6100006</v>
      </c>
    </row>
    <row r="115" spans="1:4">
      <c r="A115" s="22">
        <f t="shared" si="3"/>
        <v>113</v>
      </c>
      <c r="B115" s="9">
        <v>5015243</v>
      </c>
      <c r="C115" s="20" t="s">
        <v>317</v>
      </c>
      <c r="D115" s="427">
        <f>SUMIF([1]Нэгтгэл!B:B,'[1]11'!B:B,[1]Нэгтгэл!EG:EG)</f>
        <v>-1748440417.7200012</v>
      </c>
    </row>
    <row r="116" spans="1:4">
      <c r="A116" s="22">
        <f t="shared" si="3"/>
        <v>114</v>
      </c>
      <c r="B116" s="9">
        <v>5452503</v>
      </c>
      <c r="C116" s="20" t="s">
        <v>318</v>
      </c>
      <c r="D116" s="427">
        <f>SUMIF([1]Нэгтгэл!B:B,'[1]11'!B:B,[1]Нэгтгэл!EG:EG)</f>
        <v>-2629236342.3100328</v>
      </c>
    </row>
    <row r="117" spans="1:4">
      <c r="A117" s="22">
        <f t="shared" si="3"/>
        <v>115</v>
      </c>
      <c r="B117" s="9">
        <v>2887746</v>
      </c>
      <c r="C117" s="20" t="s">
        <v>319</v>
      </c>
      <c r="D117" s="427">
        <f>SUMIF([1]Нэгтгэл!B:B,'[1]11'!B:B,[1]Нэгтгэл!EG:EG)</f>
        <v>-3237769654.6300001</v>
      </c>
    </row>
    <row r="118" spans="1:4">
      <c r="A118" s="22">
        <f t="shared" si="3"/>
        <v>116</v>
      </c>
      <c r="B118" s="9">
        <v>5618339</v>
      </c>
      <c r="C118" s="20" t="s">
        <v>320</v>
      </c>
      <c r="D118" s="427">
        <f>SUMIF([1]Нэгтгэл!B:B,'[1]11'!B:B,[1]Нэгтгэл!EG:EG)</f>
        <v>-3791149910.3000002</v>
      </c>
    </row>
    <row r="119" spans="1:4">
      <c r="A119" s="22">
        <f t="shared" si="3"/>
        <v>117</v>
      </c>
      <c r="B119" s="9">
        <v>2718243</v>
      </c>
      <c r="C119" s="20" t="s">
        <v>321</v>
      </c>
      <c r="D119" s="427">
        <f>SUMIF([1]Нэгтгэл!B:B,'[1]11'!B:B,[1]Нэгтгэл!EG:EG)</f>
        <v>-3939691826.4364996</v>
      </c>
    </row>
    <row r="120" spans="1:4">
      <c r="A120" s="22">
        <f t="shared" si="3"/>
        <v>118</v>
      </c>
      <c r="B120" s="9">
        <v>6896197</v>
      </c>
      <c r="C120" s="20" t="s">
        <v>322</v>
      </c>
      <c r="D120" s="427">
        <f>SUMIF([1]Нэгтгэл!B:B,'[1]11'!B:B,[1]Нэгтгэл!EG:EG)</f>
        <v>-4242581356.9247952</v>
      </c>
    </row>
    <row r="121" spans="1:4">
      <c r="A121" s="22">
        <f t="shared" si="3"/>
        <v>119</v>
      </c>
      <c r="B121" s="9">
        <v>5435528</v>
      </c>
      <c r="C121" s="20" t="s">
        <v>323</v>
      </c>
      <c r="D121" s="427">
        <f>SUMIF([1]Нэгтгэл!B:B,'[1]11'!B:B,[1]Нэгтгэл!EG:EG)</f>
        <v>-5248634138.8697071</v>
      </c>
    </row>
    <row r="122" spans="1:4">
      <c r="A122" s="22">
        <f t="shared" si="3"/>
        <v>120</v>
      </c>
      <c r="B122" s="9">
        <v>5824826</v>
      </c>
      <c r="C122" s="20" t="s">
        <v>324</v>
      </c>
      <c r="D122" s="427">
        <f>SUMIF([1]Нэгтгэл!B:B,'[1]11'!B:B,[1]Нэгтгэл!EG:EG)</f>
        <v>-5493718953.8399849</v>
      </c>
    </row>
    <row r="123" spans="1:4">
      <c r="A123" s="22">
        <f t="shared" si="3"/>
        <v>121</v>
      </c>
      <c r="B123" s="9">
        <v>6141536</v>
      </c>
      <c r="C123" s="20" t="s">
        <v>325</v>
      </c>
      <c r="D123" s="427">
        <f>SUMIF([1]Нэгтгэл!B:B,'[1]11'!B:B,[1]Нэгтгэл!EG:EG)</f>
        <v>-7840607580.0175982</v>
      </c>
    </row>
    <row r="124" spans="1:4">
      <c r="A124" s="22">
        <f t="shared" si="3"/>
        <v>122</v>
      </c>
      <c r="B124" s="9">
        <v>5124913</v>
      </c>
      <c r="C124" s="20" t="s">
        <v>326</v>
      </c>
      <c r="D124" s="427">
        <f>SUMIF([1]Нэгтгэл!B:B,'[1]11'!B:B,[1]Нэгтгэл!EG:EG)</f>
        <v>-12294574636</v>
      </c>
    </row>
    <row r="125" spans="1:4">
      <c r="A125" s="22">
        <f t="shared" si="3"/>
        <v>123</v>
      </c>
      <c r="B125" s="9">
        <v>2074192</v>
      </c>
      <c r="C125" s="20" t="s">
        <v>327</v>
      </c>
      <c r="D125" s="427">
        <f>SUMIF([1]Нэгтгэл!B:B,'[1]11'!B:B,[1]Нэгтгэл!EG:EG)</f>
        <v>-33815627101.509926</v>
      </c>
    </row>
    <row r="126" spans="1:4">
      <c r="A126" s="22">
        <f t="shared" si="3"/>
        <v>124</v>
      </c>
      <c r="B126" s="9">
        <v>2861224</v>
      </c>
      <c r="C126" s="20" t="s">
        <v>331</v>
      </c>
      <c r="D126" s="427">
        <f>SUMIF([1]Нэгтгэл!B:B,'[1]11'!B:B,[1]Нэгтгэл!EG:EG)</f>
        <v>-43002026737.610001</v>
      </c>
    </row>
    <row r="127" spans="1:4">
      <c r="A127" s="22">
        <f t="shared" si="3"/>
        <v>125</v>
      </c>
      <c r="B127" s="9">
        <v>5137977</v>
      </c>
      <c r="C127" s="20" t="s">
        <v>332</v>
      </c>
      <c r="D127" s="427">
        <f>SUMIF([1]Нэгтгэл!B:B,'[1]11'!B:B,[1]Нэгтгэл!EG:EG)</f>
        <v>0</v>
      </c>
    </row>
    <row r="128" spans="1:4">
      <c r="D128" s="436">
        <f>SUM(D3:D127)</f>
        <v>48583228735.179092</v>
      </c>
    </row>
  </sheetData>
  <mergeCells count="1">
    <mergeCell ref="A1:E1"/>
  </mergeCells>
  <conditionalFormatting sqref="B3:B32 B88">
    <cfRule type="duplicateValues" dxfId="511" priority="12"/>
  </conditionalFormatting>
  <conditionalFormatting sqref="B33:B82">
    <cfRule type="duplicateValues" dxfId="510" priority="11"/>
  </conditionalFormatting>
  <conditionalFormatting sqref="B83">
    <cfRule type="duplicateValues" dxfId="509" priority="10"/>
  </conditionalFormatting>
  <conditionalFormatting sqref="B84">
    <cfRule type="duplicateValues" dxfId="508" priority="9"/>
  </conditionalFormatting>
  <conditionalFormatting sqref="B85">
    <cfRule type="duplicateValues" dxfId="507" priority="8"/>
  </conditionalFormatting>
  <conditionalFormatting sqref="B86">
    <cfRule type="duplicateValues" dxfId="506" priority="7"/>
  </conditionalFormatting>
  <conditionalFormatting sqref="B87">
    <cfRule type="duplicateValues" dxfId="505" priority="6"/>
  </conditionalFormatting>
  <conditionalFormatting sqref="B89:B127">
    <cfRule type="duplicateValues" dxfId="504" priority="13"/>
  </conditionalFormatting>
  <conditionalFormatting sqref="C3:C32 C88">
    <cfRule type="duplicateValues" dxfId="503" priority="4"/>
  </conditionalFormatting>
  <conditionalFormatting sqref="C33:C82">
    <cfRule type="duplicateValues" dxfId="502" priority="3"/>
  </conditionalFormatting>
  <conditionalFormatting sqref="C83">
    <cfRule type="duplicateValues" dxfId="501" priority="1"/>
  </conditionalFormatting>
  <conditionalFormatting sqref="C84:C87">
    <cfRule type="duplicateValues" dxfId="500" priority="2"/>
  </conditionalFormatting>
  <conditionalFormatting sqref="C89:C127">
    <cfRule type="duplicateValues" dxfId="499" priority="5"/>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5250E-4E17-4675-AC3B-F8DA68C537A4}">
  <sheetPr>
    <tabColor rgb="FF006432"/>
  </sheetPr>
  <dimension ref="A1:W127"/>
  <sheetViews>
    <sheetView workbookViewId="0">
      <selection activeCell="K2" sqref="K2"/>
    </sheetView>
  </sheetViews>
  <sheetFormatPr defaultRowHeight="15"/>
  <cols>
    <col min="1" max="1" width="5.7109375" customWidth="1"/>
    <col min="2" max="2" width="12.85546875" customWidth="1"/>
    <col min="3" max="3" width="34.28515625" customWidth="1"/>
    <col min="4" max="4" width="21.140625" customWidth="1"/>
    <col min="5" max="5" width="21" customWidth="1"/>
    <col min="6" max="6" width="19.28515625" customWidth="1"/>
    <col min="7" max="7" width="15.28515625" customWidth="1"/>
    <col min="8" max="8" width="17.42578125" customWidth="1"/>
    <col min="9" max="9" width="20.5703125" customWidth="1"/>
    <col min="10" max="10" width="16" customWidth="1"/>
    <col min="11" max="11" width="18.28515625" customWidth="1"/>
    <col min="12" max="12" width="19.140625" customWidth="1"/>
    <col min="13" max="13" width="21.7109375" customWidth="1"/>
    <col min="14" max="14" width="18.5703125" customWidth="1"/>
    <col min="15" max="15" width="20.28515625" customWidth="1"/>
    <col min="16" max="16" width="17.85546875" customWidth="1"/>
    <col min="17" max="17" width="17.7109375" customWidth="1"/>
    <col min="18" max="18" width="23.5703125" customWidth="1"/>
    <col min="19" max="19" width="23.140625" customWidth="1"/>
    <col min="20" max="20" width="21.7109375" customWidth="1"/>
    <col min="21" max="21" width="20.42578125" customWidth="1"/>
    <col min="22" max="22" width="16.85546875" customWidth="1"/>
    <col min="23" max="23" width="21" bestFit="1" customWidth="1"/>
  </cols>
  <sheetData>
    <row r="1" spans="1:23" ht="16.5" thickBot="1">
      <c r="A1" s="641" t="s">
        <v>699</v>
      </c>
      <c r="B1" s="641"/>
      <c r="C1" s="641"/>
      <c r="D1" s="641"/>
      <c r="E1" s="641"/>
      <c r="F1" s="641"/>
      <c r="G1" s="641"/>
      <c r="H1" s="641"/>
      <c r="I1" s="47"/>
      <c r="J1" s="47"/>
      <c r="K1" s="47"/>
      <c r="L1" s="47"/>
      <c r="M1" s="47"/>
      <c r="N1" s="47"/>
      <c r="O1" s="47"/>
      <c r="P1" s="47"/>
      <c r="Q1" s="47"/>
      <c r="R1" s="47"/>
      <c r="S1" s="43" t="s">
        <v>700</v>
      </c>
      <c r="T1" s="23"/>
      <c r="U1" s="23"/>
      <c r="V1" s="23"/>
    </row>
    <row r="2" spans="1:23" s="8" customFormat="1" ht="57" customHeight="1" thickTop="1">
      <c r="A2" s="434" t="s">
        <v>114</v>
      </c>
      <c r="B2" s="434" t="s">
        <v>621</v>
      </c>
      <c r="C2" s="434" t="s">
        <v>115</v>
      </c>
      <c r="D2" s="434" t="s">
        <v>649</v>
      </c>
      <c r="E2" s="434" t="s">
        <v>650</v>
      </c>
      <c r="F2" s="434" t="s">
        <v>701</v>
      </c>
      <c r="G2" s="434" t="s">
        <v>653</v>
      </c>
      <c r="H2" s="434" t="s">
        <v>652</v>
      </c>
      <c r="I2" s="434" t="s">
        <v>702</v>
      </c>
      <c r="J2" s="434" t="s">
        <v>703</v>
      </c>
      <c r="K2" s="434" t="s">
        <v>704</v>
      </c>
      <c r="L2" s="434" t="s">
        <v>705</v>
      </c>
      <c r="M2" s="434" t="s">
        <v>706</v>
      </c>
      <c r="N2" s="434" t="s">
        <v>707</v>
      </c>
      <c r="O2" s="434" t="s">
        <v>708</v>
      </c>
      <c r="P2" s="434" t="s">
        <v>709</v>
      </c>
      <c r="Q2" s="434" t="s">
        <v>710</v>
      </c>
      <c r="R2" s="434" t="s">
        <v>127</v>
      </c>
      <c r="S2" s="434" t="s">
        <v>711</v>
      </c>
      <c r="T2" s="434" t="s">
        <v>712</v>
      </c>
      <c r="U2" s="434" t="s">
        <v>713</v>
      </c>
      <c r="V2" s="434" t="s">
        <v>714</v>
      </c>
      <c r="W2" s="434" t="s">
        <v>715</v>
      </c>
    </row>
    <row r="3" spans="1:23">
      <c r="A3" s="437">
        <v>1</v>
      </c>
      <c r="B3" s="385">
        <v>2011239</v>
      </c>
      <c r="C3" s="429" t="s">
        <v>121</v>
      </c>
      <c r="D3" s="430">
        <f>SUMIF([1]Нэгтгэл!B:B,'[1]12'!B:B,[1]Нэгтгэл!F:F)</f>
        <v>1952000</v>
      </c>
      <c r="E3" s="430">
        <f>SUMIF([1]Нэгтгэл!B:B,'[1]12'!B:B,[1]Нэгтгэл!I:I)</f>
        <v>0</v>
      </c>
      <c r="F3" s="430">
        <f>SUMIF([1]Нэгтгэл!B:B,'[1]12'!B:B,[1]Нэгтгэл!L:L)</f>
        <v>175930974.91</v>
      </c>
      <c r="G3" s="430">
        <f>SUMIF([1]Нэгтгэл!B:B,'[1]12'!B:B,[1]Нэгтгэл!R:R)</f>
        <v>0</v>
      </c>
      <c r="H3" s="430">
        <f>SUMIF([1]Нэгтгэл!B:B,'[1]12'!B:B,[1]Нэгтгэл!O:O)</f>
        <v>0</v>
      </c>
      <c r="I3" s="430">
        <f>SUMIF([1]Нэгтгэл!B:B,'[1]12'!B:B,[1]Нэгтгэл!X:X)</f>
        <v>0</v>
      </c>
      <c r="J3" s="430">
        <f>SUMIF([1]Нэгтгэл!B:B,'[1]12'!B:B,[1]Нэгтгэл!AA:AA)</f>
        <v>0</v>
      </c>
      <c r="K3" s="430">
        <f>SUMIF([1]Нэгтгэл!B:B,'[1]12'!B:B,[1]Нэгтгэл!AD:AD)</f>
        <v>0</v>
      </c>
      <c r="L3" s="430">
        <f>SUMIF([1]Нэгтгэл!B:B,'[1]12'!B:B,[1]Нэгтгэл!AJ:AJ)</f>
        <v>0</v>
      </c>
      <c r="M3" s="430">
        <f>SUMIF([1]Нэгтгэл!B:B,'[1]12'!B:B,[1]Нэгтгэл!AM:AM)</f>
        <v>502000000</v>
      </c>
      <c r="N3" s="430">
        <f>SUMIF([1]Нэгтгэл!B:B,'[1]12'!B:B,[1]Нэгтгэл!AP:AP)</f>
        <v>0</v>
      </c>
      <c r="O3" s="430">
        <f>SUMIF([1]Нэгтгэл!B:B,'[1]12'!B:B,[1]Нэгтгэл!AS:AS)</f>
        <v>0</v>
      </c>
      <c r="P3" s="430">
        <f>SUMIF([1]Нэгтгэл!B:B,'[1]12'!B:B,[1]Нэгтгэл!BB:BB)</f>
        <v>0</v>
      </c>
      <c r="Q3" s="430">
        <f>SUMIF([1]Нэгтгэл!B:B,'[1]12'!B:B,[1]Нэгтгэл!BE:BE)</f>
        <v>0</v>
      </c>
      <c r="R3" s="430">
        <f>SUMIF([1]Нэгтгэл!B:B,'[1]12'!B:B,[1]Нэгтгэл!BH:BH)</f>
        <v>3000000</v>
      </c>
      <c r="S3" s="430">
        <f>SUMIF([1]Нэгтгэл!B:B,'[1]12'!B:B,[1]Нэгтгэл!BK:BK)</f>
        <v>0</v>
      </c>
      <c r="T3" s="430">
        <f>SUMIF([1]Нэгтгэл!B:B,'[1]12'!B:B,[1]Нэгтгэл!BN:BN)</f>
        <v>0</v>
      </c>
      <c r="U3" s="430">
        <f>SUMIF([1]Нэгтгэл!B:B,'[1]12'!B:B,[1]Нэгтгэл!BQ:BQ)</f>
        <v>0</v>
      </c>
      <c r="V3" s="430">
        <f>SUMIF([1]Нэгтгэл!B:B,'[1]12'!B:B,[1]Нэгтгэл!BT:BT)</f>
        <v>0</v>
      </c>
      <c r="W3" s="430">
        <f>SUMIF([1]Нэгтгэл!B:B,'[1]12'!B:B,[1]Нэгтгэл!BW:BW)</f>
        <v>189446431.53</v>
      </c>
    </row>
    <row r="4" spans="1:23">
      <c r="A4" s="437">
        <f>A3+1</f>
        <v>2</v>
      </c>
      <c r="B4" s="385">
        <v>5097517</v>
      </c>
      <c r="C4" s="429" t="s">
        <v>126</v>
      </c>
      <c r="D4" s="430">
        <f>SUMIF([1]Нэгтгэл!B:B,'[1]12'!B:B,[1]Нэгтгэл!F:F)</f>
        <v>0</v>
      </c>
      <c r="E4" s="430">
        <f>SUMIF([1]Нэгтгэл!B:B,'[1]12'!B:B,[1]Нэгтгэл!I:I)</f>
        <v>0</v>
      </c>
      <c r="F4" s="430">
        <f>SUMIF([1]Нэгтгэл!B:B,'[1]12'!B:B,[1]Нэгтгэл!L:L)</f>
        <v>0</v>
      </c>
      <c r="G4" s="430">
        <f>SUMIF([1]Нэгтгэл!B:B,'[1]12'!B:B,[1]Нэгтгэл!R:R)</f>
        <v>0</v>
      </c>
      <c r="H4" s="430">
        <f>SUMIF([1]Нэгтгэл!B:B,'[1]12'!B:B,[1]Нэгтгэл!O:O)</f>
        <v>0</v>
      </c>
      <c r="I4" s="430">
        <f>SUMIF([1]Нэгтгэл!B:B,'[1]12'!B:B,[1]Нэгтгэл!X:X)</f>
        <v>0</v>
      </c>
      <c r="J4" s="430">
        <f>SUMIF([1]Нэгтгэл!B:B,'[1]12'!B:B,[1]Нэгтгэл!AA:AA)</f>
        <v>0</v>
      </c>
      <c r="K4" s="430">
        <f>SUMIF([1]Нэгтгэл!B:B,'[1]12'!B:B,[1]Нэгтгэл!AD:AD)</f>
        <v>0</v>
      </c>
      <c r="L4" s="430">
        <f>SUMIF([1]Нэгтгэл!B:B,'[1]12'!B:B,[1]Нэгтгэл!AJ:AJ)</f>
        <v>0</v>
      </c>
      <c r="M4" s="430">
        <f>SUMIF([1]Нэгтгэл!B:B,'[1]12'!B:B,[1]Нэгтгэл!AM:AM)</f>
        <v>0</v>
      </c>
      <c r="N4" s="430">
        <f>SUMIF([1]Нэгтгэл!B:B,'[1]12'!B:B,[1]Нэгтгэл!AP:AP)</f>
        <v>0</v>
      </c>
      <c r="O4" s="430">
        <f>SUMIF([1]Нэгтгэл!B:B,'[1]12'!B:B,[1]Нэгтгэл!AS:AS)</f>
        <v>0</v>
      </c>
      <c r="P4" s="430">
        <f>SUMIF([1]Нэгтгэл!B:B,'[1]12'!B:B,[1]Нэгтгэл!BB:BB)</f>
        <v>0</v>
      </c>
      <c r="Q4" s="430">
        <f>SUMIF([1]Нэгтгэл!B:B,'[1]12'!B:B,[1]Нэгтгэл!BE:BE)</f>
        <v>0</v>
      </c>
      <c r="R4" s="430">
        <f>SUMIF([1]Нэгтгэл!B:B,'[1]12'!B:B,[1]Нэгтгэл!BH:BH)</f>
        <v>6789</v>
      </c>
      <c r="S4" s="430">
        <f>SUMIF([1]Нэгтгэл!B:B,'[1]12'!B:B,[1]Нэгтгэл!BK:BK)</f>
        <v>0</v>
      </c>
      <c r="T4" s="430">
        <f>SUMIF([1]Нэгтгэл!B:B,'[1]12'!B:B,[1]Нэгтгэл!BN:BN)</f>
        <v>0</v>
      </c>
      <c r="U4" s="430">
        <f>SUMIF([1]Нэгтгэл!B:B,'[1]12'!B:B,[1]Нэгтгэл!BQ:BQ)</f>
        <v>0</v>
      </c>
      <c r="V4" s="430">
        <f>SUMIF([1]Нэгтгэл!B:B,'[1]12'!B:B,[1]Нэгтгэл!BT:BT)</f>
        <v>0</v>
      </c>
      <c r="W4" s="430">
        <f>SUMIF([1]Нэгтгэл!B:B,'[1]12'!B:B,[1]Нэгтгэл!BW:BW)</f>
        <v>0</v>
      </c>
    </row>
    <row r="5" spans="1:23">
      <c r="A5" s="437">
        <f t="shared" ref="A5:A68" si="0">A4+1</f>
        <v>3</v>
      </c>
      <c r="B5" s="385">
        <v>5809797</v>
      </c>
      <c r="C5" s="429" t="s">
        <v>131</v>
      </c>
      <c r="D5" s="430">
        <f>SUMIF([1]Нэгтгэл!B:B,'[1]12'!B:B,[1]Нэгтгэл!F:F)</f>
        <v>0</v>
      </c>
      <c r="E5" s="430">
        <f>SUMIF([1]Нэгтгэл!B:B,'[1]12'!B:B,[1]Нэгтгэл!I:I)</f>
        <v>0</v>
      </c>
      <c r="F5" s="430">
        <f>SUMIF([1]Нэгтгэл!B:B,'[1]12'!B:B,[1]Нэгтгэл!L:L)</f>
        <v>0</v>
      </c>
      <c r="G5" s="430">
        <f>SUMIF([1]Нэгтгэл!B:B,'[1]12'!B:B,[1]Нэгтгэл!R:R)</f>
        <v>0</v>
      </c>
      <c r="H5" s="430">
        <f>SUMIF([1]Нэгтгэл!B:B,'[1]12'!B:B,[1]Нэгтгэл!O:O)</f>
        <v>0</v>
      </c>
      <c r="I5" s="430">
        <f>SUMIF([1]Нэгтгэл!B:B,'[1]12'!B:B,[1]Нэгтгэл!X:X)</f>
        <v>0</v>
      </c>
      <c r="J5" s="430">
        <f>SUMIF([1]Нэгтгэл!B:B,'[1]12'!B:B,[1]Нэгтгэл!AA:AA)</f>
        <v>0</v>
      </c>
      <c r="K5" s="430">
        <f>SUMIF([1]Нэгтгэл!B:B,'[1]12'!B:B,[1]Нэгтгэл!AD:AD)</f>
        <v>0</v>
      </c>
      <c r="L5" s="430">
        <f>SUMIF([1]Нэгтгэл!B:B,'[1]12'!B:B,[1]Нэгтгэл!AJ:AJ)</f>
        <v>0</v>
      </c>
      <c r="M5" s="430">
        <f>SUMIF([1]Нэгтгэл!B:B,'[1]12'!B:B,[1]Нэгтгэл!AM:AM)</f>
        <v>0</v>
      </c>
      <c r="N5" s="430">
        <f>SUMIF([1]Нэгтгэл!B:B,'[1]12'!B:B,[1]Нэгтгэл!AP:AP)</f>
        <v>0</v>
      </c>
      <c r="O5" s="430">
        <f>SUMIF([1]Нэгтгэл!B:B,'[1]12'!B:B,[1]Нэгтгэл!AS:AS)</f>
        <v>0</v>
      </c>
      <c r="P5" s="430">
        <f>SUMIF([1]Нэгтгэл!B:B,'[1]12'!B:B,[1]Нэгтгэл!BB:BB)</f>
        <v>0</v>
      </c>
      <c r="Q5" s="430">
        <f>SUMIF([1]Нэгтгэл!B:B,'[1]12'!B:B,[1]Нэгтгэл!BE:BE)</f>
        <v>0</v>
      </c>
      <c r="R5" s="430">
        <f>SUMIF([1]Нэгтгэл!B:B,'[1]12'!B:B,[1]Нэгтгэл!BH:BH)</f>
        <v>0</v>
      </c>
      <c r="S5" s="430">
        <f>SUMIF([1]Нэгтгэл!B:B,'[1]12'!B:B,[1]Нэгтгэл!BK:BK)</f>
        <v>0</v>
      </c>
      <c r="T5" s="430">
        <f>SUMIF([1]Нэгтгэл!B:B,'[1]12'!B:B,[1]Нэгтгэл!BN:BN)</f>
        <v>0</v>
      </c>
      <c r="U5" s="430">
        <f>SUMIF([1]Нэгтгэл!B:B,'[1]12'!B:B,[1]Нэгтгэл!BQ:BQ)</f>
        <v>0</v>
      </c>
      <c r="V5" s="430">
        <f>SUMIF([1]Нэгтгэл!B:B,'[1]12'!B:B,[1]Нэгтгэл!BT:BT)</f>
        <v>0</v>
      </c>
      <c r="W5" s="430">
        <f>SUMIF([1]Нэгтгэл!B:B,'[1]12'!B:B,[1]Нэгтгэл!BW:BW)</f>
        <v>0</v>
      </c>
    </row>
    <row r="6" spans="1:23">
      <c r="A6" s="437">
        <f t="shared" si="0"/>
        <v>4</v>
      </c>
      <c r="B6" s="385">
        <v>5118344</v>
      </c>
      <c r="C6" s="429" t="s">
        <v>133</v>
      </c>
      <c r="D6" s="430">
        <f>SUMIF([1]Нэгтгэл!B:B,'[1]12'!B:B,[1]Нэгтгэл!F:F)</f>
        <v>6054402.4299999997</v>
      </c>
      <c r="E6" s="430">
        <f>SUMIF([1]Нэгтгэл!B:B,'[1]12'!B:B,[1]Нэгтгэл!I:I)</f>
        <v>6965250.5999999996</v>
      </c>
      <c r="F6" s="430">
        <f>SUMIF([1]Нэгтгэл!B:B,'[1]12'!B:B,[1]Нэгтгэл!L:L)</f>
        <v>14627026.26</v>
      </c>
      <c r="G6" s="430">
        <f>SUMIF([1]Нэгтгэл!B:B,'[1]12'!B:B,[1]Нэгтгэл!R:R)</f>
        <v>0</v>
      </c>
      <c r="H6" s="430">
        <f>SUMIF([1]Нэгтгэл!B:B,'[1]12'!B:B,[1]Нэгтгэл!O:O)</f>
        <v>0</v>
      </c>
      <c r="I6" s="430">
        <f>SUMIF([1]Нэгтгэл!B:B,'[1]12'!B:B,[1]Нэгтгэл!X:X)</f>
        <v>0</v>
      </c>
      <c r="J6" s="430">
        <f>SUMIF([1]Нэгтгэл!B:B,'[1]12'!B:B,[1]Нэгтгэл!AA:AA)</f>
        <v>0</v>
      </c>
      <c r="K6" s="430">
        <f>SUMIF([1]Нэгтгэл!B:B,'[1]12'!B:B,[1]Нэгтгэл!AD:AD)</f>
        <v>0</v>
      </c>
      <c r="L6" s="430">
        <f>SUMIF([1]Нэгтгэл!B:B,'[1]12'!B:B,[1]Нэгтгэл!AJ:AJ)</f>
        <v>0</v>
      </c>
      <c r="M6" s="430">
        <f>SUMIF([1]Нэгтгэл!B:B,'[1]12'!B:B,[1]Нэгтгэл!AM:AM)</f>
        <v>31397880</v>
      </c>
      <c r="N6" s="430">
        <f>SUMIF([1]Нэгтгэл!B:B,'[1]12'!B:B,[1]Нэгтгэл!AP:AP)</f>
        <v>21000</v>
      </c>
      <c r="O6" s="430">
        <f>SUMIF([1]Нэгтгэл!B:B,'[1]12'!B:B,[1]Нэгтгэл!AS:AS)</f>
        <v>0</v>
      </c>
      <c r="P6" s="430">
        <f>SUMIF([1]Нэгтгэл!B:B,'[1]12'!B:B,[1]Нэгтгэл!BB:BB)</f>
        <v>0</v>
      </c>
      <c r="Q6" s="430">
        <f>SUMIF([1]Нэгтгэл!B:B,'[1]12'!B:B,[1]Нэгтгэл!BE:BE)</f>
        <v>0</v>
      </c>
      <c r="R6" s="430">
        <f>SUMIF([1]Нэгтгэл!B:B,'[1]12'!B:B,[1]Нэгтгэл!BH:BH)</f>
        <v>0</v>
      </c>
      <c r="S6" s="430">
        <f>SUMIF([1]Нэгтгэл!B:B,'[1]12'!B:B,[1]Нэгтгэл!BK:BK)</f>
        <v>0</v>
      </c>
      <c r="T6" s="430">
        <f>SUMIF([1]Нэгтгэл!B:B,'[1]12'!B:B,[1]Нэгтгэл!BN:BN)</f>
        <v>0</v>
      </c>
      <c r="U6" s="430">
        <f>SUMIF([1]Нэгтгэл!B:B,'[1]12'!B:B,[1]Нэгтгэл!BQ:BQ)</f>
        <v>0</v>
      </c>
      <c r="V6" s="430">
        <f>SUMIF([1]Нэгтгэл!B:B,'[1]12'!B:B,[1]Нэгтгэл!BT:BT)</f>
        <v>0</v>
      </c>
      <c r="W6" s="430">
        <f>SUMIF([1]Нэгтгэл!B:B,'[1]12'!B:B,[1]Нэгтгэл!BW:BW)</f>
        <v>6749182</v>
      </c>
    </row>
    <row r="7" spans="1:23">
      <c r="A7" s="437">
        <f t="shared" si="0"/>
        <v>5</v>
      </c>
      <c r="B7" s="385">
        <v>5095549</v>
      </c>
      <c r="C7" s="429" t="s">
        <v>136</v>
      </c>
      <c r="D7" s="430">
        <f>SUMIF([1]Нэгтгэл!B:B,'[1]12'!B:B,[1]Нэгтгэл!F:F)</f>
        <v>0</v>
      </c>
      <c r="E7" s="430">
        <f>SUMIF([1]Нэгтгэл!B:B,'[1]12'!B:B,[1]Нэгтгэл!I:I)</f>
        <v>0</v>
      </c>
      <c r="F7" s="430">
        <f>SUMIF([1]Нэгтгэл!B:B,'[1]12'!B:B,[1]Нэгтгэл!L:L)</f>
        <v>0</v>
      </c>
      <c r="G7" s="430">
        <f>SUMIF([1]Нэгтгэл!B:B,'[1]12'!B:B,[1]Нэгтгэл!R:R)</f>
        <v>0</v>
      </c>
      <c r="H7" s="430">
        <f>SUMIF([1]Нэгтгэл!B:B,'[1]12'!B:B,[1]Нэгтгэл!O:O)</f>
        <v>0</v>
      </c>
      <c r="I7" s="430">
        <f>SUMIF([1]Нэгтгэл!B:B,'[1]12'!B:B,[1]Нэгтгэл!X:X)</f>
        <v>0</v>
      </c>
      <c r="J7" s="430">
        <f>SUMIF([1]Нэгтгэл!B:B,'[1]12'!B:B,[1]Нэгтгэл!AA:AA)</f>
        <v>0</v>
      </c>
      <c r="K7" s="430">
        <f>SUMIF([1]Нэгтгэл!B:B,'[1]12'!B:B,[1]Нэгтгэл!AD:AD)</f>
        <v>0</v>
      </c>
      <c r="L7" s="430">
        <f>SUMIF([1]Нэгтгэл!B:B,'[1]12'!B:B,[1]Нэгтгэл!AJ:AJ)</f>
        <v>0</v>
      </c>
      <c r="M7" s="430">
        <f>SUMIF([1]Нэгтгэл!B:B,'[1]12'!B:B,[1]Нэгтгэл!AM:AM)</f>
        <v>0</v>
      </c>
      <c r="N7" s="430">
        <f>SUMIF([1]Нэгтгэл!B:B,'[1]12'!B:B,[1]Нэгтгэл!AP:AP)</f>
        <v>0</v>
      </c>
      <c r="O7" s="430">
        <f>SUMIF([1]Нэгтгэл!B:B,'[1]12'!B:B,[1]Нэгтгэл!AS:AS)</f>
        <v>0</v>
      </c>
      <c r="P7" s="430">
        <f>SUMIF([1]Нэгтгэл!B:B,'[1]12'!B:B,[1]Нэгтгэл!BB:BB)</f>
        <v>0</v>
      </c>
      <c r="Q7" s="430">
        <f>SUMIF([1]Нэгтгэл!B:B,'[1]12'!B:B,[1]Нэгтгэл!BE:BE)</f>
        <v>0</v>
      </c>
      <c r="R7" s="430">
        <f>SUMIF([1]Нэгтгэл!B:B,'[1]12'!B:B,[1]Нэгтгэл!BH:BH)</f>
        <v>0</v>
      </c>
      <c r="S7" s="430">
        <f>SUMIF([1]Нэгтгэл!B:B,'[1]12'!B:B,[1]Нэгтгэл!BK:BK)</f>
        <v>0</v>
      </c>
      <c r="T7" s="430">
        <f>SUMIF([1]Нэгтгэл!B:B,'[1]12'!B:B,[1]Нэгтгэл!BN:BN)</f>
        <v>0</v>
      </c>
      <c r="U7" s="430">
        <f>SUMIF([1]Нэгтгэл!B:B,'[1]12'!B:B,[1]Нэгтгэл!BQ:BQ)</f>
        <v>0</v>
      </c>
      <c r="V7" s="430">
        <f>SUMIF([1]Нэгтгэл!B:B,'[1]12'!B:B,[1]Нэгтгэл!BT:BT)</f>
        <v>0</v>
      </c>
      <c r="W7" s="430">
        <f>SUMIF([1]Нэгтгэл!B:B,'[1]12'!B:B,[1]Нэгтгэл!BW:BW)</f>
        <v>0</v>
      </c>
    </row>
    <row r="8" spans="1:23">
      <c r="A8" s="437">
        <f t="shared" si="0"/>
        <v>6</v>
      </c>
      <c r="B8" s="385">
        <v>2784165</v>
      </c>
      <c r="C8" s="429" t="s">
        <v>140</v>
      </c>
      <c r="D8" s="430">
        <f>SUMIF([1]Нэгтгэл!B:B,'[1]12'!B:B,[1]Нэгтгэл!F:F)</f>
        <v>487077373.19</v>
      </c>
      <c r="E8" s="430">
        <f>SUMIF([1]Нэгтгэл!B:B,'[1]12'!B:B,[1]Нэгтгэл!I:I)</f>
        <v>0</v>
      </c>
      <c r="F8" s="430">
        <f>SUMIF([1]Нэгтгэл!B:B,'[1]12'!B:B,[1]Нэгтгэл!L:L)</f>
        <v>0</v>
      </c>
      <c r="G8" s="430">
        <f>SUMIF([1]Нэгтгэл!B:B,'[1]12'!B:B,[1]Нэгтгэл!R:R)</f>
        <v>0</v>
      </c>
      <c r="H8" s="430">
        <f>SUMIF([1]Нэгтгэл!B:B,'[1]12'!B:B,[1]Нэгтгэл!O:O)</f>
        <v>0</v>
      </c>
      <c r="I8" s="430">
        <f>SUMIF([1]Нэгтгэл!B:B,'[1]12'!B:B,[1]Нэгтгэл!X:X)</f>
        <v>0</v>
      </c>
      <c r="J8" s="430">
        <f>SUMIF([1]Нэгтгэл!B:B,'[1]12'!B:B,[1]Нэгтгэл!AA:AA)</f>
        <v>0</v>
      </c>
      <c r="K8" s="430">
        <f>SUMIF([1]Нэгтгэл!B:B,'[1]12'!B:B,[1]Нэгтгэл!AD:AD)</f>
        <v>120000000</v>
      </c>
      <c r="L8" s="430">
        <f>SUMIF([1]Нэгтгэл!B:B,'[1]12'!B:B,[1]Нэгтгэл!AJ:AJ)</f>
        <v>0</v>
      </c>
      <c r="M8" s="430">
        <f>SUMIF([1]Нэгтгэл!B:B,'[1]12'!B:B,[1]Нэгтгэл!AM:AM)</f>
        <v>284847594</v>
      </c>
      <c r="N8" s="430">
        <f>SUMIF([1]Нэгтгэл!B:B,'[1]12'!B:B,[1]Нэгтгэл!AP:AP)</f>
        <v>0</v>
      </c>
      <c r="O8" s="430">
        <f>SUMIF([1]Нэгтгэл!B:B,'[1]12'!B:B,[1]Нэгтгэл!AS:AS)</f>
        <v>0</v>
      </c>
      <c r="P8" s="430">
        <f>SUMIF([1]Нэгтгэл!B:B,'[1]12'!B:B,[1]Нэгтгэл!BB:BB)</f>
        <v>0</v>
      </c>
      <c r="Q8" s="430">
        <f>SUMIF([1]Нэгтгэл!B:B,'[1]12'!B:B,[1]Нэгтгэл!BE:BE)</f>
        <v>0</v>
      </c>
      <c r="R8" s="430">
        <f>SUMIF([1]Нэгтгэл!B:B,'[1]12'!B:B,[1]Нэгтгэл!BH:BH)</f>
        <v>0</v>
      </c>
      <c r="S8" s="430">
        <f>SUMIF([1]Нэгтгэл!B:B,'[1]12'!B:B,[1]Нэгтгэл!BK:BK)</f>
        <v>0</v>
      </c>
      <c r="T8" s="430">
        <f>SUMIF([1]Нэгтгэл!B:B,'[1]12'!B:B,[1]Нэгтгэл!BN:BN)</f>
        <v>0</v>
      </c>
      <c r="U8" s="430">
        <f>SUMIF([1]Нэгтгэл!B:B,'[1]12'!B:B,[1]Нэгтгэл!BQ:BQ)</f>
        <v>0</v>
      </c>
      <c r="V8" s="430">
        <f>SUMIF([1]Нэгтгэл!B:B,'[1]12'!B:B,[1]Нэгтгэл!BT:BT)</f>
        <v>0</v>
      </c>
      <c r="W8" s="430">
        <f>SUMIF([1]Нэгтгэл!B:B,'[1]12'!B:B,[1]Нэгтгэл!BW:BW)</f>
        <v>101972958.72</v>
      </c>
    </row>
    <row r="9" spans="1:23">
      <c r="A9" s="437">
        <f t="shared" si="0"/>
        <v>7</v>
      </c>
      <c r="B9" s="385">
        <v>5133351</v>
      </c>
      <c r="C9" s="429" t="s">
        <v>143</v>
      </c>
      <c r="D9" s="430">
        <f>SUMIF([1]Нэгтгэл!B:B,'[1]12'!B:B,[1]Нэгтгэл!F:F)</f>
        <v>0</v>
      </c>
      <c r="E9" s="430">
        <f>SUMIF([1]Нэгтгэл!B:B,'[1]12'!B:B,[1]Нэгтгэл!I:I)</f>
        <v>0</v>
      </c>
      <c r="F9" s="430">
        <f>SUMIF([1]Нэгтгэл!B:B,'[1]12'!B:B,[1]Нэгтгэл!L:L)</f>
        <v>0</v>
      </c>
      <c r="G9" s="430">
        <f>SUMIF([1]Нэгтгэл!B:B,'[1]12'!B:B,[1]Нэгтгэл!R:R)</f>
        <v>0</v>
      </c>
      <c r="H9" s="430">
        <f>SUMIF([1]Нэгтгэл!B:B,'[1]12'!B:B,[1]Нэгтгэл!O:O)</f>
        <v>0</v>
      </c>
      <c r="I9" s="430">
        <f>SUMIF([1]Нэгтгэл!B:B,'[1]12'!B:B,[1]Нэгтгэл!X:X)</f>
        <v>0</v>
      </c>
      <c r="J9" s="430">
        <f>SUMIF([1]Нэгтгэл!B:B,'[1]12'!B:B,[1]Нэгтгэл!AA:AA)</f>
        <v>0</v>
      </c>
      <c r="K9" s="430">
        <f>SUMIF([1]Нэгтгэл!B:B,'[1]12'!B:B,[1]Нэгтгэл!AD:AD)</f>
        <v>0</v>
      </c>
      <c r="L9" s="430">
        <f>SUMIF([1]Нэгтгэл!B:B,'[1]12'!B:B,[1]Нэгтгэл!AJ:AJ)</f>
        <v>0</v>
      </c>
      <c r="M9" s="430">
        <f>SUMIF([1]Нэгтгэл!B:B,'[1]12'!B:B,[1]Нэгтгэл!AM:AM)</f>
        <v>31518247</v>
      </c>
      <c r="N9" s="430">
        <f>SUMIF([1]Нэгтгэл!B:B,'[1]12'!B:B,[1]Нэгтгэл!AP:AP)</f>
        <v>0</v>
      </c>
      <c r="O9" s="430">
        <f>SUMIF([1]Нэгтгэл!B:B,'[1]12'!B:B,[1]Нэгтгэл!AS:AS)</f>
        <v>0</v>
      </c>
      <c r="P9" s="430">
        <f>SUMIF([1]Нэгтгэл!B:B,'[1]12'!B:B,[1]Нэгтгэл!BB:BB)</f>
        <v>0</v>
      </c>
      <c r="Q9" s="430">
        <f>SUMIF([1]Нэгтгэл!B:B,'[1]12'!B:B,[1]Нэгтгэл!BE:BE)</f>
        <v>0</v>
      </c>
      <c r="R9" s="430">
        <f>SUMIF([1]Нэгтгэл!B:B,'[1]12'!B:B,[1]Нэгтгэл!BH:BH)</f>
        <v>0</v>
      </c>
      <c r="S9" s="430">
        <f>SUMIF([1]Нэгтгэл!B:B,'[1]12'!B:B,[1]Нэгтгэл!BK:BK)</f>
        <v>0</v>
      </c>
      <c r="T9" s="430">
        <f>SUMIF([1]Нэгтгэл!B:B,'[1]12'!B:B,[1]Нэгтгэл!BN:BN)</f>
        <v>0</v>
      </c>
      <c r="U9" s="430">
        <f>SUMIF([1]Нэгтгэл!B:B,'[1]12'!B:B,[1]Нэгтгэл!BQ:BQ)</f>
        <v>0</v>
      </c>
      <c r="V9" s="430">
        <f>SUMIF([1]Нэгтгэл!B:B,'[1]12'!B:B,[1]Нэгтгэл!BT:BT)</f>
        <v>0</v>
      </c>
      <c r="W9" s="430">
        <f>SUMIF([1]Нэгтгэл!B:B,'[1]12'!B:B,[1]Нэгтгэл!BW:BW)</f>
        <v>0</v>
      </c>
    </row>
    <row r="10" spans="1:23">
      <c r="A10" s="437">
        <f t="shared" si="0"/>
        <v>8</v>
      </c>
      <c r="B10" s="385">
        <v>6172768</v>
      </c>
      <c r="C10" s="429" t="s">
        <v>144</v>
      </c>
      <c r="D10" s="430">
        <f>SUMIF([1]Нэгтгэл!B:B,'[1]12'!B:B,[1]Нэгтгэл!F:F)</f>
        <v>0</v>
      </c>
      <c r="E10" s="430">
        <f>SUMIF([1]Нэгтгэл!B:B,'[1]12'!B:B,[1]Нэгтгэл!I:I)</f>
        <v>947410.54199699999</v>
      </c>
      <c r="F10" s="430">
        <f>SUMIF([1]Нэгтгэл!B:B,'[1]12'!B:B,[1]Нэгтгэл!L:L)</f>
        <v>1989562.1381920001</v>
      </c>
      <c r="G10" s="430">
        <f>SUMIF([1]Нэгтгэл!B:B,'[1]12'!B:B,[1]Нэгтгэл!R:R)</f>
        <v>0</v>
      </c>
      <c r="H10" s="430">
        <f>SUMIF([1]Нэгтгэл!B:B,'[1]12'!B:B,[1]Нэгтгэл!O:O)</f>
        <v>0</v>
      </c>
      <c r="I10" s="430">
        <f>SUMIF([1]Нэгтгэл!B:B,'[1]12'!B:B,[1]Нэгтгэл!X:X)</f>
        <v>681988219.43000007</v>
      </c>
      <c r="J10" s="430">
        <f>SUMIF([1]Нэгтгэл!B:B,'[1]12'!B:B,[1]Нэгтгэл!AA:AA)</f>
        <v>0</v>
      </c>
      <c r="K10" s="430">
        <f>SUMIF([1]Нэгтгэл!B:B,'[1]12'!B:B,[1]Нэгтгэл!AD:AD)</f>
        <v>0</v>
      </c>
      <c r="L10" s="430">
        <f>SUMIF([1]Нэгтгэл!B:B,'[1]12'!B:B,[1]Нэгтгэл!AJ:AJ)</f>
        <v>64870490</v>
      </c>
      <c r="M10" s="430">
        <f>SUMIF([1]Нэгтгэл!B:B,'[1]12'!B:B,[1]Нэгтгэл!AM:AM)</f>
        <v>42817275.520000003</v>
      </c>
      <c r="N10" s="430">
        <f>SUMIF([1]Нэгтгэл!B:B,'[1]12'!B:B,[1]Нэгтгэл!AP:AP)</f>
        <v>10600</v>
      </c>
      <c r="O10" s="430">
        <f>SUMIF([1]Нэгтгэл!B:B,'[1]12'!B:B,[1]Нэгтгэл!AS:AS)</f>
        <v>0</v>
      </c>
      <c r="P10" s="430">
        <f>SUMIF([1]Нэгтгэл!B:B,'[1]12'!B:B,[1]Нэгтгэл!BB:BB)</f>
        <v>0</v>
      </c>
      <c r="Q10" s="430">
        <f>SUMIF([1]Нэгтгэл!B:B,'[1]12'!B:B,[1]Нэгтгэл!BE:BE)</f>
        <v>0</v>
      </c>
      <c r="R10" s="430">
        <f>SUMIF([1]Нэгтгэл!B:B,'[1]12'!B:B,[1]Нэгтгэл!BH:BH)</f>
        <v>0</v>
      </c>
      <c r="S10" s="430">
        <f>SUMIF([1]Нэгтгэл!B:B,'[1]12'!B:B,[1]Нэгтгэл!BK:BK)</f>
        <v>0</v>
      </c>
      <c r="T10" s="430">
        <f>SUMIF([1]Нэгтгэл!B:B,'[1]12'!B:B,[1]Нэгтгэл!BN:BN)</f>
        <v>0</v>
      </c>
      <c r="U10" s="430">
        <f>SUMIF([1]Нэгтгэл!B:B,'[1]12'!B:B,[1]Нэгтгэл!BQ:BQ)</f>
        <v>0</v>
      </c>
      <c r="V10" s="430">
        <f>SUMIF([1]Нэгтгэл!B:B,'[1]12'!B:B,[1]Нэгтгэл!BT:BT)</f>
        <v>0</v>
      </c>
      <c r="W10" s="430">
        <f>SUMIF([1]Нэгтгэл!B:B,'[1]12'!B:B,[1]Нэгтгэл!BW:BW)</f>
        <v>17542947.25</v>
      </c>
    </row>
    <row r="11" spans="1:23">
      <c r="A11" s="437">
        <f t="shared" si="0"/>
        <v>9</v>
      </c>
      <c r="B11" s="385">
        <v>2788705</v>
      </c>
      <c r="C11" s="429" t="s">
        <v>146</v>
      </c>
      <c r="D11" s="430">
        <f>SUMIF([1]Нэгтгэл!B:B,'[1]12'!B:B,[1]Нэгтгэл!F:F)</f>
        <v>0</v>
      </c>
      <c r="E11" s="430">
        <f>SUMIF([1]Нэгтгэл!B:B,'[1]12'!B:B,[1]Нэгтгэл!I:I)</f>
        <v>0</v>
      </c>
      <c r="F11" s="430">
        <f>SUMIF([1]Нэгтгэл!B:B,'[1]12'!B:B,[1]Нэгтгэл!L:L)</f>
        <v>0</v>
      </c>
      <c r="G11" s="430">
        <f>SUMIF([1]Нэгтгэл!B:B,'[1]12'!B:B,[1]Нэгтгэл!R:R)</f>
        <v>0</v>
      </c>
      <c r="H11" s="430">
        <f>SUMIF([1]Нэгтгэл!B:B,'[1]12'!B:B,[1]Нэгтгэл!O:O)</f>
        <v>0</v>
      </c>
      <c r="I11" s="430">
        <f>SUMIF([1]Нэгтгэл!B:B,'[1]12'!B:B,[1]Нэгтгэл!X:X)</f>
        <v>0</v>
      </c>
      <c r="J11" s="430">
        <f>SUMIF([1]Нэгтгэл!B:B,'[1]12'!B:B,[1]Нэгтгэл!AA:AA)</f>
        <v>0</v>
      </c>
      <c r="K11" s="430">
        <f>SUMIF([1]Нэгтгэл!B:B,'[1]12'!B:B,[1]Нэгтгэл!AD:AD)</f>
        <v>0</v>
      </c>
      <c r="L11" s="430">
        <f>SUMIF([1]Нэгтгэл!B:B,'[1]12'!B:B,[1]Нэгтгэл!AJ:AJ)</f>
        <v>0</v>
      </c>
      <c r="M11" s="430">
        <f>SUMIF([1]Нэгтгэл!B:B,'[1]12'!B:B,[1]Нэгтгэл!AM:AM)</f>
        <v>0</v>
      </c>
      <c r="N11" s="430">
        <f>SUMIF([1]Нэгтгэл!B:B,'[1]12'!B:B,[1]Нэгтгэл!AP:AP)</f>
        <v>0</v>
      </c>
      <c r="O11" s="430">
        <f>SUMIF([1]Нэгтгэл!B:B,'[1]12'!B:B,[1]Нэгтгэл!AS:AS)</f>
        <v>0</v>
      </c>
      <c r="P11" s="430">
        <f>SUMIF([1]Нэгтгэл!B:B,'[1]12'!B:B,[1]Нэгтгэл!BB:BB)</f>
        <v>0</v>
      </c>
      <c r="Q11" s="430">
        <f>SUMIF([1]Нэгтгэл!B:B,'[1]12'!B:B,[1]Нэгтгэл!BE:BE)</f>
        <v>0</v>
      </c>
      <c r="R11" s="430">
        <f>SUMIF([1]Нэгтгэл!B:B,'[1]12'!B:B,[1]Нэгтгэл!BH:BH)</f>
        <v>0</v>
      </c>
      <c r="S11" s="430">
        <f>SUMIF([1]Нэгтгэл!B:B,'[1]12'!B:B,[1]Нэгтгэл!BK:BK)</f>
        <v>0</v>
      </c>
      <c r="T11" s="430">
        <f>SUMIF([1]Нэгтгэл!B:B,'[1]12'!B:B,[1]Нэгтгэл!BN:BN)</f>
        <v>0</v>
      </c>
      <c r="U11" s="430">
        <f>SUMIF([1]Нэгтгэл!B:B,'[1]12'!B:B,[1]Нэгтгэл!BQ:BQ)</f>
        <v>0</v>
      </c>
      <c r="V11" s="430">
        <f>SUMIF([1]Нэгтгэл!B:B,'[1]12'!B:B,[1]Нэгтгэл!BT:BT)</f>
        <v>0</v>
      </c>
      <c r="W11" s="430">
        <f>SUMIF([1]Нэгтгэл!B:B,'[1]12'!B:B,[1]Нэгтгэл!BW:BW)</f>
        <v>0</v>
      </c>
    </row>
    <row r="12" spans="1:23">
      <c r="A12" s="437">
        <f t="shared" si="0"/>
        <v>10</v>
      </c>
      <c r="B12" s="385">
        <v>5439183</v>
      </c>
      <c r="C12" s="429" t="s">
        <v>629</v>
      </c>
      <c r="D12" s="430">
        <f>SUMIF([1]Нэгтгэл!B:B,'[1]12'!B:B,[1]Нэгтгэл!F:F)</f>
        <v>14241126.189999999</v>
      </c>
      <c r="E12" s="430">
        <f>SUMIF([1]Нэгтгэл!B:B,'[1]12'!B:B,[1]Нэгтгэл!I:I)</f>
        <v>38415829.678586997</v>
      </c>
      <c r="F12" s="430">
        <f>SUMIF([1]Нэгтгэл!B:B,'[1]12'!B:B,[1]Нэгтгэл!L:L)</f>
        <v>55466645.369139001</v>
      </c>
      <c r="G12" s="430">
        <f>SUMIF([1]Нэгтгэл!B:B,'[1]12'!B:B,[1]Нэгтгэл!R:R)</f>
        <v>0</v>
      </c>
      <c r="H12" s="430">
        <f>SUMIF([1]Нэгтгэл!B:B,'[1]12'!B:B,[1]Нэгтгэл!O:O)</f>
        <v>0</v>
      </c>
      <c r="I12" s="430">
        <f>SUMIF([1]Нэгтгэл!B:B,'[1]12'!B:B,[1]Нэгтгэл!X:X)</f>
        <v>836502559.87</v>
      </c>
      <c r="J12" s="430">
        <f>SUMIF([1]Нэгтгэл!B:B,'[1]12'!B:B,[1]Нэгтгэл!AA:AA)</f>
        <v>0</v>
      </c>
      <c r="K12" s="430">
        <f>SUMIF([1]Нэгтгэл!B:B,'[1]12'!B:B,[1]Нэгтгэл!AD:AD)</f>
        <v>0</v>
      </c>
      <c r="L12" s="430">
        <f>SUMIF([1]Нэгтгэл!B:B,'[1]12'!B:B,[1]Нэгтгэл!AJ:AJ)</f>
        <v>0</v>
      </c>
      <c r="M12" s="430">
        <f>SUMIF([1]Нэгтгэл!B:B,'[1]12'!B:B,[1]Нэгтгэл!AM:AM)</f>
        <v>987707480.36000001</v>
      </c>
      <c r="N12" s="430">
        <f>SUMIF([1]Нэгтгэл!B:B,'[1]12'!B:B,[1]Нэгтгэл!AP:AP)</f>
        <v>539700</v>
      </c>
      <c r="O12" s="430">
        <f>SUMIF([1]Нэгтгэл!B:B,'[1]12'!B:B,[1]Нэгтгэл!AS:AS)</f>
        <v>0</v>
      </c>
      <c r="P12" s="430">
        <f>SUMIF([1]Нэгтгэл!B:B,'[1]12'!B:B,[1]Нэгтгэл!BB:BB)</f>
        <v>0</v>
      </c>
      <c r="Q12" s="430">
        <f>SUMIF([1]Нэгтгэл!B:B,'[1]12'!B:B,[1]Нэгтгэл!BE:BE)</f>
        <v>0</v>
      </c>
      <c r="R12" s="430">
        <f>SUMIF([1]Нэгтгэл!B:B,'[1]12'!B:B,[1]Нэгтгэл!BH:BH)</f>
        <v>0</v>
      </c>
      <c r="S12" s="430">
        <f>SUMIF([1]Нэгтгэл!B:B,'[1]12'!B:B,[1]Нэгтгэл!BK:BK)</f>
        <v>0</v>
      </c>
      <c r="T12" s="430">
        <f>SUMIF([1]Нэгтгэл!B:B,'[1]12'!B:B,[1]Нэгтгэл!BN:BN)</f>
        <v>0</v>
      </c>
      <c r="U12" s="430">
        <f>SUMIF([1]Нэгтгэл!B:B,'[1]12'!B:B,[1]Нэгтгэл!BQ:BQ)</f>
        <v>0</v>
      </c>
      <c r="V12" s="430">
        <f>SUMIF([1]Нэгтгэл!B:B,'[1]12'!B:B,[1]Нэгтгэл!BT:BT)</f>
        <v>0</v>
      </c>
      <c r="W12" s="430">
        <f>SUMIF([1]Нэгтгэл!B:B,'[1]12'!B:B,[1]Нэгтгэл!BW:BW)</f>
        <v>374652332.63</v>
      </c>
    </row>
    <row r="13" spans="1:23">
      <c r="A13" s="437">
        <f t="shared" si="0"/>
        <v>11</v>
      </c>
      <c r="B13" s="385">
        <v>2008572</v>
      </c>
      <c r="C13" s="429" t="s">
        <v>152</v>
      </c>
      <c r="D13" s="430">
        <f>SUMIF([1]Нэгтгэл!B:B,'[1]12'!B:B,[1]Нэгтгэл!F:F)</f>
        <v>10000000.1</v>
      </c>
      <c r="E13" s="430">
        <f>SUMIF([1]Нэгтгэл!B:B,'[1]12'!B:B,[1]Нэгтгэл!I:I)</f>
        <v>110816334.925</v>
      </c>
      <c r="F13" s="430">
        <f>SUMIF([1]Нэгтгэл!B:B,'[1]12'!B:B,[1]Нэгтгэл!L:L)</f>
        <v>2261392721.4025002</v>
      </c>
      <c r="G13" s="430">
        <f>SUMIF([1]Нэгтгэл!B:B,'[1]12'!B:B,[1]Нэгтгэл!R:R)</f>
        <v>0</v>
      </c>
      <c r="H13" s="430">
        <f>SUMIF([1]Нэгтгэл!B:B,'[1]12'!B:B,[1]Нэгтгэл!O:O)</f>
        <v>0</v>
      </c>
      <c r="I13" s="430">
        <f>SUMIF([1]Нэгтгэл!B:B,'[1]12'!B:B,[1]Нэгтгэл!X:X)</f>
        <v>450000000</v>
      </c>
      <c r="J13" s="430">
        <f>SUMIF([1]Нэгтгэл!B:B,'[1]12'!B:B,[1]Нэгтгэл!AA:AA)</f>
        <v>0</v>
      </c>
      <c r="K13" s="430">
        <f>SUMIF([1]Нэгтгэл!B:B,'[1]12'!B:B,[1]Нэгтгэл!AD:AD)</f>
        <v>0</v>
      </c>
      <c r="L13" s="430">
        <f>SUMIF([1]Нэгтгэл!B:B,'[1]12'!B:B,[1]Нэгтгэл!AJ:AJ)</f>
        <v>0</v>
      </c>
      <c r="M13" s="430">
        <f>SUMIF([1]Нэгтгэл!B:B,'[1]12'!B:B,[1]Нэгтгэл!AM:AM)</f>
        <v>17282312500.400002</v>
      </c>
      <c r="N13" s="430">
        <f>SUMIF([1]Нэгтгэл!B:B,'[1]12'!B:B,[1]Нэгтгэл!AP:AP)</f>
        <v>57400</v>
      </c>
      <c r="O13" s="430">
        <f>SUMIF([1]Нэгтгэл!B:B,'[1]12'!B:B,[1]Нэгтгэл!AS:AS)</f>
        <v>0</v>
      </c>
      <c r="P13" s="430">
        <f>SUMIF([1]Нэгтгэл!B:B,'[1]12'!B:B,[1]Нэгтгэл!BB:BB)</f>
        <v>0</v>
      </c>
      <c r="Q13" s="430">
        <f>SUMIF([1]Нэгтгэл!B:B,'[1]12'!B:B,[1]Нэгтгэл!BE:BE)</f>
        <v>0</v>
      </c>
      <c r="R13" s="430">
        <f>SUMIF([1]Нэгтгэл!B:B,'[1]12'!B:B,[1]Нэгтгэл!BH:BH)</f>
        <v>0</v>
      </c>
      <c r="S13" s="430">
        <f>SUMIF([1]Нэгтгэл!B:B,'[1]12'!B:B,[1]Нэгтгэл!BK:BK)</f>
        <v>0</v>
      </c>
      <c r="T13" s="430">
        <f>SUMIF([1]Нэгтгэл!B:B,'[1]12'!B:B,[1]Нэгтгэл!BN:BN)</f>
        <v>0</v>
      </c>
      <c r="U13" s="430">
        <f>SUMIF([1]Нэгтгэл!B:B,'[1]12'!B:B,[1]Нэгтгэл!BQ:BQ)</f>
        <v>0</v>
      </c>
      <c r="V13" s="430">
        <f>SUMIF([1]Нэгтгэл!B:B,'[1]12'!B:B,[1]Нэгтгэл!BT:BT)</f>
        <v>0</v>
      </c>
      <c r="W13" s="430">
        <f>SUMIF([1]Нэгтгэл!B:B,'[1]12'!B:B,[1]Нэгтгэл!BW:BW)</f>
        <v>3852809544</v>
      </c>
    </row>
    <row r="14" spans="1:23">
      <c r="A14" s="437">
        <f t="shared" si="0"/>
        <v>12</v>
      </c>
      <c r="B14" s="385">
        <v>5215919</v>
      </c>
      <c r="C14" s="429" t="s">
        <v>155</v>
      </c>
      <c r="D14" s="430">
        <f>SUMIF([1]Нэгтгэл!B:B,'[1]12'!B:B,[1]Нэгтгэл!F:F)</f>
        <v>220570477.11000001</v>
      </c>
      <c r="E14" s="430">
        <f>SUMIF([1]Нэгтгэл!B:B,'[1]12'!B:B,[1]Нэгтгэл!I:I)</f>
        <v>0</v>
      </c>
      <c r="F14" s="430">
        <f>SUMIF([1]Нэгтгэл!B:B,'[1]12'!B:B,[1]Нэгтгэл!L:L)</f>
        <v>223650123.44999999</v>
      </c>
      <c r="G14" s="430">
        <f>SUMIF([1]Нэгтгэл!B:B,'[1]12'!B:B,[1]Нэгтгэл!R:R)</f>
        <v>0</v>
      </c>
      <c r="H14" s="430">
        <f>SUMIF([1]Нэгтгэл!B:B,'[1]12'!B:B,[1]Нэгтгэл!O:O)</f>
        <v>0</v>
      </c>
      <c r="I14" s="430">
        <f>SUMIF([1]Нэгтгэл!B:B,'[1]12'!B:B,[1]Нэгтгэл!X:X)</f>
        <v>2259167876.4700003</v>
      </c>
      <c r="J14" s="430">
        <f>SUMIF([1]Нэгтгэл!B:B,'[1]12'!B:B,[1]Нэгтгэл!AA:AA)</f>
        <v>0</v>
      </c>
      <c r="K14" s="430">
        <f>SUMIF([1]Нэгтгэл!B:B,'[1]12'!B:B,[1]Нэгтгэл!AD:AD)</f>
        <v>0</v>
      </c>
      <c r="L14" s="430">
        <f>SUMIF([1]Нэгтгэл!B:B,'[1]12'!B:B,[1]Нэгтгэл!AJ:AJ)</f>
        <v>229905367</v>
      </c>
      <c r="M14" s="430">
        <f>SUMIF([1]Нэгтгэл!B:B,'[1]12'!B:B,[1]Нэгтгэл!AM:AM)</f>
        <v>27014591.82</v>
      </c>
      <c r="N14" s="430">
        <f>SUMIF([1]Нэгтгэл!B:B,'[1]12'!B:B,[1]Нэгтгэл!AP:AP)</f>
        <v>430916175</v>
      </c>
      <c r="O14" s="430">
        <f>SUMIF([1]Нэгтгэл!B:B,'[1]12'!B:B,[1]Нэгтгэл!AS:AS)</f>
        <v>0</v>
      </c>
      <c r="P14" s="430">
        <f>SUMIF([1]Нэгтгэл!B:B,'[1]12'!B:B,[1]Нэгтгэл!BB:BB)</f>
        <v>0</v>
      </c>
      <c r="Q14" s="430">
        <f>SUMIF([1]Нэгтгэл!B:B,'[1]12'!B:B,[1]Нэгтгэл!BE:BE)</f>
        <v>0</v>
      </c>
      <c r="R14" s="430">
        <f>SUMIF([1]Нэгтгэл!B:B,'[1]12'!B:B,[1]Нэгтгэл!BH:BH)</f>
        <v>0</v>
      </c>
      <c r="S14" s="430">
        <f>SUMIF([1]Нэгтгэл!B:B,'[1]12'!B:B,[1]Нэгтгэл!BK:BK)</f>
        <v>0</v>
      </c>
      <c r="T14" s="430">
        <f>SUMIF([1]Нэгтгэл!B:B,'[1]12'!B:B,[1]Нэгтгэл!BN:BN)</f>
        <v>0</v>
      </c>
      <c r="U14" s="430">
        <f>SUMIF([1]Нэгтгэл!B:B,'[1]12'!B:B,[1]Нэгтгэл!BQ:BQ)</f>
        <v>0</v>
      </c>
      <c r="V14" s="430">
        <f>SUMIF([1]Нэгтгэл!B:B,'[1]12'!B:B,[1]Нэгтгэл!BT:BT)</f>
        <v>0</v>
      </c>
      <c r="W14" s="430">
        <f>SUMIF([1]Нэгтгэл!B:B,'[1]12'!B:B,[1]Нэгтгэл!BW:BW)</f>
        <v>7691929.6399999987</v>
      </c>
    </row>
    <row r="15" spans="1:23">
      <c r="A15" s="437">
        <f t="shared" si="0"/>
        <v>13</v>
      </c>
      <c r="B15" s="385">
        <v>5502977</v>
      </c>
      <c r="C15" s="429" t="s">
        <v>157</v>
      </c>
      <c r="D15" s="430">
        <f>SUMIF([1]Нэгтгэл!B:B,'[1]12'!B:B,[1]Нэгтгэл!F:F)</f>
        <v>14637843.83</v>
      </c>
      <c r="E15" s="430">
        <f>SUMIF([1]Нэгтгэл!B:B,'[1]12'!B:B,[1]Нэгтгэл!I:I)</f>
        <v>11429892.454456</v>
      </c>
      <c r="F15" s="430">
        <f>SUMIF([1]Нэгтгэл!B:B,'[1]12'!B:B,[1]Нэгтгэл!L:L)</f>
        <v>420807498.91435897</v>
      </c>
      <c r="G15" s="430">
        <f>SUMIF([1]Нэгтгэл!B:B,'[1]12'!B:B,[1]Нэгтгэл!R:R)</f>
        <v>0</v>
      </c>
      <c r="H15" s="430">
        <f>SUMIF([1]Нэгтгэл!B:B,'[1]12'!B:B,[1]Нэгтгэл!O:O)</f>
        <v>0</v>
      </c>
      <c r="I15" s="430">
        <f>SUMIF([1]Нэгтгэл!B:B,'[1]12'!B:B,[1]Нэгтгэл!X:X)</f>
        <v>0</v>
      </c>
      <c r="J15" s="430">
        <f>SUMIF([1]Нэгтгэл!B:B,'[1]12'!B:B,[1]Нэгтгэл!AA:AA)</f>
        <v>0</v>
      </c>
      <c r="K15" s="430">
        <f>SUMIF([1]Нэгтгэл!B:B,'[1]12'!B:B,[1]Нэгтгэл!AD:AD)</f>
        <v>0</v>
      </c>
      <c r="L15" s="430">
        <f>SUMIF([1]Нэгтгэл!B:B,'[1]12'!B:B,[1]Нэгтгэл!AJ:AJ)</f>
        <v>0</v>
      </c>
      <c r="M15" s="430">
        <f>SUMIF([1]Нэгтгэл!B:B,'[1]12'!B:B,[1]Нэгтгэл!AM:AM)</f>
        <v>1287611053.8</v>
      </c>
      <c r="N15" s="430">
        <f>SUMIF([1]Нэгтгэл!B:B,'[1]12'!B:B,[1]Нэгтгэл!AP:AP)</f>
        <v>136800</v>
      </c>
      <c r="O15" s="430">
        <f>SUMIF([1]Нэгтгэл!B:B,'[1]12'!B:B,[1]Нэгтгэл!AS:AS)</f>
        <v>0</v>
      </c>
      <c r="P15" s="430">
        <f>SUMIF([1]Нэгтгэл!B:B,'[1]12'!B:B,[1]Нэгтгэл!BB:BB)</f>
        <v>0</v>
      </c>
      <c r="Q15" s="430">
        <f>SUMIF([1]Нэгтгэл!B:B,'[1]12'!B:B,[1]Нэгтгэл!BE:BE)</f>
        <v>0</v>
      </c>
      <c r="R15" s="430">
        <f>SUMIF([1]Нэгтгэл!B:B,'[1]12'!B:B,[1]Нэгтгэл!BH:BH)</f>
        <v>0</v>
      </c>
      <c r="S15" s="430">
        <f>SUMIF([1]Нэгтгэл!B:B,'[1]12'!B:B,[1]Нэгтгэл!BK:BK)</f>
        <v>0</v>
      </c>
      <c r="T15" s="430">
        <f>SUMIF([1]Нэгтгэл!B:B,'[1]12'!B:B,[1]Нэгтгэл!BN:BN)</f>
        <v>0</v>
      </c>
      <c r="U15" s="430">
        <f>SUMIF([1]Нэгтгэл!B:B,'[1]12'!B:B,[1]Нэгтгэл!BQ:BQ)</f>
        <v>0</v>
      </c>
      <c r="V15" s="430">
        <f>SUMIF([1]Нэгтгэл!B:B,'[1]12'!B:B,[1]Нэгтгэл!BT:BT)</f>
        <v>0</v>
      </c>
      <c r="W15" s="430">
        <f>SUMIF([1]Нэгтгэл!B:B,'[1]12'!B:B,[1]Нэгтгэл!BW:BW)</f>
        <v>742944928.54000008</v>
      </c>
    </row>
    <row r="16" spans="1:23">
      <c r="A16" s="437">
        <f t="shared" si="0"/>
        <v>14</v>
      </c>
      <c r="B16" s="385">
        <v>2708701</v>
      </c>
      <c r="C16" s="429" t="s">
        <v>159</v>
      </c>
      <c r="D16" s="430">
        <f>SUMIF([1]Нэгтгэл!B:B,'[1]12'!B:B,[1]Нэгтгэл!F:F)</f>
        <v>2710942363.5500002</v>
      </c>
      <c r="E16" s="430">
        <f>SUMIF([1]Нэгтгэл!B:B,'[1]12'!B:B,[1]Нэгтгэл!I:I)</f>
        <v>268406572.75314599</v>
      </c>
      <c r="F16" s="430">
        <f>SUMIF([1]Нэгтгэл!B:B,'[1]12'!B:B,[1]Нэгтгэл!L:L)</f>
        <v>1322153775.035548</v>
      </c>
      <c r="G16" s="430">
        <f>SUMIF([1]Нэгтгэл!B:B,'[1]12'!B:B,[1]Нэгтгэл!R:R)</f>
        <v>0</v>
      </c>
      <c r="H16" s="430">
        <f>SUMIF([1]Нэгтгэл!B:B,'[1]12'!B:B,[1]Нэгтгэл!O:O)</f>
        <v>0</v>
      </c>
      <c r="I16" s="430">
        <f>SUMIF([1]Нэгтгэл!B:B,'[1]12'!B:B,[1]Нэгтгэл!X:X)</f>
        <v>0</v>
      </c>
      <c r="J16" s="430">
        <f>SUMIF([1]Нэгтгэл!B:B,'[1]12'!B:B,[1]Нэгтгэл!AA:AA)</f>
        <v>0</v>
      </c>
      <c r="K16" s="430">
        <f>SUMIF([1]Нэгтгэл!B:B,'[1]12'!B:B,[1]Нэгтгэл!AD:AD)</f>
        <v>0</v>
      </c>
      <c r="L16" s="430">
        <f>SUMIF([1]Нэгтгэл!B:B,'[1]12'!B:B,[1]Нэгтгэл!AJ:AJ)</f>
        <v>0</v>
      </c>
      <c r="M16" s="430">
        <f>SUMIF([1]Нэгтгэл!B:B,'[1]12'!B:B,[1]Нэгтгэл!AM:AM)</f>
        <v>5344343149.8400002</v>
      </c>
      <c r="N16" s="430">
        <f>SUMIF([1]Нэгтгэл!B:B,'[1]12'!B:B,[1]Нэгтгэл!AP:AP)</f>
        <v>599800</v>
      </c>
      <c r="O16" s="430">
        <f>SUMIF([1]Нэгтгэл!B:B,'[1]12'!B:B,[1]Нэгтгэл!AS:AS)</f>
        <v>0</v>
      </c>
      <c r="P16" s="430">
        <f>SUMIF([1]Нэгтгэл!B:B,'[1]12'!B:B,[1]Нэгтгэл!BB:BB)</f>
        <v>0</v>
      </c>
      <c r="Q16" s="430">
        <f>SUMIF([1]Нэгтгэл!B:B,'[1]12'!B:B,[1]Нэгтгэл!BE:BE)</f>
        <v>0</v>
      </c>
      <c r="R16" s="430">
        <f>SUMIF([1]Нэгтгэл!B:B,'[1]12'!B:B,[1]Нэгтгэл!BH:BH)</f>
        <v>0</v>
      </c>
      <c r="S16" s="430">
        <f>SUMIF([1]Нэгтгэл!B:B,'[1]12'!B:B,[1]Нэгтгэл!BK:BK)</f>
        <v>0</v>
      </c>
      <c r="T16" s="430">
        <f>SUMIF([1]Нэгтгэл!B:B,'[1]12'!B:B,[1]Нэгтгэл!BN:BN)</f>
        <v>0</v>
      </c>
      <c r="U16" s="430">
        <f>SUMIF([1]Нэгтгэл!B:B,'[1]12'!B:B,[1]Нэгтгэл!BQ:BQ)</f>
        <v>0</v>
      </c>
      <c r="V16" s="430">
        <f>SUMIF([1]Нэгтгэл!B:B,'[1]12'!B:B,[1]Нэгтгэл!BT:BT)</f>
        <v>0</v>
      </c>
      <c r="W16" s="430">
        <f>SUMIF([1]Нэгтгэл!B:B,'[1]12'!B:B,[1]Нэгтгэл!BW:BW)</f>
        <v>2945136871.5900002</v>
      </c>
    </row>
    <row r="17" spans="1:23">
      <c r="A17" s="437">
        <f t="shared" si="0"/>
        <v>15</v>
      </c>
      <c r="B17" s="385">
        <v>2014491</v>
      </c>
      <c r="C17" s="429" t="s">
        <v>161</v>
      </c>
      <c r="D17" s="430">
        <f>SUMIF([1]Нэгтгэл!B:B,'[1]12'!B:B,[1]Нэгтгэл!F:F)</f>
        <v>549661931.66999996</v>
      </c>
      <c r="E17" s="430">
        <f>SUMIF([1]Нэгтгэл!B:B,'[1]12'!B:B,[1]Нэгтгэл!I:I)</f>
        <v>0</v>
      </c>
      <c r="F17" s="430">
        <f>SUMIF([1]Нэгтгэл!B:B,'[1]12'!B:B,[1]Нэгтгэл!L:L)</f>
        <v>676899404.27999997</v>
      </c>
      <c r="G17" s="430">
        <f>SUMIF([1]Нэгтгэл!B:B,'[1]12'!B:B,[1]Нэгтгэл!R:R)</f>
        <v>0</v>
      </c>
      <c r="H17" s="430">
        <f>SUMIF([1]Нэгтгэл!B:B,'[1]12'!B:B,[1]Нэгтгэл!O:O)</f>
        <v>0</v>
      </c>
      <c r="I17" s="430">
        <f>SUMIF([1]Нэгтгэл!B:B,'[1]12'!B:B,[1]Нэгтгэл!X:X)</f>
        <v>481709065.91999996</v>
      </c>
      <c r="J17" s="430">
        <f>SUMIF([1]Нэгтгэл!B:B,'[1]12'!B:B,[1]Нэгтгэл!AA:AA)</f>
        <v>0</v>
      </c>
      <c r="K17" s="430">
        <f>SUMIF([1]Нэгтгэл!B:B,'[1]12'!B:B,[1]Нэгтгэл!AD:AD)</f>
        <v>0</v>
      </c>
      <c r="L17" s="430">
        <f>SUMIF([1]Нэгтгэл!B:B,'[1]12'!B:B,[1]Нэгтгэл!AJ:AJ)</f>
        <v>0</v>
      </c>
      <c r="M17" s="430">
        <f>SUMIF([1]Нэгтгэл!B:B,'[1]12'!B:B,[1]Нэгтгэл!AM:AM)</f>
        <v>452700000</v>
      </c>
      <c r="N17" s="430">
        <f>SUMIF([1]Нэгтгэл!B:B,'[1]12'!B:B,[1]Нэгтгэл!AP:AP)</f>
        <v>47237535</v>
      </c>
      <c r="O17" s="430">
        <f>SUMIF([1]Нэгтгэл!B:B,'[1]12'!B:B,[1]Нэгтгэл!AS:AS)</f>
        <v>0</v>
      </c>
      <c r="P17" s="430">
        <f>SUMIF([1]Нэгтгэл!B:B,'[1]12'!B:B,[1]Нэгтгэл!BB:BB)</f>
        <v>0</v>
      </c>
      <c r="Q17" s="430">
        <f>SUMIF([1]Нэгтгэл!B:B,'[1]12'!B:B,[1]Нэгтгэл!BE:BE)</f>
        <v>0</v>
      </c>
      <c r="R17" s="430">
        <f>SUMIF([1]Нэгтгэл!B:B,'[1]12'!B:B,[1]Нэгтгэл!BH:BH)</f>
        <v>0</v>
      </c>
      <c r="S17" s="430">
        <f>SUMIF([1]Нэгтгэл!B:B,'[1]12'!B:B,[1]Нэгтгэл!BK:BK)</f>
        <v>0</v>
      </c>
      <c r="T17" s="430">
        <f>SUMIF([1]Нэгтгэл!B:B,'[1]12'!B:B,[1]Нэгтгэл!BN:BN)</f>
        <v>0</v>
      </c>
      <c r="U17" s="430">
        <f>SUMIF([1]Нэгтгэл!B:B,'[1]12'!B:B,[1]Нэгтгэл!BQ:BQ)</f>
        <v>0</v>
      </c>
      <c r="V17" s="430">
        <f>SUMIF([1]Нэгтгэл!B:B,'[1]12'!B:B,[1]Нэгтгэл!BT:BT)</f>
        <v>0</v>
      </c>
      <c r="W17" s="430">
        <f>SUMIF([1]Нэгтгэл!B:B,'[1]12'!B:B,[1]Нэгтгэл!BW:BW)</f>
        <v>180571387.63999999</v>
      </c>
    </row>
    <row r="18" spans="1:23">
      <c r="A18" s="437">
        <f t="shared" si="0"/>
        <v>16</v>
      </c>
      <c r="B18" s="385">
        <v>6414877</v>
      </c>
      <c r="C18" s="429" t="s">
        <v>165</v>
      </c>
      <c r="D18" s="430">
        <f>SUMIF([1]Нэгтгэл!B:B,'[1]12'!B:B,[1]Нэгтгэл!F:F)</f>
        <v>0</v>
      </c>
      <c r="E18" s="430">
        <f>SUMIF([1]Нэгтгэл!B:B,'[1]12'!B:B,[1]Нэгтгэл!I:I)</f>
        <v>0</v>
      </c>
      <c r="F18" s="430">
        <f>SUMIF([1]Нэгтгэл!B:B,'[1]12'!B:B,[1]Нэгтгэл!L:L)</f>
        <v>0</v>
      </c>
      <c r="G18" s="430">
        <f>SUMIF([1]Нэгтгэл!B:B,'[1]12'!B:B,[1]Нэгтгэл!R:R)</f>
        <v>0</v>
      </c>
      <c r="H18" s="430">
        <f>SUMIF([1]Нэгтгэл!B:B,'[1]12'!B:B,[1]Нэгтгэл!O:O)</f>
        <v>0</v>
      </c>
      <c r="I18" s="430">
        <f>SUMIF([1]Нэгтгэл!B:B,'[1]12'!B:B,[1]Нэгтгэл!X:X)</f>
        <v>36208616.979999997</v>
      </c>
      <c r="J18" s="430">
        <f>SUMIF([1]Нэгтгэл!B:B,'[1]12'!B:B,[1]Нэгтгэл!AA:AA)</f>
        <v>0</v>
      </c>
      <c r="K18" s="430">
        <f>SUMIF([1]Нэгтгэл!B:B,'[1]12'!B:B,[1]Нэгтгэл!AD:AD)</f>
        <v>0</v>
      </c>
      <c r="L18" s="430">
        <f>SUMIF([1]Нэгтгэл!B:B,'[1]12'!B:B,[1]Нэгтгэл!AJ:AJ)</f>
        <v>0</v>
      </c>
      <c r="M18" s="430">
        <f>SUMIF([1]Нэгтгэл!B:B,'[1]12'!B:B,[1]Нэгтгэл!AM:AM)</f>
        <v>71380000</v>
      </c>
      <c r="N18" s="430">
        <f>SUMIF([1]Нэгтгэл!B:B,'[1]12'!B:B,[1]Нэгтгэл!AP:AP)</f>
        <v>6907551</v>
      </c>
      <c r="O18" s="430">
        <f>SUMIF([1]Нэгтгэл!B:B,'[1]12'!B:B,[1]Нэгтгэл!AS:AS)</f>
        <v>0</v>
      </c>
      <c r="P18" s="430">
        <f>SUMIF([1]Нэгтгэл!B:B,'[1]12'!B:B,[1]Нэгтгэл!BB:BB)</f>
        <v>0</v>
      </c>
      <c r="Q18" s="430">
        <f>SUMIF([1]Нэгтгэл!B:B,'[1]12'!B:B,[1]Нэгтгэл!BE:BE)</f>
        <v>0</v>
      </c>
      <c r="R18" s="430">
        <f>SUMIF([1]Нэгтгэл!B:B,'[1]12'!B:B,[1]Нэгтгэл!BH:BH)</f>
        <v>0</v>
      </c>
      <c r="S18" s="430">
        <f>SUMIF([1]Нэгтгэл!B:B,'[1]12'!B:B,[1]Нэгтгэл!BK:BK)</f>
        <v>0</v>
      </c>
      <c r="T18" s="430">
        <f>SUMIF([1]Нэгтгэл!B:B,'[1]12'!B:B,[1]Нэгтгэл!BN:BN)</f>
        <v>0</v>
      </c>
      <c r="U18" s="430">
        <f>SUMIF([1]Нэгтгэл!B:B,'[1]12'!B:B,[1]Нэгтгэл!BQ:BQ)</f>
        <v>0</v>
      </c>
      <c r="V18" s="430">
        <f>SUMIF([1]Нэгтгэл!B:B,'[1]12'!B:B,[1]Нэгтгэл!BT:BT)</f>
        <v>0</v>
      </c>
      <c r="W18" s="430">
        <f>SUMIF([1]Нэгтгэл!B:B,'[1]12'!B:B,[1]Нэгтгэл!BW:BW)</f>
        <v>25947954.619999997</v>
      </c>
    </row>
    <row r="19" spans="1:23">
      <c r="A19" s="437">
        <f t="shared" si="0"/>
        <v>17</v>
      </c>
      <c r="B19" s="385">
        <v>5369223</v>
      </c>
      <c r="C19" s="429" t="s">
        <v>168</v>
      </c>
      <c r="D19" s="430">
        <f>SUMIF([1]Нэгтгэл!B:B,'[1]12'!B:B,[1]Нэгтгэл!F:F)</f>
        <v>475000000</v>
      </c>
      <c r="E19" s="430">
        <f>SUMIF([1]Нэгтгэл!B:B,'[1]12'!B:B,[1]Нэгтгэл!I:I)</f>
        <v>6290241.0949999997</v>
      </c>
      <c r="F19" s="430">
        <f>SUMIF([1]Нэгтгэл!B:B,'[1]12'!B:B,[1]Нэгтгэл!L:L)</f>
        <v>240775440.07949996</v>
      </c>
      <c r="G19" s="430">
        <f>SUMIF([1]Нэгтгэл!B:B,'[1]12'!B:B,[1]Нэгтгэл!R:R)</f>
        <v>0</v>
      </c>
      <c r="H19" s="430">
        <f>SUMIF([1]Нэгтгэл!B:B,'[1]12'!B:B,[1]Нэгтгэл!O:O)</f>
        <v>0</v>
      </c>
      <c r="I19" s="430">
        <f>SUMIF([1]Нэгтгэл!B:B,'[1]12'!B:B,[1]Нэгтгэл!X:X)</f>
        <v>1480000000</v>
      </c>
      <c r="J19" s="430">
        <f>SUMIF([1]Нэгтгэл!B:B,'[1]12'!B:B,[1]Нэгтгэл!AA:AA)</f>
        <v>0</v>
      </c>
      <c r="K19" s="430">
        <f>SUMIF([1]Нэгтгэл!B:B,'[1]12'!B:B,[1]Нэгтгэл!AD:AD)</f>
        <v>0</v>
      </c>
      <c r="L19" s="430">
        <f>SUMIF([1]Нэгтгэл!B:B,'[1]12'!B:B,[1]Нэгтгэл!AJ:AJ)</f>
        <v>203801180</v>
      </c>
      <c r="M19" s="430">
        <f>SUMIF([1]Нэгтгэл!B:B,'[1]12'!B:B,[1]Нэгтгэл!AM:AM)</f>
        <v>340000000</v>
      </c>
      <c r="N19" s="430">
        <f>SUMIF([1]Нэгтгэл!B:B,'[1]12'!B:B,[1]Нэгтгэл!AP:AP)</f>
        <v>97791335</v>
      </c>
      <c r="O19" s="430">
        <f>SUMIF([1]Нэгтгэл!B:B,'[1]12'!B:B,[1]Нэгтгэл!AS:AS)</f>
        <v>0</v>
      </c>
      <c r="P19" s="430">
        <f>SUMIF([1]Нэгтгэл!B:B,'[1]12'!B:B,[1]Нэгтгэл!BB:BB)</f>
        <v>0</v>
      </c>
      <c r="Q19" s="430">
        <f>SUMIF([1]Нэгтгэл!B:B,'[1]12'!B:B,[1]Нэгтгэл!BE:BE)</f>
        <v>0</v>
      </c>
      <c r="R19" s="430">
        <f>SUMIF([1]Нэгтгэл!B:B,'[1]12'!B:B,[1]Нэгтгэл!BH:BH)</f>
        <v>0</v>
      </c>
      <c r="S19" s="430">
        <f>SUMIF([1]Нэгтгэл!B:B,'[1]12'!B:B,[1]Нэгтгэл!BK:BK)</f>
        <v>0</v>
      </c>
      <c r="T19" s="430">
        <f>SUMIF([1]Нэгтгэл!B:B,'[1]12'!B:B,[1]Нэгтгэл!BN:BN)</f>
        <v>0</v>
      </c>
      <c r="U19" s="430">
        <f>SUMIF([1]Нэгтгэл!B:B,'[1]12'!B:B,[1]Нэгтгэл!BQ:BQ)</f>
        <v>0</v>
      </c>
      <c r="V19" s="430">
        <f>SUMIF([1]Нэгтгэл!B:B,'[1]12'!B:B,[1]Нэгтгэл!BT:BT)</f>
        <v>0</v>
      </c>
      <c r="W19" s="430">
        <f>SUMIF([1]Нэгтгэл!B:B,'[1]12'!B:B,[1]Нэгтгэл!BW:BW)</f>
        <v>49227547.5</v>
      </c>
    </row>
    <row r="20" spans="1:23">
      <c r="A20" s="437">
        <f t="shared" si="0"/>
        <v>18</v>
      </c>
      <c r="B20" s="385">
        <v>5294088</v>
      </c>
      <c r="C20" s="429" t="s">
        <v>169</v>
      </c>
      <c r="D20" s="430">
        <f>SUMIF([1]Нэгтгэл!B:B,'[1]12'!B:B,[1]Нэгтгэл!F:F)</f>
        <v>594113409.04999995</v>
      </c>
      <c r="E20" s="430">
        <f>SUMIF([1]Нэгтгэл!B:B,'[1]12'!B:B,[1]Нэгтгэл!I:I)</f>
        <v>4430143.8023269996</v>
      </c>
      <c r="F20" s="430">
        <f>SUMIF([1]Нэгтгэл!B:B,'[1]12'!B:B,[1]Нэгтгэл!L:L)</f>
        <v>10303301.984886</v>
      </c>
      <c r="G20" s="430">
        <f>SUMIF([1]Нэгтгэл!B:B,'[1]12'!B:B,[1]Нэгтгэл!R:R)</f>
        <v>0</v>
      </c>
      <c r="H20" s="430">
        <f>SUMIF([1]Нэгтгэл!B:B,'[1]12'!B:B,[1]Нэгтгэл!O:O)</f>
        <v>0</v>
      </c>
      <c r="I20" s="430">
        <f>SUMIF([1]Нэгтгэл!B:B,'[1]12'!B:B,[1]Нэгтгэл!X:X)</f>
        <v>1696284019.28</v>
      </c>
      <c r="J20" s="430">
        <f>SUMIF([1]Нэгтгэл!B:B,'[1]12'!B:B,[1]Нэгтгэл!AA:AA)</f>
        <v>0</v>
      </c>
      <c r="K20" s="430">
        <f>SUMIF([1]Нэгтгэл!B:B,'[1]12'!B:B,[1]Нэгтгэл!AD:AD)</f>
        <v>0</v>
      </c>
      <c r="L20" s="430">
        <f>SUMIF([1]Нэгтгэл!B:B,'[1]12'!B:B,[1]Нэгтгэл!AJ:AJ)</f>
        <v>287005000</v>
      </c>
      <c r="M20" s="430">
        <f>SUMIF([1]Нэгтгэл!B:B,'[1]12'!B:B,[1]Нэгтгэл!AM:AM)</f>
        <v>58624685.270000003</v>
      </c>
      <c r="N20" s="430">
        <f>SUMIF([1]Нэгтгэл!B:B,'[1]12'!B:B,[1]Нэгтгэл!AP:AP)</f>
        <v>82394045</v>
      </c>
      <c r="O20" s="430">
        <f>SUMIF([1]Нэгтгэл!B:B,'[1]12'!B:B,[1]Нэгтгэл!AS:AS)</f>
        <v>0</v>
      </c>
      <c r="P20" s="430">
        <f>SUMIF([1]Нэгтгэл!B:B,'[1]12'!B:B,[1]Нэгтгэл!BB:BB)</f>
        <v>0</v>
      </c>
      <c r="Q20" s="430">
        <f>SUMIF([1]Нэгтгэл!B:B,'[1]12'!B:B,[1]Нэгтгэл!BE:BE)</f>
        <v>0</v>
      </c>
      <c r="R20" s="430">
        <f>SUMIF([1]Нэгтгэл!B:B,'[1]12'!B:B,[1]Нэгтгэл!BH:BH)</f>
        <v>0</v>
      </c>
      <c r="S20" s="430">
        <f>SUMIF([1]Нэгтгэл!B:B,'[1]12'!B:B,[1]Нэгтгэл!BK:BK)</f>
        <v>0</v>
      </c>
      <c r="T20" s="430">
        <f>SUMIF([1]Нэгтгэл!B:B,'[1]12'!B:B,[1]Нэгтгэл!BN:BN)</f>
        <v>0</v>
      </c>
      <c r="U20" s="430">
        <f>SUMIF([1]Нэгтгэл!B:B,'[1]12'!B:B,[1]Нэгтгэл!BQ:BQ)</f>
        <v>0</v>
      </c>
      <c r="V20" s="430">
        <f>SUMIF([1]Нэгтгэл!B:B,'[1]12'!B:B,[1]Нэгтгэл!BT:BT)</f>
        <v>0</v>
      </c>
      <c r="W20" s="430">
        <f>SUMIF([1]Нэгтгэл!B:B,'[1]12'!B:B,[1]Нэгтгэл!BW:BW)</f>
        <v>20005788.599999998</v>
      </c>
    </row>
    <row r="21" spans="1:23">
      <c r="A21" s="437">
        <f t="shared" si="0"/>
        <v>19</v>
      </c>
      <c r="B21" s="385">
        <v>2855119</v>
      </c>
      <c r="C21" s="429" t="s">
        <v>173</v>
      </c>
      <c r="D21" s="430">
        <f>SUMIF([1]Нэгтгэл!B:B,'[1]12'!B:B,[1]Нэгтгэл!F:F)</f>
        <v>192339570.30000001</v>
      </c>
      <c r="E21" s="430">
        <f>SUMIF([1]Нэгтгэл!B:B,'[1]12'!B:B,[1]Нэгтгэл!I:I)</f>
        <v>570657682.97332096</v>
      </c>
      <c r="F21" s="430">
        <f>SUMIF([1]Нэгтгэл!B:B,'[1]12'!B:B,[1]Нэгтгэл!L:L)</f>
        <v>1880317509.7839699</v>
      </c>
      <c r="G21" s="430">
        <f>SUMIF([1]Нэгтгэл!B:B,'[1]12'!B:B,[1]Нэгтгэл!R:R)</f>
        <v>0</v>
      </c>
      <c r="H21" s="430">
        <f>SUMIF([1]Нэгтгэл!B:B,'[1]12'!B:B,[1]Нэгтгэл!O:O)</f>
        <v>0</v>
      </c>
      <c r="I21" s="430">
        <f>SUMIF([1]Нэгтгэл!B:B,'[1]12'!B:B,[1]Нэгтгэл!X:X)</f>
        <v>22074138874.43</v>
      </c>
      <c r="J21" s="430">
        <f>SUMIF([1]Нэгтгэл!B:B,'[1]12'!B:B,[1]Нэгтгэл!AA:AA)</f>
        <v>0</v>
      </c>
      <c r="K21" s="430">
        <f>SUMIF([1]Нэгтгэл!B:B,'[1]12'!B:B,[1]Нэгтгэл!AD:AD)</f>
        <v>0</v>
      </c>
      <c r="L21" s="430">
        <f>SUMIF([1]Нэгтгэл!B:B,'[1]12'!B:B,[1]Нэгтгэл!AJ:AJ)</f>
        <v>0</v>
      </c>
      <c r="M21" s="430">
        <f>SUMIF([1]Нэгтгэл!B:B,'[1]12'!B:B,[1]Нэгтгэл!AM:AM)</f>
        <v>11161007604.379999</v>
      </c>
      <c r="N21" s="430">
        <f>SUMIF([1]Нэгтгэл!B:B,'[1]12'!B:B,[1]Нэгтгэл!AP:AP)</f>
        <v>1936282700</v>
      </c>
      <c r="O21" s="430">
        <f>SUMIF([1]Нэгтгэл!B:B,'[1]12'!B:B,[1]Нэгтгэл!AS:AS)</f>
        <v>0</v>
      </c>
      <c r="P21" s="430">
        <f>SUMIF([1]Нэгтгэл!B:B,'[1]12'!B:B,[1]Нэгтгэл!BB:BB)</f>
        <v>0</v>
      </c>
      <c r="Q21" s="430">
        <f>SUMIF([1]Нэгтгэл!B:B,'[1]12'!B:B,[1]Нэгтгэл!BE:BE)</f>
        <v>0</v>
      </c>
      <c r="R21" s="430">
        <f>SUMIF([1]Нэгтгэл!B:B,'[1]12'!B:B,[1]Нэгтгэл!BH:BH)</f>
        <v>0</v>
      </c>
      <c r="S21" s="430">
        <f>SUMIF([1]Нэгтгэл!B:B,'[1]12'!B:B,[1]Нэгтгэл!BK:BK)</f>
        <v>0</v>
      </c>
      <c r="T21" s="430">
        <f>SUMIF([1]Нэгтгэл!B:B,'[1]12'!B:B,[1]Нэгтгэл!BN:BN)</f>
        <v>0</v>
      </c>
      <c r="U21" s="430">
        <f>SUMIF([1]Нэгтгэл!B:B,'[1]12'!B:B,[1]Нэгтгэл!BQ:BQ)</f>
        <v>0</v>
      </c>
      <c r="V21" s="430">
        <f>SUMIF([1]Нэгтгэл!B:B,'[1]12'!B:B,[1]Нэгтгэл!BT:BT)</f>
        <v>0</v>
      </c>
      <c r="W21" s="430">
        <f>SUMIF([1]Нэгтгэл!B:B,'[1]12'!B:B,[1]Нэгтгэл!BW:BW)</f>
        <v>4959132360.2300005</v>
      </c>
    </row>
    <row r="22" spans="1:23">
      <c r="A22" s="437">
        <f t="shared" si="0"/>
        <v>20</v>
      </c>
      <c r="B22" s="385">
        <v>2094533</v>
      </c>
      <c r="C22" s="429" t="s">
        <v>174</v>
      </c>
      <c r="D22" s="430">
        <f>SUMIF([1]Нэгтгэл!B:B,'[1]12'!B:B,[1]Нэгтгэл!F:F)</f>
        <v>34491444670.379997</v>
      </c>
      <c r="E22" s="430">
        <f>SUMIF([1]Нэгтгэл!B:B,'[1]12'!B:B,[1]Нэгтгэл!I:I)</f>
        <v>1536934460.82551</v>
      </c>
      <c r="F22" s="430">
        <f>SUMIF([1]Нэгтгэл!B:B,'[1]12'!B:B,[1]Нэгтгэл!L:L)</f>
        <v>3400226596.4844599</v>
      </c>
      <c r="G22" s="430">
        <f>SUMIF([1]Нэгтгэл!B:B,'[1]12'!B:B,[1]Нэгтгэл!R:R)</f>
        <v>0</v>
      </c>
      <c r="H22" s="430">
        <f>SUMIF([1]Нэгтгэл!B:B,'[1]12'!B:B,[1]Нэгтгэл!O:O)</f>
        <v>0</v>
      </c>
      <c r="I22" s="430">
        <f>SUMIF([1]Нэгтгэл!B:B,'[1]12'!B:B,[1]Нэгтгэл!X:X)</f>
        <v>22853854223</v>
      </c>
      <c r="J22" s="430">
        <f>SUMIF([1]Нэгтгэл!B:B,'[1]12'!B:B,[1]Нэгтгэл!AA:AA)</f>
        <v>0</v>
      </c>
      <c r="K22" s="430">
        <f>SUMIF([1]Нэгтгэл!B:B,'[1]12'!B:B,[1]Нэгтгэл!AD:AD)</f>
        <v>60000000</v>
      </c>
      <c r="L22" s="430">
        <f>SUMIF([1]Нэгтгэл!B:B,'[1]12'!B:B,[1]Нэгтгэл!AJ:AJ)</f>
        <v>0</v>
      </c>
      <c r="M22" s="430">
        <f>SUMIF([1]Нэгтгэл!B:B,'[1]12'!B:B,[1]Нэгтгэл!AM:AM)</f>
        <v>4299106998.4200001</v>
      </c>
      <c r="N22" s="430">
        <f>SUMIF([1]Нэгтгэл!B:B,'[1]12'!B:B,[1]Нэгтгэл!AP:AP)</f>
        <v>1558600</v>
      </c>
      <c r="O22" s="430">
        <f>SUMIF([1]Нэгтгэл!B:B,'[1]12'!B:B,[1]Нэгтгэл!AS:AS)</f>
        <v>0</v>
      </c>
      <c r="P22" s="430">
        <f>SUMIF([1]Нэгтгэл!B:B,'[1]12'!B:B,[1]Нэгтгэл!BB:BB)</f>
        <v>0</v>
      </c>
      <c r="Q22" s="430">
        <f>SUMIF([1]Нэгтгэл!B:B,'[1]12'!B:B,[1]Нэгтгэл!BE:BE)</f>
        <v>0</v>
      </c>
      <c r="R22" s="430">
        <f>SUMIF([1]Нэгтгэл!B:B,'[1]12'!B:B,[1]Нэгтгэл!BH:BH)</f>
        <v>0</v>
      </c>
      <c r="S22" s="430">
        <f>SUMIF([1]Нэгтгэл!B:B,'[1]12'!B:B,[1]Нэгтгэл!BK:BK)</f>
        <v>0</v>
      </c>
      <c r="T22" s="430">
        <f>SUMIF([1]Нэгтгэл!B:B,'[1]12'!B:B,[1]Нэгтгэл!BN:BN)</f>
        <v>0</v>
      </c>
      <c r="U22" s="430">
        <f>SUMIF([1]Нэгтгэл!B:B,'[1]12'!B:B,[1]Нэгтгэл!BQ:BQ)</f>
        <v>0</v>
      </c>
      <c r="V22" s="430">
        <f>SUMIF([1]Нэгтгэл!B:B,'[1]12'!B:B,[1]Нэгтгэл!BT:BT)</f>
        <v>0</v>
      </c>
      <c r="W22" s="430">
        <f>SUMIF([1]Нэгтгэл!B:B,'[1]12'!B:B,[1]Нэгтгэл!BW:BW)</f>
        <v>2243105701.5799999</v>
      </c>
    </row>
    <row r="23" spans="1:23">
      <c r="A23" s="437">
        <f t="shared" si="0"/>
        <v>21</v>
      </c>
      <c r="B23" s="385">
        <v>5722942</v>
      </c>
      <c r="C23" s="429" t="s">
        <v>175</v>
      </c>
      <c r="D23" s="430">
        <f>SUMIF([1]Нэгтгэл!B:B,'[1]12'!B:B,[1]Нэгтгэл!F:F)</f>
        <v>0</v>
      </c>
      <c r="E23" s="430">
        <f>SUMIF([1]Нэгтгэл!B:B,'[1]12'!B:B,[1]Нэгтгэл!I:I)</f>
        <v>6185748.7025579996</v>
      </c>
      <c r="F23" s="430">
        <f>SUMIF([1]Нэгтгэл!B:B,'[1]12'!B:B,[1]Нэгтгэл!L:L)</f>
        <v>86025992.275375992</v>
      </c>
      <c r="G23" s="430">
        <f>SUMIF([1]Нэгтгэл!B:B,'[1]12'!B:B,[1]Нэгтгэл!R:R)</f>
        <v>0</v>
      </c>
      <c r="H23" s="430">
        <f>SUMIF([1]Нэгтгэл!B:B,'[1]12'!B:B,[1]Нэгтгэл!O:O)</f>
        <v>0</v>
      </c>
      <c r="I23" s="430">
        <f>SUMIF([1]Нэгтгэл!B:B,'[1]12'!B:B,[1]Нэгтгэл!X:X)</f>
        <v>0</v>
      </c>
      <c r="J23" s="430">
        <f>SUMIF([1]Нэгтгэл!B:B,'[1]12'!B:B,[1]Нэгтгэл!AA:AA)</f>
        <v>0</v>
      </c>
      <c r="K23" s="430">
        <f>SUMIF([1]Нэгтгэл!B:B,'[1]12'!B:B,[1]Нэгтгэл!AD:AD)</f>
        <v>21480000</v>
      </c>
      <c r="L23" s="430">
        <f>SUMIF([1]Нэгтгэл!B:B,'[1]12'!B:B,[1]Нэгтгэл!AJ:AJ)</f>
        <v>0</v>
      </c>
      <c r="M23" s="430">
        <f>SUMIF([1]Нэгтгэл!B:B,'[1]12'!B:B,[1]Нэгтгэл!AM:AM)</f>
        <v>758481686.08000004</v>
      </c>
      <c r="N23" s="430">
        <f>SUMIF([1]Нэгтгэл!B:B,'[1]12'!B:B,[1]Нэгтгэл!AP:AP)</f>
        <v>119400</v>
      </c>
      <c r="O23" s="430">
        <f>SUMIF([1]Нэгтгэл!B:B,'[1]12'!B:B,[1]Нэгтгэл!AS:AS)</f>
        <v>0</v>
      </c>
      <c r="P23" s="430">
        <f>SUMIF([1]Нэгтгэл!B:B,'[1]12'!B:B,[1]Нэгтгэл!BB:BB)</f>
        <v>0</v>
      </c>
      <c r="Q23" s="430">
        <f>SUMIF([1]Нэгтгэл!B:B,'[1]12'!B:B,[1]Нэгтгэл!BE:BE)</f>
        <v>0</v>
      </c>
      <c r="R23" s="430">
        <f>SUMIF([1]Нэгтгэл!B:B,'[1]12'!B:B,[1]Нэгтгэл!BH:BH)</f>
        <v>0</v>
      </c>
      <c r="S23" s="430">
        <f>SUMIF([1]Нэгтгэл!B:B,'[1]12'!B:B,[1]Нэгтгэл!BK:BK)</f>
        <v>0</v>
      </c>
      <c r="T23" s="430">
        <f>SUMIF([1]Нэгтгэл!B:B,'[1]12'!B:B,[1]Нэгтгэл!BN:BN)</f>
        <v>0</v>
      </c>
      <c r="U23" s="430">
        <f>SUMIF([1]Нэгтгэл!B:B,'[1]12'!B:B,[1]Нэгтгэл!BQ:BQ)</f>
        <v>0</v>
      </c>
      <c r="V23" s="430">
        <f>SUMIF([1]Нэгтгэл!B:B,'[1]12'!B:B,[1]Нэгтгэл!BT:BT)</f>
        <v>0</v>
      </c>
      <c r="W23" s="430">
        <f>SUMIF([1]Нэгтгэл!B:B,'[1]12'!B:B,[1]Нэгтгэл!BW:BW)</f>
        <v>170000000</v>
      </c>
    </row>
    <row r="24" spans="1:23">
      <c r="A24" s="437">
        <f t="shared" si="0"/>
        <v>22</v>
      </c>
      <c r="B24" s="385">
        <v>2867494</v>
      </c>
      <c r="C24" s="429" t="s">
        <v>176</v>
      </c>
      <c r="D24" s="430">
        <f>SUMIF([1]Нэгтгэл!B:B,'[1]12'!B:B,[1]Нэгтгэл!F:F)</f>
        <v>25172111.84</v>
      </c>
      <c r="E24" s="430">
        <f>SUMIF([1]Нэгтгэл!B:B,'[1]12'!B:B,[1]Нэгтгэл!I:I)</f>
        <v>0</v>
      </c>
      <c r="F24" s="430">
        <f>SUMIF([1]Нэгтгэл!B:B,'[1]12'!B:B,[1]Нэгтгэл!L:L)</f>
        <v>0</v>
      </c>
      <c r="G24" s="430">
        <f>SUMIF([1]Нэгтгэл!B:B,'[1]12'!B:B,[1]Нэгтгэл!R:R)</f>
        <v>0</v>
      </c>
      <c r="H24" s="430">
        <f>SUMIF([1]Нэгтгэл!B:B,'[1]12'!B:B,[1]Нэгтгэл!O:O)</f>
        <v>0</v>
      </c>
      <c r="I24" s="430">
        <f>SUMIF([1]Нэгтгэл!B:B,'[1]12'!B:B,[1]Нэгтгэл!X:X)</f>
        <v>0</v>
      </c>
      <c r="J24" s="430">
        <f>SUMIF([1]Нэгтгэл!B:B,'[1]12'!B:B,[1]Нэгтгэл!AA:AA)</f>
        <v>0</v>
      </c>
      <c r="K24" s="430">
        <f>SUMIF([1]Нэгтгэл!B:B,'[1]12'!B:B,[1]Нэгтгэл!AD:AD)</f>
        <v>0</v>
      </c>
      <c r="L24" s="430">
        <f>SUMIF([1]Нэгтгэл!B:B,'[1]12'!B:B,[1]Нэгтгэл!AJ:AJ)</f>
        <v>0</v>
      </c>
      <c r="M24" s="430">
        <f>SUMIF([1]Нэгтгэл!B:B,'[1]12'!B:B,[1]Нэгтгэл!AM:AM)</f>
        <v>0</v>
      </c>
      <c r="N24" s="430">
        <f>SUMIF([1]Нэгтгэл!B:B,'[1]12'!B:B,[1]Нэгтгэл!AP:AP)</f>
        <v>0</v>
      </c>
      <c r="O24" s="430">
        <f>SUMIF([1]Нэгтгэл!B:B,'[1]12'!B:B,[1]Нэгтгэл!AS:AS)</f>
        <v>0</v>
      </c>
      <c r="P24" s="430">
        <f>SUMIF([1]Нэгтгэл!B:B,'[1]12'!B:B,[1]Нэгтгэл!BB:BB)</f>
        <v>0</v>
      </c>
      <c r="Q24" s="430">
        <f>SUMIF([1]Нэгтгэл!B:B,'[1]12'!B:B,[1]Нэгтгэл!BE:BE)</f>
        <v>0</v>
      </c>
      <c r="R24" s="430">
        <f>SUMIF([1]Нэгтгэл!B:B,'[1]12'!B:B,[1]Нэгтгэл!BH:BH)</f>
        <v>0</v>
      </c>
      <c r="S24" s="430">
        <f>SUMIF([1]Нэгтгэл!B:B,'[1]12'!B:B,[1]Нэгтгэл!BK:BK)</f>
        <v>0</v>
      </c>
      <c r="T24" s="430">
        <f>SUMIF([1]Нэгтгэл!B:B,'[1]12'!B:B,[1]Нэгтгэл!BN:BN)</f>
        <v>0</v>
      </c>
      <c r="U24" s="430">
        <f>SUMIF([1]Нэгтгэл!B:B,'[1]12'!B:B,[1]Нэгтгэл!BQ:BQ)</f>
        <v>0</v>
      </c>
      <c r="V24" s="430">
        <f>SUMIF([1]Нэгтгэл!B:B,'[1]12'!B:B,[1]Нэгтгэл!BT:BT)</f>
        <v>0</v>
      </c>
      <c r="W24" s="430">
        <f>SUMIF([1]Нэгтгэл!B:B,'[1]12'!B:B,[1]Нэгтгэл!BW:BW)</f>
        <v>0</v>
      </c>
    </row>
    <row r="25" spans="1:23">
      <c r="A25" s="437">
        <f t="shared" si="0"/>
        <v>23</v>
      </c>
      <c r="B25" s="385">
        <v>6463932</v>
      </c>
      <c r="C25" s="429" t="s">
        <v>177</v>
      </c>
      <c r="D25" s="430">
        <f>SUMIF([1]Нэгтгэл!B:B,'[1]12'!B:B,[1]Нэгтгэл!F:F)</f>
        <v>221009732.25999999</v>
      </c>
      <c r="E25" s="430">
        <f>SUMIF([1]Нэгтгэл!B:B,'[1]12'!B:B,[1]Нэгтгэл!I:I)</f>
        <v>110521798.356682</v>
      </c>
      <c r="F25" s="430">
        <f>SUMIF([1]Нэгтгэл!B:B,'[1]12'!B:B,[1]Нэгтгэл!L:L)</f>
        <v>190735478.91886601</v>
      </c>
      <c r="G25" s="430">
        <f>SUMIF([1]Нэгтгэл!B:B,'[1]12'!B:B,[1]Нэгтгэл!R:R)</f>
        <v>0</v>
      </c>
      <c r="H25" s="430">
        <f>SUMIF([1]Нэгтгэл!B:B,'[1]12'!B:B,[1]Нэгтгэл!O:O)</f>
        <v>0</v>
      </c>
      <c r="I25" s="430">
        <f>SUMIF([1]Нэгтгэл!B:B,'[1]12'!B:B,[1]Нэгтгэл!X:X)</f>
        <v>2936238969.1499996</v>
      </c>
      <c r="J25" s="430">
        <f>SUMIF([1]Нэгтгэл!B:B,'[1]12'!B:B,[1]Нэгтгэл!AA:AA)</f>
        <v>0</v>
      </c>
      <c r="K25" s="430">
        <f>SUMIF([1]Нэгтгэл!B:B,'[1]12'!B:B,[1]Нэгтгэл!AD:AD)</f>
        <v>0</v>
      </c>
      <c r="L25" s="430">
        <f>SUMIF([1]Нэгтгэл!B:B,'[1]12'!B:B,[1]Нэгтгэл!AJ:AJ)</f>
        <v>231182340</v>
      </c>
      <c r="M25" s="430">
        <f>SUMIF([1]Нэгтгэл!B:B,'[1]12'!B:B,[1]Нэгтгэл!AM:AM)</f>
        <v>314790818.20999998</v>
      </c>
      <c r="N25" s="430">
        <f>SUMIF([1]Нэгтгэл!B:B,'[1]12'!B:B,[1]Нэгтгэл!AP:AP)</f>
        <v>605944053</v>
      </c>
      <c r="O25" s="430">
        <f>SUMIF([1]Нэгтгэл!B:B,'[1]12'!B:B,[1]Нэгтгэл!AS:AS)</f>
        <v>0</v>
      </c>
      <c r="P25" s="430">
        <f>SUMIF([1]Нэгтгэл!B:B,'[1]12'!B:B,[1]Нэгтгэл!BB:BB)</f>
        <v>0</v>
      </c>
      <c r="Q25" s="430">
        <f>SUMIF([1]Нэгтгэл!B:B,'[1]12'!B:B,[1]Нэгтгэл!BE:BE)</f>
        <v>0</v>
      </c>
      <c r="R25" s="430">
        <f>SUMIF([1]Нэгтгэл!B:B,'[1]12'!B:B,[1]Нэгтгэл!BH:BH)</f>
        <v>0</v>
      </c>
      <c r="S25" s="430">
        <f>SUMIF([1]Нэгтгэл!B:B,'[1]12'!B:B,[1]Нэгтгэл!BK:BK)</f>
        <v>0</v>
      </c>
      <c r="T25" s="430">
        <f>SUMIF([1]Нэгтгэл!B:B,'[1]12'!B:B,[1]Нэгтгэл!BN:BN)</f>
        <v>0</v>
      </c>
      <c r="U25" s="430">
        <f>SUMIF([1]Нэгтгэл!B:B,'[1]12'!B:B,[1]Нэгтгэл!BQ:BQ)</f>
        <v>0</v>
      </c>
      <c r="V25" s="430">
        <f>SUMIF([1]Нэгтгэл!B:B,'[1]12'!B:B,[1]Нэгтгэл!BT:BT)</f>
        <v>0</v>
      </c>
      <c r="W25" s="430">
        <f>SUMIF([1]Нэгтгэл!B:B,'[1]12'!B:B,[1]Нэгтгэл!BW:BW)</f>
        <v>72509060.079999998</v>
      </c>
    </row>
    <row r="26" spans="1:23">
      <c r="A26" s="437">
        <f t="shared" si="0"/>
        <v>24</v>
      </c>
      <c r="B26" s="385">
        <v>5260833</v>
      </c>
      <c r="C26" s="429" t="s">
        <v>178</v>
      </c>
      <c r="D26" s="430">
        <f>SUMIF([1]Нэгтгэл!B:B,'[1]12'!B:B,[1]Нэгтгэл!F:F)</f>
        <v>0</v>
      </c>
      <c r="E26" s="430">
        <f>SUMIF([1]Нэгтгэл!B:B,'[1]12'!B:B,[1]Нэгтгэл!I:I)</f>
        <v>0</v>
      </c>
      <c r="F26" s="430">
        <f>SUMIF([1]Нэгтгэл!B:B,'[1]12'!B:B,[1]Нэгтгэл!L:L)</f>
        <v>0</v>
      </c>
      <c r="G26" s="430">
        <f>SUMIF([1]Нэгтгэл!B:B,'[1]12'!B:B,[1]Нэгтгэл!R:R)</f>
        <v>0</v>
      </c>
      <c r="H26" s="430">
        <f>SUMIF([1]Нэгтгэл!B:B,'[1]12'!B:B,[1]Нэгтгэл!O:O)</f>
        <v>0</v>
      </c>
      <c r="I26" s="430">
        <f>SUMIF([1]Нэгтгэл!B:B,'[1]12'!B:B,[1]Нэгтгэл!X:X)</f>
        <v>0</v>
      </c>
      <c r="J26" s="430">
        <f>SUMIF([1]Нэгтгэл!B:B,'[1]12'!B:B,[1]Нэгтгэл!AA:AA)</f>
        <v>0</v>
      </c>
      <c r="K26" s="430">
        <f>SUMIF([1]Нэгтгэл!B:B,'[1]12'!B:B,[1]Нэгтгэл!AD:AD)</f>
        <v>0</v>
      </c>
      <c r="L26" s="430">
        <f>SUMIF([1]Нэгтгэл!B:B,'[1]12'!B:B,[1]Нэгтгэл!AJ:AJ)</f>
        <v>0</v>
      </c>
      <c r="M26" s="430">
        <f>SUMIF([1]Нэгтгэл!B:B,'[1]12'!B:B,[1]Нэгтгэл!AM:AM)</f>
        <v>0</v>
      </c>
      <c r="N26" s="430">
        <f>SUMIF([1]Нэгтгэл!B:B,'[1]12'!B:B,[1]Нэгтгэл!AP:AP)</f>
        <v>0</v>
      </c>
      <c r="O26" s="430">
        <f>SUMIF([1]Нэгтгэл!B:B,'[1]12'!B:B,[1]Нэгтгэл!AS:AS)</f>
        <v>0</v>
      </c>
      <c r="P26" s="430">
        <f>SUMIF([1]Нэгтгэл!B:B,'[1]12'!B:B,[1]Нэгтгэл!BB:BB)</f>
        <v>0</v>
      </c>
      <c r="Q26" s="430">
        <f>SUMIF([1]Нэгтгэл!B:B,'[1]12'!B:B,[1]Нэгтгэл!BE:BE)</f>
        <v>0</v>
      </c>
      <c r="R26" s="430">
        <f>SUMIF([1]Нэгтгэл!B:B,'[1]12'!B:B,[1]Нэгтгэл!BH:BH)</f>
        <v>0</v>
      </c>
      <c r="S26" s="430">
        <f>SUMIF([1]Нэгтгэл!B:B,'[1]12'!B:B,[1]Нэгтгэл!BK:BK)</f>
        <v>0</v>
      </c>
      <c r="T26" s="430">
        <f>SUMIF([1]Нэгтгэл!B:B,'[1]12'!B:B,[1]Нэгтгэл!BN:BN)</f>
        <v>0</v>
      </c>
      <c r="U26" s="430">
        <f>SUMIF([1]Нэгтгэл!B:B,'[1]12'!B:B,[1]Нэгтгэл!BQ:BQ)</f>
        <v>0</v>
      </c>
      <c r="V26" s="430">
        <f>SUMIF([1]Нэгтгэл!B:B,'[1]12'!B:B,[1]Нэгтгэл!BT:BT)</f>
        <v>0</v>
      </c>
      <c r="W26" s="430">
        <f>SUMIF([1]Нэгтгэл!B:B,'[1]12'!B:B,[1]Нэгтгэл!BW:BW)</f>
        <v>0</v>
      </c>
    </row>
    <row r="27" spans="1:23">
      <c r="A27" s="437">
        <f t="shared" si="0"/>
        <v>25</v>
      </c>
      <c r="B27" s="385">
        <v>2051303</v>
      </c>
      <c r="C27" s="429" t="s">
        <v>179</v>
      </c>
      <c r="D27" s="430">
        <f>SUMIF([1]Нэгтгэл!B:B,'[1]12'!B:B,[1]Нэгтгэл!F:F)</f>
        <v>4330895722.1499996</v>
      </c>
      <c r="E27" s="430">
        <f>SUMIF([1]Нэгтгэл!B:B,'[1]12'!B:B,[1]Нэгтгэл!I:I)</f>
        <v>302172719.14577597</v>
      </c>
      <c r="F27" s="430">
        <f>SUMIF([1]Нэгтгэл!B:B,'[1]12'!B:B,[1]Нэгтгэл!L:L)</f>
        <v>3479276205.9461322</v>
      </c>
      <c r="G27" s="430">
        <f>SUMIF([1]Нэгтгэл!B:B,'[1]12'!B:B,[1]Нэгтгэл!R:R)</f>
        <v>0</v>
      </c>
      <c r="H27" s="430">
        <f>SUMIF([1]Нэгтгэл!B:B,'[1]12'!B:B,[1]Нэгтгэл!O:O)</f>
        <v>0</v>
      </c>
      <c r="I27" s="430">
        <f>SUMIF([1]Нэгтгэл!B:B,'[1]12'!B:B,[1]Нэгтгэл!X:X)</f>
        <v>4813343633.7399998</v>
      </c>
      <c r="J27" s="430">
        <f>SUMIF([1]Нэгтгэл!B:B,'[1]12'!B:B,[1]Нэгтгэл!AA:AA)</f>
        <v>0</v>
      </c>
      <c r="K27" s="430">
        <f>SUMIF([1]Нэгтгэл!B:B,'[1]12'!B:B,[1]Нэгтгэл!AD:AD)</f>
        <v>682678000</v>
      </c>
      <c r="L27" s="430">
        <f>SUMIF([1]Нэгтгэл!B:B,'[1]12'!B:B,[1]Нэгтгэл!AJ:AJ)</f>
        <v>0</v>
      </c>
      <c r="M27" s="430">
        <f>SUMIF([1]Нэгтгэл!B:B,'[1]12'!B:B,[1]Нэгтгэл!AM:AM)</f>
        <v>15429491321.09</v>
      </c>
      <c r="N27" s="430">
        <f>SUMIF([1]Нэгтгэл!B:B,'[1]12'!B:B,[1]Нэгтгэл!AP:AP)</f>
        <v>1134894625</v>
      </c>
      <c r="O27" s="430">
        <f>SUMIF([1]Нэгтгэл!B:B,'[1]12'!B:B,[1]Нэгтгэл!AS:AS)</f>
        <v>0</v>
      </c>
      <c r="P27" s="430">
        <f>SUMIF([1]Нэгтгэл!B:B,'[1]12'!B:B,[1]Нэгтгэл!BB:BB)</f>
        <v>0</v>
      </c>
      <c r="Q27" s="430">
        <f>SUMIF([1]Нэгтгэл!B:B,'[1]12'!B:B,[1]Нэгтгэл!BE:BE)</f>
        <v>0</v>
      </c>
      <c r="R27" s="430">
        <f>SUMIF([1]Нэгтгэл!B:B,'[1]12'!B:B,[1]Нэгтгэл!BH:BH)</f>
        <v>0</v>
      </c>
      <c r="S27" s="430">
        <f>SUMIF([1]Нэгтгэл!B:B,'[1]12'!B:B,[1]Нэгтгэл!BK:BK)</f>
        <v>0</v>
      </c>
      <c r="T27" s="430">
        <f>SUMIF([1]Нэгтгэл!B:B,'[1]12'!B:B,[1]Нэгтгэл!BN:BN)</f>
        <v>0</v>
      </c>
      <c r="U27" s="430">
        <f>SUMIF([1]Нэгтгэл!B:B,'[1]12'!B:B,[1]Нэгтгэл!BQ:BQ)</f>
        <v>0</v>
      </c>
      <c r="V27" s="430">
        <f>SUMIF([1]Нэгтгэл!B:B,'[1]12'!B:B,[1]Нэгтгэл!BT:BT)</f>
        <v>0</v>
      </c>
      <c r="W27" s="430">
        <f>SUMIF([1]Нэгтгэл!B:B,'[1]12'!B:B,[1]Нэгтгэл!BW:BW)</f>
        <v>3351587374.0600004</v>
      </c>
    </row>
    <row r="28" spans="1:23">
      <c r="A28" s="437">
        <f t="shared" si="0"/>
        <v>26</v>
      </c>
      <c r="B28" s="385">
        <v>2061848</v>
      </c>
      <c r="C28" s="429" t="s">
        <v>183</v>
      </c>
      <c r="D28" s="430">
        <f>SUMIF([1]Нэгтгэл!B:B,'[1]12'!B:B,[1]Нэгтгэл!F:F)</f>
        <v>2064217.02</v>
      </c>
      <c r="E28" s="430">
        <f>SUMIF([1]Нэгтгэл!B:B,'[1]12'!B:B,[1]Нэгтгэл!I:I)</f>
        <v>0</v>
      </c>
      <c r="F28" s="430">
        <f>SUMIF([1]Нэгтгэл!B:B,'[1]12'!B:B,[1]Нэгтгэл!L:L)</f>
        <v>8230371.8400000008</v>
      </c>
      <c r="G28" s="430">
        <f>SUMIF([1]Нэгтгэл!B:B,'[1]12'!B:B,[1]Нэгтгэл!R:R)</f>
        <v>0</v>
      </c>
      <c r="H28" s="430">
        <f>SUMIF([1]Нэгтгэл!B:B,'[1]12'!B:B,[1]Нэгтгэл!O:O)</f>
        <v>0</v>
      </c>
      <c r="I28" s="430">
        <f>SUMIF([1]Нэгтгэл!B:B,'[1]12'!B:B,[1]Нэгтгэл!X:X)</f>
        <v>0</v>
      </c>
      <c r="J28" s="430">
        <f>SUMIF([1]Нэгтгэл!B:B,'[1]12'!B:B,[1]Нэгтгэл!AA:AA)</f>
        <v>0</v>
      </c>
      <c r="K28" s="430">
        <f>SUMIF([1]Нэгтгэл!B:B,'[1]12'!B:B,[1]Нэгтгэл!AD:AD)</f>
        <v>0</v>
      </c>
      <c r="L28" s="430">
        <f>SUMIF([1]Нэгтгэл!B:B,'[1]12'!B:B,[1]Нэгтгэл!AJ:AJ)</f>
        <v>0</v>
      </c>
      <c r="M28" s="430">
        <f>SUMIF([1]Нэгтгэл!B:B,'[1]12'!B:B,[1]Нэгтгэл!AM:AM)</f>
        <v>124694543.81</v>
      </c>
      <c r="N28" s="430">
        <f>SUMIF([1]Нэгтгэл!B:B,'[1]12'!B:B,[1]Нэгтгэл!AP:AP)</f>
        <v>0</v>
      </c>
      <c r="O28" s="430">
        <f>SUMIF([1]Нэгтгэл!B:B,'[1]12'!B:B,[1]Нэгтгэл!AS:AS)</f>
        <v>0</v>
      </c>
      <c r="P28" s="430">
        <f>SUMIF([1]Нэгтгэл!B:B,'[1]12'!B:B,[1]Нэгтгэл!BB:BB)</f>
        <v>0</v>
      </c>
      <c r="Q28" s="430">
        <f>SUMIF([1]Нэгтгэл!B:B,'[1]12'!B:B,[1]Нэгтгэл!BE:BE)</f>
        <v>0</v>
      </c>
      <c r="R28" s="430">
        <f>SUMIF([1]Нэгтгэл!B:B,'[1]12'!B:B,[1]Нэгтгэл!BH:BH)</f>
        <v>0</v>
      </c>
      <c r="S28" s="430">
        <f>SUMIF([1]Нэгтгэл!B:B,'[1]12'!B:B,[1]Нэгтгэл!BK:BK)</f>
        <v>0</v>
      </c>
      <c r="T28" s="430">
        <f>SUMIF([1]Нэгтгэл!B:B,'[1]12'!B:B,[1]Нэгтгэл!BN:BN)</f>
        <v>0</v>
      </c>
      <c r="U28" s="430">
        <f>SUMIF([1]Нэгтгэл!B:B,'[1]12'!B:B,[1]Нэгтгэл!BQ:BQ)</f>
        <v>0</v>
      </c>
      <c r="V28" s="430">
        <f>SUMIF([1]Нэгтгэл!B:B,'[1]12'!B:B,[1]Нэгтгэл!BT:BT)</f>
        <v>0</v>
      </c>
      <c r="W28" s="430">
        <f>SUMIF([1]Нэгтгэл!B:B,'[1]12'!B:B,[1]Нэгтгэл!BW:BW)</f>
        <v>36486336.650000006</v>
      </c>
    </row>
    <row r="29" spans="1:23">
      <c r="A29" s="437">
        <f t="shared" si="0"/>
        <v>27</v>
      </c>
      <c r="B29" s="385">
        <v>2766337</v>
      </c>
      <c r="C29" s="429" t="s">
        <v>185</v>
      </c>
      <c r="D29" s="430">
        <f>SUMIF([1]Нэгтгэл!B:B,'[1]12'!B:B,[1]Нэгтгэл!F:F)</f>
        <v>0</v>
      </c>
      <c r="E29" s="430">
        <f>SUMIF([1]Нэгтгэл!B:B,'[1]12'!B:B,[1]Нэгтгэл!I:I)</f>
        <v>0</v>
      </c>
      <c r="F29" s="430">
        <f>SUMIF([1]Нэгтгэл!B:B,'[1]12'!B:B,[1]Нэгтгэл!L:L)</f>
        <v>0</v>
      </c>
      <c r="G29" s="430">
        <f>SUMIF([1]Нэгтгэл!B:B,'[1]12'!B:B,[1]Нэгтгэл!R:R)</f>
        <v>0</v>
      </c>
      <c r="H29" s="430">
        <f>SUMIF([1]Нэгтгэл!B:B,'[1]12'!B:B,[1]Нэгтгэл!O:O)</f>
        <v>0</v>
      </c>
      <c r="I29" s="430">
        <f>SUMIF([1]Нэгтгэл!B:B,'[1]12'!B:B,[1]Нэгтгэл!X:X)</f>
        <v>0</v>
      </c>
      <c r="J29" s="430">
        <f>SUMIF([1]Нэгтгэл!B:B,'[1]12'!B:B,[1]Нэгтгэл!AA:AA)</f>
        <v>0</v>
      </c>
      <c r="K29" s="430">
        <f>SUMIF([1]Нэгтгэл!B:B,'[1]12'!B:B,[1]Нэгтгэл!AD:AD)</f>
        <v>0</v>
      </c>
      <c r="L29" s="430">
        <f>SUMIF([1]Нэгтгэл!B:B,'[1]12'!B:B,[1]Нэгтгэл!AJ:AJ)</f>
        <v>0</v>
      </c>
      <c r="M29" s="430">
        <f>SUMIF([1]Нэгтгэл!B:B,'[1]12'!B:B,[1]Нэгтгэл!AM:AM)</f>
        <v>0</v>
      </c>
      <c r="N29" s="430">
        <f>SUMIF([1]Нэгтгэл!B:B,'[1]12'!B:B,[1]Нэгтгэл!AP:AP)</f>
        <v>0</v>
      </c>
      <c r="O29" s="430">
        <f>SUMIF([1]Нэгтгэл!B:B,'[1]12'!B:B,[1]Нэгтгэл!AS:AS)</f>
        <v>0</v>
      </c>
      <c r="P29" s="430">
        <f>SUMIF([1]Нэгтгэл!B:B,'[1]12'!B:B,[1]Нэгтгэл!BB:BB)</f>
        <v>0</v>
      </c>
      <c r="Q29" s="430">
        <f>SUMIF([1]Нэгтгэл!B:B,'[1]12'!B:B,[1]Нэгтгэл!BE:BE)</f>
        <v>0</v>
      </c>
      <c r="R29" s="430">
        <f>SUMIF([1]Нэгтгэл!B:B,'[1]12'!B:B,[1]Нэгтгэл!BH:BH)</f>
        <v>0</v>
      </c>
      <c r="S29" s="430">
        <f>SUMIF([1]Нэгтгэл!B:B,'[1]12'!B:B,[1]Нэгтгэл!BK:BK)</f>
        <v>0</v>
      </c>
      <c r="T29" s="430">
        <f>SUMIF([1]Нэгтгэл!B:B,'[1]12'!B:B,[1]Нэгтгэл!BN:BN)</f>
        <v>0</v>
      </c>
      <c r="U29" s="430">
        <f>SUMIF([1]Нэгтгэл!B:B,'[1]12'!B:B,[1]Нэгтгэл!BQ:BQ)</f>
        <v>0</v>
      </c>
      <c r="V29" s="430">
        <f>SUMIF([1]Нэгтгэл!B:B,'[1]12'!B:B,[1]Нэгтгэл!BT:BT)</f>
        <v>0</v>
      </c>
      <c r="W29" s="430">
        <f>SUMIF([1]Нэгтгэл!B:B,'[1]12'!B:B,[1]Нэгтгэл!BW:BW)</f>
        <v>0</v>
      </c>
    </row>
    <row r="30" spans="1:23">
      <c r="A30" s="437">
        <f t="shared" si="0"/>
        <v>28</v>
      </c>
      <c r="B30" s="385">
        <v>5810086</v>
      </c>
      <c r="C30" s="429" t="s">
        <v>187</v>
      </c>
      <c r="D30" s="430">
        <f>SUMIF([1]Нэгтгэл!B:B,'[1]12'!B:B,[1]Нэгтгэл!F:F)</f>
        <v>0</v>
      </c>
      <c r="E30" s="430">
        <f>SUMIF([1]Нэгтгэл!B:B,'[1]12'!B:B,[1]Нэгтгэл!I:I)</f>
        <v>0</v>
      </c>
      <c r="F30" s="430">
        <f>SUMIF([1]Нэгтгэл!B:B,'[1]12'!B:B,[1]Нэгтгэл!L:L)</f>
        <v>0</v>
      </c>
      <c r="G30" s="430">
        <f>SUMIF([1]Нэгтгэл!B:B,'[1]12'!B:B,[1]Нэгтгэл!R:R)</f>
        <v>0</v>
      </c>
      <c r="H30" s="430">
        <f>SUMIF([1]Нэгтгэл!B:B,'[1]12'!B:B,[1]Нэгтгэл!O:O)</f>
        <v>0</v>
      </c>
      <c r="I30" s="430">
        <f>SUMIF([1]Нэгтгэл!B:B,'[1]12'!B:B,[1]Нэгтгэл!X:X)</f>
        <v>0</v>
      </c>
      <c r="J30" s="430">
        <f>SUMIF([1]Нэгтгэл!B:B,'[1]12'!B:B,[1]Нэгтгэл!AA:AA)</f>
        <v>0</v>
      </c>
      <c r="K30" s="430">
        <f>SUMIF([1]Нэгтгэл!B:B,'[1]12'!B:B,[1]Нэгтгэл!AD:AD)</f>
        <v>0</v>
      </c>
      <c r="L30" s="430">
        <f>SUMIF([1]Нэгтгэл!B:B,'[1]12'!B:B,[1]Нэгтгэл!AJ:AJ)</f>
        <v>0</v>
      </c>
      <c r="M30" s="430">
        <f>SUMIF([1]Нэгтгэл!B:B,'[1]12'!B:B,[1]Нэгтгэл!AM:AM)</f>
        <v>0</v>
      </c>
      <c r="N30" s="430">
        <f>SUMIF([1]Нэгтгэл!B:B,'[1]12'!B:B,[1]Нэгтгэл!AP:AP)</f>
        <v>0</v>
      </c>
      <c r="O30" s="430">
        <f>SUMIF([1]Нэгтгэл!B:B,'[1]12'!B:B,[1]Нэгтгэл!AS:AS)</f>
        <v>0</v>
      </c>
      <c r="P30" s="430">
        <f>SUMIF([1]Нэгтгэл!B:B,'[1]12'!B:B,[1]Нэгтгэл!BB:BB)</f>
        <v>0</v>
      </c>
      <c r="Q30" s="430">
        <f>SUMIF([1]Нэгтгэл!B:B,'[1]12'!B:B,[1]Нэгтгэл!BE:BE)</f>
        <v>0</v>
      </c>
      <c r="R30" s="430">
        <f>SUMIF([1]Нэгтгэл!B:B,'[1]12'!B:B,[1]Нэгтгэл!BH:BH)</f>
        <v>0</v>
      </c>
      <c r="S30" s="430">
        <f>SUMIF([1]Нэгтгэл!B:B,'[1]12'!B:B,[1]Нэгтгэл!BK:BK)</f>
        <v>0</v>
      </c>
      <c r="T30" s="430">
        <f>SUMIF([1]Нэгтгэл!B:B,'[1]12'!B:B,[1]Нэгтгэл!BN:BN)</f>
        <v>0</v>
      </c>
      <c r="U30" s="430">
        <f>SUMIF([1]Нэгтгэл!B:B,'[1]12'!B:B,[1]Нэгтгэл!BQ:BQ)</f>
        <v>0</v>
      </c>
      <c r="V30" s="430">
        <f>SUMIF([1]Нэгтгэл!B:B,'[1]12'!B:B,[1]Нэгтгэл!BT:BT)</f>
        <v>0</v>
      </c>
      <c r="W30" s="430">
        <f>SUMIF([1]Нэгтгэл!B:B,'[1]12'!B:B,[1]Нэгтгэл!BW:BW)</f>
        <v>0</v>
      </c>
    </row>
    <row r="31" spans="1:23">
      <c r="A31" s="437">
        <f t="shared" si="0"/>
        <v>29</v>
      </c>
      <c r="B31" s="385">
        <v>5217652</v>
      </c>
      <c r="C31" s="429" t="s">
        <v>188</v>
      </c>
      <c r="D31" s="430">
        <f>SUMIF([1]Нэгтгэл!B:B,'[1]12'!B:B,[1]Нэгтгэл!F:F)</f>
        <v>16780044.380000003</v>
      </c>
      <c r="E31" s="430">
        <f>SUMIF([1]Нэгтгэл!B:B,'[1]12'!B:B,[1]Нэгтгэл!I:I)</f>
        <v>33894767.625203997</v>
      </c>
      <c r="F31" s="430">
        <f>SUMIF([1]Нэгтгэл!B:B,'[1]12'!B:B,[1]Нэгтгэл!L:L)</f>
        <v>103256522.47293201</v>
      </c>
      <c r="G31" s="430">
        <f>SUMIF([1]Нэгтгэл!B:B,'[1]12'!B:B,[1]Нэгтгэл!R:R)</f>
        <v>0</v>
      </c>
      <c r="H31" s="430">
        <f>SUMIF([1]Нэгтгэл!B:B,'[1]12'!B:B,[1]Нэгтгэл!O:O)</f>
        <v>0</v>
      </c>
      <c r="I31" s="430">
        <f>SUMIF([1]Нэгтгэл!B:B,'[1]12'!B:B,[1]Нэгтгэл!X:X)</f>
        <v>14188509995.450001</v>
      </c>
      <c r="J31" s="430">
        <f>SUMIF([1]Нэгтгэл!B:B,'[1]12'!B:B,[1]Нэгтгэл!AA:AA)</f>
        <v>0</v>
      </c>
      <c r="K31" s="430">
        <f>SUMIF([1]Нэгтгэл!B:B,'[1]12'!B:B,[1]Нэгтгэл!AD:AD)</f>
        <v>0</v>
      </c>
      <c r="L31" s="430">
        <f>SUMIF([1]Нэгтгэл!B:B,'[1]12'!B:B,[1]Нэгтгэл!AJ:AJ)</f>
        <v>382446180</v>
      </c>
      <c r="M31" s="430">
        <f>SUMIF([1]Нэгтгэл!B:B,'[1]12'!B:B,[1]Нэгтгэл!AM:AM)</f>
        <v>417159485.02999997</v>
      </c>
      <c r="N31" s="430">
        <f>SUMIF([1]Нэгтгэл!B:B,'[1]12'!B:B,[1]Нэгтгэл!AP:AP)</f>
        <v>888812840</v>
      </c>
      <c r="O31" s="430">
        <f>SUMIF([1]Нэгтгэл!B:B,'[1]12'!B:B,[1]Нэгтгэл!AS:AS)</f>
        <v>0</v>
      </c>
      <c r="P31" s="430">
        <f>SUMIF([1]Нэгтгэл!B:B,'[1]12'!B:B,[1]Нэгтгэл!BB:BB)</f>
        <v>0</v>
      </c>
      <c r="Q31" s="430">
        <f>SUMIF([1]Нэгтгэл!B:B,'[1]12'!B:B,[1]Нэгтгэл!BE:BE)</f>
        <v>0</v>
      </c>
      <c r="R31" s="430">
        <f>SUMIF([1]Нэгтгэл!B:B,'[1]12'!B:B,[1]Нэгтгэл!BH:BH)</f>
        <v>0</v>
      </c>
      <c r="S31" s="430">
        <f>SUMIF([1]Нэгтгэл!B:B,'[1]12'!B:B,[1]Нэгтгэл!BK:BK)</f>
        <v>0</v>
      </c>
      <c r="T31" s="430">
        <f>SUMIF([1]Нэгтгэл!B:B,'[1]12'!B:B,[1]Нэгтгэл!BN:BN)</f>
        <v>0</v>
      </c>
      <c r="U31" s="430">
        <f>SUMIF([1]Нэгтгэл!B:B,'[1]12'!B:B,[1]Нэгтгэл!BQ:BQ)</f>
        <v>0</v>
      </c>
      <c r="V31" s="430">
        <f>SUMIF([1]Нэгтгэл!B:B,'[1]12'!B:B,[1]Нэгтгэл!BT:BT)</f>
        <v>0</v>
      </c>
      <c r="W31" s="430">
        <f>SUMIF([1]Нэгтгэл!B:B,'[1]12'!B:B,[1]Нэгтгэл!BW:BW)</f>
        <v>107910820.88</v>
      </c>
    </row>
    <row r="32" spans="1:23">
      <c r="A32" s="437">
        <f t="shared" si="0"/>
        <v>30</v>
      </c>
      <c r="B32" s="385">
        <v>2780518</v>
      </c>
      <c r="C32" s="429" t="s">
        <v>189</v>
      </c>
      <c r="D32" s="430">
        <f>SUMIF([1]Нэгтгэл!B:B,'[1]12'!B:B,[1]Нэгтгэл!F:F)</f>
        <v>0</v>
      </c>
      <c r="E32" s="430">
        <f>SUMIF([1]Нэгтгэл!B:B,'[1]12'!B:B,[1]Нэгтгэл!I:I)</f>
        <v>0</v>
      </c>
      <c r="F32" s="430">
        <f>SUMIF([1]Нэгтгэл!B:B,'[1]12'!B:B,[1]Нэгтгэл!L:L)</f>
        <v>0</v>
      </c>
      <c r="G32" s="430">
        <f>SUMIF([1]Нэгтгэл!B:B,'[1]12'!B:B,[1]Нэгтгэл!R:R)</f>
        <v>0</v>
      </c>
      <c r="H32" s="430">
        <f>SUMIF([1]Нэгтгэл!B:B,'[1]12'!B:B,[1]Нэгтгэл!O:O)</f>
        <v>0</v>
      </c>
      <c r="I32" s="430">
        <f>SUMIF([1]Нэгтгэл!B:B,'[1]12'!B:B,[1]Нэгтгэл!X:X)</f>
        <v>0</v>
      </c>
      <c r="J32" s="430">
        <f>SUMIF([1]Нэгтгэл!B:B,'[1]12'!B:B,[1]Нэгтгэл!AA:AA)</f>
        <v>0</v>
      </c>
      <c r="K32" s="430">
        <f>SUMIF([1]Нэгтгэл!B:B,'[1]12'!B:B,[1]Нэгтгэл!AD:AD)</f>
        <v>0</v>
      </c>
      <c r="L32" s="430">
        <f>SUMIF([1]Нэгтгэл!B:B,'[1]12'!B:B,[1]Нэгтгэл!AJ:AJ)</f>
        <v>0</v>
      </c>
      <c r="M32" s="430">
        <f>SUMIF([1]Нэгтгэл!B:B,'[1]12'!B:B,[1]Нэгтгэл!AM:AM)</f>
        <v>0</v>
      </c>
      <c r="N32" s="430">
        <f>SUMIF([1]Нэгтгэл!B:B,'[1]12'!B:B,[1]Нэгтгэл!AP:AP)</f>
        <v>0</v>
      </c>
      <c r="O32" s="430">
        <f>SUMIF([1]Нэгтгэл!B:B,'[1]12'!B:B,[1]Нэгтгэл!AS:AS)</f>
        <v>0</v>
      </c>
      <c r="P32" s="430">
        <f>SUMIF([1]Нэгтгэл!B:B,'[1]12'!B:B,[1]Нэгтгэл!BB:BB)</f>
        <v>0</v>
      </c>
      <c r="Q32" s="430">
        <f>SUMIF([1]Нэгтгэл!B:B,'[1]12'!B:B,[1]Нэгтгэл!BE:BE)</f>
        <v>0</v>
      </c>
      <c r="R32" s="430">
        <f>SUMIF([1]Нэгтгэл!B:B,'[1]12'!B:B,[1]Нэгтгэл!BH:BH)</f>
        <v>0</v>
      </c>
      <c r="S32" s="430">
        <f>SUMIF([1]Нэгтгэл!B:B,'[1]12'!B:B,[1]Нэгтгэл!BK:BK)</f>
        <v>0</v>
      </c>
      <c r="T32" s="430">
        <f>SUMIF([1]Нэгтгэл!B:B,'[1]12'!B:B,[1]Нэгтгэл!BN:BN)</f>
        <v>0</v>
      </c>
      <c r="U32" s="430">
        <f>SUMIF([1]Нэгтгэл!B:B,'[1]12'!B:B,[1]Нэгтгэл!BQ:BQ)</f>
        <v>0</v>
      </c>
      <c r="V32" s="430">
        <f>SUMIF([1]Нэгтгэл!B:B,'[1]12'!B:B,[1]Нэгтгэл!BT:BT)</f>
        <v>0</v>
      </c>
      <c r="W32" s="430">
        <f>SUMIF([1]Нэгтгэл!B:B,'[1]12'!B:B,[1]Нэгтгэл!BW:BW)</f>
        <v>0</v>
      </c>
    </row>
    <row r="33" spans="1:23">
      <c r="A33" s="437">
        <f t="shared" si="0"/>
        <v>31</v>
      </c>
      <c r="B33" s="385">
        <v>5272378</v>
      </c>
      <c r="C33" s="429" t="s">
        <v>193</v>
      </c>
      <c r="D33" s="430">
        <f>SUMIF([1]Нэгтгэл!B:B,'[1]12'!B:B,[1]Нэгтгэл!F:F)</f>
        <v>0</v>
      </c>
      <c r="E33" s="430">
        <f>SUMIF([1]Нэгтгэл!B:B,'[1]12'!B:B,[1]Нэгтгэл!I:I)</f>
        <v>1053488192.41023</v>
      </c>
      <c r="F33" s="430">
        <f>SUMIF([1]Нэгтгэл!B:B,'[1]12'!B:B,[1]Нэгтгэл!L:L)</f>
        <v>2213688399.89747</v>
      </c>
      <c r="G33" s="430">
        <f>SUMIF([1]Нэгтгэл!B:B,'[1]12'!B:B,[1]Нэгтгэл!R:R)</f>
        <v>13631958.359999999</v>
      </c>
      <c r="H33" s="430">
        <f>SUMIF([1]Нэгтгэл!B:B,'[1]12'!B:B,[1]Нэгтгэл!O:O)</f>
        <v>0</v>
      </c>
      <c r="I33" s="430">
        <f>SUMIF([1]Нэгтгэл!B:B,'[1]12'!B:B,[1]Нэгтгэл!X:X)</f>
        <v>0</v>
      </c>
      <c r="J33" s="430">
        <f>SUMIF([1]Нэгтгэл!B:B,'[1]12'!B:B,[1]Нэгтгэл!AA:AA)</f>
        <v>0</v>
      </c>
      <c r="K33" s="430">
        <f>SUMIF([1]Нэгтгэл!B:B,'[1]12'!B:B,[1]Нэгтгэл!AD:AD)</f>
        <v>0</v>
      </c>
      <c r="L33" s="430">
        <f>SUMIF([1]Нэгтгэл!B:B,'[1]12'!B:B,[1]Нэгтгэл!AJ:AJ)</f>
        <v>0</v>
      </c>
      <c r="M33" s="430">
        <f>SUMIF([1]Нэгтгэл!B:B,'[1]12'!B:B,[1]Нэгтгэл!AM:AM)</f>
        <v>0</v>
      </c>
      <c r="N33" s="430">
        <f>SUMIF([1]Нэгтгэл!B:B,'[1]12'!B:B,[1]Нэгтгэл!AP:AP)</f>
        <v>882000</v>
      </c>
      <c r="O33" s="430">
        <f>SUMIF([1]Нэгтгэл!B:B,'[1]12'!B:B,[1]Нэгтгэл!AS:AS)</f>
        <v>0</v>
      </c>
      <c r="P33" s="430">
        <f>SUMIF([1]Нэгтгэл!B:B,'[1]12'!B:B,[1]Нэгтгэл!BB:BB)</f>
        <v>0</v>
      </c>
      <c r="Q33" s="430">
        <f>SUMIF([1]Нэгтгэл!B:B,'[1]12'!B:B,[1]Нэгтгэл!BE:BE)</f>
        <v>0</v>
      </c>
      <c r="R33" s="430">
        <f>SUMIF([1]Нэгтгэл!B:B,'[1]12'!B:B,[1]Нэгтгэл!BH:BH)</f>
        <v>0</v>
      </c>
      <c r="S33" s="430">
        <f>SUMIF([1]Нэгтгэл!B:B,'[1]12'!B:B,[1]Нэгтгэл!BK:BK)</f>
        <v>0</v>
      </c>
      <c r="T33" s="430">
        <f>SUMIF([1]Нэгтгэл!B:B,'[1]12'!B:B,[1]Нэгтгэл!BN:BN)</f>
        <v>0</v>
      </c>
      <c r="U33" s="430">
        <f>SUMIF([1]Нэгтгэл!B:B,'[1]12'!B:B,[1]Нэгтгэл!BQ:BQ)</f>
        <v>0</v>
      </c>
      <c r="V33" s="430">
        <f>SUMIF([1]Нэгтгэл!B:B,'[1]12'!B:B,[1]Нэгтгэл!BT:BT)</f>
        <v>0</v>
      </c>
      <c r="W33" s="430">
        <f>SUMIF([1]Нэгтгэл!B:B,'[1]12'!B:B,[1]Нэгтгэл!BW:BW)</f>
        <v>0</v>
      </c>
    </row>
    <row r="34" spans="1:23">
      <c r="A34" s="437">
        <f t="shared" si="0"/>
        <v>32</v>
      </c>
      <c r="B34" s="385">
        <v>5467268</v>
      </c>
      <c r="C34" s="429" t="s">
        <v>194</v>
      </c>
      <c r="D34" s="430">
        <f>SUMIF([1]Нэгтгэл!B:B,'[1]12'!B:B,[1]Нэгтгэл!F:F)</f>
        <v>5930553078.8900003</v>
      </c>
      <c r="E34" s="430">
        <f>SUMIF([1]Нэгтгэл!B:B,'[1]12'!B:B,[1]Нэгтгэл!I:I)</f>
        <v>948934973.08080995</v>
      </c>
      <c r="F34" s="430">
        <f>SUMIF([1]Нэгтгэл!B:B,'[1]12'!B:B,[1]Нэгтгэл!L:L)</f>
        <v>1991139247.6697099</v>
      </c>
      <c r="G34" s="430">
        <f>SUMIF([1]Нэгтгэл!B:B,'[1]12'!B:B,[1]Нэгтгэл!R:R)</f>
        <v>0</v>
      </c>
      <c r="H34" s="430">
        <f>SUMIF([1]Нэгтгэл!B:B,'[1]12'!B:B,[1]Нэгтгэл!O:O)</f>
        <v>0</v>
      </c>
      <c r="I34" s="430">
        <f>SUMIF([1]Нэгтгэл!B:B,'[1]12'!B:B,[1]Нэгтгэл!X:X)</f>
        <v>4158257845.8299994</v>
      </c>
      <c r="J34" s="430">
        <f>SUMIF([1]Нэгтгэл!B:B,'[1]12'!B:B,[1]Нэгтгэл!AA:AA)</f>
        <v>0</v>
      </c>
      <c r="K34" s="430">
        <f>SUMIF([1]Нэгтгэл!B:B,'[1]12'!B:B,[1]Нэгтгэл!AD:AD)</f>
        <v>0</v>
      </c>
      <c r="L34" s="430">
        <f>SUMIF([1]Нэгтгэл!B:B,'[1]12'!B:B,[1]Нэгтгэл!AJ:AJ)</f>
        <v>0</v>
      </c>
      <c r="M34" s="430">
        <f>SUMIF([1]Нэгтгэл!B:B,'[1]12'!B:B,[1]Нэгтгэл!AM:AM)</f>
        <v>1745466066.1700001</v>
      </c>
      <c r="N34" s="430">
        <f>SUMIF([1]Нэгтгэл!B:B,'[1]12'!B:B,[1]Нэгтгэл!AP:AP)</f>
        <v>2615631300</v>
      </c>
      <c r="O34" s="430">
        <f>SUMIF([1]Нэгтгэл!B:B,'[1]12'!B:B,[1]Нэгтгэл!AS:AS)</f>
        <v>0</v>
      </c>
      <c r="P34" s="430">
        <f>SUMIF([1]Нэгтгэл!B:B,'[1]12'!B:B,[1]Нэгтгэл!BB:BB)</f>
        <v>0</v>
      </c>
      <c r="Q34" s="430">
        <f>SUMIF([1]Нэгтгэл!B:B,'[1]12'!B:B,[1]Нэгтгэл!BE:BE)</f>
        <v>0</v>
      </c>
      <c r="R34" s="430">
        <f>SUMIF([1]Нэгтгэл!B:B,'[1]12'!B:B,[1]Нэгтгэл!BH:BH)</f>
        <v>0</v>
      </c>
      <c r="S34" s="430">
        <f>SUMIF([1]Нэгтгэл!B:B,'[1]12'!B:B,[1]Нэгтгэл!BK:BK)</f>
        <v>0</v>
      </c>
      <c r="T34" s="430">
        <f>SUMIF([1]Нэгтгэл!B:B,'[1]12'!B:B,[1]Нэгтгэл!BN:BN)</f>
        <v>0</v>
      </c>
      <c r="U34" s="430">
        <f>SUMIF([1]Нэгтгэл!B:B,'[1]12'!B:B,[1]Нэгтгэл!BQ:BQ)</f>
        <v>0</v>
      </c>
      <c r="V34" s="430">
        <f>SUMIF([1]Нэгтгэл!B:B,'[1]12'!B:B,[1]Нэгтгэл!BT:BT)</f>
        <v>0</v>
      </c>
      <c r="W34" s="430">
        <f>SUMIF([1]Нэгтгэл!B:B,'[1]12'!B:B,[1]Нэгтгэл!BW:BW)</f>
        <v>475949858.76000005</v>
      </c>
    </row>
    <row r="35" spans="1:23">
      <c r="A35" s="437">
        <f t="shared" si="0"/>
        <v>33</v>
      </c>
      <c r="B35" s="385">
        <v>5522935</v>
      </c>
      <c r="C35" s="429" t="s">
        <v>196</v>
      </c>
      <c r="D35" s="430">
        <f>SUMIF([1]Нэгтгэл!B:B,'[1]12'!B:B,[1]Нэгтгэл!F:F)</f>
        <v>31900000</v>
      </c>
      <c r="E35" s="430">
        <f>SUMIF([1]Нэгтгэл!B:B,'[1]12'!B:B,[1]Нэгтгэл!I:I)</f>
        <v>25512095.008000001</v>
      </c>
      <c r="F35" s="430">
        <f>SUMIF([1]Нэгтгэл!B:B,'[1]12'!B:B,[1]Нэгтгэл!L:L)</f>
        <v>53650399.516800001</v>
      </c>
      <c r="G35" s="430">
        <f>SUMIF([1]Нэгтгэл!B:B,'[1]12'!B:B,[1]Нэгтгэл!R:R)</f>
        <v>0</v>
      </c>
      <c r="H35" s="430">
        <f>SUMIF([1]Нэгтгэл!B:B,'[1]12'!B:B,[1]Нэгтгэл!O:O)</f>
        <v>750000</v>
      </c>
      <c r="I35" s="430">
        <f>SUMIF([1]Нэгтгэл!B:B,'[1]12'!B:B,[1]Нэгтгэл!X:X)</f>
        <v>13787432.039999999</v>
      </c>
      <c r="J35" s="430">
        <f>SUMIF([1]Нэгтгэл!B:B,'[1]12'!B:B,[1]Нэгтгэл!AA:AA)</f>
        <v>0</v>
      </c>
      <c r="K35" s="430">
        <f>SUMIF([1]Нэгтгэл!B:B,'[1]12'!B:B,[1]Нэгтгэл!AD:AD)</f>
        <v>0</v>
      </c>
      <c r="L35" s="430">
        <f>SUMIF([1]Нэгтгэл!B:B,'[1]12'!B:B,[1]Нэгтгэл!AJ:AJ)</f>
        <v>0</v>
      </c>
      <c r="M35" s="430">
        <f>SUMIF([1]Нэгтгэл!B:B,'[1]12'!B:B,[1]Нэгтгэл!AM:AM)</f>
        <v>424138338.25</v>
      </c>
      <c r="N35" s="430">
        <f>SUMIF([1]Нэгтгэл!B:B,'[1]12'!B:B,[1]Нэгтгэл!AP:AP)</f>
        <v>230259050</v>
      </c>
      <c r="O35" s="430">
        <f>SUMIF([1]Нэгтгэл!B:B,'[1]12'!B:B,[1]Нэгтгэл!AS:AS)</f>
        <v>0</v>
      </c>
      <c r="P35" s="430">
        <f>SUMIF([1]Нэгтгэл!B:B,'[1]12'!B:B,[1]Нэгтгэл!BB:BB)</f>
        <v>0</v>
      </c>
      <c r="Q35" s="430">
        <f>SUMIF([1]Нэгтгэл!B:B,'[1]12'!B:B,[1]Нэгтгэл!BE:BE)</f>
        <v>0</v>
      </c>
      <c r="R35" s="430">
        <f>SUMIF([1]Нэгтгэл!B:B,'[1]12'!B:B,[1]Нэгтгэл!BH:BH)</f>
        <v>0</v>
      </c>
      <c r="S35" s="430">
        <f>SUMIF([1]Нэгтгэл!B:B,'[1]12'!B:B,[1]Нэгтгэл!BK:BK)</f>
        <v>0</v>
      </c>
      <c r="T35" s="430">
        <f>SUMIF([1]Нэгтгэл!B:B,'[1]12'!B:B,[1]Нэгтгэл!BN:BN)</f>
        <v>0</v>
      </c>
      <c r="U35" s="430">
        <f>SUMIF([1]Нэгтгэл!B:B,'[1]12'!B:B,[1]Нэгтгэл!BQ:BQ)</f>
        <v>0</v>
      </c>
      <c r="V35" s="430">
        <f>SUMIF([1]Нэгтгэл!B:B,'[1]12'!B:B,[1]Нэгтгэл!BT:BT)</f>
        <v>0</v>
      </c>
      <c r="W35" s="430">
        <f>SUMIF([1]Нэгтгэл!B:B,'[1]12'!B:B,[1]Нэгтгэл!BW:BW)</f>
        <v>1111120</v>
      </c>
    </row>
    <row r="36" spans="1:23">
      <c r="A36" s="437">
        <f t="shared" si="0"/>
        <v>34</v>
      </c>
      <c r="B36" s="385">
        <v>5528089</v>
      </c>
      <c r="C36" s="429" t="s">
        <v>197</v>
      </c>
      <c r="D36" s="430">
        <f>SUMIF([1]Нэгтгэл!B:B,'[1]12'!B:B,[1]Нэгтгэл!F:F)</f>
        <v>0</v>
      </c>
      <c r="E36" s="430">
        <f>SUMIF([1]Нэгтгэл!B:B,'[1]12'!B:B,[1]Нэгтгэл!I:I)</f>
        <v>0</v>
      </c>
      <c r="F36" s="430">
        <f>SUMIF([1]Нэгтгэл!B:B,'[1]12'!B:B,[1]Нэгтгэл!L:L)</f>
        <v>0</v>
      </c>
      <c r="G36" s="430">
        <f>SUMIF([1]Нэгтгэл!B:B,'[1]12'!B:B,[1]Нэгтгэл!R:R)</f>
        <v>0</v>
      </c>
      <c r="H36" s="430">
        <f>SUMIF([1]Нэгтгэл!B:B,'[1]12'!B:B,[1]Нэгтгэл!O:O)</f>
        <v>0</v>
      </c>
      <c r="I36" s="430">
        <f>SUMIF([1]Нэгтгэл!B:B,'[1]12'!B:B,[1]Нэгтгэл!X:X)</f>
        <v>0</v>
      </c>
      <c r="J36" s="430">
        <f>SUMIF([1]Нэгтгэл!B:B,'[1]12'!B:B,[1]Нэгтгэл!AA:AA)</f>
        <v>0</v>
      </c>
      <c r="K36" s="430">
        <f>SUMIF([1]Нэгтгэл!B:B,'[1]12'!B:B,[1]Нэгтгэл!AD:AD)</f>
        <v>0</v>
      </c>
      <c r="L36" s="430">
        <f>SUMIF([1]Нэгтгэл!B:B,'[1]12'!B:B,[1]Нэгтгэл!AJ:AJ)</f>
        <v>0</v>
      </c>
      <c r="M36" s="430">
        <f>SUMIF([1]Нэгтгэл!B:B,'[1]12'!B:B,[1]Нэгтгэл!AM:AM)</f>
        <v>0</v>
      </c>
      <c r="N36" s="430">
        <f>SUMIF([1]Нэгтгэл!B:B,'[1]12'!B:B,[1]Нэгтгэл!AP:AP)</f>
        <v>0</v>
      </c>
      <c r="O36" s="430">
        <f>SUMIF([1]Нэгтгэл!B:B,'[1]12'!B:B,[1]Нэгтгэл!AS:AS)</f>
        <v>0</v>
      </c>
      <c r="P36" s="430">
        <f>SUMIF([1]Нэгтгэл!B:B,'[1]12'!B:B,[1]Нэгтгэл!BB:BB)</f>
        <v>0</v>
      </c>
      <c r="Q36" s="430">
        <f>SUMIF([1]Нэгтгэл!B:B,'[1]12'!B:B,[1]Нэгтгэл!BE:BE)</f>
        <v>0</v>
      </c>
      <c r="R36" s="430">
        <f>SUMIF([1]Нэгтгэл!B:B,'[1]12'!B:B,[1]Нэгтгэл!BH:BH)</f>
        <v>0</v>
      </c>
      <c r="S36" s="430">
        <f>SUMIF([1]Нэгтгэл!B:B,'[1]12'!B:B,[1]Нэгтгэл!BK:BK)</f>
        <v>0</v>
      </c>
      <c r="T36" s="430">
        <f>SUMIF([1]Нэгтгэл!B:B,'[1]12'!B:B,[1]Нэгтгэл!BN:BN)</f>
        <v>0</v>
      </c>
      <c r="U36" s="430">
        <f>SUMIF([1]Нэгтгэл!B:B,'[1]12'!B:B,[1]Нэгтгэл!BQ:BQ)</f>
        <v>0</v>
      </c>
      <c r="V36" s="430">
        <f>SUMIF([1]Нэгтгэл!B:B,'[1]12'!B:B,[1]Нэгтгэл!BT:BT)</f>
        <v>0</v>
      </c>
      <c r="W36" s="430">
        <f>SUMIF([1]Нэгтгэл!B:B,'[1]12'!B:B,[1]Нэгтгэл!BW:BW)</f>
        <v>0</v>
      </c>
    </row>
    <row r="37" spans="1:23">
      <c r="A37" s="437">
        <f t="shared" si="0"/>
        <v>35</v>
      </c>
      <c r="B37" s="385">
        <v>5396662</v>
      </c>
      <c r="C37" s="429" t="s">
        <v>198</v>
      </c>
      <c r="D37" s="430">
        <f>SUMIF([1]Нэгтгэл!B:B,'[1]12'!B:B,[1]Нэгтгэл!F:F)</f>
        <v>272656800.28999996</v>
      </c>
      <c r="E37" s="430">
        <f>SUMIF([1]Нэгтгэл!B:B,'[1]12'!B:B,[1]Нэгтгэл!I:I)</f>
        <v>90715014.035074994</v>
      </c>
      <c r="F37" s="430">
        <f>SUMIF([1]Нэгтгэл!B:B,'[1]12'!B:B,[1]Нэгтгэл!L:L)</f>
        <v>221160093.42365998</v>
      </c>
      <c r="G37" s="430">
        <f>SUMIF([1]Нэгтгэл!B:B,'[1]12'!B:B,[1]Нэгтгэл!R:R)</f>
        <v>0</v>
      </c>
      <c r="H37" s="430">
        <f>SUMIF([1]Нэгтгэл!B:B,'[1]12'!B:B,[1]Нэгтгэл!O:O)</f>
        <v>0</v>
      </c>
      <c r="I37" s="430">
        <f>SUMIF([1]Нэгтгэл!B:B,'[1]12'!B:B,[1]Нэгтгэл!X:X)</f>
        <v>3576545637.0299997</v>
      </c>
      <c r="J37" s="430">
        <f>SUMIF([1]Нэгтгэл!B:B,'[1]12'!B:B,[1]Нэгтгэл!AA:AA)</f>
        <v>0</v>
      </c>
      <c r="K37" s="430">
        <f>SUMIF([1]Нэгтгэл!B:B,'[1]12'!B:B,[1]Нэгтгэл!AD:AD)</f>
        <v>0</v>
      </c>
      <c r="L37" s="430">
        <f>SUMIF([1]Нэгтгэл!B:B,'[1]12'!B:B,[1]Нэгтгэл!AJ:AJ)</f>
        <v>0</v>
      </c>
      <c r="M37" s="430">
        <f>SUMIF([1]Нэгтгэл!B:B,'[1]12'!B:B,[1]Нэгтгэл!AM:AM)</f>
        <v>363210463.70999998</v>
      </c>
      <c r="N37" s="430">
        <f>SUMIF([1]Нэгтгэл!B:B,'[1]12'!B:B,[1]Нэгтгэл!AP:AP)</f>
        <v>362262815</v>
      </c>
      <c r="O37" s="430">
        <f>SUMIF([1]Нэгтгэл!B:B,'[1]12'!B:B,[1]Нэгтгэл!AS:AS)</f>
        <v>0</v>
      </c>
      <c r="P37" s="430">
        <f>SUMIF([1]Нэгтгэл!B:B,'[1]12'!B:B,[1]Нэгтгэл!BB:BB)</f>
        <v>0</v>
      </c>
      <c r="Q37" s="430">
        <f>SUMIF([1]Нэгтгэл!B:B,'[1]12'!B:B,[1]Нэгтгэл!BE:BE)</f>
        <v>0</v>
      </c>
      <c r="R37" s="430">
        <f>SUMIF([1]Нэгтгэл!B:B,'[1]12'!B:B,[1]Нэгтгэл!BH:BH)</f>
        <v>0</v>
      </c>
      <c r="S37" s="430">
        <f>SUMIF([1]Нэгтгэл!B:B,'[1]12'!B:B,[1]Нэгтгэл!BK:BK)</f>
        <v>0</v>
      </c>
      <c r="T37" s="430">
        <f>SUMIF([1]Нэгтгэл!B:B,'[1]12'!B:B,[1]Нэгтгэл!BN:BN)</f>
        <v>0</v>
      </c>
      <c r="U37" s="430">
        <f>SUMIF([1]Нэгтгэл!B:B,'[1]12'!B:B,[1]Нэгтгэл!BQ:BQ)</f>
        <v>0</v>
      </c>
      <c r="V37" s="430">
        <f>SUMIF([1]Нэгтгэл!B:B,'[1]12'!B:B,[1]Нэгтгэл!BT:BT)</f>
        <v>0</v>
      </c>
      <c r="W37" s="430">
        <f>SUMIF([1]Нэгтгэл!B:B,'[1]12'!B:B,[1]Нэгтгэл!BW:BW)</f>
        <v>52044580.099999994</v>
      </c>
    </row>
    <row r="38" spans="1:23">
      <c r="A38" s="437">
        <f t="shared" si="0"/>
        <v>36</v>
      </c>
      <c r="B38" s="385">
        <v>5830974</v>
      </c>
      <c r="C38" s="429" t="s">
        <v>199</v>
      </c>
      <c r="D38" s="430">
        <f>SUMIF([1]Нэгтгэл!B:B,'[1]12'!B:B,[1]Нэгтгэл!F:F)</f>
        <v>12682949592.790001</v>
      </c>
      <c r="E38" s="430">
        <f>SUMIF([1]Нэгтгэл!B:B,'[1]12'!B:B,[1]Нэгтгэл!I:I)</f>
        <v>551097254.30521905</v>
      </c>
      <c r="F38" s="430">
        <f>SUMIF([1]Нэгтгэл!B:B,'[1]12'!B:B,[1]Нэгтгэл!L:L)</f>
        <v>13182011839.15295</v>
      </c>
      <c r="G38" s="430">
        <f>SUMIF([1]Нэгтгэл!B:B,'[1]12'!B:B,[1]Нэгтгэл!R:R)</f>
        <v>0</v>
      </c>
      <c r="H38" s="430">
        <f>SUMIF([1]Нэгтгэл!B:B,'[1]12'!B:B,[1]Нэгтгэл!O:O)</f>
        <v>0</v>
      </c>
      <c r="I38" s="430">
        <f>SUMIF([1]Нэгтгэл!B:B,'[1]12'!B:B,[1]Нэгтгэл!X:X)</f>
        <v>636261702.80999994</v>
      </c>
      <c r="J38" s="430">
        <f>SUMIF([1]Нэгтгэл!B:B,'[1]12'!B:B,[1]Нэгтгэл!AA:AA)</f>
        <v>0</v>
      </c>
      <c r="K38" s="430">
        <f>SUMIF([1]Нэгтгэл!B:B,'[1]12'!B:B,[1]Нэгтгэл!AD:AD)</f>
        <v>0</v>
      </c>
      <c r="L38" s="430">
        <f>SUMIF([1]Нэгтгэл!B:B,'[1]12'!B:B,[1]Нэгтгэл!AJ:AJ)</f>
        <v>0</v>
      </c>
      <c r="M38" s="430">
        <f>SUMIF([1]Нэгтгэл!B:B,'[1]12'!B:B,[1]Нэгтгэл!AM:AM)</f>
        <v>7568183176.8400002</v>
      </c>
      <c r="N38" s="430">
        <f>SUMIF([1]Нэгтгэл!B:B,'[1]12'!B:B,[1]Нэгтгэл!AP:AP)</f>
        <v>784400</v>
      </c>
      <c r="O38" s="430">
        <f>SUMIF([1]Нэгтгэл!B:B,'[1]12'!B:B,[1]Нэгтгэл!AS:AS)</f>
        <v>0</v>
      </c>
      <c r="P38" s="430">
        <f>SUMIF([1]Нэгтгэл!B:B,'[1]12'!B:B,[1]Нэгтгэл!BB:BB)</f>
        <v>0</v>
      </c>
      <c r="Q38" s="430">
        <f>SUMIF([1]Нэгтгэл!B:B,'[1]12'!B:B,[1]Нэгтгэл!BE:BE)</f>
        <v>0</v>
      </c>
      <c r="R38" s="430">
        <f>SUMIF([1]Нэгтгэл!B:B,'[1]12'!B:B,[1]Нэгтгэл!BH:BH)</f>
        <v>0</v>
      </c>
      <c r="S38" s="430">
        <f>SUMIF([1]Нэгтгэл!B:B,'[1]12'!B:B,[1]Нэгтгэл!BK:BK)</f>
        <v>0</v>
      </c>
      <c r="T38" s="430">
        <f>SUMIF([1]Нэгтгэл!B:B,'[1]12'!B:B,[1]Нэгтгэл!BN:BN)</f>
        <v>0</v>
      </c>
      <c r="U38" s="430">
        <f>SUMIF([1]Нэгтгэл!B:B,'[1]12'!B:B,[1]Нэгтгэл!BQ:BQ)</f>
        <v>0</v>
      </c>
      <c r="V38" s="430">
        <f>SUMIF([1]Нэгтгэл!B:B,'[1]12'!B:B,[1]Нэгтгэл!BT:BT)</f>
        <v>0</v>
      </c>
      <c r="W38" s="430">
        <f>SUMIF([1]Нэгтгэл!B:B,'[1]12'!B:B,[1]Нэгтгэл!BW:BW)</f>
        <v>2384960084.5699997</v>
      </c>
    </row>
    <row r="39" spans="1:23">
      <c r="A39" s="437">
        <f t="shared" si="0"/>
        <v>37</v>
      </c>
      <c r="B39" s="385">
        <v>2057573</v>
      </c>
      <c r="C39" s="429" t="s">
        <v>201</v>
      </c>
      <c r="D39" s="430">
        <f>SUMIF([1]Нэгтгэл!B:B,'[1]12'!B:B,[1]Нэгтгэл!F:F)</f>
        <v>0</v>
      </c>
      <c r="E39" s="430">
        <f>SUMIF([1]Нэгтгэл!B:B,'[1]12'!B:B,[1]Нэгтгэл!I:I)</f>
        <v>0</v>
      </c>
      <c r="F39" s="430">
        <f>SUMIF([1]Нэгтгэл!B:B,'[1]12'!B:B,[1]Нэгтгэл!L:L)</f>
        <v>0</v>
      </c>
      <c r="G39" s="430">
        <f>SUMIF([1]Нэгтгэл!B:B,'[1]12'!B:B,[1]Нэгтгэл!R:R)</f>
        <v>0</v>
      </c>
      <c r="H39" s="430">
        <f>SUMIF([1]Нэгтгэл!B:B,'[1]12'!B:B,[1]Нэгтгэл!O:O)</f>
        <v>0</v>
      </c>
      <c r="I39" s="430">
        <f>SUMIF([1]Нэгтгэл!B:B,'[1]12'!B:B,[1]Нэгтгэл!X:X)</f>
        <v>0</v>
      </c>
      <c r="J39" s="430">
        <f>SUMIF([1]Нэгтгэл!B:B,'[1]12'!B:B,[1]Нэгтгэл!AA:AA)</f>
        <v>0</v>
      </c>
      <c r="K39" s="430">
        <f>SUMIF([1]Нэгтгэл!B:B,'[1]12'!B:B,[1]Нэгтгэл!AD:AD)</f>
        <v>0</v>
      </c>
      <c r="L39" s="430">
        <f>SUMIF([1]Нэгтгэл!B:B,'[1]12'!B:B,[1]Нэгтгэл!AJ:AJ)</f>
        <v>0</v>
      </c>
      <c r="M39" s="430">
        <f>SUMIF([1]Нэгтгэл!B:B,'[1]12'!B:B,[1]Нэгтгэл!AM:AM)</f>
        <v>0</v>
      </c>
      <c r="N39" s="430">
        <f>SUMIF([1]Нэгтгэл!B:B,'[1]12'!B:B,[1]Нэгтгэл!AP:AP)</f>
        <v>0</v>
      </c>
      <c r="O39" s="430">
        <f>SUMIF([1]Нэгтгэл!B:B,'[1]12'!B:B,[1]Нэгтгэл!AS:AS)</f>
        <v>0</v>
      </c>
      <c r="P39" s="430">
        <f>SUMIF([1]Нэгтгэл!B:B,'[1]12'!B:B,[1]Нэгтгэл!BB:BB)</f>
        <v>0</v>
      </c>
      <c r="Q39" s="430">
        <f>SUMIF([1]Нэгтгэл!B:B,'[1]12'!B:B,[1]Нэгтгэл!BE:BE)</f>
        <v>0</v>
      </c>
      <c r="R39" s="430">
        <f>SUMIF([1]Нэгтгэл!B:B,'[1]12'!B:B,[1]Нэгтгэл!BH:BH)</f>
        <v>0</v>
      </c>
      <c r="S39" s="430">
        <f>SUMIF([1]Нэгтгэл!B:B,'[1]12'!B:B,[1]Нэгтгэл!BK:BK)</f>
        <v>0</v>
      </c>
      <c r="T39" s="430">
        <f>SUMIF([1]Нэгтгэл!B:B,'[1]12'!B:B,[1]Нэгтгэл!BN:BN)</f>
        <v>0</v>
      </c>
      <c r="U39" s="430">
        <f>SUMIF([1]Нэгтгэл!B:B,'[1]12'!B:B,[1]Нэгтгэл!BQ:BQ)</f>
        <v>0</v>
      </c>
      <c r="V39" s="430">
        <f>SUMIF([1]Нэгтгэл!B:B,'[1]12'!B:B,[1]Нэгтгэл!BT:BT)</f>
        <v>0</v>
      </c>
      <c r="W39" s="430">
        <f>SUMIF([1]Нэгтгэл!B:B,'[1]12'!B:B,[1]Нэгтгэл!BW:BW)</f>
        <v>0</v>
      </c>
    </row>
    <row r="40" spans="1:23">
      <c r="A40" s="437">
        <f t="shared" si="0"/>
        <v>38</v>
      </c>
      <c r="B40" s="385">
        <v>5699134</v>
      </c>
      <c r="C40" s="429" t="s">
        <v>202</v>
      </c>
      <c r="D40" s="430">
        <f>SUMIF([1]Нэгтгэл!B:B,'[1]12'!B:B,[1]Нэгтгэл!F:F)</f>
        <v>0</v>
      </c>
      <c r="E40" s="430">
        <f>SUMIF([1]Нэгтгэл!B:B,'[1]12'!B:B,[1]Нэгтгэл!I:I)</f>
        <v>261098199.45792401</v>
      </c>
      <c r="F40" s="430">
        <f>SUMIF([1]Нэгтгэл!B:B,'[1]12'!B:B,[1]Нэгтгэл!L:L)</f>
        <v>547535070.41663098</v>
      </c>
      <c r="G40" s="430">
        <f>SUMIF([1]Нэгтгэл!B:B,'[1]12'!B:B,[1]Нэгтгэл!R:R)</f>
        <v>0</v>
      </c>
      <c r="H40" s="430">
        <f>SUMIF([1]Нэгтгэл!B:B,'[1]12'!B:B,[1]Нэгтгэл!O:O)</f>
        <v>6850750</v>
      </c>
      <c r="I40" s="430">
        <f>SUMIF([1]Нэгтгэл!B:B,'[1]12'!B:B,[1]Нэгтгэл!X:X)</f>
        <v>0</v>
      </c>
      <c r="J40" s="430">
        <f>SUMIF([1]Нэгтгэл!B:B,'[1]12'!B:B,[1]Нэгтгэл!AA:AA)</f>
        <v>0</v>
      </c>
      <c r="K40" s="430">
        <f>SUMIF([1]Нэгтгэл!B:B,'[1]12'!B:B,[1]Нэгтгэл!AD:AD)</f>
        <v>0</v>
      </c>
      <c r="L40" s="430">
        <f>SUMIF([1]Нэгтгэл!B:B,'[1]12'!B:B,[1]Нэгтгэл!AJ:AJ)</f>
        <v>0</v>
      </c>
      <c r="M40" s="430">
        <f>SUMIF([1]Нэгтгэл!B:B,'[1]12'!B:B,[1]Нэгтгэл!AM:AM)</f>
        <v>1145180731.29</v>
      </c>
      <c r="N40" s="430">
        <f>SUMIF([1]Нэгтгэл!B:B,'[1]12'!B:B,[1]Нэгтгэл!AP:AP)</f>
        <v>379900</v>
      </c>
      <c r="O40" s="430">
        <f>SUMIF([1]Нэгтгэл!B:B,'[1]12'!B:B,[1]Нэгтгэл!AS:AS)</f>
        <v>0</v>
      </c>
      <c r="P40" s="430">
        <f>SUMIF([1]Нэгтгэл!B:B,'[1]12'!B:B,[1]Нэгтгэл!BB:BB)</f>
        <v>0</v>
      </c>
      <c r="Q40" s="430">
        <f>SUMIF([1]Нэгтгэл!B:B,'[1]12'!B:B,[1]Нэгтгэл!BE:BE)</f>
        <v>0</v>
      </c>
      <c r="R40" s="430">
        <f>SUMIF([1]Нэгтгэл!B:B,'[1]12'!B:B,[1]Нэгтгэл!BH:BH)</f>
        <v>16665720</v>
      </c>
      <c r="S40" s="430">
        <f>SUMIF([1]Нэгтгэл!B:B,'[1]12'!B:B,[1]Нэгтгэл!BK:BK)</f>
        <v>0</v>
      </c>
      <c r="T40" s="430">
        <f>SUMIF([1]Нэгтгэл!B:B,'[1]12'!B:B,[1]Нэгтгэл!BN:BN)</f>
        <v>0</v>
      </c>
      <c r="U40" s="430">
        <f>SUMIF([1]Нэгтгэл!B:B,'[1]12'!B:B,[1]Нэгтгэл!BQ:BQ)</f>
        <v>0</v>
      </c>
      <c r="V40" s="430">
        <f>SUMIF([1]Нэгтгэл!B:B,'[1]12'!B:B,[1]Нэгтгэл!BT:BT)</f>
        <v>0</v>
      </c>
      <c r="W40" s="430">
        <f>SUMIF([1]Нэгтгэл!B:B,'[1]12'!B:B,[1]Нэгтгэл!BW:BW)</f>
        <v>403886618.53999996</v>
      </c>
    </row>
    <row r="41" spans="1:23">
      <c r="A41" s="437">
        <f t="shared" si="0"/>
        <v>39</v>
      </c>
      <c r="B41" s="385">
        <v>5412153</v>
      </c>
      <c r="C41" s="429" t="s">
        <v>203</v>
      </c>
      <c r="D41" s="430">
        <f>SUMIF([1]Нэгтгэл!B:B,'[1]12'!B:B,[1]Нэгтгэл!F:F)</f>
        <v>80175.42</v>
      </c>
      <c r="E41" s="430">
        <f>SUMIF([1]Нэгтгэл!B:B,'[1]12'!B:B,[1]Нэгтгэл!I:I)</f>
        <v>26050228.515000001</v>
      </c>
      <c r="F41" s="430">
        <f>SUMIF([1]Нэгтгэл!B:B,'[1]12'!B:B,[1]Нэгтгэл!L:L)</f>
        <v>54705479.881499998</v>
      </c>
      <c r="G41" s="430">
        <f>SUMIF([1]Нэгтгэл!B:B,'[1]12'!B:B,[1]Нэгтгэл!R:R)</f>
        <v>0</v>
      </c>
      <c r="H41" s="430">
        <f>SUMIF([1]Нэгтгэл!B:B,'[1]12'!B:B,[1]Нэгтгэл!O:O)</f>
        <v>0</v>
      </c>
      <c r="I41" s="430">
        <f>SUMIF([1]Нэгтгэл!B:B,'[1]12'!B:B,[1]Нэгтгэл!X:X)</f>
        <v>0</v>
      </c>
      <c r="J41" s="430">
        <f>SUMIF([1]Нэгтгэл!B:B,'[1]12'!B:B,[1]Нэгтгэл!AA:AA)</f>
        <v>0</v>
      </c>
      <c r="K41" s="430">
        <f>SUMIF([1]Нэгтгэл!B:B,'[1]12'!B:B,[1]Нэгтгэл!AD:AD)</f>
        <v>0</v>
      </c>
      <c r="L41" s="430">
        <f>SUMIF([1]Нэгтгэл!B:B,'[1]12'!B:B,[1]Нэгтгэл!AJ:AJ)</f>
        <v>0</v>
      </c>
      <c r="M41" s="430">
        <f>SUMIF([1]Нэгтгэл!B:B,'[1]12'!B:B,[1]Нэгтгэл!AM:AM)</f>
        <v>345428121.37</v>
      </c>
      <c r="N41" s="430">
        <f>SUMIF([1]Нэгтгэл!B:B,'[1]12'!B:B,[1]Нэгтгэл!AP:AP)</f>
        <v>481302000</v>
      </c>
      <c r="O41" s="430">
        <f>SUMIF([1]Нэгтгэл!B:B,'[1]12'!B:B,[1]Нэгтгэл!AS:AS)</f>
        <v>0</v>
      </c>
      <c r="P41" s="430">
        <f>SUMIF([1]Нэгтгэл!B:B,'[1]12'!B:B,[1]Нэгтгэл!BB:BB)</f>
        <v>0</v>
      </c>
      <c r="Q41" s="430">
        <f>SUMIF([1]Нэгтгэл!B:B,'[1]12'!B:B,[1]Нэгтгэл!BE:BE)</f>
        <v>0</v>
      </c>
      <c r="R41" s="430">
        <f>SUMIF([1]Нэгтгэл!B:B,'[1]12'!B:B,[1]Нэгтгэл!BH:BH)</f>
        <v>0</v>
      </c>
      <c r="S41" s="430">
        <f>SUMIF([1]Нэгтгэл!B:B,'[1]12'!B:B,[1]Нэгтгэл!BK:BK)</f>
        <v>0</v>
      </c>
      <c r="T41" s="430">
        <f>SUMIF([1]Нэгтгэл!B:B,'[1]12'!B:B,[1]Нэгтгэл!BN:BN)</f>
        <v>0</v>
      </c>
      <c r="U41" s="430">
        <f>SUMIF([1]Нэгтгэл!B:B,'[1]12'!B:B,[1]Нэгтгэл!BQ:BQ)</f>
        <v>0</v>
      </c>
      <c r="V41" s="430">
        <f>SUMIF([1]Нэгтгэл!B:B,'[1]12'!B:B,[1]Нэгтгэл!BT:BT)</f>
        <v>0</v>
      </c>
      <c r="W41" s="430">
        <f>SUMIF([1]Нэгтгэл!B:B,'[1]12'!B:B,[1]Нэгтгэл!BW:BW)</f>
        <v>99294739.900000006</v>
      </c>
    </row>
    <row r="42" spans="1:23">
      <c r="A42" s="437">
        <f t="shared" si="0"/>
        <v>40</v>
      </c>
      <c r="B42" s="385">
        <v>2034859</v>
      </c>
      <c r="C42" s="429" t="s">
        <v>204</v>
      </c>
      <c r="D42" s="430">
        <f>SUMIF([1]Нэгтгэл!B:B,'[1]12'!B:B,[1]Нэгтгэл!F:F)</f>
        <v>0</v>
      </c>
      <c r="E42" s="430">
        <f>SUMIF([1]Нэгтгэл!B:B,'[1]12'!B:B,[1]Нэгтгэл!I:I)</f>
        <v>0</v>
      </c>
      <c r="F42" s="430">
        <f>SUMIF([1]Нэгтгэл!B:B,'[1]12'!B:B,[1]Нэгтгэл!L:L)</f>
        <v>0</v>
      </c>
      <c r="G42" s="430">
        <f>SUMIF([1]Нэгтгэл!B:B,'[1]12'!B:B,[1]Нэгтгэл!R:R)</f>
        <v>0</v>
      </c>
      <c r="H42" s="430">
        <f>SUMIF([1]Нэгтгэл!B:B,'[1]12'!B:B,[1]Нэгтгэл!O:O)</f>
        <v>0</v>
      </c>
      <c r="I42" s="430">
        <f>SUMIF([1]Нэгтгэл!B:B,'[1]12'!B:B,[1]Нэгтгэл!X:X)</f>
        <v>0</v>
      </c>
      <c r="J42" s="430">
        <f>SUMIF([1]Нэгтгэл!B:B,'[1]12'!B:B,[1]Нэгтгэл!AA:AA)</f>
        <v>0</v>
      </c>
      <c r="K42" s="430">
        <f>SUMIF([1]Нэгтгэл!B:B,'[1]12'!B:B,[1]Нэгтгэл!AD:AD)</f>
        <v>0</v>
      </c>
      <c r="L42" s="430">
        <f>SUMIF([1]Нэгтгэл!B:B,'[1]12'!B:B,[1]Нэгтгэл!AJ:AJ)</f>
        <v>0</v>
      </c>
      <c r="M42" s="430">
        <f>SUMIF([1]Нэгтгэл!B:B,'[1]12'!B:B,[1]Нэгтгэл!AM:AM)</f>
        <v>0</v>
      </c>
      <c r="N42" s="430">
        <f>SUMIF([1]Нэгтгэл!B:B,'[1]12'!B:B,[1]Нэгтгэл!AP:AP)</f>
        <v>0</v>
      </c>
      <c r="O42" s="430">
        <f>SUMIF([1]Нэгтгэл!B:B,'[1]12'!B:B,[1]Нэгтгэл!AS:AS)</f>
        <v>0</v>
      </c>
      <c r="P42" s="430">
        <f>SUMIF([1]Нэгтгэл!B:B,'[1]12'!B:B,[1]Нэгтгэл!BB:BB)</f>
        <v>0</v>
      </c>
      <c r="Q42" s="430">
        <f>SUMIF([1]Нэгтгэл!B:B,'[1]12'!B:B,[1]Нэгтгэл!BE:BE)</f>
        <v>0</v>
      </c>
      <c r="R42" s="430">
        <f>SUMIF([1]Нэгтгэл!B:B,'[1]12'!B:B,[1]Нэгтгэл!BH:BH)</f>
        <v>0</v>
      </c>
      <c r="S42" s="430">
        <f>SUMIF([1]Нэгтгэл!B:B,'[1]12'!B:B,[1]Нэгтгэл!BK:BK)</f>
        <v>0</v>
      </c>
      <c r="T42" s="430">
        <f>SUMIF([1]Нэгтгэл!B:B,'[1]12'!B:B,[1]Нэгтгэл!BN:BN)</f>
        <v>0</v>
      </c>
      <c r="U42" s="430">
        <f>SUMIF([1]Нэгтгэл!B:B,'[1]12'!B:B,[1]Нэгтгэл!BQ:BQ)</f>
        <v>0</v>
      </c>
      <c r="V42" s="430">
        <f>SUMIF([1]Нэгтгэл!B:B,'[1]12'!B:B,[1]Нэгтгэл!BT:BT)</f>
        <v>0</v>
      </c>
      <c r="W42" s="430">
        <f>SUMIF([1]Нэгтгэл!B:B,'[1]12'!B:B,[1]Нэгтгэл!BW:BW)</f>
        <v>0</v>
      </c>
    </row>
    <row r="43" spans="1:23">
      <c r="A43" s="437">
        <f t="shared" si="0"/>
        <v>41</v>
      </c>
      <c r="B43" s="385">
        <v>5253535</v>
      </c>
      <c r="C43" s="429" t="s">
        <v>208</v>
      </c>
      <c r="D43" s="430">
        <f>SUMIF([1]Нэгтгэл!B:B,'[1]12'!B:B,[1]Нэгтгэл!F:F)</f>
        <v>948192963.95000005</v>
      </c>
      <c r="E43" s="430">
        <f>SUMIF([1]Нэгтгэл!B:B,'[1]12'!B:B,[1]Нэгтгэл!I:I)</f>
        <v>9256562.8875900004</v>
      </c>
      <c r="F43" s="430">
        <f>SUMIF([1]Нэгтгэл!B:B,'[1]12'!B:B,[1]Нэгтгэл!L:L)</f>
        <v>1180594987.8639393</v>
      </c>
      <c r="G43" s="430">
        <f>SUMIF([1]Нэгтгэл!B:B,'[1]12'!B:B,[1]Нэгтгэл!R:R)</f>
        <v>0</v>
      </c>
      <c r="H43" s="430">
        <f>SUMIF([1]Нэгтгэл!B:B,'[1]12'!B:B,[1]Нэгтгэл!O:O)</f>
        <v>0</v>
      </c>
      <c r="I43" s="430">
        <f>SUMIF([1]Нэгтгэл!B:B,'[1]12'!B:B,[1]Нэгтгэл!X:X)</f>
        <v>0</v>
      </c>
      <c r="J43" s="430">
        <f>SUMIF([1]Нэгтгэл!B:B,'[1]12'!B:B,[1]Нэгтгэл!AA:AA)</f>
        <v>0</v>
      </c>
      <c r="K43" s="430">
        <f>SUMIF([1]Нэгтгэл!B:B,'[1]12'!B:B,[1]Нэгтгэл!AD:AD)</f>
        <v>0</v>
      </c>
      <c r="L43" s="430">
        <f>SUMIF([1]Нэгтгэл!B:B,'[1]12'!B:B,[1]Нэгтгэл!AJ:AJ)</f>
        <v>0</v>
      </c>
      <c r="M43" s="430">
        <f>SUMIF([1]Нэгтгэл!B:B,'[1]12'!B:B,[1]Нэгтгэл!AM:AM)</f>
        <v>3313783214.8200002</v>
      </c>
      <c r="N43" s="430">
        <f>SUMIF([1]Нэгтгэл!B:B,'[1]12'!B:B,[1]Нэгтгэл!AP:AP)</f>
        <v>7000</v>
      </c>
      <c r="O43" s="430">
        <f>SUMIF([1]Нэгтгэл!B:B,'[1]12'!B:B,[1]Нэгтгэл!AS:AS)</f>
        <v>0</v>
      </c>
      <c r="P43" s="430">
        <f>SUMIF([1]Нэгтгэл!B:B,'[1]12'!B:B,[1]Нэгтгэл!BB:BB)</f>
        <v>0</v>
      </c>
      <c r="Q43" s="430">
        <f>SUMIF([1]Нэгтгэл!B:B,'[1]12'!B:B,[1]Нэгтгэл!BE:BE)</f>
        <v>0</v>
      </c>
      <c r="R43" s="430">
        <f>SUMIF([1]Нэгтгэл!B:B,'[1]12'!B:B,[1]Нэгтгэл!BH:BH)</f>
        <v>0</v>
      </c>
      <c r="S43" s="430">
        <f>SUMIF([1]Нэгтгэл!B:B,'[1]12'!B:B,[1]Нэгтгэл!BK:BK)</f>
        <v>0</v>
      </c>
      <c r="T43" s="430">
        <f>SUMIF([1]Нэгтгэл!B:B,'[1]12'!B:B,[1]Нэгтгэл!BN:BN)</f>
        <v>0</v>
      </c>
      <c r="U43" s="430">
        <f>SUMIF([1]Нэгтгэл!B:B,'[1]12'!B:B,[1]Нэгтгэл!BQ:BQ)</f>
        <v>0</v>
      </c>
      <c r="V43" s="430">
        <f>SUMIF([1]Нэгтгэл!B:B,'[1]12'!B:B,[1]Нэгтгэл!BT:BT)</f>
        <v>0</v>
      </c>
      <c r="W43" s="430">
        <f>SUMIF([1]Нэгтгэл!B:B,'[1]12'!B:B,[1]Нэгтгэл!BW:BW)</f>
        <v>1330155402.8999999</v>
      </c>
    </row>
    <row r="44" spans="1:23">
      <c r="A44" s="437">
        <f t="shared" si="0"/>
        <v>42</v>
      </c>
      <c r="B44" s="385">
        <v>5150884</v>
      </c>
      <c r="C44" s="429" t="s">
        <v>210</v>
      </c>
      <c r="D44" s="430">
        <f>SUMIF([1]Нэгтгэл!B:B,'[1]12'!B:B,[1]Нэгтгэл!F:F)</f>
        <v>0</v>
      </c>
      <c r="E44" s="430">
        <f>SUMIF([1]Нэгтгэл!B:B,'[1]12'!B:B,[1]Нэгтгэл!I:I)</f>
        <v>0</v>
      </c>
      <c r="F44" s="430">
        <f>SUMIF([1]Нэгтгэл!B:B,'[1]12'!B:B,[1]Нэгтгэл!L:L)</f>
        <v>0</v>
      </c>
      <c r="G44" s="430">
        <f>SUMIF([1]Нэгтгэл!B:B,'[1]12'!B:B,[1]Нэгтгэл!R:R)</f>
        <v>0</v>
      </c>
      <c r="H44" s="430">
        <f>SUMIF([1]Нэгтгэл!B:B,'[1]12'!B:B,[1]Нэгтгэл!O:O)</f>
        <v>0</v>
      </c>
      <c r="I44" s="430">
        <f>SUMIF([1]Нэгтгэл!B:B,'[1]12'!B:B,[1]Нэгтгэл!X:X)</f>
        <v>0</v>
      </c>
      <c r="J44" s="430">
        <f>SUMIF([1]Нэгтгэл!B:B,'[1]12'!B:B,[1]Нэгтгэл!AA:AA)</f>
        <v>0</v>
      </c>
      <c r="K44" s="430">
        <f>SUMIF([1]Нэгтгэл!B:B,'[1]12'!B:B,[1]Нэгтгэл!AD:AD)</f>
        <v>0</v>
      </c>
      <c r="L44" s="430">
        <f>SUMIF([1]Нэгтгэл!B:B,'[1]12'!B:B,[1]Нэгтгэл!AJ:AJ)</f>
        <v>0</v>
      </c>
      <c r="M44" s="430">
        <f>SUMIF([1]Нэгтгэл!B:B,'[1]12'!B:B,[1]Нэгтгэл!AM:AM)</f>
        <v>0</v>
      </c>
      <c r="N44" s="430">
        <f>SUMIF([1]Нэгтгэл!B:B,'[1]12'!B:B,[1]Нэгтгэл!AP:AP)</f>
        <v>0</v>
      </c>
      <c r="O44" s="430">
        <f>SUMIF([1]Нэгтгэл!B:B,'[1]12'!B:B,[1]Нэгтгэл!AS:AS)</f>
        <v>0</v>
      </c>
      <c r="P44" s="430">
        <f>SUMIF([1]Нэгтгэл!B:B,'[1]12'!B:B,[1]Нэгтгэл!BB:BB)</f>
        <v>0</v>
      </c>
      <c r="Q44" s="430">
        <f>SUMIF([1]Нэгтгэл!B:B,'[1]12'!B:B,[1]Нэгтгэл!BE:BE)</f>
        <v>0</v>
      </c>
      <c r="R44" s="430">
        <f>SUMIF([1]Нэгтгэл!B:B,'[1]12'!B:B,[1]Нэгтгэл!BH:BH)</f>
        <v>0</v>
      </c>
      <c r="S44" s="430">
        <f>SUMIF([1]Нэгтгэл!B:B,'[1]12'!B:B,[1]Нэгтгэл!BK:BK)</f>
        <v>0</v>
      </c>
      <c r="T44" s="430">
        <f>SUMIF([1]Нэгтгэл!B:B,'[1]12'!B:B,[1]Нэгтгэл!BN:BN)</f>
        <v>0</v>
      </c>
      <c r="U44" s="430">
        <f>SUMIF([1]Нэгтгэл!B:B,'[1]12'!B:B,[1]Нэгтгэл!BQ:BQ)</f>
        <v>0</v>
      </c>
      <c r="V44" s="430">
        <f>SUMIF([1]Нэгтгэл!B:B,'[1]12'!B:B,[1]Нэгтгэл!BT:BT)</f>
        <v>0</v>
      </c>
      <c r="W44" s="430">
        <f>SUMIF([1]Нэгтгэл!B:B,'[1]12'!B:B,[1]Нэгтгэл!BW:BW)</f>
        <v>0</v>
      </c>
    </row>
    <row r="45" spans="1:23">
      <c r="A45" s="437">
        <f t="shared" si="0"/>
        <v>43</v>
      </c>
      <c r="B45" s="385">
        <v>5051304</v>
      </c>
      <c r="C45" s="429" t="s">
        <v>211</v>
      </c>
      <c r="D45" s="430">
        <f>SUMIF([1]Нэгтгэл!B:B,'[1]12'!B:B,[1]Нэгтгэл!F:F)</f>
        <v>138142163.12</v>
      </c>
      <c r="E45" s="430">
        <f>SUMIF([1]Нэгтгэл!B:B,'[1]12'!B:B,[1]Нэгтгэл!I:I)</f>
        <v>118836577.528423</v>
      </c>
      <c r="F45" s="430">
        <f>SUMIF([1]Нэгтгэл!B:B,'[1]12'!B:B,[1]Нэгтгэл!L:L)</f>
        <v>251962646.030734</v>
      </c>
      <c r="G45" s="430">
        <f>SUMIF([1]Нэгтгэл!B:B,'[1]12'!B:B,[1]Нэгтгэл!R:R)</f>
        <v>0</v>
      </c>
      <c r="H45" s="430">
        <f>SUMIF([1]Нэгтгэл!B:B,'[1]12'!B:B,[1]Нэгтгэл!O:O)</f>
        <v>0</v>
      </c>
      <c r="I45" s="430">
        <f>SUMIF([1]Нэгтгэл!B:B,'[1]12'!B:B,[1]Нэгтгэл!X:X)</f>
        <v>3820394906.9099998</v>
      </c>
      <c r="J45" s="430">
        <f>SUMIF([1]Нэгтгэл!B:B,'[1]12'!B:B,[1]Нэгтгэл!AA:AA)</f>
        <v>0</v>
      </c>
      <c r="K45" s="430">
        <f>SUMIF([1]Нэгтгэл!B:B,'[1]12'!B:B,[1]Нэгтгэл!AD:AD)</f>
        <v>0</v>
      </c>
      <c r="L45" s="430">
        <f>SUMIF([1]Нэгтгэл!B:B,'[1]12'!B:B,[1]Нэгтгэл!AJ:AJ)</f>
        <v>0</v>
      </c>
      <c r="M45" s="430">
        <f>SUMIF([1]Нэгтгэл!B:B,'[1]12'!B:B,[1]Нэгтгэл!AM:AM)</f>
        <v>423434951.48000002</v>
      </c>
      <c r="N45" s="430">
        <f>SUMIF([1]Нэгтгэл!B:B,'[1]12'!B:B,[1]Нэгтгэл!AP:AP)</f>
        <v>34654837</v>
      </c>
      <c r="O45" s="430">
        <f>SUMIF([1]Нэгтгэл!B:B,'[1]12'!B:B,[1]Нэгтгэл!AS:AS)</f>
        <v>0</v>
      </c>
      <c r="P45" s="430">
        <f>SUMIF([1]Нэгтгэл!B:B,'[1]12'!B:B,[1]Нэгтгэл!BB:BB)</f>
        <v>0</v>
      </c>
      <c r="Q45" s="430">
        <f>SUMIF([1]Нэгтгэл!B:B,'[1]12'!B:B,[1]Нэгтгэл!BE:BE)</f>
        <v>0</v>
      </c>
      <c r="R45" s="430">
        <f>SUMIF([1]Нэгтгэл!B:B,'[1]12'!B:B,[1]Нэгтгэл!BH:BH)</f>
        <v>0</v>
      </c>
      <c r="S45" s="430">
        <f>SUMIF([1]Нэгтгэл!B:B,'[1]12'!B:B,[1]Нэгтгэл!BK:BK)</f>
        <v>0</v>
      </c>
      <c r="T45" s="430">
        <f>SUMIF([1]Нэгтгэл!B:B,'[1]12'!B:B,[1]Нэгтгэл!BN:BN)</f>
        <v>0</v>
      </c>
      <c r="U45" s="430">
        <f>SUMIF([1]Нэгтгэл!B:B,'[1]12'!B:B,[1]Нэгтгэл!BQ:BQ)</f>
        <v>0</v>
      </c>
      <c r="V45" s="430">
        <f>SUMIF([1]Нэгтгэл!B:B,'[1]12'!B:B,[1]Нэгтгэл!BT:BT)</f>
        <v>0</v>
      </c>
      <c r="W45" s="430">
        <f>SUMIF([1]Нэгтгэл!B:B,'[1]12'!B:B,[1]Нэгтгэл!BW:BW)</f>
        <v>110312173.92</v>
      </c>
    </row>
    <row r="46" spans="1:23">
      <c r="A46" s="437">
        <f t="shared" si="0"/>
        <v>44</v>
      </c>
      <c r="B46" s="385">
        <v>5401801</v>
      </c>
      <c r="C46" s="429" t="s">
        <v>213</v>
      </c>
      <c r="D46" s="430">
        <f>SUMIF([1]Нэгтгэл!B:B,'[1]12'!B:B,[1]Нэгтгэл!F:F)</f>
        <v>0</v>
      </c>
      <c r="E46" s="430">
        <f>SUMIF([1]Нэгтгэл!B:B,'[1]12'!B:B,[1]Нэгтгэл!I:I)</f>
        <v>0</v>
      </c>
      <c r="F46" s="430">
        <f>SUMIF([1]Нэгтгэл!B:B,'[1]12'!B:B,[1]Нэгтгэл!L:L)</f>
        <v>0</v>
      </c>
      <c r="G46" s="430">
        <f>SUMIF([1]Нэгтгэл!B:B,'[1]12'!B:B,[1]Нэгтгэл!R:R)</f>
        <v>0</v>
      </c>
      <c r="H46" s="430">
        <f>SUMIF([1]Нэгтгэл!B:B,'[1]12'!B:B,[1]Нэгтгэл!O:O)</f>
        <v>0</v>
      </c>
      <c r="I46" s="430">
        <f>SUMIF([1]Нэгтгэл!B:B,'[1]12'!B:B,[1]Нэгтгэл!X:X)</f>
        <v>0</v>
      </c>
      <c r="J46" s="430">
        <f>SUMIF([1]Нэгтгэл!B:B,'[1]12'!B:B,[1]Нэгтгэл!AA:AA)</f>
        <v>0</v>
      </c>
      <c r="K46" s="430">
        <f>SUMIF([1]Нэгтгэл!B:B,'[1]12'!B:B,[1]Нэгтгэл!AD:AD)</f>
        <v>0</v>
      </c>
      <c r="L46" s="430">
        <f>SUMIF([1]Нэгтгэл!B:B,'[1]12'!B:B,[1]Нэгтгэл!AJ:AJ)</f>
        <v>0</v>
      </c>
      <c r="M46" s="430">
        <f>SUMIF([1]Нэгтгэл!B:B,'[1]12'!B:B,[1]Нэгтгэл!AM:AM)</f>
        <v>0</v>
      </c>
      <c r="N46" s="430">
        <f>SUMIF([1]Нэгтгэл!B:B,'[1]12'!B:B,[1]Нэгтгэл!AP:AP)</f>
        <v>0</v>
      </c>
      <c r="O46" s="430">
        <f>SUMIF([1]Нэгтгэл!B:B,'[1]12'!B:B,[1]Нэгтгэл!AS:AS)</f>
        <v>0</v>
      </c>
      <c r="P46" s="430">
        <f>SUMIF([1]Нэгтгэл!B:B,'[1]12'!B:B,[1]Нэгтгэл!BB:BB)</f>
        <v>0</v>
      </c>
      <c r="Q46" s="430">
        <f>SUMIF([1]Нэгтгэл!B:B,'[1]12'!B:B,[1]Нэгтгэл!BE:BE)</f>
        <v>0</v>
      </c>
      <c r="R46" s="430">
        <f>SUMIF([1]Нэгтгэл!B:B,'[1]12'!B:B,[1]Нэгтгэл!BH:BH)</f>
        <v>0</v>
      </c>
      <c r="S46" s="430">
        <f>SUMIF([1]Нэгтгэл!B:B,'[1]12'!B:B,[1]Нэгтгэл!BK:BK)</f>
        <v>0</v>
      </c>
      <c r="T46" s="430">
        <f>SUMIF([1]Нэгтгэл!B:B,'[1]12'!B:B,[1]Нэгтгэл!BN:BN)</f>
        <v>0</v>
      </c>
      <c r="U46" s="430">
        <f>SUMIF([1]Нэгтгэл!B:B,'[1]12'!B:B,[1]Нэгтгэл!BQ:BQ)</f>
        <v>0</v>
      </c>
      <c r="V46" s="430">
        <f>SUMIF([1]Нэгтгэл!B:B,'[1]12'!B:B,[1]Нэгтгэл!BT:BT)</f>
        <v>0</v>
      </c>
      <c r="W46" s="430">
        <f>SUMIF([1]Нэгтгэл!B:B,'[1]12'!B:B,[1]Нэгтгэл!BW:BW)</f>
        <v>0</v>
      </c>
    </row>
    <row r="47" spans="1:23">
      <c r="A47" s="437">
        <f t="shared" si="0"/>
        <v>45</v>
      </c>
      <c r="B47" s="385">
        <v>2550466</v>
      </c>
      <c r="C47" s="429" t="s">
        <v>214</v>
      </c>
      <c r="D47" s="430">
        <f>SUMIF([1]Нэгтгэл!B:B,'[1]12'!B:B,[1]Нэгтгэл!F:F)</f>
        <v>4350000000</v>
      </c>
      <c r="E47" s="430">
        <f>SUMIF([1]Нэгтгэл!B:B,'[1]12'!B:B,[1]Нэгтгэл!I:I)</f>
        <v>61696320.978101</v>
      </c>
      <c r="F47" s="430">
        <f>SUMIF([1]Нэгтгэл!B:B,'[1]12'!B:B,[1]Нэгтгэл!L:L)</f>
        <v>129562274.054013</v>
      </c>
      <c r="G47" s="430">
        <f>SUMIF([1]Нэгтгэл!B:B,'[1]12'!B:B,[1]Нэгтгэл!R:R)</f>
        <v>0</v>
      </c>
      <c r="H47" s="430">
        <f>SUMIF([1]Нэгтгэл!B:B,'[1]12'!B:B,[1]Нэгтгэл!O:O)</f>
        <v>0</v>
      </c>
      <c r="I47" s="430">
        <f>SUMIF([1]Нэгтгэл!B:B,'[1]12'!B:B,[1]Нэгтгэл!X:X)</f>
        <v>3000000000</v>
      </c>
      <c r="J47" s="430">
        <f>SUMIF([1]Нэгтгэл!B:B,'[1]12'!B:B,[1]Нэгтгэл!AA:AA)</f>
        <v>0</v>
      </c>
      <c r="K47" s="430">
        <f>SUMIF([1]Нэгтгэл!B:B,'[1]12'!B:B,[1]Нэгтгэл!AD:AD)</f>
        <v>0</v>
      </c>
      <c r="L47" s="430">
        <f>SUMIF([1]Нэгтгэл!B:B,'[1]12'!B:B,[1]Нэгтгэл!AJ:AJ)</f>
        <v>0</v>
      </c>
      <c r="M47" s="430">
        <f>SUMIF([1]Нэгтгэл!B:B,'[1]12'!B:B,[1]Нэгтгэл!AM:AM)</f>
        <v>17675219292.380001</v>
      </c>
      <c r="N47" s="430">
        <f>SUMIF([1]Нэгтгэл!B:B,'[1]12'!B:B,[1]Нэгтгэл!AP:AP)</f>
        <v>1094646542</v>
      </c>
      <c r="O47" s="430">
        <f>SUMIF([1]Нэгтгэл!B:B,'[1]12'!B:B,[1]Нэгтгэл!AS:AS)</f>
        <v>1500000000</v>
      </c>
      <c r="P47" s="430">
        <f>SUMIF([1]Нэгтгэл!B:B,'[1]12'!B:B,[1]Нэгтгэл!BB:BB)</f>
        <v>0</v>
      </c>
      <c r="Q47" s="430">
        <f>SUMIF([1]Нэгтгэл!B:B,'[1]12'!B:B,[1]Нэгтгэл!BE:BE)</f>
        <v>0</v>
      </c>
      <c r="R47" s="430">
        <f>SUMIF([1]Нэгтгэл!B:B,'[1]12'!B:B,[1]Нэгтгэл!BH:BH)</f>
        <v>0</v>
      </c>
      <c r="S47" s="430">
        <f>SUMIF([1]Нэгтгэл!B:B,'[1]12'!B:B,[1]Нэгтгэл!BK:BK)</f>
        <v>0</v>
      </c>
      <c r="T47" s="430">
        <f>SUMIF([1]Нэгтгэл!B:B,'[1]12'!B:B,[1]Нэгтгэл!BN:BN)</f>
        <v>0</v>
      </c>
      <c r="U47" s="430">
        <f>SUMIF([1]Нэгтгэл!B:B,'[1]12'!B:B,[1]Нэгтгэл!BQ:BQ)</f>
        <v>0</v>
      </c>
      <c r="V47" s="430">
        <f>SUMIF([1]Нэгтгэл!B:B,'[1]12'!B:B,[1]Нэгтгэл!BT:BT)</f>
        <v>0</v>
      </c>
      <c r="W47" s="430">
        <f>SUMIF([1]Нэгтгэл!B:B,'[1]12'!B:B,[1]Нэгтгэл!BW:BW)</f>
        <v>5464062416.2700005</v>
      </c>
    </row>
    <row r="48" spans="1:23">
      <c r="A48" s="437">
        <f t="shared" si="0"/>
        <v>46</v>
      </c>
      <c r="B48" s="385">
        <v>5051134</v>
      </c>
      <c r="C48" s="429" t="s">
        <v>216</v>
      </c>
      <c r="D48" s="430">
        <f>SUMIF([1]Нэгтгэл!B:B,'[1]12'!B:B,[1]Нэгтгэл!F:F)</f>
        <v>80620274.599999994</v>
      </c>
      <c r="E48" s="430">
        <f>SUMIF([1]Нэгтгэл!B:B,'[1]12'!B:B,[1]Нэгтгэл!I:I)</f>
        <v>70837669.299919993</v>
      </c>
      <c r="F48" s="430">
        <f>SUMIF([1]Нэгтгэл!B:B,'[1]12'!B:B,[1]Нэгтгэл!L:L)</f>
        <v>240259105.529834</v>
      </c>
      <c r="G48" s="430">
        <f>SUMIF([1]Нэгтгэл!B:B,'[1]12'!B:B,[1]Нэгтгэл!R:R)</f>
        <v>0</v>
      </c>
      <c r="H48" s="430">
        <f>SUMIF([1]Нэгтгэл!B:B,'[1]12'!B:B,[1]Нэгтгэл!O:O)</f>
        <v>0</v>
      </c>
      <c r="I48" s="430">
        <f>SUMIF([1]Нэгтгэл!B:B,'[1]12'!B:B,[1]Нэгтгэл!X:X)</f>
        <v>818741391.08000004</v>
      </c>
      <c r="J48" s="430">
        <f>SUMIF([1]Нэгтгэл!B:B,'[1]12'!B:B,[1]Нэгтгэл!AA:AA)</f>
        <v>0</v>
      </c>
      <c r="K48" s="430">
        <f>SUMIF([1]Нэгтгэл!B:B,'[1]12'!B:B,[1]Нэгтгэл!AD:AD)</f>
        <v>0</v>
      </c>
      <c r="L48" s="430">
        <f>SUMIF([1]Нэгтгэл!B:B,'[1]12'!B:B,[1]Нэгтгэл!AJ:AJ)</f>
        <v>0</v>
      </c>
      <c r="M48" s="430">
        <f>SUMIF([1]Нэгтгэл!B:B,'[1]12'!B:B,[1]Нэгтгэл!AM:AM)</f>
        <v>272642293</v>
      </c>
      <c r="N48" s="430">
        <f>SUMIF([1]Нэгтгэл!B:B,'[1]12'!B:B,[1]Нэгтгэл!AP:AP)</f>
        <v>291554542.05000001</v>
      </c>
      <c r="O48" s="430">
        <f>SUMIF([1]Нэгтгэл!B:B,'[1]12'!B:B,[1]Нэгтгэл!AS:AS)</f>
        <v>0</v>
      </c>
      <c r="P48" s="430">
        <f>SUMIF([1]Нэгтгэл!B:B,'[1]12'!B:B,[1]Нэгтгэл!BB:BB)</f>
        <v>0</v>
      </c>
      <c r="Q48" s="430">
        <f>SUMIF([1]Нэгтгэл!B:B,'[1]12'!B:B,[1]Нэгтгэл!BE:BE)</f>
        <v>0</v>
      </c>
      <c r="R48" s="430">
        <f>SUMIF([1]Нэгтгэл!B:B,'[1]12'!B:B,[1]Нэгтгэл!BH:BH)</f>
        <v>0</v>
      </c>
      <c r="S48" s="430">
        <f>SUMIF([1]Нэгтгэл!B:B,'[1]12'!B:B,[1]Нэгтгэл!BK:BK)</f>
        <v>0</v>
      </c>
      <c r="T48" s="430">
        <f>SUMIF([1]Нэгтгэл!B:B,'[1]12'!B:B,[1]Нэгтгэл!BN:BN)</f>
        <v>0</v>
      </c>
      <c r="U48" s="430">
        <f>SUMIF([1]Нэгтгэл!B:B,'[1]12'!B:B,[1]Нэгтгэл!BQ:BQ)</f>
        <v>0</v>
      </c>
      <c r="V48" s="430">
        <f>SUMIF([1]Нэгтгэл!B:B,'[1]12'!B:B,[1]Нэгтгэл!BT:BT)</f>
        <v>0</v>
      </c>
      <c r="W48" s="430">
        <f>SUMIF([1]Нэгтгэл!B:B,'[1]12'!B:B,[1]Нэгтгэл!BW:BW)</f>
        <v>71327111.870000005</v>
      </c>
    </row>
    <row r="49" spans="1:23">
      <c r="A49" s="437">
        <f t="shared" si="0"/>
        <v>47</v>
      </c>
      <c r="B49" s="385">
        <v>2095025</v>
      </c>
      <c r="C49" s="429" t="s">
        <v>217</v>
      </c>
      <c r="D49" s="430">
        <f>SUMIF([1]Нэгтгэл!B:B,'[1]12'!B:B,[1]Нэгтгэл!F:F)</f>
        <v>90291262509.869995</v>
      </c>
      <c r="E49" s="430">
        <f>SUMIF([1]Нэгтгэл!B:B,'[1]12'!B:B,[1]Нэгтгэл!I:I)</f>
        <v>11693495890.4639</v>
      </c>
      <c r="F49" s="430">
        <f>SUMIF([1]Нэгтгэл!B:B,'[1]12'!B:B,[1]Нэгтгэл!L:L)</f>
        <v>25007853589.984798</v>
      </c>
      <c r="G49" s="430">
        <f>SUMIF([1]Нэгтгэл!B:B,'[1]12'!B:B,[1]Нэгтгэл!R:R)</f>
        <v>0</v>
      </c>
      <c r="H49" s="430">
        <f>SUMIF([1]Нэгтгэл!B:B,'[1]12'!B:B,[1]Нэгтгэл!O:O)</f>
        <v>3050000</v>
      </c>
      <c r="I49" s="430">
        <f>SUMIF([1]Нэгтгэл!B:B,'[1]12'!B:B,[1]Нэгтгэл!X:X)</f>
        <v>158974240816.05002</v>
      </c>
      <c r="J49" s="430">
        <f>SUMIF([1]Нэгтгэл!B:B,'[1]12'!B:B,[1]Нэгтгэл!AA:AA)</f>
        <v>640025374.95000005</v>
      </c>
      <c r="K49" s="430">
        <f>SUMIF([1]Нэгтгэл!B:B,'[1]12'!B:B,[1]Нэгтгэл!AD:AD)</f>
        <v>0</v>
      </c>
      <c r="L49" s="430">
        <f>SUMIF([1]Нэгтгэл!B:B,'[1]12'!B:B,[1]Нэгтгэл!AJ:AJ)</f>
        <v>9018712690</v>
      </c>
      <c r="M49" s="430">
        <f>SUMIF([1]Нэгтгэл!B:B,'[1]12'!B:B,[1]Нэгтгэл!AM:AM)</f>
        <v>22022512351.400002</v>
      </c>
      <c r="N49" s="430">
        <f>SUMIF([1]Нэгтгэл!B:B,'[1]12'!B:B,[1]Нэгтгэл!AP:AP)</f>
        <v>11159545408.5</v>
      </c>
      <c r="O49" s="430">
        <f>SUMIF([1]Нэгтгэл!B:B,'[1]12'!B:B,[1]Нэгтгэл!AS:AS)</f>
        <v>0</v>
      </c>
      <c r="P49" s="430">
        <f>SUMIF([1]Нэгтгэл!B:B,'[1]12'!B:B,[1]Нэгтгэл!BB:BB)</f>
        <v>0</v>
      </c>
      <c r="Q49" s="430">
        <f>SUMIF([1]Нэгтгэл!B:B,'[1]12'!B:B,[1]Нэгтгэл!BE:BE)</f>
        <v>0</v>
      </c>
      <c r="R49" s="430">
        <f>SUMIF([1]Нэгтгэл!B:B,'[1]12'!B:B,[1]Нэгтгэл!BH:BH)</f>
        <v>0</v>
      </c>
      <c r="S49" s="430">
        <f>SUMIF([1]Нэгтгэл!B:B,'[1]12'!B:B,[1]Нэгтгэл!BK:BK)</f>
        <v>316305287.38999999</v>
      </c>
      <c r="T49" s="430">
        <f>SUMIF([1]Нэгтгэл!B:B,'[1]12'!B:B,[1]Нэгтгэл!BN:BN)</f>
        <v>0</v>
      </c>
      <c r="U49" s="430">
        <f>SUMIF([1]Нэгтгэл!B:B,'[1]12'!B:B,[1]Нэгтгэл!BQ:BQ)</f>
        <v>0</v>
      </c>
      <c r="V49" s="430">
        <f>SUMIF([1]Нэгтгэл!B:B,'[1]12'!B:B,[1]Нэгтгэл!BT:BT)</f>
        <v>0</v>
      </c>
      <c r="W49" s="430">
        <f>SUMIF([1]Нэгтгэл!B:B,'[1]12'!B:B,[1]Нэгтгэл!BW:BW)</f>
        <v>7695816702.3099985</v>
      </c>
    </row>
    <row r="50" spans="1:23">
      <c r="A50" s="437">
        <f t="shared" si="0"/>
        <v>48</v>
      </c>
      <c r="B50" s="385">
        <v>2045931</v>
      </c>
      <c r="C50" s="429" t="s">
        <v>218</v>
      </c>
      <c r="D50" s="430">
        <f>SUMIF([1]Нэгтгэл!B:B,'[1]12'!B:B,[1]Нэгтгэл!F:F)</f>
        <v>0</v>
      </c>
      <c r="E50" s="430">
        <f>SUMIF([1]Нэгтгэл!B:B,'[1]12'!B:B,[1]Нэгтгэл!I:I)</f>
        <v>1374145176.26963</v>
      </c>
      <c r="F50" s="430">
        <f>SUMIF([1]Нэгтгэл!B:B,'[1]12'!B:B,[1]Нэгтгэл!L:L)</f>
        <v>2813410169.4984398</v>
      </c>
      <c r="G50" s="430">
        <f>SUMIF([1]Нэгтгэл!B:B,'[1]12'!B:B,[1]Нэгтгэл!R:R)</f>
        <v>0</v>
      </c>
      <c r="H50" s="430">
        <f>SUMIF([1]Нэгтгэл!B:B,'[1]12'!B:B,[1]Нэгтгэл!O:O)</f>
        <v>0</v>
      </c>
      <c r="I50" s="430">
        <f>SUMIF([1]Нэгтгэл!B:B,'[1]12'!B:B,[1]Нэгтгэл!X:X)</f>
        <v>12281580621.600002</v>
      </c>
      <c r="J50" s="430">
        <f>SUMIF([1]Нэгтгэл!B:B,'[1]12'!B:B,[1]Нэгтгэл!AA:AA)</f>
        <v>0</v>
      </c>
      <c r="K50" s="430">
        <f>SUMIF([1]Нэгтгэл!B:B,'[1]12'!B:B,[1]Нэгтгэл!AD:AD)</f>
        <v>0</v>
      </c>
      <c r="L50" s="430">
        <f>SUMIF([1]Нэгтгэл!B:B,'[1]12'!B:B,[1]Нэгтгэл!AJ:AJ)</f>
        <v>0</v>
      </c>
      <c r="M50" s="430">
        <f>SUMIF([1]Нэгтгэл!B:B,'[1]12'!B:B,[1]Нэгтгэл!AM:AM)</f>
        <v>361114403</v>
      </c>
      <c r="N50" s="430">
        <f>SUMIF([1]Нэгтгэл!B:B,'[1]12'!B:B,[1]Нэгтгэл!AP:AP)</f>
        <v>1019800</v>
      </c>
      <c r="O50" s="430">
        <f>SUMIF([1]Нэгтгэл!B:B,'[1]12'!B:B,[1]Нэгтгэл!AS:AS)</f>
        <v>0</v>
      </c>
      <c r="P50" s="430">
        <f>SUMIF([1]Нэгтгэл!B:B,'[1]12'!B:B,[1]Нэгтгэл!BB:BB)</f>
        <v>0</v>
      </c>
      <c r="Q50" s="430">
        <f>SUMIF([1]Нэгтгэл!B:B,'[1]12'!B:B,[1]Нэгтгэл!BE:BE)</f>
        <v>0</v>
      </c>
      <c r="R50" s="430">
        <f>SUMIF([1]Нэгтгэл!B:B,'[1]12'!B:B,[1]Нэгтгэл!BH:BH)</f>
        <v>0</v>
      </c>
      <c r="S50" s="430">
        <f>SUMIF([1]Нэгтгэл!B:B,'[1]12'!B:B,[1]Нэгтгэл!BK:BK)</f>
        <v>0</v>
      </c>
      <c r="T50" s="430">
        <f>SUMIF([1]Нэгтгэл!B:B,'[1]12'!B:B,[1]Нэгтгэл!BN:BN)</f>
        <v>0</v>
      </c>
      <c r="U50" s="430">
        <f>SUMIF([1]Нэгтгэл!B:B,'[1]12'!B:B,[1]Нэгтгэл!BQ:BQ)</f>
        <v>0</v>
      </c>
      <c r="V50" s="430">
        <f>SUMIF([1]Нэгтгэл!B:B,'[1]12'!B:B,[1]Нэгтгэл!BT:BT)</f>
        <v>0</v>
      </c>
      <c r="W50" s="430">
        <f>SUMIF([1]Нэгтгэл!B:B,'[1]12'!B:B,[1]Нэгтгэл!BW:BW)</f>
        <v>91243559.36999999</v>
      </c>
    </row>
    <row r="51" spans="1:23">
      <c r="A51" s="437">
        <f t="shared" si="0"/>
        <v>49</v>
      </c>
      <c r="B51" s="385">
        <v>2029278</v>
      </c>
      <c r="C51" s="429" t="s">
        <v>219</v>
      </c>
      <c r="D51" s="430">
        <f>SUMIF([1]Нэгтгэл!B:B,'[1]12'!B:B,[1]Нэгтгэл!F:F)</f>
        <v>762127481.05999994</v>
      </c>
      <c r="E51" s="430">
        <f>SUMIF([1]Нэгтгэл!B:B,'[1]12'!B:B,[1]Нэгтгэл!I:I)</f>
        <v>102382669.632092</v>
      </c>
      <c r="F51" s="430">
        <f>SUMIF([1]Нэгтгэл!B:B,'[1]12'!B:B,[1]Нэгтгэл!L:L)</f>
        <v>1299227853.2673919</v>
      </c>
      <c r="G51" s="430">
        <f>SUMIF([1]Нэгтгэл!B:B,'[1]12'!B:B,[1]Нэгтгэл!R:R)</f>
        <v>0</v>
      </c>
      <c r="H51" s="430">
        <f>SUMIF([1]Нэгтгэл!B:B,'[1]12'!B:B,[1]Нэгтгэл!O:O)</f>
        <v>0</v>
      </c>
      <c r="I51" s="430">
        <f>SUMIF([1]Нэгтгэл!B:B,'[1]12'!B:B,[1]Нэгтгэл!X:X)</f>
        <v>0</v>
      </c>
      <c r="J51" s="430">
        <f>SUMIF([1]Нэгтгэл!B:B,'[1]12'!B:B,[1]Нэгтгэл!AA:AA)</f>
        <v>0</v>
      </c>
      <c r="K51" s="430">
        <f>SUMIF([1]Нэгтгэл!B:B,'[1]12'!B:B,[1]Нэгтгэл!AD:AD)</f>
        <v>0</v>
      </c>
      <c r="L51" s="430">
        <f>SUMIF([1]Нэгтгэл!B:B,'[1]12'!B:B,[1]Нэгтгэл!AJ:AJ)</f>
        <v>0</v>
      </c>
      <c r="M51" s="430">
        <f>SUMIF([1]Нэгтгэл!B:B,'[1]12'!B:B,[1]Нэгтгэл!AM:AM)</f>
        <v>1562270455.6400001</v>
      </c>
      <c r="N51" s="430">
        <f>SUMIF([1]Нэгтгэл!B:B,'[1]12'!B:B,[1]Нэгтгэл!AP:AP)</f>
        <v>55000</v>
      </c>
      <c r="O51" s="430">
        <f>SUMIF([1]Нэгтгэл!B:B,'[1]12'!B:B,[1]Нэгтгэл!AS:AS)</f>
        <v>0</v>
      </c>
      <c r="P51" s="430">
        <f>SUMIF([1]Нэгтгэл!B:B,'[1]12'!B:B,[1]Нэгтгэл!BB:BB)</f>
        <v>0</v>
      </c>
      <c r="Q51" s="430">
        <f>SUMIF([1]Нэгтгэл!B:B,'[1]12'!B:B,[1]Нэгтгэл!BE:BE)</f>
        <v>0</v>
      </c>
      <c r="R51" s="430">
        <f>SUMIF([1]Нэгтгэл!B:B,'[1]12'!B:B,[1]Нэгтгэл!BH:BH)</f>
        <v>0</v>
      </c>
      <c r="S51" s="430">
        <f>SUMIF([1]Нэгтгэл!B:B,'[1]12'!B:B,[1]Нэгтгэл!BK:BK)</f>
        <v>0</v>
      </c>
      <c r="T51" s="430">
        <f>SUMIF([1]Нэгтгэл!B:B,'[1]12'!B:B,[1]Нэгтгэл!BN:BN)</f>
        <v>0</v>
      </c>
      <c r="U51" s="430">
        <f>SUMIF([1]Нэгтгэл!B:B,'[1]12'!B:B,[1]Нэгтгэл!BQ:BQ)</f>
        <v>0</v>
      </c>
      <c r="V51" s="430">
        <f>SUMIF([1]Нэгтгэл!B:B,'[1]12'!B:B,[1]Нэгтгэл!BT:BT)</f>
        <v>0</v>
      </c>
      <c r="W51" s="430">
        <f>SUMIF([1]Нэгтгэл!B:B,'[1]12'!B:B,[1]Нэгтгэл!BW:BW)</f>
        <v>487246390.28999996</v>
      </c>
    </row>
    <row r="52" spans="1:23">
      <c r="A52" s="437">
        <f t="shared" si="0"/>
        <v>50</v>
      </c>
      <c r="B52" s="385">
        <v>5106567</v>
      </c>
      <c r="C52" s="429" t="s">
        <v>220</v>
      </c>
      <c r="D52" s="430">
        <f>SUMIF([1]Нэгтгэл!B:B,'[1]12'!B:B,[1]Нэгтгэл!F:F)</f>
        <v>462287517.62</v>
      </c>
      <c r="E52" s="430">
        <f>SUMIF([1]Нэгтгэл!B:B,'[1]12'!B:B,[1]Нэгтгэл!I:I)</f>
        <v>613365316.92032504</v>
      </c>
      <c r="F52" s="430">
        <f>SUMIF([1]Нэгтгэл!B:B,'[1]12'!B:B,[1]Нэгтгэл!L:L)</f>
        <v>8887516039.1366005</v>
      </c>
      <c r="G52" s="430">
        <f>SUMIF([1]Нэгтгэл!B:B,'[1]12'!B:B,[1]Нэгтгэл!R:R)</f>
        <v>0</v>
      </c>
      <c r="H52" s="430">
        <f>SUMIF([1]Нэгтгэл!B:B,'[1]12'!B:B,[1]Нэгтгэл!O:O)</f>
        <v>0</v>
      </c>
      <c r="I52" s="430">
        <f>SUMIF([1]Нэгтгэл!B:B,'[1]12'!B:B,[1]Нэгтгэл!X:X)</f>
        <v>824090350</v>
      </c>
      <c r="J52" s="430">
        <f>SUMIF([1]Нэгтгэл!B:B,'[1]12'!B:B,[1]Нэгтгэл!AA:AA)</f>
        <v>0</v>
      </c>
      <c r="K52" s="430">
        <f>SUMIF([1]Нэгтгэл!B:B,'[1]12'!B:B,[1]Нэгтгэл!AD:AD)</f>
        <v>0</v>
      </c>
      <c r="L52" s="430">
        <f>SUMIF([1]Нэгтгэл!B:B,'[1]12'!B:B,[1]Нэгтгэл!AJ:AJ)</f>
        <v>0</v>
      </c>
      <c r="M52" s="430">
        <f>SUMIF([1]Нэгтгэл!B:B,'[1]12'!B:B,[1]Нэгтгэл!AM:AM)</f>
        <v>2661000000</v>
      </c>
      <c r="N52" s="430">
        <f>SUMIF([1]Нэгтгэл!B:B,'[1]12'!B:B,[1]Нэгтгэл!AP:AP)</f>
        <v>744800</v>
      </c>
      <c r="O52" s="430">
        <f>SUMIF([1]Нэгтгэл!B:B,'[1]12'!B:B,[1]Нэгтгэл!AS:AS)</f>
        <v>0</v>
      </c>
      <c r="P52" s="430">
        <f>SUMIF([1]Нэгтгэл!B:B,'[1]12'!B:B,[1]Нэгтгэл!BB:BB)</f>
        <v>0</v>
      </c>
      <c r="Q52" s="430">
        <f>SUMIF([1]Нэгтгэл!B:B,'[1]12'!B:B,[1]Нэгтгэл!BE:BE)</f>
        <v>0</v>
      </c>
      <c r="R52" s="430">
        <f>SUMIF([1]Нэгтгэл!B:B,'[1]12'!B:B,[1]Нэгтгэл!BH:BH)</f>
        <v>0</v>
      </c>
      <c r="S52" s="430">
        <f>SUMIF([1]Нэгтгэл!B:B,'[1]12'!B:B,[1]Нэгтгэл!BK:BK)</f>
        <v>0</v>
      </c>
      <c r="T52" s="430">
        <f>SUMIF([1]Нэгтгэл!B:B,'[1]12'!B:B,[1]Нэгтгэл!BN:BN)</f>
        <v>0</v>
      </c>
      <c r="U52" s="430">
        <f>SUMIF([1]Нэгтгэл!B:B,'[1]12'!B:B,[1]Нэгтгэл!BQ:BQ)</f>
        <v>0</v>
      </c>
      <c r="V52" s="430">
        <f>SUMIF([1]Нэгтгэл!B:B,'[1]12'!B:B,[1]Нэгтгэл!BT:BT)</f>
        <v>0</v>
      </c>
      <c r="W52" s="430">
        <f>SUMIF([1]Нэгтгэл!B:B,'[1]12'!B:B,[1]Нэгтгэл!BW:BW)</f>
        <v>1081646803.3899999</v>
      </c>
    </row>
    <row r="53" spans="1:23">
      <c r="A53" s="437">
        <f t="shared" si="0"/>
        <v>51</v>
      </c>
      <c r="B53" s="385">
        <v>5141583</v>
      </c>
      <c r="C53" s="429" t="s">
        <v>222</v>
      </c>
      <c r="D53" s="430">
        <f>SUMIF([1]Нэгтгэл!B:B,'[1]12'!B:B,[1]Нэгтгэл!F:F)</f>
        <v>56115073513.389999</v>
      </c>
      <c r="E53" s="430">
        <f>SUMIF([1]Нэгтгэл!B:B,'[1]12'!B:B,[1]Нэгтгэл!I:I)</f>
        <v>320511152.003887</v>
      </c>
      <c r="F53" s="430">
        <f>SUMIF([1]Нэгтгэл!B:B,'[1]12'!B:B,[1]Нэгтгэл!L:L)</f>
        <v>1136546649.0921822</v>
      </c>
      <c r="G53" s="430">
        <f>SUMIF([1]Нэгтгэл!B:B,'[1]12'!B:B,[1]Нэгтгэл!R:R)</f>
        <v>0</v>
      </c>
      <c r="H53" s="430">
        <f>SUMIF([1]Нэгтгэл!B:B,'[1]12'!B:B,[1]Нэгтгэл!O:O)</f>
        <v>0</v>
      </c>
      <c r="I53" s="430">
        <f>SUMIF([1]Нэгтгэл!B:B,'[1]12'!B:B,[1]Нэгтгэл!X:X)</f>
        <v>52086364990.880005</v>
      </c>
      <c r="J53" s="430">
        <f>SUMIF([1]Нэгтгэл!B:B,'[1]12'!B:B,[1]Нэгтгэл!AA:AA)</f>
        <v>0</v>
      </c>
      <c r="K53" s="430">
        <f>SUMIF([1]Нэгтгэл!B:B,'[1]12'!B:B,[1]Нэгтгэл!AD:AD)</f>
        <v>0</v>
      </c>
      <c r="L53" s="430">
        <f>SUMIF([1]Нэгтгэл!B:B,'[1]12'!B:B,[1]Нэгтгэл!AJ:AJ)</f>
        <v>3876741099.5000005</v>
      </c>
      <c r="M53" s="430">
        <f>SUMIF([1]Нэгтгэл!B:B,'[1]12'!B:B,[1]Нэгтгэл!AM:AM)</f>
        <v>3415094284.04</v>
      </c>
      <c r="N53" s="430">
        <f>SUMIF([1]Нэгтгэл!B:B,'[1]12'!B:B,[1]Нэгтгэл!AP:AP)</f>
        <v>3852708600</v>
      </c>
      <c r="O53" s="430">
        <f>SUMIF([1]Нэгтгэл!B:B,'[1]12'!B:B,[1]Нэгтгэл!AS:AS)</f>
        <v>0</v>
      </c>
      <c r="P53" s="430">
        <f>SUMIF([1]Нэгтгэл!B:B,'[1]12'!B:B,[1]Нэгтгэл!BB:BB)</f>
        <v>0</v>
      </c>
      <c r="Q53" s="430">
        <f>SUMIF([1]Нэгтгэл!B:B,'[1]12'!B:B,[1]Нэгтгэл!BE:BE)</f>
        <v>0</v>
      </c>
      <c r="R53" s="430">
        <f>SUMIF([1]Нэгтгэл!B:B,'[1]12'!B:B,[1]Нэгтгэл!BH:BH)</f>
        <v>0</v>
      </c>
      <c r="S53" s="430">
        <f>SUMIF([1]Нэгтгэл!B:B,'[1]12'!B:B,[1]Нэгтгэл!BK:BK)</f>
        <v>0</v>
      </c>
      <c r="T53" s="430">
        <f>SUMIF([1]Нэгтгэл!B:B,'[1]12'!B:B,[1]Нэгтгэл!BN:BN)</f>
        <v>0</v>
      </c>
      <c r="U53" s="430">
        <f>SUMIF([1]Нэгтгэл!B:B,'[1]12'!B:B,[1]Нэгтгэл!BQ:BQ)</f>
        <v>0</v>
      </c>
      <c r="V53" s="430">
        <f>SUMIF([1]Нэгтгэл!B:B,'[1]12'!B:B,[1]Нэгтгэл!BT:BT)</f>
        <v>0</v>
      </c>
      <c r="W53" s="430">
        <f>SUMIF([1]Нэгтгэл!B:B,'[1]12'!B:B,[1]Нэгтгэл!BW:BW)</f>
        <v>1141934379.3100002</v>
      </c>
    </row>
    <row r="54" spans="1:23">
      <c r="A54" s="437">
        <f t="shared" si="0"/>
        <v>52</v>
      </c>
      <c r="B54" s="385">
        <v>5118115</v>
      </c>
      <c r="C54" s="429" t="s">
        <v>223</v>
      </c>
      <c r="D54" s="430">
        <f>SUMIF([1]Нэгтгэл!B:B,'[1]12'!B:B,[1]Нэгтгэл!F:F)</f>
        <v>3500000000</v>
      </c>
      <c r="E54" s="430">
        <f>SUMIF([1]Нэгтгэл!B:B,'[1]12'!B:B,[1]Нэгтгэл!I:I)</f>
        <v>304938617.72423202</v>
      </c>
      <c r="F54" s="430">
        <f>SUMIF([1]Нэгтгэл!B:B,'[1]12'!B:B,[1]Нэгтгэл!L:L)</f>
        <v>5030161740.5869017</v>
      </c>
      <c r="G54" s="430">
        <f>SUMIF([1]Нэгтгэл!B:B,'[1]12'!B:B,[1]Нэгтгэл!R:R)</f>
        <v>0</v>
      </c>
      <c r="H54" s="430">
        <f>SUMIF([1]Нэгтгэл!B:B,'[1]12'!B:B,[1]Нэгтгэл!O:O)</f>
        <v>0</v>
      </c>
      <c r="I54" s="430">
        <f>SUMIF([1]Нэгтгэл!B:B,'[1]12'!B:B,[1]Нэгтгэл!X:X)</f>
        <v>0</v>
      </c>
      <c r="J54" s="430">
        <f>SUMIF([1]Нэгтгэл!B:B,'[1]12'!B:B,[1]Нэгтгэл!AA:AA)</f>
        <v>0</v>
      </c>
      <c r="K54" s="430">
        <f>SUMIF([1]Нэгтгэл!B:B,'[1]12'!B:B,[1]Нэгтгэл!AD:AD)</f>
        <v>0</v>
      </c>
      <c r="L54" s="430">
        <f>SUMIF([1]Нэгтгэл!B:B,'[1]12'!B:B,[1]Нэгтгэл!AJ:AJ)</f>
        <v>0</v>
      </c>
      <c r="M54" s="430">
        <f>SUMIF([1]Нэгтгэл!B:B,'[1]12'!B:B,[1]Нэгтгэл!AM:AM)</f>
        <v>1346125092.9400001</v>
      </c>
      <c r="N54" s="430">
        <f>SUMIF([1]Нэгтгэл!B:B,'[1]12'!B:B,[1]Нэгтгэл!AP:AP)</f>
        <v>411200</v>
      </c>
      <c r="O54" s="430">
        <f>SUMIF([1]Нэгтгэл!B:B,'[1]12'!B:B,[1]Нэгтгэл!AS:AS)</f>
        <v>0</v>
      </c>
      <c r="P54" s="430">
        <f>SUMIF([1]Нэгтгэл!B:B,'[1]12'!B:B,[1]Нэгтгэл!BB:BB)</f>
        <v>0</v>
      </c>
      <c r="Q54" s="430">
        <f>SUMIF([1]Нэгтгэл!B:B,'[1]12'!B:B,[1]Нэгтгэл!BE:BE)</f>
        <v>0</v>
      </c>
      <c r="R54" s="430">
        <f>SUMIF([1]Нэгтгэл!B:B,'[1]12'!B:B,[1]Нэгтгэл!BH:BH)</f>
        <v>0</v>
      </c>
      <c r="S54" s="430">
        <f>SUMIF([1]Нэгтгэл!B:B,'[1]12'!B:B,[1]Нэгтгэл!BK:BK)</f>
        <v>0</v>
      </c>
      <c r="T54" s="430">
        <f>SUMIF([1]Нэгтгэл!B:B,'[1]12'!B:B,[1]Нэгтгэл!BN:BN)</f>
        <v>0</v>
      </c>
      <c r="U54" s="430">
        <f>SUMIF([1]Нэгтгэл!B:B,'[1]12'!B:B,[1]Нэгтгэл!BQ:BQ)</f>
        <v>0</v>
      </c>
      <c r="V54" s="430">
        <f>SUMIF([1]Нэгтгэл!B:B,'[1]12'!B:B,[1]Нэгтгэл!BT:BT)</f>
        <v>0</v>
      </c>
      <c r="W54" s="430">
        <f>SUMIF([1]Нэгтгэл!B:B,'[1]12'!B:B,[1]Нэгтгэл!BW:BW)</f>
        <v>477965883.40999997</v>
      </c>
    </row>
    <row r="55" spans="1:23">
      <c r="A55" s="437">
        <f t="shared" si="0"/>
        <v>53</v>
      </c>
      <c r="B55" s="385">
        <v>5106656</v>
      </c>
      <c r="C55" s="429" t="s">
        <v>224</v>
      </c>
      <c r="D55" s="430">
        <f>SUMIF([1]Нэгтгэл!B:B,'[1]12'!B:B,[1]Нэгтгэл!F:F)</f>
        <v>0</v>
      </c>
      <c r="E55" s="430">
        <f>SUMIF([1]Нэгтгэл!B:B,'[1]12'!B:B,[1]Нэгтгэл!I:I)</f>
        <v>0</v>
      </c>
      <c r="F55" s="430">
        <f>SUMIF([1]Нэгтгэл!B:B,'[1]12'!B:B,[1]Нэгтгэл!L:L)</f>
        <v>0</v>
      </c>
      <c r="G55" s="430">
        <f>SUMIF([1]Нэгтгэл!B:B,'[1]12'!B:B,[1]Нэгтгэл!R:R)</f>
        <v>0</v>
      </c>
      <c r="H55" s="430">
        <f>SUMIF([1]Нэгтгэл!B:B,'[1]12'!B:B,[1]Нэгтгэл!O:O)</f>
        <v>0</v>
      </c>
      <c r="I55" s="430">
        <f>SUMIF([1]Нэгтгэл!B:B,'[1]12'!B:B,[1]Нэгтгэл!X:X)</f>
        <v>0</v>
      </c>
      <c r="J55" s="430">
        <f>SUMIF([1]Нэгтгэл!B:B,'[1]12'!B:B,[1]Нэгтгэл!AA:AA)</f>
        <v>0</v>
      </c>
      <c r="K55" s="430">
        <f>SUMIF([1]Нэгтгэл!B:B,'[1]12'!B:B,[1]Нэгтгэл!AD:AD)</f>
        <v>0</v>
      </c>
      <c r="L55" s="430">
        <f>SUMIF([1]Нэгтгэл!B:B,'[1]12'!B:B,[1]Нэгтгэл!AJ:AJ)</f>
        <v>0</v>
      </c>
      <c r="M55" s="430">
        <f>SUMIF([1]Нэгтгэл!B:B,'[1]12'!B:B,[1]Нэгтгэл!AM:AM)</f>
        <v>0</v>
      </c>
      <c r="N55" s="430">
        <f>SUMIF([1]Нэгтгэл!B:B,'[1]12'!B:B,[1]Нэгтгэл!AP:AP)</f>
        <v>0</v>
      </c>
      <c r="O55" s="430">
        <f>SUMIF([1]Нэгтгэл!B:B,'[1]12'!B:B,[1]Нэгтгэл!AS:AS)</f>
        <v>0</v>
      </c>
      <c r="P55" s="430">
        <f>SUMIF([1]Нэгтгэл!B:B,'[1]12'!B:B,[1]Нэгтгэл!BB:BB)</f>
        <v>0</v>
      </c>
      <c r="Q55" s="430">
        <f>SUMIF([1]Нэгтгэл!B:B,'[1]12'!B:B,[1]Нэгтгэл!BE:BE)</f>
        <v>0</v>
      </c>
      <c r="R55" s="430">
        <f>SUMIF([1]Нэгтгэл!B:B,'[1]12'!B:B,[1]Нэгтгэл!BH:BH)</f>
        <v>0</v>
      </c>
      <c r="S55" s="430">
        <f>SUMIF([1]Нэгтгэл!B:B,'[1]12'!B:B,[1]Нэгтгэл!BK:BK)</f>
        <v>0</v>
      </c>
      <c r="T55" s="430">
        <f>SUMIF([1]Нэгтгэл!B:B,'[1]12'!B:B,[1]Нэгтгэл!BN:BN)</f>
        <v>0</v>
      </c>
      <c r="U55" s="430">
        <f>SUMIF([1]Нэгтгэл!B:B,'[1]12'!B:B,[1]Нэгтгэл!BQ:BQ)</f>
        <v>0</v>
      </c>
      <c r="V55" s="430">
        <f>SUMIF([1]Нэгтгэл!B:B,'[1]12'!B:B,[1]Нэгтгэл!BT:BT)</f>
        <v>0</v>
      </c>
      <c r="W55" s="430">
        <f>SUMIF([1]Нэгтгэл!B:B,'[1]12'!B:B,[1]Нэгтгэл!BW:BW)</f>
        <v>0</v>
      </c>
    </row>
    <row r="56" spans="1:23">
      <c r="A56" s="437">
        <f t="shared" si="0"/>
        <v>54</v>
      </c>
      <c r="B56" s="385">
        <v>2010895</v>
      </c>
      <c r="C56" s="429" t="s">
        <v>225</v>
      </c>
      <c r="D56" s="430">
        <f>SUMIF([1]Нэгтгэл!B:B,'[1]12'!B:B,[1]Нэгтгэл!F:F)</f>
        <v>76042547.070000008</v>
      </c>
      <c r="E56" s="430">
        <f>SUMIF([1]Нэгтгэл!B:B,'[1]12'!B:B,[1]Нэгтгэл!I:I)</f>
        <v>17632234.252039999</v>
      </c>
      <c r="F56" s="430">
        <f>SUMIF([1]Нэгтгэл!B:B,'[1]12'!B:B,[1]Нэгтгэл!L:L)</f>
        <v>248792815.88928297</v>
      </c>
      <c r="G56" s="430">
        <f>SUMIF([1]Нэгтгэл!B:B,'[1]12'!B:B,[1]Нэгтгэл!R:R)</f>
        <v>0</v>
      </c>
      <c r="H56" s="430">
        <f>SUMIF([1]Нэгтгэл!B:B,'[1]12'!B:B,[1]Нэгтгэл!O:O)</f>
        <v>0</v>
      </c>
      <c r="I56" s="430">
        <f>SUMIF([1]Нэгтгэл!B:B,'[1]12'!B:B,[1]Нэгтгэл!X:X)</f>
        <v>267676397.79000002</v>
      </c>
      <c r="J56" s="430">
        <f>SUMIF([1]Нэгтгэл!B:B,'[1]12'!B:B,[1]Нэгтгэл!AA:AA)</f>
        <v>0</v>
      </c>
      <c r="K56" s="430">
        <f>SUMIF([1]Нэгтгэл!B:B,'[1]12'!B:B,[1]Нэгтгэл!AD:AD)</f>
        <v>75500000</v>
      </c>
      <c r="L56" s="430">
        <f>SUMIF([1]Нэгтгэл!B:B,'[1]12'!B:B,[1]Нэгтгэл!AJ:AJ)</f>
        <v>0</v>
      </c>
      <c r="M56" s="430">
        <f>SUMIF([1]Нэгтгэл!B:B,'[1]12'!B:B,[1]Нэгтгэл!AM:AM)</f>
        <v>341591648.22000003</v>
      </c>
      <c r="N56" s="430">
        <f>SUMIF([1]Нэгтгэл!B:B,'[1]12'!B:B,[1]Нэгтгэл!AP:AP)</f>
        <v>24389400</v>
      </c>
      <c r="O56" s="430">
        <f>SUMIF([1]Нэгтгэл!B:B,'[1]12'!B:B,[1]Нэгтгэл!AS:AS)</f>
        <v>0</v>
      </c>
      <c r="P56" s="430">
        <f>SUMIF([1]Нэгтгэл!B:B,'[1]12'!B:B,[1]Нэгтгэл!BB:BB)</f>
        <v>0</v>
      </c>
      <c r="Q56" s="430">
        <f>SUMIF([1]Нэгтгэл!B:B,'[1]12'!B:B,[1]Нэгтгэл!BE:BE)</f>
        <v>0</v>
      </c>
      <c r="R56" s="430">
        <f>SUMIF([1]Нэгтгэл!B:B,'[1]12'!B:B,[1]Нэгтгэл!BH:BH)</f>
        <v>3500</v>
      </c>
      <c r="S56" s="430">
        <f>SUMIF([1]Нэгтгэл!B:B,'[1]12'!B:B,[1]Нэгтгэл!BK:BK)</f>
        <v>0</v>
      </c>
      <c r="T56" s="430">
        <f>SUMIF([1]Нэгтгэл!B:B,'[1]12'!B:B,[1]Нэгтгэл!BN:BN)</f>
        <v>0</v>
      </c>
      <c r="U56" s="430">
        <f>SUMIF([1]Нэгтгэл!B:B,'[1]12'!B:B,[1]Нэгтгэл!BQ:BQ)</f>
        <v>0</v>
      </c>
      <c r="V56" s="430">
        <f>SUMIF([1]Нэгтгэл!B:B,'[1]12'!B:B,[1]Нэгтгэл!BT:BT)</f>
        <v>0</v>
      </c>
      <c r="W56" s="430">
        <f>SUMIF([1]Нэгтгэл!B:B,'[1]12'!B:B,[1]Нэгтгэл!BW:BW)</f>
        <v>96219049.620000005</v>
      </c>
    </row>
    <row r="57" spans="1:23">
      <c r="A57" s="437">
        <f t="shared" si="0"/>
        <v>55</v>
      </c>
      <c r="B57" s="385">
        <v>5295858</v>
      </c>
      <c r="C57" s="429" t="s">
        <v>227</v>
      </c>
      <c r="D57" s="430">
        <f>SUMIF([1]Нэгтгэл!B:B,'[1]12'!B:B,[1]Нэгтгэл!F:F)</f>
        <v>0</v>
      </c>
      <c r="E57" s="430">
        <f>SUMIF([1]Нэгтгэл!B:B,'[1]12'!B:B,[1]Нэгтгэл!I:I)</f>
        <v>231876568.260176</v>
      </c>
      <c r="F57" s="430">
        <f>SUMIF([1]Нэгтгэл!B:B,'[1]12'!B:B,[1]Нэгтгэл!L:L)</f>
        <v>486940793.346385</v>
      </c>
      <c r="G57" s="430">
        <f>SUMIF([1]Нэгтгэл!B:B,'[1]12'!B:B,[1]Нэгтгэл!R:R)</f>
        <v>0</v>
      </c>
      <c r="H57" s="430">
        <f>SUMIF([1]Нэгтгэл!B:B,'[1]12'!B:B,[1]Нэгтгэл!O:O)</f>
        <v>0</v>
      </c>
      <c r="I57" s="430">
        <f>SUMIF([1]Нэгтгэл!B:B,'[1]12'!B:B,[1]Нэгтгэл!X:X)</f>
        <v>5000000</v>
      </c>
      <c r="J57" s="430">
        <f>SUMIF([1]Нэгтгэл!B:B,'[1]12'!B:B,[1]Нэгтгэл!AA:AA)</f>
        <v>0</v>
      </c>
      <c r="K57" s="430">
        <f>SUMIF([1]Нэгтгэл!B:B,'[1]12'!B:B,[1]Нэгтгэл!AD:AD)</f>
        <v>0</v>
      </c>
      <c r="L57" s="430">
        <f>SUMIF([1]Нэгтгэл!B:B,'[1]12'!B:B,[1]Нэгтгэл!AJ:AJ)</f>
        <v>0</v>
      </c>
      <c r="M57" s="430">
        <f>SUMIF([1]Нэгтгэл!B:B,'[1]12'!B:B,[1]Нэгтгэл!AM:AM)</f>
        <v>2044970987.3399999</v>
      </c>
      <c r="N57" s="430">
        <f>SUMIF([1]Нэгтгэл!B:B,'[1]12'!B:B,[1]Нэгтгэл!AP:AP)</f>
        <v>800800</v>
      </c>
      <c r="O57" s="430">
        <f>SUMIF([1]Нэгтгэл!B:B,'[1]12'!B:B,[1]Нэгтгэл!AS:AS)</f>
        <v>0</v>
      </c>
      <c r="P57" s="430">
        <f>SUMIF([1]Нэгтгэл!B:B,'[1]12'!B:B,[1]Нэгтгэл!BB:BB)</f>
        <v>0</v>
      </c>
      <c r="Q57" s="430">
        <f>SUMIF([1]Нэгтгэл!B:B,'[1]12'!B:B,[1]Нэгтгэл!BE:BE)</f>
        <v>0</v>
      </c>
      <c r="R57" s="430">
        <f>SUMIF([1]Нэгтгэл!B:B,'[1]12'!B:B,[1]Нэгтгэл!BH:BH)</f>
        <v>0</v>
      </c>
      <c r="S57" s="430">
        <f>SUMIF([1]Нэгтгэл!B:B,'[1]12'!B:B,[1]Нэгтгэл!BK:BK)</f>
        <v>0</v>
      </c>
      <c r="T57" s="430">
        <f>SUMIF([1]Нэгтгэл!B:B,'[1]12'!B:B,[1]Нэгтгэл!BN:BN)</f>
        <v>0</v>
      </c>
      <c r="U57" s="430">
        <f>SUMIF([1]Нэгтгэл!B:B,'[1]12'!B:B,[1]Нэгтгэл!BQ:BQ)</f>
        <v>0</v>
      </c>
      <c r="V57" s="430">
        <f>SUMIF([1]Нэгтгэл!B:B,'[1]12'!B:B,[1]Нэгтгэл!BT:BT)</f>
        <v>0</v>
      </c>
      <c r="W57" s="430">
        <f>SUMIF([1]Нэгтгэл!B:B,'[1]12'!B:B,[1]Нэгтгэл!BW:BW)</f>
        <v>1238755642.73</v>
      </c>
    </row>
    <row r="58" spans="1:23">
      <c r="A58" s="437">
        <f t="shared" si="0"/>
        <v>56</v>
      </c>
      <c r="B58" s="385">
        <v>6287727</v>
      </c>
      <c r="C58" s="429" t="s">
        <v>228</v>
      </c>
      <c r="D58" s="430">
        <f>SUMIF([1]Нэгтгэл!B:B,'[1]12'!B:B,[1]Нэгтгэл!F:F)</f>
        <v>0</v>
      </c>
      <c r="E58" s="430">
        <f>SUMIF([1]Нэгтгэл!B:B,'[1]12'!B:B,[1]Нэгтгэл!I:I)</f>
        <v>200858601.37768099</v>
      </c>
      <c r="F58" s="430">
        <f>SUMIF([1]Нэгтгэл!B:B,'[1]12'!B:B,[1]Нэгтгэл!L:L)</f>
        <v>426348517.44313103</v>
      </c>
      <c r="G58" s="430">
        <f>SUMIF([1]Нэгтгэл!B:B,'[1]12'!B:B,[1]Нэгтгэл!R:R)</f>
        <v>0</v>
      </c>
      <c r="H58" s="430">
        <f>SUMIF([1]Нэгтгэл!B:B,'[1]12'!B:B,[1]Нэгтгэл!O:O)</f>
        <v>0</v>
      </c>
      <c r="I58" s="430">
        <f>SUMIF([1]Нэгтгэл!B:B,'[1]12'!B:B,[1]Нэгтгэл!X:X)</f>
        <v>1513548999.6700001</v>
      </c>
      <c r="J58" s="430">
        <f>SUMIF([1]Нэгтгэл!B:B,'[1]12'!B:B,[1]Нэгтгэл!AA:AA)</f>
        <v>0</v>
      </c>
      <c r="K58" s="430">
        <f>SUMIF([1]Нэгтгэл!B:B,'[1]12'!B:B,[1]Нэгтгэл!AD:AD)</f>
        <v>0</v>
      </c>
      <c r="L58" s="430">
        <f>SUMIF([1]Нэгтгэл!B:B,'[1]12'!B:B,[1]Нэгтгэл!AJ:AJ)</f>
        <v>0</v>
      </c>
      <c r="M58" s="430">
        <f>SUMIF([1]Нэгтгэл!B:B,'[1]12'!B:B,[1]Нэгтгэл!AM:AM)</f>
        <v>140320628.52000001</v>
      </c>
      <c r="N58" s="430">
        <f>SUMIF([1]Нэгтгэл!B:B,'[1]12'!B:B,[1]Нэгтгэл!AP:AP)</f>
        <v>103626027</v>
      </c>
      <c r="O58" s="430">
        <f>SUMIF([1]Нэгтгэл!B:B,'[1]12'!B:B,[1]Нэгтгэл!AS:AS)</f>
        <v>0</v>
      </c>
      <c r="P58" s="430">
        <f>SUMIF([1]Нэгтгэл!B:B,'[1]12'!B:B,[1]Нэгтгэл!BB:BB)</f>
        <v>0</v>
      </c>
      <c r="Q58" s="430">
        <f>SUMIF([1]Нэгтгэл!B:B,'[1]12'!B:B,[1]Нэгтгэл!BE:BE)</f>
        <v>0</v>
      </c>
      <c r="R58" s="430">
        <f>SUMIF([1]Нэгтгэл!B:B,'[1]12'!B:B,[1]Нэгтгэл!BH:BH)</f>
        <v>13371682</v>
      </c>
      <c r="S58" s="430">
        <f>SUMIF([1]Нэгтгэл!B:B,'[1]12'!B:B,[1]Нэгтгэл!BK:BK)</f>
        <v>0</v>
      </c>
      <c r="T58" s="430">
        <f>SUMIF([1]Нэгтгэл!B:B,'[1]12'!B:B,[1]Нэгтгэл!BN:BN)</f>
        <v>0</v>
      </c>
      <c r="U58" s="430">
        <f>SUMIF([1]Нэгтгэл!B:B,'[1]12'!B:B,[1]Нэгтгэл!BQ:BQ)</f>
        <v>0</v>
      </c>
      <c r="V58" s="430">
        <f>SUMIF([1]Нэгтгэл!B:B,'[1]12'!B:B,[1]Нэгтгэл!BT:BT)</f>
        <v>0</v>
      </c>
      <c r="W58" s="430">
        <f>SUMIF([1]Нэгтгэл!B:B,'[1]12'!B:B,[1]Нэгтгэл!BW:BW)</f>
        <v>25734375</v>
      </c>
    </row>
    <row r="59" spans="1:23">
      <c r="A59" s="437">
        <f t="shared" si="0"/>
        <v>57</v>
      </c>
      <c r="B59" s="385">
        <v>2659603</v>
      </c>
      <c r="C59" s="429" t="s">
        <v>229</v>
      </c>
      <c r="D59" s="430">
        <f>SUMIF([1]Нэгтгэл!B:B,'[1]12'!B:B,[1]Нэгтгэл!F:F)</f>
        <v>363122627.06</v>
      </c>
      <c r="E59" s="430">
        <f>SUMIF([1]Нэгтгэл!B:B,'[1]12'!B:B,[1]Нэгтгэл!I:I)</f>
        <v>2652419723.2048402</v>
      </c>
      <c r="F59" s="430">
        <f>SUMIF([1]Нэгтгэл!B:B,'[1]12'!B:B,[1]Нэгтгэл!L:L)</f>
        <v>6747741903.0101595</v>
      </c>
      <c r="G59" s="430">
        <f>SUMIF([1]Нэгтгэл!B:B,'[1]12'!B:B,[1]Нэгтгэл!R:R)</f>
        <v>0</v>
      </c>
      <c r="H59" s="430">
        <f>SUMIF([1]Нэгтгэл!B:B,'[1]12'!B:B,[1]Нэгтгэл!O:O)</f>
        <v>0</v>
      </c>
      <c r="I59" s="430">
        <f>SUMIF([1]Нэгтгэл!B:B,'[1]12'!B:B,[1]Нэгтгэл!X:X)</f>
        <v>0</v>
      </c>
      <c r="J59" s="430">
        <f>SUMIF([1]Нэгтгэл!B:B,'[1]12'!B:B,[1]Нэгтгэл!AA:AA)</f>
        <v>0</v>
      </c>
      <c r="K59" s="430">
        <f>SUMIF([1]Нэгтгэл!B:B,'[1]12'!B:B,[1]Нэгтгэл!AD:AD)</f>
        <v>0</v>
      </c>
      <c r="L59" s="430">
        <f>SUMIF([1]Нэгтгэл!B:B,'[1]12'!B:B,[1]Нэгтгэл!AJ:AJ)</f>
        <v>0</v>
      </c>
      <c r="M59" s="430">
        <f>SUMIF([1]Нэгтгэл!B:B,'[1]12'!B:B,[1]Нэгтгэл!AM:AM)</f>
        <v>181550000</v>
      </c>
      <c r="N59" s="430">
        <f>SUMIF([1]Нэгтгэл!B:B,'[1]12'!B:B,[1]Нэгтгэл!AP:AP)</f>
        <v>4967600</v>
      </c>
      <c r="O59" s="430">
        <f>SUMIF([1]Нэгтгэл!B:B,'[1]12'!B:B,[1]Нэгтгэл!AS:AS)</f>
        <v>0</v>
      </c>
      <c r="P59" s="430">
        <f>SUMIF([1]Нэгтгэл!B:B,'[1]12'!B:B,[1]Нэгтгэл!BB:BB)</f>
        <v>0</v>
      </c>
      <c r="Q59" s="430">
        <f>SUMIF([1]Нэгтгэл!B:B,'[1]12'!B:B,[1]Нэгтгэл!BE:BE)</f>
        <v>0</v>
      </c>
      <c r="R59" s="430">
        <f>SUMIF([1]Нэгтгэл!B:B,'[1]12'!B:B,[1]Нэгтгэл!BH:BH)</f>
        <v>0</v>
      </c>
      <c r="S59" s="430">
        <f>SUMIF([1]Нэгтгэл!B:B,'[1]12'!B:B,[1]Нэгтгэл!BK:BK)</f>
        <v>0</v>
      </c>
      <c r="T59" s="430">
        <f>SUMIF([1]Нэгтгэл!B:B,'[1]12'!B:B,[1]Нэгтгэл!BN:BN)</f>
        <v>0</v>
      </c>
      <c r="U59" s="430">
        <f>SUMIF([1]Нэгтгэл!B:B,'[1]12'!B:B,[1]Нэгтгэл!BQ:BQ)</f>
        <v>0</v>
      </c>
      <c r="V59" s="430">
        <f>SUMIF([1]Нэгтгэл!B:B,'[1]12'!B:B,[1]Нэгтгэл!BT:BT)</f>
        <v>0</v>
      </c>
      <c r="W59" s="430">
        <f>SUMIF([1]Нэгтгэл!B:B,'[1]12'!B:B,[1]Нэгтгэл!BW:BW)</f>
        <v>67489149.310000002</v>
      </c>
    </row>
    <row r="60" spans="1:23">
      <c r="A60" s="437">
        <f t="shared" si="0"/>
        <v>58</v>
      </c>
      <c r="B60" s="385">
        <v>2678187</v>
      </c>
      <c r="C60" s="429" t="s">
        <v>230</v>
      </c>
      <c r="D60" s="430">
        <f>SUMIF([1]Нэгтгэл!B:B,'[1]12'!B:B,[1]Нэгтгэл!F:F)</f>
        <v>0</v>
      </c>
      <c r="E60" s="430">
        <f>SUMIF([1]Нэгтгэл!B:B,'[1]12'!B:B,[1]Нэгтгэл!I:I)</f>
        <v>67322728.670778006</v>
      </c>
      <c r="F60" s="430">
        <f>SUMIF([1]Нэгтгэл!B:B,'[1]12'!B:B,[1]Нэгтгэл!L:L)</f>
        <v>1538917955.0186338</v>
      </c>
      <c r="G60" s="430">
        <f>SUMIF([1]Нэгтгэл!B:B,'[1]12'!B:B,[1]Нэгтгэл!R:R)</f>
        <v>0</v>
      </c>
      <c r="H60" s="430">
        <f>SUMIF([1]Нэгтгэл!B:B,'[1]12'!B:B,[1]Нэгтгэл!O:O)</f>
        <v>0</v>
      </c>
      <c r="I60" s="430">
        <f>SUMIF([1]Нэгтгэл!B:B,'[1]12'!B:B,[1]Нэгтгэл!X:X)</f>
        <v>0</v>
      </c>
      <c r="J60" s="430">
        <f>SUMIF([1]Нэгтгэл!B:B,'[1]12'!B:B,[1]Нэгтгэл!AA:AA)</f>
        <v>0</v>
      </c>
      <c r="K60" s="430">
        <f>SUMIF([1]Нэгтгэл!B:B,'[1]12'!B:B,[1]Нэгтгэл!AD:AD)</f>
        <v>0</v>
      </c>
      <c r="L60" s="430">
        <f>SUMIF([1]Нэгтгэл!B:B,'[1]12'!B:B,[1]Нэгтгэл!AJ:AJ)</f>
        <v>0</v>
      </c>
      <c r="M60" s="430">
        <f>SUMIF([1]Нэгтгэл!B:B,'[1]12'!B:B,[1]Нэгтгэл!AM:AM)</f>
        <v>649988320.5</v>
      </c>
      <c r="N60" s="430">
        <f>SUMIF([1]Нэгтгэл!B:B,'[1]12'!B:B,[1]Нэгтгэл!AP:AP)</f>
        <v>182200</v>
      </c>
      <c r="O60" s="430">
        <f>SUMIF([1]Нэгтгэл!B:B,'[1]12'!B:B,[1]Нэгтгэл!AS:AS)</f>
        <v>0</v>
      </c>
      <c r="P60" s="430">
        <f>SUMIF([1]Нэгтгэл!B:B,'[1]12'!B:B,[1]Нэгтгэл!BB:BB)</f>
        <v>0</v>
      </c>
      <c r="Q60" s="430">
        <f>SUMIF([1]Нэгтгэл!B:B,'[1]12'!B:B,[1]Нэгтгэл!BE:BE)</f>
        <v>0</v>
      </c>
      <c r="R60" s="430">
        <f>SUMIF([1]Нэгтгэл!B:B,'[1]12'!B:B,[1]Нэгтгэл!BH:BH)</f>
        <v>0</v>
      </c>
      <c r="S60" s="430">
        <f>SUMIF([1]Нэгтгэл!B:B,'[1]12'!B:B,[1]Нэгтгэл!BK:BK)</f>
        <v>0</v>
      </c>
      <c r="T60" s="430">
        <f>SUMIF([1]Нэгтгэл!B:B,'[1]12'!B:B,[1]Нэгтгэл!BN:BN)</f>
        <v>0</v>
      </c>
      <c r="U60" s="430">
        <f>SUMIF([1]Нэгтгэл!B:B,'[1]12'!B:B,[1]Нэгтгэл!BQ:BQ)</f>
        <v>0</v>
      </c>
      <c r="V60" s="430">
        <f>SUMIF([1]Нэгтгэл!B:B,'[1]12'!B:B,[1]Нэгтгэл!BT:BT)</f>
        <v>0</v>
      </c>
      <c r="W60" s="430">
        <f>SUMIF([1]Нэгтгэл!B:B,'[1]12'!B:B,[1]Нэгтгэл!BW:BW)</f>
        <v>399873635.87</v>
      </c>
    </row>
    <row r="61" spans="1:23">
      <c r="A61" s="437">
        <f t="shared" si="0"/>
        <v>59</v>
      </c>
      <c r="B61" s="385">
        <v>2657457</v>
      </c>
      <c r="C61" s="429" t="s">
        <v>231</v>
      </c>
      <c r="D61" s="430">
        <f>SUMIF([1]Нэгтгэл!B:B,'[1]12'!B:B,[1]Нэгтгэл!F:F)</f>
        <v>1496149116</v>
      </c>
      <c r="E61" s="430">
        <f>SUMIF([1]Нэгтгэл!B:B,'[1]12'!B:B,[1]Нэгтгэл!I:I)</f>
        <v>21627198822.508999</v>
      </c>
      <c r="F61" s="430">
        <f>SUMIF([1]Нэгтгэл!B:B,'[1]12'!B:B,[1]Нэгтгэл!L:L)</f>
        <v>113266691247.0287</v>
      </c>
      <c r="G61" s="430">
        <f>SUMIF([1]Нэгтгэл!B:B,'[1]12'!B:B,[1]Нэгтгэл!R:R)</f>
        <v>0</v>
      </c>
      <c r="H61" s="430">
        <f>SUMIF([1]Нэгтгэл!B:B,'[1]12'!B:B,[1]Нэгтгэл!O:O)</f>
        <v>0</v>
      </c>
      <c r="I61" s="430">
        <f>SUMIF([1]Нэгтгэл!B:B,'[1]12'!B:B,[1]Нэгтгэл!X:X)</f>
        <v>314293894007</v>
      </c>
      <c r="J61" s="430">
        <f>SUMIF([1]Нэгтгэл!B:B,'[1]12'!B:B,[1]Нэгтгэл!AA:AA)</f>
        <v>0</v>
      </c>
      <c r="K61" s="430">
        <f>SUMIF([1]Нэгтгэл!B:B,'[1]12'!B:B,[1]Нэгтгэл!AD:AD)</f>
        <v>0</v>
      </c>
      <c r="L61" s="430">
        <f>SUMIF([1]Нэгтгэл!B:B,'[1]12'!B:B,[1]Нэгтгэл!AJ:AJ)</f>
        <v>0</v>
      </c>
      <c r="M61" s="430">
        <f>SUMIF([1]Нэгтгэл!B:B,'[1]12'!B:B,[1]Нэгтгэл!AM:AM)</f>
        <v>162900000000</v>
      </c>
      <c r="N61" s="430">
        <f>SUMIF([1]Нэгтгэл!B:B,'[1]12'!B:B,[1]Нэгтгэл!AP:AP)</f>
        <v>1301676505</v>
      </c>
      <c r="O61" s="430">
        <f>SUMIF([1]Нэгтгэл!B:B,'[1]12'!B:B,[1]Нэгтгэл!AS:AS)</f>
        <v>0</v>
      </c>
      <c r="P61" s="430">
        <f>SUMIF([1]Нэгтгэл!B:B,'[1]12'!B:B,[1]Нэгтгэл!BB:BB)</f>
        <v>0</v>
      </c>
      <c r="Q61" s="430">
        <f>SUMIF([1]Нэгтгэл!B:B,'[1]12'!B:B,[1]Нэгтгэл!BE:BE)</f>
        <v>0</v>
      </c>
      <c r="R61" s="430">
        <f>SUMIF([1]Нэгтгэл!B:B,'[1]12'!B:B,[1]Нэгтгэл!BH:BH)</f>
        <v>0</v>
      </c>
      <c r="S61" s="430">
        <f>SUMIF([1]Нэгтгэл!B:B,'[1]12'!B:B,[1]Нэгтгэл!BK:BK)</f>
        <v>0</v>
      </c>
      <c r="T61" s="430">
        <f>SUMIF([1]Нэгтгэл!B:B,'[1]12'!B:B,[1]Нэгтгэл!BN:BN)</f>
        <v>0</v>
      </c>
      <c r="U61" s="430">
        <f>SUMIF([1]Нэгтгэл!B:B,'[1]12'!B:B,[1]Нэгтгэл!BQ:BQ)</f>
        <v>0</v>
      </c>
      <c r="V61" s="430">
        <f>SUMIF([1]Нэгтгэл!B:B,'[1]12'!B:B,[1]Нэгтгэл!BT:BT)</f>
        <v>0</v>
      </c>
      <c r="W61" s="430">
        <f>SUMIF([1]Нэгтгэл!B:B,'[1]12'!B:B,[1]Нэгтгэл!BW:BW)</f>
        <v>120016277788</v>
      </c>
    </row>
    <row r="62" spans="1:23">
      <c r="A62" s="437">
        <f t="shared" si="0"/>
        <v>60</v>
      </c>
      <c r="B62" s="385">
        <v>3615243</v>
      </c>
      <c r="C62" s="429" t="s">
        <v>232</v>
      </c>
      <c r="D62" s="430">
        <f>SUMIF([1]Нэгтгэл!B:B,'[1]12'!B:B,[1]Нэгтгэл!F:F)</f>
        <v>69109680.260000005</v>
      </c>
      <c r="E62" s="430">
        <f>SUMIF([1]Нэгтгэл!B:B,'[1]12'!B:B,[1]Нэгтгэл!I:I)</f>
        <v>0</v>
      </c>
      <c r="F62" s="430">
        <f>SUMIF([1]Нэгтгэл!B:B,'[1]12'!B:B,[1]Нэгтгэл!L:L)</f>
        <v>458397734.28999996</v>
      </c>
      <c r="G62" s="430">
        <f>SUMIF([1]Нэгтгэл!B:B,'[1]12'!B:B,[1]Нэгтгэл!R:R)</f>
        <v>0</v>
      </c>
      <c r="H62" s="430">
        <f>SUMIF([1]Нэгтгэл!B:B,'[1]12'!B:B,[1]Нэгтгэл!O:O)</f>
        <v>0</v>
      </c>
      <c r="I62" s="430">
        <f>SUMIF([1]Нэгтгэл!B:B,'[1]12'!B:B,[1]Нэгтгэл!X:X)</f>
        <v>0</v>
      </c>
      <c r="J62" s="430">
        <f>SUMIF([1]Нэгтгэл!B:B,'[1]12'!B:B,[1]Нэгтгэл!AA:AA)</f>
        <v>0</v>
      </c>
      <c r="K62" s="430">
        <f>SUMIF([1]Нэгтгэл!B:B,'[1]12'!B:B,[1]Нэгтгэл!AD:AD)</f>
        <v>0</v>
      </c>
      <c r="L62" s="430">
        <f>SUMIF([1]Нэгтгэл!B:B,'[1]12'!B:B,[1]Нэгтгэл!AJ:AJ)</f>
        <v>0</v>
      </c>
      <c r="M62" s="430">
        <f>SUMIF([1]Нэгтгэл!B:B,'[1]12'!B:B,[1]Нэгтгэл!AM:AM)</f>
        <v>1013417173.51</v>
      </c>
      <c r="N62" s="430">
        <f>SUMIF([1]Нэгтгэл!B:B,'[1]12'!B:B,[1]Нэгтгэл!AP:AP)</f>
        <v>0</v>
      </c>
      <c r="O62" s="430">
        <f>SUMIF([1]Нэгтгэл!B:B,'[1]12'!B:B,[1]Нэгтгэл!AS:AS)</f>
        <v>0</v>
      </c>
      <c r="P62" s="430">
        <f>SUMIF([1]Нэгтгэл!B:B,'[1]12'!B:B,[1]Нэгтгэл!BB:BB)</f>
        <v>0</v>
      </c>
      <c r="Q62" s="430">
        <f>SUMIF([1]Нэгтгэл!B:B,'[1]12'!B:B,[1]Нэгтгэл!BE:BE)</f>
        <v>0</v>
      </c>
      <c r="R62" s="430">
        <f>SUMIF([1]Нэгтгэл!B:B,'[1]12'!B:B,[1]Нэгтгэл!BH:BH)</f>
        <v>0</v>
      </c>
      <c r="S62" s="430">
        <f>SUMIF([1]Нэгтгэл!B:B,'[1]12'!B:B,[1]Нэгтгэл!BK:BK)</f>
        <v>0</v>
      </c>
      <c r="T62" s="430">
        <f>SUMIF([1]Нэгтгэл!B:B,'[1]12'!B:B,[1]Нэгтгэл!BN:BN)</f>
        <v>0</v>
      </c>
      <c r="U62" s="430">
        <f>SUMIF([1]Нэгтгэл!B:B,'[1]12'!B:B,[1]Нэгтгэл!BQ:BQ)</f>
        <v>0</v>
      </c>
      <c r="V62" s="430">
        <f>SUMIF([1]Нэгтгэл!B:B,'[1]12'!B:B,[1]Нэгтгэл!BT:BT)</f>
        <v>0</v>
      </c>
      <c r="W62" s="430">
        <f>SUMIF([1]Нэгтгэл!B:B,'[1]12'!B:B,[1]Нэгтгэл!BW:BW)</f>
        <v>339149896.90000004</v>
      </c>
    </row>
    <row r="63" spans="1:23">
      <c r="A63" s="437">
        <f t="shared" si="0"/>
        <v>61</v>
      </c>
      <c r="B63" s="385">
        <v>3623955</v>
      </c>
      <c r="C63" s="429" t="s">
        <v>236</v>
      </c>
      <c r="D63" s="430">
        <f>SUMIF([1]Нэгтгэл!B:B,'[1]12'!B:B,[1]Нэгтгэл!F:F)</f>
        <v>480474836.57999998</v>
      </c>
      <c r="E63" s="430">
        <f>SUMIF([1]Нэгтгэл!B:B,'[1]12'!B:B,[1]Нэгтгэл!I:I)</f>
        <v>26462917.960106</v>
      </c>
      <c r="F63" s="430">
        <f>SUMIF([1]Нэгтгэл!B:B,'[1]12'!B:B,[1]Нэгтгэл!L:L)</f>
        <v>55572127.716224998</v>
      </c>
      <c r="G63" s="430">
        <f>SUMIF([1]Нэгтгэл!B:B,'[1]12'!B:B,[1]Нэгтгэл!R:R)</f>
        <v>0</v>
      </c>
      <c r="H63" s="430">
        <f>SUMIF([1]Нэгтгэл!B:B,'[1]12'!B:B,[1]Нэгтгэл!O:O)</f>
        <v>0</v>
      </c>
      <c r="I63" s="430">
        <f>SUMIF([1]Нэгтгэл!B:B,'[1]12'!B:B,[1]Нэгтгэл!X:X)</f>
        <v>419896276.42000002</v>
      </c>
      <c r="J63" s="430">
        <f>SUMIF([1]Нэгтгэл!B:B,'[1]12'!B:B,[1]Нэгтгэл!AA:AA)</f>
        <v>0</v>
      </c>
      <c r="K63" s="430">
        <f>SUMIF([1]Нэгтгэл!B:B,'[1]12'!B:B,[1]Нэгтгэл!AD:AD)</f>
        <v>0</v>
      </c>
      <c r="L63" s="430">
        <f>SUMIF([1]Нэгтгэл!B:B,'[1]12'!B:B,[1]Нэгтгэл!AJ:AJ)</f>
        <v>0</v>
      </c>
      <c r="M63" s="430">
        <f>SUMIF([1]Нэгтгэл!B:B,'[1]12'!B:B,[1]Нэгтгэл!AM:AM)</f>
        <v>120394029.48</v>
      </c>
      <c r="N63" s="430">
        <f>SUMIF([1]Нэгтгэл!B:B,'[1]12'!B:B,[1]Нэгтгэл!AP:AP)</f>
        <v>379350</v>
      </c>
      <c r="O63" s="430">
        <f>SUMIF([1]Нэгтгэл!B:B,'[1]12'!B:B,[1]Нэгтгэл!AS:AS)</f>
        <v>0</v>
      </c>
      <c r="P63" s="430">
        <f>SUMIF([1]Нэгтгэл!B:B,'[1]12'!B:B,[1]Нэгтгэл!BB:BB)</f>
        <v>0</v>
      </c>
      <c r="Q63" s="430">
        <f>SUMIF([1]Нэгтгэл!B:B,'[1]12'!B:B,[1]Нэгтгэл!BE:BE)</f>
        <v>0</v>
      </c>
      <c r="R63" s="430">
        <f>SUMIF([1]Нэгтгэл!B:B,'[1]12'!B:B,[1]Нэгтгэл!BH:BH)</f>
        <v>0</v>
      </c>
      <c r="S63" s="430">
        <f>SUMIF([1]Нэгтгэл!B:B,'[1]12'!B:B,[1]Нэгтгэл!BK:BK)</f>
        <v>0</v>
      </c>
      <c r="T63" s="430">
        <f>SUMIF([1]Нэгтгэл!B:B,'[1]12'!B:B,[1]Нэгтгэл!BN:BN)</f>
        <v>0</v>
      </c>
      <c r="U63" s="430">
        <f>SUMIF([1]Нэгтгэл!B:B,'[1]12'!B:B,[1]Нэгтгэл!BQ:BQ)</f>
        <v>0</v>
      </c>
      <c r="V63" s="430">
        <f>SUMIF([1]Нэгтгэл!B:B,'[1]12'!B:B,[1]Нэгтгэл!BT:BT)</f>
        <v>0</v>
      </c>
      <c r="W63" s="430">
        <f>SUMIF([1]Нэгтгэл!B:B,'[1]12'!B:B,[1]Нэгтгэл!BW:BW)</f>
        <v>35041825.239999995</v>
      </c>
    </row>
    <row r="64" spans="1:23">
      <c r="A64" s="437">
        <f t="shared" si="0"/>
        <v>62</v>
      </c>
      <c r="B64" s="385">
        <v>5199077</v>
      </c>
      <c r="C64" s="429" t="s">
        <v>239</v>
      </c>
      <c r="D64" s="430">
        <f>SUMIF([1]Нэгтгэл!B:B,'[1]12'!B:B,[1]Нэгтгэл!F:F)</f>
        <v>42411589265.099998</v>
      </c>
      <c r="E64" s="430">
        <f>SUMIF([1]Нэгтгэл!B:B,'[1]12'!B:B,[1]Нэгтгэл!I:I)</f>
        <v>10778002.706590001</v>
      </c>
      <c r="F64" s="430">
        <f>SUMIF([1]Нэгтгэл!B:B,'[1]12'!B:B,[1]Нэгтгэл!L:L)</f>
        <v>1590116174.293838</v>
      </c>
      <c r="G64" s="430">
        <f>SUMIF([1]Нэгтгэл!B:B,'[1]12'!B:B,[1]Нэгтгэл!R:R)</f>
        <v>0</v>
      </c>
      <c r="H64" s="430">
        <f>SUMIF([1]Нэгтгэл!B:B,'[1]12'!B:B,[1]Нэгтгэл!O:O)</f>
        <v>0</v>
      </c>
      <c r="I64" s="430">
        <f>SUMIF([1]Нэгтгэл!B:B,'[1]12'!B:B,[1]Нэгтгэл!X:X)</f>
        <v>117389099592.78</v>
      </c>
      <c r="J64" s="430">
        <f>SUMIF([1]Нэгтгэл!B:B,'[1]12'!B:B,[1]Нэгтгэл!AA:AA)</f>
        <v>0</v>
      </c>
      <c r="K64" s="430">
        <f>SUMIF([1]Нэгтгэл!B:B,'[1]12'!B:B,[1]Нэгтгэл!AD:AD)</f>
        <v>0</v>
      </c>
      <c r="L64" s="430">
        <f>SUMIF([1]Нэгтгэл!B:B,'[1]12'!B:B,[1]Нэгтгэл!AJ:AJ)</f>
        <v>2705824000</v>
      </c>
      <c r="M64" s="430">
        <f>SUMIF([1]Нэгтгэл!B:B,'[1]12'!B:B,[1]Нэгтгэл!AM:AM)</f>
        <v>379100513.05000001</v>
      </c>
      <c r="N64" s="430">
        <f>SUMIF([1]Нэгтгэл!B:B,'[1]12'!B:B,[1]Нэгтгэл!AP:AP)</f>
        <v>4568972000</v>
      </c>
      <c r="O64" s="430">
        <f>SUMIF([1]Нэгтгэл!B:B,'[1]12'!B:B,[1]Нэгтгэл!AS:AS)</f>
        <v>0</v>
      </c>
      <c r="P64" s="430">
        <f>SUMIF([1]Нэгтгэл!B:B,'[1]12'!B:B,[1]Нэгтгэл!BB:BB)</f>
        <v>0</v>
      </c>
      <c r="Q64" s="430">
        <f>SUMIF([1]Нэгтгэл!B:B,'[1]12'!B:B,[1]Нэгтгэл!BE:BE)</f>
        <v>0</v>
      </c>
      <c r="R64" s="430">
        <f>SUMIF([1]Нэгтгэл!B:B,'[1]12'!B:B,[1]Нэгтгэл!BH:BH)</f>
        <v>600000</v>
      </c>
      <c r="S64" s="430">
        <f>SUMIF([1]Нэгтгэл!B:B,'[1]12'!B:B,[1]Нэгтгэл!BK:BK)</f>
        <v>0</v>
      </c>
      <c r="T64" s="430">
        <f>SUMIF([1]Нэгтгэл!B:B,'[1]12'!B:B,[1]Нэгтгэл!BN:BN)</f>
        <v>0</v>
      </c>
      <c r="U64" s="430">
        <f>SUMIF([1]Нэгтгэл!B:B,'[1]12'!B:B,[1]Нэгтгэл!BQ:BQ)</f>
        <v>0</v>
      </c>
      <c r="V64" s="430">
        <f>SUMIF([1]Нэгтгэл!B:B,'[1]12'!B:B,[1]Нэгтгэл!BT:BT)</f>
        <v>0</v>
      </c>
      <c r="W64" s="430">
        <f>SUMIF([1]Нэгтгэл!B:B,'[1]12'!B:B,[1]Нэгтгэл!BW:BW)</f>
        <v>263763801.93000001</v>
      </c>
    </row>
    <row r="65" spans="1:23">
      <c r="A65" s="437">
        <f t="shared" si="0"/>
        <v>63</v>
      </c>
      <c r="B65" s="385">
        <v>2075385</v>
      </c>
      <c r="C65" s="429" t="s">
        <v>240</v>
      </c>
      <c r="D65" s="430">
        <f>SUMIF([1]Нэгтгэл!B:B,'[1]12'!B:B,[1]Нэгтгэл!F:F)</f>
        <v>0</v>
      </c>
      <c r="E65" s="430">
        <f>SUMIF([1]Нэгтгэл!B:B,'[1]12'!B:B,[1]Нэгтгэл!I:I)</f>
        <v>0</v>
      </c>
      <c r="F65" s="430">
        <f>SUMIF([1]Нэгтгэл!B:B,'[1]12'!B:B,[1]Нэгтгэл!L:L)</f>
        <v>0</v>
      </c>
      <c r="G65" s="430">
        <f>SUMIF([1]Нэгтгэл!B:B,'[1]12'!B:B,[1]Нэгтгэл!R:R)</f>
        <v>0</v>
      </c>
      <c r="H65" s="430">
        <f>SUMIF([1]Нэгтгэл!B:B,'[1]12'!B:B,[1]Нэгтгэл!O:O)</f>
        <v>0</v>
      </c>
      <c r="I65" s="430">
        <f>SUMIF([1]Нэгтгэл!B:B,'[1]12'!B:B,[1]Нэгтгэл!X:X)</f>
        <v>0</v>
      </c>
      <c r="J65" s="430">
        <f>SUMIF([1]Нэгтгэл!B:B,'[1]12'!B:B,[1]Нэгтгэл!AA:AA)</f>
        <v>148661791.19999999</v>
      </c>
      <c r="K65" s="430">
        <f>SUMIF([1]Нэгтгэл!B:B,'[1]12'!B:B,[1]Нэгтгэл!AD:AD)</f>
        <v>0</v>
      </c>
      <c r="L65" s="430">
        <f>SUMIF([1]Нэгтгэл!B:B,'[1]12'!B:B,[1]Нэгтгэл!AJ:AJ)</f>
        <v>0</v>
      </c>
      <c r="M65" s="430">
        <f>SUMIF([1]Нэгтгэл!B:B,'[1]12'!B:B,[1]Нэгтгэл!AM:AM)</f>
        <v>5548642842.4300003</v>
      </c>
      <c r="N65" s="430">
        <f>SUMIF([1]Нэгтгэл!B:B,'[1]12'!B:B,[1]Нэгтгэл!AP:AP)</f>
        <v>0</v>
      </c>
      <c r="O65" s="430">
        <f>SUMIF([1]Нэгтгэл!B:B,'[1]12'!B:B,[1]Нэгтгэл!AS:AS)</f>
        <v>0</v>
      </c>
      <c r="P65" s="430">
        <f>SUMIF([1]Нэгтгэл!B:B,'[1]12'!B:B,[1]Нэгтгэл!BB:BB)</f>
        <v>0</v>
      </c>
      <c r="Q65" s="430">
        <f>SUMIF([1]Нэгтгэл!B:B,'[1]12'!B:B,[1]Нэгтгэл!BE:BE)</f>
        <v>0</v>
      </c>
      <c r="R65" s="430">
        <f>SUMIF([1]Нэгтгэл!B:B,'[1]12'!B:B,[1]Нэгтгэл!BH:BH)</f>
        <v>0</v>
      </c>
      <c r="S65" s="430">
        <f>SUMIF([1]Нэгтгэл!B:B,'[1]12'!B:B,[1]Нэгтгэл!BK:BK)</f>
        <v>0</v>
      </c>
      <c r="T65" s="430">
        <f>SUMIF([1]Нэгтгэл!B:B,'[1]12'!B:B,[1]Нэгтгэл!BN:BN)</f>
        <v>0</v>
      </c>
      <c r="U65" s="430">
        <f>SUMIF([1]Нэгтгэл!B:B,'[1]12'!B:B,[1]Нэгтгэл!BQ:BQ)</f>
        <v>0</v>
      </c>
      <c r="V65" s="430">
        <f>SUMIF([1]Нэгтгэл!B:B,'[1]12'!B:B,[1]Нэгтгэл!BT:BT)</f>
        <v>0</v>
      </c>
      <c r="W65" s="430">
        <f>SUMIF([1]Нэгтгэл!B:B,'[1]12'!B:B,[1]Нэгтгэл!BW:BW)</f>
        <v>1795937521.3300004</v>
      </c>
    </row>
    <row r="66" spans="1:23">
      <c r="A66" s="437">
        <f t="shared" si="0"/>
        <v>64</v>
      </c>
      <c r="B66" s="385">
        <v>2867095</v>
      </c>
      <c r="C66" s="429" t="s">
        <v>241</v>
      </c>
      <c r="D66" s="430">
        <f>SUMIF([1]Нэгтгэл!B:B,'[1]12'!B:B,[1]Нэгтгэл!F:F)</f>
        <v>0</v>
      </c>
      <c r="E66" s="430">
        <f>SUMIF([1]Нэгтгэл!B:B,'[1]12'!B:B,[1]Нэгтгэл!I:I)</f>
        <v>0</v>
      </c>
      <c r="F66" s="430">
        <f>SUMIF([1]Нэгтгэл!B:B,'[1]12'!B:B,[1]Нэгтгэл!L:L)</f>
        <v>103414850.75999999</v>
      </c>
      <c r="G66" s="430">
        <f>SUMIF([1]Нэгтгэл!B:B,'[1]12'!B:B,[1]Нэгтгэл!R:R)</f>
        <v>0</v>
      </c>
      <c r="H66" s="430">
        <f>SUMIF([1]Нэгтгэл!B:B,'[1]12'!B:B,[1]Нэгтгэл!O:O)</f>
        <v>0</v>
      </c>
      <c r="I66" s="430">
        <f>SUMIF([1]Нэгтгэл!B:B,'[1]12'!B:B,[1]Нэгтгэл!X:X)</f>
        <v>0</v>
      </c>
      <c r="J66" s="430">
        <f>SUMIF([1]Нэгтгэл!B:B,'[1]12'!B:B,[1]Нэгтгэл!AA:AA)</f>
        <v>76001776</v>
      </c>
      <c r="K66" s="430">
        <f>SUMIF([1]Нэгтгэл!B:B,'[1]12'!B:B,[1]Нэгтгэл!AD:AD)</f>
        <v>0</v>
      </c>
      <c r="L66" s="430">
        <f>SUMIF([1]Нэгтгэл!B:B,'[1]12'!B:B,[1]Нэгтгэл!AJ:AJ)</f>
        <v>0</v>
      </c>
      <c r="M66" s="430">
        <f>SUMIF([1]Нэгтгэл!B:B,'[1]12'!B:B,[1]Нэгтгэл!AM:AM)</f>
        <v>784518760.49000001</v>
      </c>
      <c r="N66" s="430">
        <f>SUMIF([1]Нэгтгэл!B:B,'[1]12'!B:B,[1]Нэгтгэл!AP:AP)</f>
        <v>0</v>
      </c>
      <c r="O66" s="430">
        <f>SUMIF([1]Нэгтгэл!B:B,'[1]12'!B:B,[1]Нэгтгэл!AS:AS)</f>
        <v>0</v>
      </c>
      <c r="P66" s="430">
        <f>SUMIF([1]Нэгтгэл!B:B,'[1]12'!B:B,[1]Нэгтгэл!BB:BB)</f>
        <v>0</v>
      </c>
      <c r="Q66" s="430">
        <f>SUMIF([1]Нэгтгэл!B:B,'[1]12'!B:B,[1]Нэгтгэл!BE:BE)</f>
        <v>0</v>
      </c>
      <c r="R66" s="430">
        <f>SUMIF([1]Нэгтгэл!B:B,'[1]12'!B:B,[1]Нэгтгэл!BH:BH)</f>
        <v>0</v>
      </c>
      <c r="S66" s="430">
        <f>SUMIF([1]Нэгтгэл!B:B,'[1]12'!B:B,[1]Нэгтгэл!BK:BK)</f>
        <v>155476271.61000001</v>
      </c>
      <c r="T66" s="430">
        <f>SUMIF([1]Нэгтгэл!B:B,'[1]12'!B:B,[1]Нэгтгэл!BN:BN)</f>
        <v>0</v>
      </c>
      <c r="U66" s="430">
        <f>SUMIF([1]Нэгтгэл!B:B,'[1]12'!B:B,[1]Нэгтгэл!BQ:BQ)</f>
        <v>0</v>
      </c>
      <c r="V66" s="430">
        <f>SUMIF([1]Нэгтгэл!B:B,'[1]12'!B:B,[1]Нэгтгэл!BT:BT)</f>
        <v>138537400</v>
      </c>
      <c r="W66" s="430">
        <f>SUMIF([1]Нэгтгэл!B:B,'[1]12'!B:B,[1]Нэгтгэл!BW:BW)</f>
        <v>710562805.32000005</v>
      </c>
    </row>
    <row r="67" spans="1:23">
      <c r="A67" s="437">
        <f t="shared" si="0"/>
        <v>65</v>
      </c>
      <c r="B67" s="385">
        <v>5076285</v>
      </c>
      <c r="C67" s="429" t="s">
        <v>242</v>
      </c>
      <c r="D67" s="430">
        <f>SUMIF([1]Нэгтгэл!B:B,'[1]12'!B:B,[1]Нэгтгэл!F:F)</f>
        <v>3702009425.1799998</v>
      </c>
      <c r="E67" s="430">
        <f>SUMIF([1]Нэгтгэл!B:B,'[1]12'!B:B,[1]Нэгтгэл!I:I)</f>
        <v>15833722.134539001</v>
      </c>
      <c r="F67" s="430">
        <f>SUMIF([1]Нэгтгэл!B:B,'[1]12'!B:B,[1]Нэгтгэл!L:L)</f>
        <v>2536218865.3425326</v>
      </c>
      <c r="G67" s="430">
        <f>SUMIF([1]Нэгтгэл!B:B,'[1]12'!B:B,[1]Нэгтгэл!R:R)</f>
        <v>0</v>
      </c>
      <c r="H67" s="430">
        <f>SUMIF([1]Нэгтгэл!B:B,'[1]12'!B:B,[1]Нэгтгэл!O:O)</f>
        <v>0</v>
      </c>
      <c r="I67" s="430">
        <f>SUMIF([1]Нэгтгэл!B:B,'[1]12'!B:B,[1]Нэгтгэл!X:X)</f>
        <v>0</v>
      </c>
      <c r="J67" s="430">
        <f>SUMIF([1]Нэгтгэл!B:B,'[1]12'!B:B,[1]Нэгтгэл!AA:AA)</f>
        <v>0</v>
      </c>
      <c r="K67" s="430">
        <f>SUMIF([1]Нэгтгэл!B:B,'[1]12'!B:B,[1]Нэгтгэл!AD:AD)</f>
        <v>0</v>
      </c>
      <c r="L67" s="430">
        <f>SUMIF([1]Нэгтгэл!B:B,'[1]12'!B:B,[1]Нэгтгэл!AJ:AJ)</f>
        <v>0</v>
      </c>
      <c r="M67" s="430">
        <f>SUMIF([1]Нэгтгэл!B:B,'[1]12'!B:B,[1]Нэгтгэл!AM:AM)</f>
        <v>4191044692.3099999</v>
      </c>
      <c r="N67" s="430">
        <f>SUMIF([1]Нэгтгэл!B:B,'[1]12'!B:B,[1]Нэгтгэл!AP:AP)</f>
        <v>14000</v>
      </c>
      <c r="O67" s="430">
        <f>SUMIF([1]Нэгтгэл!B:B,'[1]12'!B:B,[1]Нэгтгэл!AS:AS)</f>
        <v>0</v>
      </c>
      <c r="P67" s="430">
        <f>SUMIF([1]Нэгтгэл!B:B,'[1]12'!B:B,[1]Нэгтгэл!BB:BB)</f>
        <v>0</v>
      </c>
      <c r="Q67" s="430">
        <f>SUMIF([1]Нэгтгэл!B:B,'[1]12'!B:B,[1]Нэгтгэл!BE:BE)</f>
        <v>0</v>
      </c>
      <c r="R67" s="430">
        <f>SUMIF([1]Нэгтгэл!B:B,'[1]12'!B:B,[1]Нэгтгэл!BH:BH)</f>
        <v>0</v>
      </c>
      <c r="S67" s="430">
        <f>SUMIF([1]Нэгтгэл!B:B,'[1]12'!B:B,[1]Нэгтгэл!BK:BK)</f>
        <v>0</v>
      </c>
      <c r="T67" s="430">
        <f>SUMIF([1]Нэгтгэл!B:B,'[1]12'!B:B,[1]Нэгтгэл!BN:BN)</f>
        <v>0</v>
      </c>
      <c r="U67" s="430">
        <f>SUMIF([1]Нэгтгэл!B:B,'[1]12'!B:B,[1]Нэгтгэл!BQ:BQ)</f>
        <v>0</v>
      </c>
      <c r="V67" s="430">
        <f>SUMIF([1]Нэгтгэл!B:B,'[1]12'!B:B,[1]Нэгтгэл!BT:BT)</f>
        <v>0</v>
      </c>
      <c r="W67" s="430">
        <f>SUMIF([1]Нэгтгэл!B:B,'[1]12'!B:B,[1]Нэгтгэл!BW:BW)</f>
        <v>2089563814.3200002</v>
      </c>
    </row>
    <row r="68" spans="1:23">
      <c r="A68" s="437">
        <f t="shared" si="0"/>
        <v>66</v>
      </c>
      <c r="B68" s="385">
        <v>5084555</v>
      </c>
      <c r="C68" s="429" t="s">
        <v>243</v>
      </c>
      <c r="D68" s="430">
        <f>SUMIF([1]Нэгтгэл!B:B,'[1]12'!B:B,[1]Нэгтгэл!F:F)</f>
        <v>57121432497.579994</v>
      </c>
      <c r="E68" s="430">
        <f>SUMIF([1]Нэгтгэл!B:B,'[1]12'!B:B,[1]Нэгтгэл!I:I)</f>
        <v>1014669200.01882</v>
      </c>
      <c r="F68" s="430">
        <f>SUMIF([1]Нэгтгэл!B:B,'[1]12'!B:B,[1]Нэгтгэл!L:L)</f>
        <v>13420208345.422401</v>
      </c>
      <c r="G68" s="430">
        <f>SUMIF([1]Нэгтгэл!B:B,'[1]12'!B:B,[1]Нэгтгэл!R:R)</f>
        <v>0</v>
      </c>
      <c r="H68" s="430">
        <f>SUMIF([1]Нэгтгэл!B:B,'[1]12'!B:B,[1]Нэгтгэл!O:O)</f>
        <v>0</v>
      </c>
      <c r="I68" s="430">
        <f>SUMIF([1]Нэгтгэл!B:B,'[1]12'!B:B,[1]Нэгтгэл!X:X)</f>
        <v>168028569173.21002</v>
      </c>
      <c r="J68" s="430">
        <f>SUMIF([1]Нэгтгэл!B:B,'[1]12'!B:B,[1]Нэгтгэл!AA:AA)</f>
        <v>0</v>
      </c>
      <c r="K68" s="430">
        <f>SUMIF([1]Нэгтгэл!B:B,'[1]12'!B:B,[1]Нэгтгэл!AD:AD)</f>
        <v>0</v>
      </c>
      <c r="L68" s="430">
        <f>SUMIF([1]Нэгтгэл!B:B,'[1]12'!B:B,[1]Нэгтгэл!AJ:AJ)</f>
        <v>3723716460</v>
      </c>
      <c r="M68" s="430">
        <f>SUMIF([1]Нэгтгэл!B:B,'[1]12'!B:B,[1]Нэгтгэл!AM:AM)</f>
        <v>5793621685.5600004</v>
      </c>
      <c r="N68" s="430">
        <f>SUMIF([1]Нэгтгэл!B:B,'[1]12'!B:B,[1]Нэгтгэл!AP:AP)</f>
        <v>5323089075</v>
      </c>
      <c r="O68" s="430">
        <f>SUMIF([1]Нэгтгэл!B:B,'[1]12'!B:B,[1]Нэгтгэл!AS:AS)</f>
        <v>0</v>
      </c>
      <c r="P68" s="430">
        <f>SUMIF([1]Нэгтгэл!B:B,'[1]12'!B:B,[1]Нэгтгэл!BB:BB)</f>
        <v>0</v>
      </c>
      <c r="Q68" s="430">
        <f>SUMIF([1]Нэгтгэл!B:B,'[1]12'!B:B,[1]Нэгтгэл!BE:BE)</f>
        <v>0</v>
      </c>
      <c r="R68" s="430">
        <f>SUMIF([1]Нэгтгэл!B:B,'[1]12'!B:B,[1]Нэгтгэл!BH:BH)</f>
        <v>0</v>
      </c>
      <c r="S68" s="430">
        <f>SUMIF([1]Нэгтгэл!B:B,'[1]12'!B:B,[1]Нэгтгэл!BK:BK)</f>
        <v>0</v>
      </c>
      <c r="T68" s="430">
        <f>SUMIF([1]Нэгтгэл!B:B,'[1]12'!B:B,[1]Нэгтгэл!BN:BN)</f>
        <v>0</v>
      </c>
      <c r="U68" s="430">
        <f>SUMIF([1]Нэгтгэл!B:B,'[1]12'!B:B,[1]Нэгтгэл!BQ:BQ)</f>
        <v>0</v>
      </c>
      <c r="V68" s="430">
        <f>SUMIF([1]Нэгтгэл!B:B,'[1]12'!B:B,[1]Нэгтгэл!BT:BT)</f>
        <v>0</v>
      </c>
      <c r="W68" s="430">
        <f>SUMIF([1]Нэгтгэл!B:B,'[1]12'!B:B,[1]Нэгтгэл!BW:BW)</f>
        <v>2435556832.0099998</v>
      </c>
    </row>
    <row r="69" spans="1:23">
      <c r="A69" s="437">
        <f t="shared" ref="A69:A127" si="1">A68+1</f>
        <v>67</v>
      </c>
      <c r="B69" s="385">
        <v>5261198</v>
      </c>
      <c r="C69" s="429" t="s">
        <v>244</v>
      </c>
      <c r="D69" s="430">
        <f>SUMIF([1]Нэгтгэл!B:B,'[1]12'!B:B,[1]Нэгтгэл!F:F)</f>
        <v>53225430079.32</v>
      </c>
      <c r="E69" s="430">
        <f>SUMIF([1]Нэгтгэл!B:B,'[1]12'!B:B,[1]Нэгтгэл!I:I)</f>
        <v>5950914504.8678999</v>
      </c>
      <c r="F69" s="430">
        <f>SUMIF([1]Нэгтгэл!B:B,'[1]12'!B:B,[1]Нэгтгэл!L:L)</f>
        <v>10391729736.274599</v>
      </c>
      <c r="G69" s="430">
        <f>SUMIF([1]Нэгтгэл!B:B,'[1]12'!B:B,[1]Нэгтгэл!R:R)</f>
        <v>0</v>
      </c>
      <c r="H69" s="430">
        <f>SUMIF([1]Нэгтгэл!B:B,'[1]12'!B:B,[1]Нэгтгэл!O:O)</f>
        <v>0</v>
      </c>
      <c r="I69" s="430">
        <f>SUMIF([1]Нэгтгэл!B:B,'[1]12'!B:B,[1]Нэгтгэл!X:X)</f>
        <v>34315158021.399998</v>
      </c>
      <c r="J69" s="430">
        <f>SUMIF([1]Нэгтгэл!B:B,'[1]12'!B:B,[1]Нэгтгэл!AA:AA)</f>
        <v>0</v>
      </c>
      <c r="K69" s="430">
        <f>SUMIF([1]Нэгтгэл!B:B,'[1]12'!B:B,[1]Нэгтгэл!AD:AD)</f>
        <v>0</v>
      </c>
      <c r="L69" s="430">
        <f>SUMIF([1]Нэгтгэл!B:B,'[1]12'!B:B,[1]Нэгтгэл!AJ:AJ)</f>
        <v>808756350</v>
      </c>
      <c r="M69" s="430">
        <f>SUMIF([1]Нэгтгэл!B:B,'[1]12'!B:B,[1]Нэгтгэл!AM:AM)</f>
        <v>5084051661.9799995</v>
      </c>
      <c r="N69" s="430">
        <f>SUMIF([1]Нэгтгэл!B:B,'[1]12'!B:B,[1]Нэгтгэл!AP:AP)</f>
        <v>1050925300</v>
      </c>
      <c r="O69" s="430">
        <f>SUMIF([1]Нэгтгэл!B:B,'[1]12'!B:B,[1]Нэгтгэл!AS:AS)</f>
        <v>0</v>
      </c>
      <c r="P69" s="430">
        <f>SUMIF([1]Нэгтгэл!B:B,'[1]12'!B:B,[1]Нэгтгэл!BB:BB)</f>
        <v>0</v>
      </c>
      <c r="Q69" s="430">
        <f>SUMIF([1]Нэгтгэл!B:B,'[1]12'!B:B,[1]Нэгтгэл!BE:BE)</f>
        <v>0</v>
      </c>
      <c r="R69" s="430">
        <f>SUMIF([1]Нэгтгэл!B:B,'[1]12'!B:B,[1]Нэгтгэл!BH:BH)</f>
        <v>0</v>
      </c>
      <c r="S69" s="430">
        <f>SUMIF([1]Нэгтгэл!B:B,'[1]12'!B:B,[1]Нэгтгэл!BK:BK)</f>
        <v>0</v>
      </c>
      <c r="T69" s="430">
        <f>SUMIF([1]Нэгтгэл!B:B,'[1]12'!B:B,[1]Нэгтгэл!BN:BN)</f>
        <v>0</v>
      </c>
      <c r="U69" s="430">
        <f>SUMIF([1]Нэгтгэл!B:B,'[1]12'!B:B,[1]Нэгтгэл!BQ:BQ)</f>
        <v>0</v>
      </c>
      <c r="V69" s="430">
        <f>SUMIF([1]Нэгтгэл!B:B,'[1]12'!B:B,[1]Нэгтгэл!BT:BT)</f>
        <v>0</v>
      </c>
      <c r="W69" s="430">
        <f>SUMIF([1]Нэгтгэл!B:B,'[1]12'!B:B,[1]Нэгтгэл!BW:BW)</f>
        <v>1254610645.6600001</v>
      </c>
    </row>
    <row r="70" spans="1:23">
      <c r="A70" s="437">
        <f t="shared" si="1"/>
        <v>68</v>
      </c>
      <c r="B70" s="385">
        <v>5288703</v>
      </c>
      <c r="C70" s="429" t="s">
        <v>246</v>
      </c>
      <c r="D70" s="430">
        <f>SUMIF([1]Нэгтгэл!B:B,'[1]12'!B:B,[1]Нэгтгэл!F:F)</f>
        <v>0</v>
      </c>
      <c r="E70" s="430">
        <f>SUMIF([1]Нэгтгэл!B:B,'[1]12'!B:B,[1]Нэгтгэл!I:I)</f>
        <v>109471283.554307</v>
      </c>
      <c r="F70" s="430">
        <f>SUMIF([1]Нэгтгэл!B:B,'[1]12'!B:B,[1]Нэгтгэл!L:L)</f>
        <v>229682432.064042</v>
      </c>
      <c r="G70" s="430">
        <f>SUMIF([1]Нэгтгэл!B:B,'[1]12'!B:B,[1]Нэгтгэл!R:R)</f>
        <v>0</v>
      </c>
      <c r="H70" s="430">
        <f>SUMIF([1]Нэгтгэл!B:B,'[1]12'!B:B,[1]Нэгтгэл!O:O)</f>
        <v>0</v>
      </c>
      <c r="I70" s="430">
        <f>SUMIF([1]Нэгтгэл!B:B,'[1]12'!B:B,[1]Нэгтгэл!X:X)</f>
        <v>1330389715.0999999</v>
      </c>
      <c r="J70" s="430">
        <f>SUMIF([1]Нэгтгэл!B:B,'[1]12'!B:B,[1]Нэгтгэл!AA:AA)</f>
        <v>0</v>
      </c>
      <c r="K70" s="430">
        <f>SUMIF([1]Нэгтгэл!B:B,'[1]12'!B:B,[1]Нэгтгэл!AD:AD)</f>
        <v>0</v>
      </c>
      <c r="L70" s="430">
        <f>SUMIF([1]Нэгтгэл!B:B,'[1]12'!B:B,[1]Нэгтгэл!AJ:AJ)</f>
        <v>0</v>
      </c>
      <c r="M70" s="430">
        <f>SUMIF([1]Нэгтгэл!B:B,'[1]12'!B:B,[1]Нэгтгэл!AM:AM)</f>
        <v>235494018.28</v>
      </c>
      <c r="N70" s="430">
        <f>SUMIF([1]Нэгтгэл!B:B,'[1]12'!B:B,[1]Нэгтгэл!AP:AP)</f>
        <v>64621507.5</v>
      </c>
      <c r="O70" s="430">
        <f>SUMIF([1]Нэгтгэл!B:B,'[1]12'!B:B,[1]Нэгтгэл!AS:AS)</f>
        <v>0</v>
      </c>
      <c r="P70" s="430">
        <f>SUMIF([1]Нэгтгэл!B:B,'[1]12'!B:B,[1]Нэгтгэл!BB:BB)</f>
        <v>0</v>
      </c>
      <c r="Q70" s="430">
        <f>SUMIF([1]Нэгтгэл!B:B,'[1]12'!B:B,[1]Нэгтгэл!BE:BE)</f>
        <v>0</v>
      </c>
      <c r="R70" s="430">
        <f>SUMIF([1]Нэгтгэл!B:B,'[1]12'!B:B,[1]Нэгтгэл!BH:BH)</f>
        <v>0</v>
      </c>
      <c r="S70" s="430">
        <f>SUMIF([1]Нэгтгэл!B:B,'[1]12'!B:B,[1]Нэгтгэл!BK:BK)</f>
        <v>0</v>
      </c>
      <c r="T70" s="430">
        <f>SUMIF([1]Нэгтгэл!B:B,'[1]12'!B:B,[1]Нэгтгэл!BN:BN)</f>
        <v>0</v>
      </c>
      <c r="U70" s="430">
        <f>SUMIF([1]Нэгтгэл!B:B,'[1]12'!B:B,[1]Нэгтгэл!BQ:BQ)</f>
        <v>0</v>
      </c>
      <c r="V70" s="430">
        <f>SUMIF([1]Нэгтгэл!B:B,'[1]12'!B:B,[1]Нэгтгэл!BT:BT)</f>
        <v>0</v>
      </c>
      <c r="W70" s="430">
        <f>SUMIF([1]Нэгтгэл!B:B,'[1]12'!B:B,[1]Нэгтгэл!BW:BW)</f>
        <v>64562255.180000007</v>
      </c>
    </row>
    <row r="71" spans="1:23">
      <c r="A71" s="437">
        <f t="shared" si="1"/>
        <v>69</v>
      </c>
      <c r="B71" s="385">
        <v>6232485</v>
      </c>
      <c r="C71" s="429" t="s">
        <v>248</v>
      </c>
      <c r="D71" s="430">
        <f>SUMIF([1]Нэгтгэл!B:B,'[1]12'!B:B,[1]Нэгтгэл!F:F)</f>
        <v>2172337943.6199999</v>
      </c>
      <c r="E71" s="430">
        <f>SUMIF([1]Нэгтгэл!B:B,'[1]12'!B:B,[1]Нэгтгэл!I:I)</f>
        <v>0</v>
      </c>
      <c r="F71" s="430">
        <f>SUMIF([1]Нэгтгэл!B:B,'[1]12'!B:B,[1]Нэгтгэл!L:L)</f>
        <v>0</v>
      </c>
      <c r="G71" s="430">
        <f>SUMIF([1]Нэгтгэл!B:B,'[1]12'!B:B,[1]Нэгтгэл!R:R)</f>
        <v>0</v>
      </c>
      <c r="H71" s="430">
        <f>SUMIF([1]Нэгтгэл!B:B,'[1]12'!B:B,[1]Нэгтгэл!O:O)</f>
        <v>0</v>
      </c>
      <c r="I71" s="430">
        <f>SUMIF([1]Нэгтгэл!B:B,'[1]12'!B:B,[1]Нэгтгэл!X:X)</f>
        <v>2389814437.2400002</v>
      </c>
      <c r="J71" s="430">
        <f>SUMIF([1]Нэгтгэл!B:B,'[1]12'!B:B,[1]Нэгтгэл!AA:AA)</f>
        <v>0</v>
      </c>
      <c r="K71" s="430">
        <f>SUMIF([1]Нэгтгэл!B:B,'[1]12'!B:B,[1]Нэгтгэл!AD:AD)</f>
        <v>0</v>
      </c>
      <c r="L71" s="430">
        <f>SUMIF([1]Нэгтгэл!B:B,'[1]12'!B:B,[1]Нэгтгэл!AJ:AJ)</f>
        <v>733427234.95000005</v>
      </c>
      <c r="M71" s="430">
        <f>SUMIF([1]Нэгтгэл!B:B,'[1]12'!B:B,[1]Нэгтгэл!AM:AM)</f>
        <v>277140193</v>
      </c>
      <c r="N71" s="430">
        <f>SUMIF([1]Нэгтгэл!B:B,'[1]12'!B:B,[1]Нэгтгэл!AP:AP)</f>
        <v>684479100</v>
      </c>
      <c r="O71" s="430">
        <f>SUMIF([1]Нэгтгэл!B:B,'[1]12'!B:B,[1]Нэгтгэл!AS:AS)</f>
        <v>0</v>
      </c>
      <c r="P71" s="430">
        <f>SUMIF([1]Нэгтгэл!B:B,'[1]12'!B:B,[1]Нэгтгэл!BB:BB)</f>
        <v>0</v>
      </c>
      <c r="Q71" s="430">
        <f>SUMIF([1]Нэгтгэл!B:B,'[1]12'!B:B,[1]Нэгтгэл!BE:BE)</f>
        <v>0</v>
      </c>
      <c r="R71" s="430">
        <f>SUMIF([1]Нэгтгэл!B:B,'[1]12'!B:B,[1]Нэгтгэл!BH:BH)</f>
        <v>0</v>
      </c>
      <c r="S71" s="430">
        <f>SUMIF([1]Нэгтгэл!B:B,'[1]12'!B:B,[1]Нэгтгэл!BK:BK)</f>
        <v>0</v>
      </c>
      <c r="T71" s="430">
        <f>SUMIF([1]Нэгтгэл!B:B,'[1]12'!B:B,[1]Нэгтгэл!BN:BN)</f>
        <v>0</v>
      </c>
      <c r="U71" s="430">
        <f>SUMIF([1]Нэгтгэл!B:B,'[1]12'!B:B,[1]Нэгтгэл!BQ:BQ)</f>
        <v>0</v>
      </c>
      <c r="V71" s="430">
        <f>SUMIF([1]Нэгтгэл!B:B,'[1]12'!B:B,[1]Нэгтгэл!BT:BT)</f>
        <v>0</v>
      </c>
      <c r="W71" s="430">
        <f>SUMIF([1]Нэгтгэл!B:B,'[1]12'!B:B,[1]Нэгтгэл!BW:BW)</f>
        <v>104209482.54000001</v>
      </c>
    </row>
    <row r="72" spans="1:23">
      <c r="A72" s="437">
        <f t="shared" si="1"/>
        <v>70</v>
      </c>
      <c r="B72" s="385">
        <v>6101615</v>
      </c>
      <c r="C72" s="429" t="s">
        <v>249</v>
      </c>
      <c r="D72" s="430">
        <f>SUMIF([1]Нэгтгэл!B:B,'[1]12'!B:B,[1]Нэгтгэл!F:F)</f>
        <v>8714364656.3899994</v>
      </c>
      <c r="E72" s="430">
        <f>SUMIF([1]Нэгтгэл!B:B,'[1]12'!B:B,[1]Нэгтгэл!I:I)</f>
        <v>549848547.29999995</v>
      </c>
      <c r="F72" s="430">
        <f>SUMIF([1]Нэгтгэл!B:B,'[1]12'!B:B,[1]Нэгтгэл!L:L)</f>
        <v>1168293415.78</v>
      </c>
      <c r="G72" s="430">
        <f>SUMIF([1]Нэгтгэл!B:B,'[1]12'!B:B,[1]Нэгтгэл!R:R)</f>
        <v>0</v>
      </c>
      <c r="H72" s="430">
        <f>SUMIF([1]Нэгтгэл!B:B,'[1]12'!B:B,[1]Нэгтгэл!O:O)</f>
        <v>0</v>
      </c>
      <c r="I72" s="430">
        <f>SUMIF([1]Нэгтгэл!B:B,'[1]12'!B:B,[1]Нэгтгэл!X:X)</f>
        <v>14804829.289999999</v>
      </c>
      <c r="J72" s="430">
        <f>SUMIF([1]Нэгтгэл!B:B,'[1]12'!B:B,[1]Нэгтгэл!AA:AA)</f>
        <v>0</v>
      </c>
      <c r="K72" s="430">
        <f>SUMIF([1]Нэгтгэл!B:B,'[1]12'!B:B,[1]Нэгтгэл!AD:AD)</f>
        <v>0</v>
      </c>
      <c r="L72" s="430">
        <f>SUMIF([1]Нэгтгэл!B:B,'[1]12'!B:B,[1]Нэгтгэл!AJ:AJ)</f>
        <v>0</v>
      </c>
      <c r="M72" s="430">
        <f>SUMIF([1]Нэгтгэл!B:B,'[1]12'!B:B,[1]Нэгтгэл!AM:AM)</f>
        <v>2038452661.8499999</v>
      </c>
      <c r="N72" s="430">
        <f>SUMIF([1]Нэгтгэл!B:B,'[1]12'!B:B,[1]Нэгтгэл!AP:AP)</f>
        <v>470200</v>
      </c>
      <c r="O72" s="430">
        <f>SUMIF([1]Нэгтгэл!B:B,'[1]12'!B:B,[1]Нэгтгэл!AS:AS)</f>
        <v>0</v>
      </c>
      <c r="P72" s="430">
        <f>SUMIF([1]Нэгтгэл!B:B,'[1]12'!B:B,[1]Нэгтгэл!BB:BB)</f>
        <v>0</v>
      </c>
      <c r="Q72" s="430">
        <f>SUMIF([1]Нэгтгэл!B:B,'[1]12'!B:B,[1]Нэгтгэл!BE:BE)</f>
        <v>0</v>
      </c>
      <c r="R72" s="430">
        <f>SUMIF([1]Нэгтгэл!B:B,'[1]12'!B:B,[1]Нэгтгэл!BH:BH)</f>
        <v>0</v>
      </c>
      <c r="S72" s="430">
        <f>SUMIF([1]Нэгтгэл!B:B,'[1]12'!B:B,[1]Нэгтгэл!BK:BK)</f>
        <v>0</v>
      </c>
      <c r="T72" s="430">
        <f>SUMIF([1]Нэгтгэл!B:B,'[1]12'!B:B,[1]Нэгтгэл!BN:BN)</f>
        <v>0</v>
      </c>
      <c r="U72" s="430">
        <f>SUMIF([1]Нэгтгэл!B:B,'[1]12'!B:B,[1]Нэгтгэл!BQ:BQ)</f>
        <v>0</v>
      </c>
      <c r="V72" s="430">
        <f>SUMIF([1]Нэгтгэл!B:B,'[1]12'!B:B,[1]Нэгтгэл!BT:BT)</f>
        <v>0</v>
      </c>
      <c r="W72" s="430">
        <f>SUMIF([1]Нэгтгэл!B:B,'[1]12'!B:B,[1]Нэгтгэл!BW:BW)</f>
        <v>655978694.71000004</v>
      </c>
    </row>
    <row r="73" spans="1:23">
      <c r="A73" s="437">
        <f t="shared" si="1"/>
        <v>71</v>
      </c>
      <c r="B73" s="385">
        <v>5120365</v>
      </c>
      <c r="C73" s="429" t="s">
        <v>250</v>
      </c>
      <c r="D73" s="430">
        <f>SUMIF([1]Нэгтгэл!B:B,'[1]12'!B:B,[1]Нэгтгэл!F:F)</f>
        <v>0</v>
      </c>
      <c r="E73" s="430">
        <f>SUMIF([1]Нэгтгэл!B:B,'[1]12'!B:B,[1]Нэгтгэл!I:I)</f>
        <v>0</v>
      </c>
      <c r="F73" s="430">
        <f>SUMIF([1]Нэгтгэл!B:B,'[1]12'!B:B,[1]Нэгтгэл!L:L)</f>
        <v>0</v>
      </c>
      <c r="G73" s="430">
        <f>SUMIF([1]Нэгтгэл!B:B,'[1]12'!B:B,[1]Нэгтгэл!R:R)</f>
        <v>0</v>
      </c>
      <c r="H73" s="430">
        <f>SUMIF([1]Нэгтгэл!B:B,'[1]12'!B:B,[1]Нэгтгэл!O:O)</f>
        <v>0</v>
      </c>
      <c r="I73" s="430">
        <f>SUMIF([1]Нэгтгэл!B:B,'[1]12'!B:B,[1]Нэгтгэл!X:X)</f>
        <v>0</v>
      </c>
      <c r="J73" s="430">
        <f>SUMIF([1]Нэгтгэл!B:B,'[1]12'!B:B,[1]Нэгтгэл!AA:AA)</f>
        <v>0</v>
      </c>
      <c r="K73" s="430">
        <f>SUMIF([1]Нэгтгэл!B:B,'[1]12'!B:B,[1]Нэгтгэл!AD:AD)</f>
        <v>0</v>
      </c>
      <c r="L73" s="430">
        <f>SUMIF([1]Нэгтгэл!B:B,'[1]12'!B:B,[1]Нэгтгэл!AJ:AJ)</f>
        <v>0</v>
      </c>
      <c r="M73" s="430">
        <f>SUMIF([1]Нэгтгэл!B:B,'[1]12'!B:B,[1]Нэгтгэл!AM:AM)</f>
        <v>0</v>
      </c>
      <c r="N73" s="430">
        <f>SUMIF([1]Нэгтгэл!B:B,'[1]12'!B:B,[1]Нэгтгэл!AP:AP)</f>
        <v>0</v>
      </c>
      <c r="O73" s="430">
        <f>SUMIF([1]Нэгтгэл!B:B,'[1]12'!B:B,[1]Нэгтгэл!AS:AS)</f>
        <v>0</v>
      </c>
      <c r="P73" s="430">
        <f>SUMIF([1]Нэгтгэл!B:B,'[1]12'!B:B,[1]Нэгтгэл!BB:BB)</f>
        <v>0</v>
      </c>
      <c r="Q73" s="430">
        <f>SUMIF([1]Нэгтгэл!B:B,'[1]12'!B:B,[1]Нэгтгэл!BE:BE)</f>
        <v>0</v>
      </c>
      <c r="R73" s="430">
        <f>SUMIF([1]Нэгтгэл!B:B,'[1]12'!B:B,[1]Нэгтгэл!BH:BH)</f>
        <v>0</v>
      </c>
      <c r="S73" s="430">
        <f>SUMIF([1]Нэгтгэл!B:B,'[1]12'!B:B,[1]Нэгтгэл!BK:BK)</f>
        <v>0</v>
      </c>
      <c r="T73" s="430">
        <f>SUMIF([1]Нэгтгэл!B:B,'[1]12'!B:B,[1]Нэгтгэл!BN:BN)</f>
        <v>0</v>
      </c>
      <c r="U73" s="430">
        <f>SUMIF([1]Нэгтгэл!B:B,'[1]12'!B:B,[1]Нэгтгэл!BQ:BQ)</f>
        <v>0</v>
      </c>
      <c r="V73" s="430">
        <f>SUMIF([1]Нэгтгэл!B:B,'[1]12'!B:B,[1]Нэгтгэл!BT:BT)</f>
        <v>0</v>
      </c>
      <c r="W73" s="430">
        <f>SUMIF([1]Нэгтгэл!B:B,'[1]12'!B:B,[1]Нэгтгэл!BW:BW)</f>
        <v>0</v>
      </c>
    </row>
    <row r="74" spans="1:23">
      <c r="A74" s="437">
        <f t="shared" si="1"/>
        <v>72</v>
      </c>
      <c r="B74" s="385">
        <v>2016656</v>
      </c>
      <c r="C74" s="429" t="s">
        <v>251</v>
      </c>
      <c r="D74" s="430">
        <f>SUMIF([1]Нэгтгэл!B:B,'[1]12'!B:B,[1]Нэгтгэл!F:F)</f>
        <v>27079731184.260002</v>
      </c>
      <c r="E74" s="430">
        <f>SUMIF([1]Нэгтгэл!B:B,'[1]12'!B:B,[1]Нэгтгэл!I:I)</f>
        <v>1307173.3999999999</v>
      </c>
      <c r="F74" s="430">
        <f>SUMIF([1]Нэгтгэл!B:B,'[1]12'!B:B,[1]Нэгтгэл!L:L)</f>
        <v>2745064.14</v>
      </c>
      <c r="G74" s="430">
        <f>SUMIF([1]Нэгтгэл!B:B,'[1]12'!B:B,[1]Нэгтгэл!R:R)</f>
        <v>0</v>
      </c>
      <c r="H74" s="430">
        <f>SUMIF([1]Нэгтгэл!B:B,'[1]12'!B:B,[1]Нэгтгэл!O:O)</f>
        <v>0</v>
      </c>
      <c r="I74" s="430">
        <f>SUMIF([1]Нэгтгэл!B:B,'[1]12'!B:B,[1]Нэгтгэл!X:X)</f>
        <v>74473195384.240005</v>
      </c>
      <c r="J74" s="430">
        <f>SUMIF([1]Нэгтгэл!B:B,'[1]12'!B:B,[1]Нэгтгэл!AA:AA)</f>
        <v>0</v>
      </c>
      <c r="K74" s="430">
        <f>SUMIF([1]Нэгтгэл!B:B,'[1]12'!B:B,[1]Нэгтгэл!AD:AD)</f>
        <v>0</v>
      </c>
      <c r="L74" s="430">
        <f>SUMIF([1]Нэгтгэл!B:B,'[1]12'!B:B,[1]Нэгтгэл!AJ:AJ)</f>
        <v>3402979250</v>
      </c>
      <c r="M74" s="430">
        <f>SUMIF([1]Нэгтгэл!B:B,'[1]12'!B:B,[1]Нэгтгэл!AM:AM)</f>
        <v>3324246097.3600001</v>
      </c>
      <c r="N74" s="430">
        <f>SUMIF([1]Нэгтгэл!B:B,'[1]12'!B:B,[1]Нэгтгэл!AP:AP)</f>
        <v>3545927170</v>
      </c>
      <c r="O74" s="430">
        <f>SUMIF([1]Нэгтгэл!B:B,'[1]12'!B:B,[1]Нэгтгэл!AS:AS)</f>
        <v>0</v>
      </c>
      <c r="P74" s="430">
        <f>SUMIF([1]Нэгтгэл!B:B,'[1]12'!B:B,[1]Нэгтгэл!BB:BB)</f>
        <v>0</v>
      </c>
      <c r="Q74" s="430">
        <f>SUMIF([1]Нэгтгэл!B:B,'[1]12'!B:B,[1]Нэгтгэл!BE:BE)</f>
        <v>0</v>
      </c>
      <c r="R74" s="430">
        <f>SUMIF([1]Нэгтгэл!B:B,'[1]12'!B:B,[1]Нэгтгэл!BH:BH)</f>
        <v>0</v>
      </c>
      <c r="S74" s="430">
        <f>SUMIF([1]Нэгтгэл!B:B,'[1]12'!B:B,[1]Нэгтгэл!BK:BK)</f>
        <v>0</v>
      </c>
      <c r="T74" s="430">
        <f>SUMIF([1]Нэгтгэл!B:B,'[1]12'!B:B,[1]Нэгтгэл!BN:BN)</f>
        <v>0</v>
      </c>
      <c r="U74" s="430">
        <f>SUMIF([1]Нэгтгэл!B:B,'[1]12'!B:B,[1]Нэгтгэл!BQ:BQ)</f>
        <v>0</v>
      </c>
      <c r="V74" s="430">
        <f>SUMIF([1]Нэгтгэл!B:B,'[1]12'!B:B,[1]Нэгтгэл!BT:BT)</f>
        <v>0</v>
      </c>
      <c r="W74" s="430">
        <f>SUMIF([1]Нэгтгэл!B:B,'[1]12'!B:B,[1]Нэгтгэл!BW:BW)</f>
        <v>1770937554.3700001</v>
      </c>
    </row>
    <row r="75" spans="1:23">
      <c r="A75" s="437">
        <f t="shared" si="1"/>
        <v>73</v>
      </c>
      <c r="B75" s="385">
        <v>5872006</v>
      </c>
      <c r="C75" s="429" t="s">
        <v>253</v>
      </c>
      <c r="D75" s="430">
        <f>SUMIF([1]Нэгтгэл!B:B,'[1]12'!B:B,[1]Нэгтгэл!F:F)</f>
        <v>2328440000</v>
      </c>
      <c r="E75" s="430">
        <f>SUMIF([1]Нэгтгэл!B:B,'[1]12'!B:B,[1]Нэгтгэл!I:I)</f>
        <v>0</v>
      </c>
      <c r="F75" s="430">
        <f>SUMIF([1]Нэгтгэл!B:B,'[1]12'!B:B,[1]Нэгтгэл!L:L)</f>
        <v>0</v>
      </c>
      <c r="G75" s="430">
        <f>SUMIF([1]Нэгтгэл!B:B,'[1]12'!B:B,[1]Нэгтгэл!R:R)</f>
        <v>0</v>
      </c>
      <c r="H75" s="430">
        <f>SUMIF([1]Нэгтгэл!B:B,'[1]12'!B:B,[1]Нэгтгэл!O:O)</f>
        <v>0</v>
      </c>
      <c r="I75" s="430">
        <f>SUMIF([1]Нэгтгэл!B:B,'[1]12'!B:B,[1]Нэгтгэл!X:X)</f>
        <v>0</v>
      </c>
      <c r="J75" s="430">
        <f>SUMIF([1]Нэгтгэл!B:B,'[1]12'!B:B,[1]Нэгтгэл!AA:AA)</f>
        <v>0</v>
      </c>
      <c r="K75" s="430">
        <f>SUMIF([1]Нэгтгэл!B:B,'[1]12'!B:B,[1]Нэгтгэл!AD:AD)</f>
        <v>0</v>
      </c>
      <c r="L75" s="430">
        <f>SUMIF([1]Нэгтгэл!B:B,'[1]12'!B:B,[1]Нэгтгэл!AJ:AJ)</f>
        <v>0</v>
      </c>
      <c r="M75" s="430">
        <f>SUMIF([1]Нэгтгэл!B:B,'[1]12'!B:B,[1]Нэгтгэл!AM:AM)</f>
        <v>17683100</v>
      </c>
      <c r="N75" s="430">
        <f>SUMIF([1]Нэгтгэл!B:B,'[1]12'!B:B,[1]Нэгтгэл!AP:AP)</f>
        <v>21000</v>
      </c>
      <c r="O75" s="430">
        <f>SUMIF([1]Нэгтгэл!B:B,'[1]12'!B:B,[1]Нэгтгэл!AS:AS)</f>
        <v>0</v>
      </c>
      <c r="P75" s="430">
        <f>SUMIF([1]Нэгтгэл!B:B,'[1]12'!B:B,[1]Нэгтгэл!BB:BB)</f>
        <v>0</v>
      </c>
      <c r="Q75" s="430">
        <f>SUMIF([1]Нэгтгэл!B:B,'[1]12'!B:B,[1]Нэгтгэл!BE:BE)</f>
        <v>0</v>
      </c>
      <c r="R75" s="430">
        <f>SUMIF([1]Нэгтгэл!B:B,'[1]12'!B:B,[1]Нэгтгэл!BH:BH)</f>
        <v>0</v>
      </c>
      <c r="S75" s="430">
        <f>SUMIF([1]Нэгтгэл!B:B,'[1]12'!B:B,[1]Нэгтгэл!BK:BK)</f>
        <v>0</v>
      </c>
      <c r="T75" s="430">
        <f>SUMIF([1]Нэгтгэл!B:B,'[1]12'!B:B,[1]Нэгтгэл!BN:BN)</f>
        <v>0</v>
      </c>
      <c r="U75" s="430">
        <f>SUMIF([1]Нэгтгэл!B:B,'[1]12'!B:B,[1]Нэгтгэл!BQ:BQ)</f>
        <v>0</v>
      </c>
      <c r="V75" s="430">
        <f>SUMIF([1]Нэгтгэл!B:B,'[1]12'!B:B,[1]Нэгтгэл!BT:BT)</f>
        <v>0</v>
      </c>
      <c r="W75" s="430">
        <f>SUMIF([1]Нэгтгэл!B:B,'[1]12'!B:B,[1]Нэгтгэл!BW:BW)</f>
        <v>6139005.5300000003</v>
      </c>
    </row>
    <row r="76" spans="1:23">
      <c r="A76" s="437">
        <f t="shared" si="1"/>
        <v>74</v>
      </c>
      <c r="B76" s="385">
        <v>5774047</v>
      </c>
      <c r="C76" s="429" t="s">
        <v>254</v>
      </c>
      <c r="D76" s="430">
        <f>SUMIF([1]Нэгтгэл!B:B,'[1]12'!B:B,[1]Нэгтгэл!F:F)</f>
        <v>0</v>
      </c>
      <c r="E76" s="430">
        <f>SUMIF([1]Нэгтгэл!B:B,'[1]12'!B:B,[1]Нэгтгэл!I:I)</f>
        <v>0</v>
      </c>
      <c r="F76" s="430">
        <f>SUMIF([1]Нэгтгэл!B:B,'[1]12'!B:B,[1]Нэгтгэл!L:L)</f>
        <v>0</v>
      </c>
      <c r="G76" s="430">
        <f>SUMIF([1]Нэгтгэл!B:B,'[1]12'!B:B,[1]Нэгтгэл!R:R)</f>
        <v>0</v>
      </c>
      <c r="H76" s="430">
        <f>SUMIF([1]Нэгтгэл!B:B,'[1]12'!B:B,[1]Нэгтгэл!O:O)</f>
        <v>0</v>
      </c>
      <c r="I76" s="430">
        <f>SUMIF([1]Нэгтгэл!B:B,'[1]12'!B:B,[1]Нэгтгэл!X:X)</f>
        <v>0</v>
      </c>
      <c r="J76" s="430">
        <f>SUMIF([1]Нэгтгэл!B:B,'[1]12'!B:B,[1]Нэгтгэл!AA:AA)</f>
        <v>0</v>
      </c>
      <c r="K76" s="430">
        <f>SUMIF([1]Нэгтгэл!B:B,'[1]12'!B:B,[1]Нэгтгэл!AD:AD)</f>
        <v>0</v>
      </c>
      <c r="L76" s="430">
        <f>SUMIF([1]Нэгтгэл!B:B,'[1]12'!B:B,[1]Нэгтгэл!AJ:AJ)</f>
        <v>0</v>
      </c>
      <c r="M76" s="430">
        <f>SUMIF([1]Нэгтгэл!B:B,'[1]12'!B:B,[1]Нэгтгэл!AM:AM)</f>
        <v>0</v>
      </c>
      <c r="N76" s="430">
        <f>SUMIF([1]Нэгтгэл!B:B,'[1]12'!B:B,[1]Нэгтгэл!AP:AP)</f>
        <v>0</v>
      </c>
      <c r="O76" s="430">
        <f>SUMIF([1]Нэгтгэл!B:B,'[1]12'!B:B,[1]Нэгтгэл!AS:AS)</f>
        <v>0</v>
      </c>
      <c r="P76" s="430">
        <f>SUMIF([1]Нэгтгэл!B:B,'[1]12'!B:B,[1]Нэгтгэл!BB:BB)</f>
        <v>0</v>
      </c>
      <c r="Q76" s="430">
        <f>SUMIF([1]Нэгтгэл!B:B,'[1]12'!B:B,[1]Нэгтгэл!BE:BE)</f>
        <v>0</v>
      </c>
      <c r="R76" s="430">
        <f>SUMIF([1]Нэгтгэл!B:B,'[1]12'!B:B,[1]Нэгтгэл!BH:BH)</f>
        <v>0</v>
      </c>
      <c r="S76" s="430">
        <f>SUMIF([1]Нэгтгэл!B:B,'[1]12'!B:B,[1]Нэгтгэл!BK:BK)</f>
        <v>0</v>
      </c>
      <c r="T76" s="430">
        <f>SUMIF([1]Нэгтгэл!B:B,'[1]12'!B:B,[1]Нэгтгэл!BN:BN)</f>
        <v>0</v>
      </c>
      <c r="U76" s="430">
        <f>SUMIF([1]Нэгтгэл!B:B,'[1]12'!B:B,[1]Нэгтгэл!BQ:BQ)</f>
        <v>0</v>
      </c>
      <c r="V76" s="430">
        <f>SUMIF([1]Нэгтгэл!B:B,'[1]12'!B:B,[1]Нэгтгэл!BT:BT)</f>
        <v>0</v>
      </c>
      <c r="W76" s="430">
        <f>SUMIF([1]Нэгтгэл!B:B,'[1]12'!B:B,[1]Нэгтгэл!BW:BW)</f>
        <v>0</v>
      </c>
    </row>
    <row r="77" spans="1:23">
      <c r="A77" s="437">
        <f t="shared" si="1"/>
        <v>75</v>
      </c>
      <c r="B77" s="385">
        <v>5105439</v>
      </c>
      <c r="C77" s="429" t="s">
        <v>257</v>
      </c>
      <c r="D77" s="430">
        <f>SUMIF([1]Нэгтгэл!B:B,'[1]12'!B:B,[1]Нэгтгэл!F:F)</f>
        <v>86545590.760000005</v>
      </c>
      <c r="E77" s="430">
        <f>SUMIF([1]Нэгтгэл!B:B,'[1]12'!B:B,[1]Нэгтгэл!I:I)</f>
        <v>22218998.448091</v>
      </c>
      <c r="F77" s="430">
        <f>SUMIF([1]Нэгтгэл!B:B,'[1]12'!B:B,[1]Нэгтгэл!L:L)</f>
        <v>45753511.600992002</v>
      </c>
      <c r="G77" s="430">
        <f>SUMIF([1]Нэгтгэл!B:B,'[1]12'!B:B,[1]Нэгтгэл!R:R)</f>
        <v>0</v>
      </c>
      <c r="H77" s="430">
        <f>SUMIF([1]Нэгтгэл!B:B,'[1]12'!B:B,[1]Нэгтгэл!O:O)</f>
        <v>0</v>
      </c>
      <c r="I77" s="430">
        <f>SUMIF([1]Нэгтгэл!B:B,'[1]12'!B:B,[1]Нэгтгэл!X:X)</f>
        <v>250000000</v>
      </c>
      <c r="J77" s="430">
        <f>SUMIF([1]Нэгтгэл!B:B,'[1]12'!B:B,[1]Нэгтгэл!AA:AA)</f>
        <v>0</v>
      </c>
      <c r="K77" s="430">
        <f>SUMIF([1]Нэгтгэл!B:B,'[1]12'!B:B,[1]Нэгтгэл!AD:AD)</f>
        <v>0</v>
      </c>
      <c r="L77" s="430">
        <f>SUMIF([1]Нэгтгэл!B:B,'[1]12'!B:B,[1]Нэгтгэл!AJ:AJ)</f>
        <v>0</v>
      </c>
      <c r="M77" s="430">
        <f>SUMIF([1]Нэгтгэл!B:B,'[1]12'!B:B,[1]Нэгтгэл!AM:AM)</f>
        <v>513258997.31</v>
      </c>
      <c r="N77" s="430">
        <f>SUMIF([1]Нэгтгэл!B:B,'[1]12'!B:B,[1]Нэгтгэл!AP:AP)</f>
        <v>54010658</v>
      </c>
      <c r="O77" s="430">
        <f>SUMIF([1]Нэгтгэл!B:B,'[1]12'!B:B,[1]Нэгтгэл!AS:AS)</f>
        <v>0</v>
      </c>
      <c r="P77" s="430">
        <f>SUMIF([1]Нэгтгэл!B:B,'[1]12'!B:B,[1]Нэгтгэл!BB:BB)</f>
        <v>0</v>
      </c>
      <c r="Q77" s="430">
        <f>SUMIF([1]Нэгтгэл!B:B,'[1]12'!B:B,[1]Нэгтгэл!BE:BE)</f>
        <v>0</v>
      </c>
      <c r="R77" s="430">
        <f>SUMIF([1]Нэгтгэл!B:B,'[1]12'!B:B,[1]Нэгтгэл!BH:BH)</f>
        <v>0</v>
      </c>
      <c r="S77" s="430">
        <f>SUMIF([1]Нэгтгэл!B:B,'[1]12'!B:B,[1]Нэгтгэл!BK:BK)</f>
        <v>0</v>
      </c>
      <c r="T77" s="430">
        <f>SUMIF([1]Нэгтгэл!B:B,'[1]12'!B:B,[1]Нэгтгэл!BN:BN)</f>
        <v>0</v>
      </c>
      <c r="U77" s="430">
        <f>SUMIF([1]Нэгтгэл!B:B,'[1]12'!B:B,[1]Нэгтгэл!BQ:BQ)</f>
        <v>0</v>
      </c>
      <c r="V77" s="430">
        <f>SUMIF([1]Нэгтгэл!B:B,'[1]12'!B:B,[1]Нэгтгэл!BT:BT)</f>
        <v>0</v>
      </c>
      <c r="W77" s="430">
        <f>SUMIF([1]Нэгтгэл!B:B,'[1]12'!B:B,[1]Нэгтгэл!BW:BW)</f>
        <v>92089912.340000004</v>
      </c>
    </row>
    <row r="78" spans="1:23">
      <c r="A78" s="437">
        <f t="shared" si="1"/>
        <v>76</v>
      </c>
      <c r="B78" s="385">
        <v>2663813</v>
      </c>
      <c r="C78" s="429" t="s">
        <v>258</v>
      </c>
      <c r="D78" s="430">
        <f>SUMIF([1]Нэгтгэл!B:B,'[1]12'!B:B,[1]Нэгтгэл!F:F)</f>
        <v>0</v>
      </c>
      <c r="E78" s="430">
        <f>SUMIF([1]Нэгтгэл!B:B,'[1]12'!B:B,[1]Нэгтгэл!I:I)</f>
        <v>0</v>
      </c>
      <c r="F78" s="430">
        <f>SUMIF([1]Нэгтгэл!B:B,'[1]12'!B:B,[1]Нэгтгэл!L:L)</f>
        <v>0</v>
      </c>
      <c r="G78" s="430">
        <f>SUMIF([1]Нэгтгэл!B:B,'[1]12'!B:B,[1]Нэгтгэл!R:R)</f>
        <v>0</v>
      </c>
      <c r="H78" s="430">
        <f>SUMIF([1]Нэгтгэл!B:B,'[1]12'!B:B,[1]Нэгтгэл!O:O)</f>
        <v>0</v>
      </c>
      <c r="I78" s="430">
        <f>SUMIF([1]Нэгтгэл!B:B,'[1]12'!B:B,[1]Нэгтгэл!X:X)</f>
        <v>0</v>
      </c>
      <c r="J78" s="430">
        <f>SUMIF([1]Нэгтгэл!B:B,'[1]12'!B:B,[1]Нэгтгэл!AA:AA)</f>
        <v>0</v>
      </c>
      <c r="K78" s="430">
        <f>SUMIF([1]Нэгтгэл!B:B,'[1]12'!B:B,[1]Нэгтгэл!AD:AD)</f>
        <v>0</v>
      </c>
      <c r="L78" s="430">
        <f>SUMIF([1]Нэгтгэл!B:B,'[1]12'!B:B,[1]Нэгтгэл!AJ:AJ)</f>
        <v>0</v>
      </c>
      <c r="M78" s="430">
        <f>SUMIF([1]Нэгтгэл!B:B,'[1]12'!B:B,[1]Нэгтгэл!AM:AM)</f>
        <v>0</v>
      </c>
      <c r="N78" s="430">
        <f>SUMIF([1]Нэгтгэл!B:B,'[1]12'!B:B,[1]Нэгтгэл!AP:AP)</f>
        <v>0</v>
      </c>
      <c r="O78" s="430">
        <f>SUMIF([1]Нэгтгэл!B:B,'[1]12'!B:B,[1]Нэгтгэл!AS:AS)</f>
        <v>0</v>
      </c>
      <c r="P78" s="430">
        <f>SUMIF([1]Нэгтгэл!B:B,'[1]12'!B:B,[1]Нэгтгэл!BB:BB)</f>
        <v>0</v>
      </c>
      <c r="Q78" s="430">
        <f>SUMIF([1]Нэгтгэл!B:B,'[1]12'!B:B,[1]Нэгтгэл!BE:BE)</f>
        <v>0</v>
      </c>
      <c r="R78" s="430">
        <f>SUMIF([1]Нэгтгэл!B:B,'[1]12'!B:B,[1]Нэгтгэл!BH:BH)</f>
        <v>0</v>
      </c>
      <c r="S78" s="430">
        <f>SUMIF([1]Нэгтгэл!B:B,'[1]12'!B:B,[1]Нэгтгэл!BK:BK)</f>
        <v>0</v>
      </c>
      <c r="T78" s="430">
        <f>SUMIF([1]Нэгтгэл!B:B,'[1]12'!B:B,[1]Нэгтгэл!BN:BN)</f>
        <v>0</v>
      </c>
      <c r="U78" s="430">
        <f>SUMIF([1]Нэгтгэл!B:B,'[1]12'!B:B,[1]Нэгтгэл!BQ:BQ)</f>
        <v>0</v>
      </c>
      <c r="V78" s="430">
        <f>SUMIF([1]Нэгтгэл!B:B,'[1]12'!B:B,[1]Нэгтгэл!BT:BT)</f>
        <v>0</v>
      </c>
      <c r="W78" s="430">
        <f>SUMIF([1]Нэгтгэл!B:B,'[1]12'!B:B,[1]Нэгтгэл!BW:BW)</f>
        <v>0</v>
      </c>
    </row>
    <row r="79" spans="1:23">
      <c r="A79" s="437">
        <f t="shared" si="1"/>
        <v>77</v>
      </c>
      <c r="B79" s="385">
        <v>2016931</v>
      </c>
      <c r="C79" s="429" t="s">
        <v>260</v>
      </c>
      <c r="D79" s="430">
        <f>SUMIF([1]Нэгтгэл!B:B,'[1]12'!B:B,[1]Нэгтгэл!F:F)</f>
        <v>2729453.61</v>
      </c>
      <c r="E79" s="430">
        <f>SUMIF([1]Нэгтгэл!B:B,'[1]12'!B:B,[1]Нэгтгэл!I:I)</f>
        <v>123294676.345551</v>
      </c>
      <c r="F79" s="430">
        <f>SUMIF([1]Нэгтгэл!B:B,'[1]12'!B:B,[1]Нэгтгэл!L:L)</f>
        <v>218491949.19563001</v>
      </c>
      <c r="G79" s="430">
        <f>SUMIF([1]Нэгтгэл!B:B,'[1]12'!B:B,[1]Нэгтгэл!R:R)</f>
        <v>0</v>
      </c>
      <c r="H79" s="430">
        <f>SUMIF([1]Нэгтгэл!B:B,'[1]12'!B:B,[1]Нэгтгэл!O:O)</f>
        <v>0</v>
      </c>
      <c r="I79" s="430">
        <f>SUMIF([1]Нэгтгэл!B:B,'[1]12'!B:B,[1]Нэгтгэл!X:X)</f>
        <v>56264368.519999996</v>
      </c>
      <c r="J79" s="430">
        <f>SUMIF([1]Нэгтгэл!B:B,'[1]12'!B:B,[1]Нэгтгэл!AA:AA)</f>
        <v>0</v>
      </c>
      <c r="K79" s="430">
        <f>SUMIF([1]Нэгтгэл!B:B,'[1]12'!B:B,[1]Нэгтгэл!AD:AD)</f>
        <v>0</v>
      </c>
      <c r="L79" s="430">
        <f>SUMIF([1]Нэгтгэл!B:B,'[1]12'!B:B,[1]Нэгтгэл!AJ:AJ)</f>
        <v>0</v>
      </c>
      <c r="M79" s="430">
        <f>SUMIF([1]Нэгтгэл!B:B,'[1]12'!B:B,[1]Нэгтгэл!AM:AM)</f>
        <v>290632666.31</v>
      </c>
      <c r="N79" s="430">
        <f>SUMIF([1]Нэгтгэл!B:B,'[1]12'!B:B,[1]Нэгтгэл!AP:AP)</f>
        <v>90549910</v>
      </c>
      <c r="O79" s="430">
        <f>SUMIF([1]Нэгтгэл!B:B,'[1]12'!B:B,[1]Нэгтгэл!AS:AS)</f>
        <v>0</v>
      </c>
      <c r="P79" s="430">
        <f>SUMIF([1]Нэгтгэл!B:B,'[1]12'!B:B,[1]Нэгтгэл!BB:BB)</f>
        <v>0</v>
      </c>
      <c r="Q79" s="430">
        <f>SUMIF([1]Нэгтгэл!B:B,'[1]12'!B:B,[1]Нэгтгэл!BE:BE)</f>
        <v>0</v>
      </c>
      <c r="R79" s="430">
        <f>SUMIF([1]Нэгтгэл!B:B,'[1]12'!B:B,[1]Нэгтгэл!BH:BH)</f>
        <v>0</v>
      </c>
      <c r="S79" s="430">
        <f>SUMIF([1]Нэгтгэл!B:B,'[1]12'!B:B,[1]Нэгтгэл!BK:BK)</f>
        <v>0</v>
      </c>
      <c r="T79" s="430">
        <f>SUMIF([1]Нэгтгэл!B:B,'[1]12'!B:B,[1]Нэгтгэл!BN:BN)</f>
        <v>0</v>
      </c>
      <c r="U79" s="430">
        <f>SUMIF([1]Нэгтгэл!B:B,'[1]12'!B:B,[1]Нэгтгэл!BQ:BQ)</f>
        <v>0</v>
      </c>
      <c r="V79" s="430">
        <f>SUMIF([1]Нэгтгэл!B:B,'[1]12'!B:B,[1]Нэгтгэл!BT:BT)</f>
        <v>0</v>
      </c>
      <c r="W79" s="430">
        <f>SUMIF([1]Нэгтгэл!B:B,'[1]12'!B:B,[1]Нэгтгэл!BW:BW)</f>
        <v>37492897.219999999</v>
      </c>
    </row>
    <row r="80" spans="1:23">
      <c r="A80" s="437">
        <f t="shared" si="1"/>
        <v>78</v>
      </c>
      <c r="B80" s="385">
        <v>5513618</v>
      </c>
      <c r="C80" s="429" t="s">
        <v>263</v>
      </c>
      <c r="D80" s="430">
        <f>SUMIF([1]Нэгтгэл!B:B,'[1]12'!B:B,[1]Нэгтгэл!F:F)</f>
        <v>0</v>
      </c>
      <c r="E80" s="430">
        <f>SUMIF([1]Нэгтгэл!B:B,'[1]12'!B:B,[1]Нэгтгэл!I:I)</f>
        <v>0</v>
      </c>
      <c r="F80" s="430">
        <f>SUMIF([1]Нэгтгэл!B:B,'[1]12'!B:B,[1]Нэгтгэл!L:L)</f>
        <v>0</v>
      </c>
      <c r="G80" s="430">
        <f>SUMIF([1]Нэгтгэл!B:B,'[1]12'!B:B,[1]Нэгтгэл!R:R)</f>
        <v>0</v>
      </c>
      <c r="H80" s="430">
        <f>SUMIF([1]Нэгтгэл!B:B,'[1]12'!B:B,[1]Нэгтгэл!O:O)</f>
        <v>0</v>
      </c>
      <c r="I80" s="430">
        <f>SUMIF([1]Нэгтгэл!B:B,'[1]12'!B:B,[1]Нэгтгэл!X:X)</f>
        <v>0</v>
      </c>
      <c r="J80" s="430">
        <f>SUMIF([1]Нэгтгэл!B:B,'[1]12'!B:B,[1]Нэгтгэл!AA:AA)</f>
        <v>663840397.57000005</v>
      </c>
      <c r="K80" s="430">
        <f>SUMIF([1]Нэгтгэл!B:B,'[1]12'!B:B,[1]Нэгтгэл!AD:AD)</f>
        <v>0</v>
      </c>
      <c r="L80" s="430">
        <f>SUMIF([1]Нэгтгэл!B:B,'[1]12'!B:B,[1]Нэгтгэл!AJ:AJ)</f>
        <v>0</v>
      </c>
      <c r="M80" s="430">
        <f>SUMIF([1]Нэгтгэл!B:B,'[1]12'!B:B,[1]Нэгтгэл!AM:AM)</f>
        <v>178982934.28999999</v>
      </c>
      <c r="N80" s="430">
        <f>SUMIF([1]Нэгтгэл!B:B,'[1]12'!B:B,[1]Нэгтгэл!AP:AP)</f>
        <v>0</v>
      </c>
      <c r="O80" s="430">
        <f>SUMIF([1]Нэгтгэл!B:B,'[1]12'!B:B,[1]Нэгтгэл!AS:AS)</f>
        <v>0</v>
      </c>
      <c r="P80" s="430">
        <f>SUMIF([1]Нэгтгэл!B:B,'[1]12'!B:B,[1]Нэгтгэл!BB:BB)</f>
        <v>0</v>
      </c>
      <c r="Q80" s="430">
        <f>SUMIF([1]Нэгтгэл!B:B,'[1]12'!B:B,[1]Нэгтгэл!BE:BE)</f>
        <v>0</v>
      </c>
      <c r="R80" s="430">
        <f>SUMIF([1]Нэгтгэл!B:B,'[1]12'!B:B,[1]Нэгтгэл!BH:BH)</f>
        <v>0</v>
      </c>
      <c r="S80" s="430">
        <f>SUMIF([1]Нэгтгэл!B:B,'[1]12'!B:B,[1]Нэгтгэл!BK:BK)</f>
        <v>102457200</v>
      </c>
      <c r="T80" s="430">
        <f>SUMIF([1]Нэгтгэл!B:B,'[1]12'!B:B,[1]Нэгтгэл!BN:BN)</f>
        <v>0</v>
      </c>
      <c r="U80" s="430">
        <f>SUMIF([1]Нэгтгэл!B:B,'[1]12'!B:B,[1]Нэгтгэл!BQ:BQ)</f>
        <v>0</v>
      </c>
      <c r="V80" s="430">
        <f>SUMIF([1]Нэгтгэл!B:B,'[1]12'!B:B,[1]Нэгтгэл!BT:BT)</f>
        <v>0</v>
      </c>
      <c r="W80" s="430">
        <f>SUMIF([1]Нэгтгэл!B:B,'[1]12'!B:B,[1]Нэгтгэл!BW:BW)</f>
        <v>61514819.460000001</v>
      </c>
    </row>
    <row r="81" spans="1:23">
      <c r="A81" s="437">
        <f t="shared" si="1"/>
        <v>79</v>
      </c>
      <c r="B81" s="385">
        <v>2807459</v>
      </c>
      <c r="C81" s="429" t="s">
        <v>264</v>
      </c>
      <c r="D81" s="430">
        <f>SUMIF([1]Нэгтгэл!B:B,'[1]12'!B:B,[1]Нэгтгэл!F:F)</f>
        <v>0</v>
      </c>
      <c r="E81" s="430">
        <f>SUMIF([1]Нэгтгэл!B:B,'[1]12'!B:B,[1]Нэгтгэл!I:I)</f>
        <v>4380156.0470599998</v>
      </c>
      <c r="F81" s="430">
        <f>SUMIF([1]Нэгтгэл!B:B,'[1]12'!B:B,[1]Нэгтгэл!L:L)</f>
        <v>9198327.6988260001</v>
      </c>
      <c r="G81" s="430">
        <f>SUMIF([1]Нэгтгэл!B:B,'[1]12'!B:B,[1]Нэгтгэл!R:R)</f>
        <v>0</v>
      </c>
      <c r="H81" s="430">
        <f>SUMIF([1]Нэгтгэл!B:B,'[1]12'!B:B,[1]Нэгтгэл!O:O)</f>
        <v>0</v>
      </c>
      <c r="I81" s="430">
        <f>SUMIF([1]Нэгтгэл!B:B,'[1]12'!B:B,[1]Нэгтгэл!X:X)</f>
        <v>6050362103.8000002</v>
      </c>
      <c r="J81" s="430">
        <f>SUMIF([1]Нэгтгэл!B:B,'[1]12'!B:B,[1]Нэгтгэл!AA:AA)</f>
        <v>0</v>
      </c>
      <c r="K81" s="430">
        <f>SUMIF([1]Нэгтгэл!B:B,'[1]12'!B:B,[1]Нэгтгэл!AD:AD)</f>
        <v>0</v>
      </c>
      <c r="L81" s="430">
        <f>SUMIF([1]Нэгтгэл!B:B,'[1]12'!B:B,[1]Нэгтгэл!AJ:AJ)</f>
        <v>193973550</v>
      </c>
      <c r="M81" s="430">
        <f>SUMIF([1]Нэгтгэл!B:B,'[1]12'!B:B,[1]Нэгтгэл!AM:AM)</f>
        <v>195303245.96000001</v>
      </c>
      <c r="N81" s="430">
        <f>SUMIF([1]Нэгтгэл!B:B,'[1]12'!B:B,[1]Нэгтгэл!AP:AP)</f>
        <v>222750025</v>
      </c>
      <c r="O81" s="430">
        <f>SUMIF([1]Нэгтгэл!B:B,'[1]12'!B:B,[1]Нэгтгэл!AS:AS)</f>
        <v>0</v>
      </c>
      <c r="P81" s="430">
        <f>SUMIF([1]Нэгтгэл!B:B,'[1]12'!B:B,[1]Нэгтгэл!BB:BB)</f>
        <v>0</v>
      </c>
      <c r="Q81" s="430">
        <f>SUMIF([1]Нэгтгэл!B:B,'[1]12'!B:B,[1]Нэгтгэл!BE:BE)</f>
        <v>0</v>
      </c>
      <c r="R81" s="430">
        <f>SUMIF([1]Нэгтгэл!B:B,'[1]12'!B:B,[1]Нэгтгэл!BH:BH)</f>
        <v>0</v>
      </c>
      <c r="S81" s="430">
        <f>SUMIF([1]Нэгтгэл!B:B,'[1]12'!B:B,[1]Нэгтгэл!BK:BK)</f>
        <v>0</v>
      </c>
      <c r="T81" s="430">
        <f>SUMIF([1]Нэгтгэл!B:B,'[1]12'!B:B,[1]Нэгтгэл!BN:BN)</f>
        <v>0</v>
      </c>
      <c r="U81" s="430">
        <f>SUMIF([1]Нэгтгэл!B:B,'[1]12'!B:B,[1]Нэгтгэл!BQ:BQ)</f>
        <v>0</v>
      </c>
      <c r="V81" s="430">
        <f>SUMIF([1]Нэгтгэл!B:B,'[1]12'!B:B,[1]Нэгтгэл!BT:BT)</f>
        <v>0</v>
      </c>
      <c r="W81" s="430">
        <f>SUMIF([1]Нэгтгэл!B:B,'[1]12'!B:B,[1]Нэгтгэл!BW:BW)</f>
        <v>18648684.280000001</v>
      </c>
    </row>
    <row r="82" spans="1:23">
      <c r="A82" s="437">
        <f t="shared" si="1"/>
        <v>80</v>
      </c>
      <c r="B82" s="385">
        <v>2872943</v>
      </c>
      <c r="C82" s="429" t="s">
        <v>265</v>
      </c>
      <c r="D82" s="430">
        <f>SUMIF([1]Нэгтгэл!B:B,'[1]12'!B:B,[1]Нэгтгэл!F:F)</f>
        <v>66522364.840000004</v>
      </c>
      <c r="E82" s="430">
        <f>SUMIF([1]Нэгтгэл!B:B,'[1]12'!B:B,[1]Нэгтгэл!I:I)</f>
        <v>29541898.66375</v>
      </c>
      <c r="F82" s="430">
        <f>SUMIF([1]Нэгтгэл!B:B,'[1]12'!B:B,[1]Нэгтгэл!L:L)</f>
        <v>62037987.193875</v>
      </c>
      <c r="G82" s="430">
        <f>SUMIF([1]Нэгтгэл!B:B,'[1]12'!B:B,[1]Нэгтгэл!R:R)</f>
        <v>0</v>
      </c>
      <c r="H82" s="430">
        <f>SUMIF([1]Нэгтгэл!B:B,'[1]12'!B:B,[1]Нэгтгэл!O:O)</f>
        <v>0</v>
      </c>
      <c r="I82" s="430">
        <f>SUMIF([1]Нэгтгэл!B:B,'[1]12'!B:B,[1]Нэгтгэл!X:X)</f>
        <v>0</v>
      </c>
      <c r="J82" s="430">
        <f>SUMIF([1]Нэгтгэл!B:B,'[1]12'!B:B,[1]Нэгтгэл!AA:AA)</f>
        <v>0</v>
      </c>
      <c r="K82" s="430">
        <f>SUMIF([1]Нэгтгэл!B:B,'[1]12'!B:B,[1]Нэгтгэл!AD:AD)</f>
        <v>0</v>
      </c>
      <c r="L82" s="430">
        <f>SUMIF([1]Нэгтгэл!B:B,'[1]12'!B:B,[1]Нэгтгэл!AJ:AJ)</f>
        <v>0</v>
      </c>
      <c r="M82" s="430">
        <f>SUMIF([1]Нэгтгэл!B:B,'[1]12'!B:B,[1]Нэгтгэл!AM:AM)</f>
        <v>1869941462.3699999</v>
      </c>
      <c r="N82" s="430">
        <f>SUMIF([1]Нэгтгэл!B:B,'[1]12'!B:B,[1]Нэгтгэл!AP:AP)</f>
        <v>43200</v>
      </c>
      <c r="O82" s="430">
        <f>SUMIF([1]Нэгтгэл!B:B,'[1]12'!B:B,[1]Нэгтгэл!AS:AS)</f>
        <v>0</v>
      </c>
      <c r="P82" s="430">
        <f>SUMIF([1]Нэгтгэл!B:B,'[1]12'!B:B,[1]Нэгтгэл!BB:BB)</f>
        <v>0</v>
      </c>
      <c r="Q82" s="430">
        <f>SUMIF([1]Нэгтгэл!B:B,'[1]12'!B:B,[1]Нэгтгэл!BE:BE)</f>
        <v>0</v>
      </c>
      <c r="R82" s="430">
        <f>SUMIF([1]Нэгтгэл!B:B,'[1]12'!B:B,[1]Нэгтгэл!BH:BH)</f>
        <v>0</v>
      </c>
      <c r="S82" s="430">
        <f>SUMIF([1]Нэгтгэл!B:B,'[1]12'!B:B,[1]Нэгтгэл!BK:BK)</f>
        <v>0</v>
      </c>
      <c r="T82" s="430">
        <f>SUMIF([1]Нэгтгэл!B:B,'[1]12'!B:B,[1]Нэгтгэл!BN:BN)</f>
        <v>0</v>
      </c>
      <c r="U82" s="430">
        <f>SUMIF([1]Нэгтгэл!B:B,'[1]12'!B:B,[1]Нэгтгэл!BQ:BQ)</f>
        <v>0</v>
      </c>
      <c r="V82" s="430">
        <f>SUMIF([1]Нэгтгэл!B:B,'[1]12'!B:B,[1]Нэгтгэл!BT:BT)</f>
        <v>0</v>
      </c>
      <c r="W82" s="430">
        <f>SUMIF([1]Нэгтгэл!B:B,'[1]12'!B:B,[1]Нэгтгэл!BW:BW)</f>
        <v>658988784.99000001</v>
      </c>
    </row>
    <row r="83" spans="1:23">
      <c r="A83" s="437">
        <f t="shared" si="1"/>
        <v>81</v>
      </c>
      <c r="B83" s="385">
        <v>6268048</v>
      </c>
      <c r="C83" s="429" t="s">
        <v>266</v>
      </c>
      <c r="D83" s="430">
        <f>SUMIF([1]Нэгтгэл!B:B,'[1]12'!B:B,[1]Нэгтгэл!F:F)</f>
        <v>52756599.620000005</v>
      </c>
      <c r="E83" s="430">
        <f>SUMIF([1]Нэгтгэл!B:B,'[1]12'!B:B,[1]Нэгтгэл!I:I)</f>
        <v>5159490.7204750003</v>
      </c>
      <c r="F83" s="430">
        <f>SUMIF([1]Нэгтгэл!B:B,'[1]12'!B:B,[1]Нэгтгэл!L:L)</f>
        <v>25834930.512995001</v>
      </c>
      <c r="G83" s="430">
        <f>SUMIF([1]Нэгтгэл!B:B,'[1]12'!B:B,[1]Нэгтгэл!R:R)</f>
        <v>0</v>
      </c>
      <c r="H83" s="430">
        <f>SUMIF([1]Нэгтгэл!B:B,'[1]12'!B:B,[1]Нэгтгэл!O:O)</f>
        <v>0</v>
      </c>
      <c r="I83" s="430">
        <f>SUMIF([1]Нэгтгэл!B:B,'[1]12'!B:B,[1]Нэгтгэл!X:X)</f>
        <v>0</v>
      </c>
      <c r="J83" s="430">
        <f>SUMIF([1]Нэгтгэл!B:B,'[1]12'!B:B,[1]Нэгтгэл!AA:AA)</f>
        <v>0</v>
      </c>
      <c r="K83" s="430">
        <f>SUMIF([1]Нэгтгэл!B:B,'[1]12'!B:B,[1]Нэгтгэл!AD:AD)</f>
        <v>0</v>
      </c>
      <c r="L83" s="430">
        <f>SUMIF([1]Нэгтгэл!B:B,'[1]12'!B:B,[1]Нэгтгэл!AJ:AJ)</f>
        <v>0</v>
      </c>
      <c r="M83" s="430">
        <f>SUMIF([1]Нэгтгэл!B:B,'[1]12'!B:B,[1]Нэгтгэл!AM:AM)</f>
        <v>1009000000</v>
      </c>
      <c r="N83" s="430">
        <f>SUMIF([1]Нэгтгэл!B:B,'[1]12'!B:B,[1]Нэгтгэл!AP:AP)</f>
        <v>9400</v>
      </c>
      <c r="O83" s="430">
        <f>SUMIF([1]Нэгтгэл!B:B,'[1]12'!B:B,[1]Нэгтгэл!AS:AS)</f>
        <v>0</v>
      </c>
      <c r="P83" s="430">
        <f>SUMIF([1]Нэгтгэл!B:B,'[1]12'!B:B,[1]Нэгтгэл!BB:BB)</f>
        <v>0</v>
      </c>
      <c r="Q83" s="430">
        <f>SUMIF([1]Нэгтгэл!B:B,'[1]12'!B:B,[1]Нэгтгэл!BE:BE)</f>
        <v>0</v>
      </c>
      <c r="R83" s="430">
        <f>SUMIF([1]Нэгтгэл!B:B,'[1]12'!B:B,[1]Нэгтгэл!BH:BH)</f>
        <v>0</v>
      </c>
      <c r="S83" s="430">
        <f>SUMIF([1]Нэгтгэл!B:B,'[1]12'!B:B,[1]Нэгтгэл!BK:BK)</f>
        <v>0</v>
      </c>
      <c r="T83" s="430">
        <f>SUMIF([1]Нэгтгэл!B:B,'[1]12'!B:B,[1]Нэгтгэл!BN:BN)</f>
        <v>0</v>
      </c>
      <c r="U83" s="430">
        <f>SUMIF([1]Нэгтгэл!B:B,'[1]12'!B:B,[1]Нэгтгэл!BQ:BQ)</f>
        <v>0</v>
      </c>
      <c r="V83" s="430">
        <f>SUMIF([1]Нэгтгэл!B:B,'[1]12'!B:B,[1]Нэгтгэл!BT:BT)</f>
        <v>0</v>
      </c>
      <c r="W83" s="430">
        <f>SUMIF([1]Нэгтгэл!B:B,'[1]12'!B:B,[1]Нэгтгэл!BW:BW)</f>
        <v>315608497.64999998</v>
      </c>
    </row>
    <row r="84" spans="1:23">
      <c r="A84" s="437">
        <f t="shared" si="1"/>
        <v>82</v>
      </c>
      <c r="B84" s="385">
        <v>5874963</v>
      </c>
      <c r="C84" s="429" t="s">
        <v>268</v>
      </c>
      <c r="D84" s="430">
        <f>SUMIF([1]Нэгтгэл!B:B,'[1]12'!B:B,[1]Нэгтгэл!F:F)</f>
        <v>0</v>
      </c>
      <c r="E84" s="430">
        <f>SUMIF([1]Нэгтгэл!B:B,'[1]12'!B:B,[1]Нэгтгэл!I:I)</f>
        <v>144369.54</v>
      </c>
      <c r="F84" s="430">
        <f>SUMIF([1]Нэгтгэл!B:B,'[1]12'!B:B,[1]Нэгтгэл!L:L)</f>
        <v>303176.03399999999</v>
      </c>
      <c r="G84" s="430">
        <f>SUMIF([1]Нэгтгэл!B:B,'[1]12'!B:B,[1]Нэгтгэл!R:R)</f>
        <v>0</v>
      </c>
      <c r="H84" s="430">
        <f>SUMIF([1]Нэгтгэл!B:B,'[1]12'!B:B,[1]Нэгтгэл!O:O)</f>
        <v>0</v>
      </c>
      <c r="I84" s="430">
        <f>SUMIF([1]Нэгтгэл!B:B,'[1]12'!B:B,[1]Нэгтгэл!X:X)</f>
        <v>400000000</v>
      </c>
      <c r="J84" s="430">
        <f>SUMIF([1]Нэгтгэл!B:B,'[1]12'!B:B,[1]Нэгтгэл!AA:AA)</f>
        <v>0</v>
      </c>
      <c r="K84" s="430">
        <f>SUMIF([1]Нэгтгэл!B:B,'[1]12'!B:B,[1]Нэгтгэл!AD:AD)</f>
        <v>0</v>
      </c>
      <c r="L84" s="430">
        <f>SUMIF([1]Нэгтгэл!B:B,'[1]12'!B:B,[1]Нэгтгэл!AJ:AJ)</f>
        <v>263266630</v>
      </c>
      <c r="M84" s="430">
        <f>SUMIF([1]Нэгтгэл!B:B,'[1]12'!B:B,[1]Нэгтгэл!AM:AM)</f>
        <v>352353880.08999997</v>
      </c>
      <c r="N84" s="430">
        <f>SUMIF([1]Нэгтгэл!B:B,'[1]12'!B:B,[1]Нэгтгэл!AP:AP)</f>
        <v>675918225</v>
      </c>
      <c r="O84" s="430">
        <f>SUMIF([1]Нэгтгэл!B:B,'[1]12'!B:B,[1]Нэгтгэл!AS:AS)</f>
        <v>0</v>
      </c>
      <c r="P84" s="430">
        <f>SUMIF([1]Нэгтгэл!B:B,'[1]12'!B:B,[1]Нэгтгэл!BB:BB)</f>
        <v>0</v>
      </c>
      <c r="Q84" s="430">
        <f>SUMIF([1]Нэгтгэл!B:B,'[1]12'!B:B,[1]Нэгтгэл!BE:BE)</f>
        <v>0</v>
      </c>
      <c r="R84" s="430">
        <f>SUMIF([1]Нэгтгэл!B:B,'[1]12'!B:B,[1]Нэгтгэл!BH:BH)</f>
        <v>0</v>
      </c>
      <c r="S84" s="430">
        <f>SUMIF([1]Нэгтгэл!B:B,'[1]12'!B:B,[1]Нэгтгэл!BK:BK)</f>
        <v>0</v>
      </c>
      <c r="T84" s="430">
        <f>SUMIF([1]Нэгтгэл!B:B,'[1]12'!B:B,[1]Нэгтгэл!BN:BN)</f>
        <v>0</v>
      </c>
      <c r="U84" s="430">
        <f>SUMIF([1]Нэгтгэл!B:B,'[1]12'!B:B,[1]Нэгтгэл!BQ:BQ)</f>
        <v>0</v>
      </c>
      <c r="V84" s="430">
        <f>SUMIF([1]Нэгтгэл!B:B,'[1]12'!B:B,[1]Нэгтгэл!BT:BT)</f>
        <v>0</v>
      </c>
      <c r="W84" s="430">
        <f>SUMIF([1]Нэгтгэл!B:B,'[1]12'!B:B,[1]Нэгтгэл!BW:BW)</f>
        <v>390213527.82999992</v>
      </c>
    </row>
    <row r="85" spans="1:23">
      <c r="A85" s="437">
        <f t="shared" si="1"/>
        <v>83</v>
      </c>
      <c r="B85" s="385">
        <v>6636624</v>
      </c>
      <c r="C85" s="429" t="s">
        <v>269</v>
      </c>
      <c r="D85" s="430">
        <f>SUMIF([1]Нэгтгэл!B:B,'[1]12'!B:B,[1]Нэгтгэл!F:F)</f>
        <v>0</v>
      </c>
      <c r="E85" s="430">
        <f>SUMIF([1]Нэгтгэл!B:B,'[1]12'!B:B,[1]Нэгтгэл!I:I)</f>
        <v>0</v>
      </c>
      <c r="F85" s="430">
        <f>SUMIF([1]Нэгтгэл!B:B,'[1]12'!B:B,[1]Нэгтгэл!L:L)</f>
        <v>0</v>
      </c>
      <c r="G85" s="430">
        <f>SUMIF([1]Нэгтгэл!B:B,'[1]12'!B:B,[1]Нэгтгэл!R:R)</f>
        <v>0</v>
      </c>
      <c r="H85" s="430">
        <f>SUMIF([1]Нэгтгэл!B:B,'[1]12'!B:B,[1]Нэгтгэл!O:O)</f>
        <v>0</v>
      </c>
      <c r="I85" s="430">
        <f>SUMIF([1]Нэгтгэл!B:B,'[1]12'!B:B,[1]Нэгтгэл!X:X)</f>
        <v>0</v>
      </c>
      <c r="J85" s="430">
        <f>SUMIF([1]Нэгтгэл!B:B,'[1]12'!B:B,[1]Нэгтгэл!AA:AA)</f>
        <v>0</v>
      </c>
      <c r="K85" s="430">
        <f>SUMIF([1]Нэгтгэл!B:B,'[1]12'!B:B,[1]Нэгтгэл!AD:AD)</f>
        <v>0</v>
      </c>
      <c r="L85" s="430">
        <f>SUMIF([1]Нэгтгэл!B:B,'[1]12'!B:B,[1]Нэгтгэл!AJ:AJ)</f>
        <v>0</v>
      </c>
      <c r="M85" s="430">
        <f>SUMIF([1]Нэгтгэл!B:B,'[1]12'!B:B,[1]Нэгтгэл!AM:AM)</f>
        <v>0</v>
      </c>
      <c r="N85" s="430">
        <f>SUMIF([1]Нэгтгэл!B:B,'[1]12'!B:B,[1]Нэгтгэл!AP:AP)</f>
        <v>0</v>
      </c>
      <c r="O85" s="430">
        <f>SUMIF([1]Нэгтгэл!B:B,'[1]12'!B:B,[1]Нэгтгэл!AS:AS)</f>
        <v>0</v>
      </c>
      <c r="P85" s="430">
        <f>SUMIF([1]Нэгтгэл!B:B,'[1]12'!B:B,[1]Нэгтгэл!BB:BB)</f>
        <v>0</v>
      </c>
      <c r="Q85" s="430">
        <f>SUMIF([1]Нэгтгэл!B:B,'[1]12'!B:B,[1]Нэгтгэл!BE:BE)</f>
        <v>0</v>
      </c>
      <c r="R85" s="430">
        <f>SUMIF([1]Нэгтгэл!B:B,'[1]12'!B:B,[1]Нэгтгэл!BH:BH)</f>
        <v>26113050</v>
      </c>
      <c r="S85" s="430">
        <f>SUMIF([1]Нэгтгэл!B:B,'[1]12'!B:B,[1]Нэгтгэл!BK:BK)</f>
        <v>0</v>
      </c>
      <c r="T85" s="430">
        <f>SUMIF([1]Нэгтгэл!B:B,'[1]12'!B:B,[1]Нэгтгэл!BN:BN)</f>
        <v>0</v>
      </c>
      <c r="U85" s="430">
        <f>SUMIF([1]Нэгтгэл!B:B,'[1]12'!B:B,[1]Нэгтгэл!BQ:BQ)</f>
        <v>0</v>
      </c>
      <c r="V85" s="430">
        <f>SUMIF([1]Нэгтгэл!B:B,'[1]12'!B:B,[1]Нэгтгэл!BT:BT)</f>
        <v>0</v>
      </c>
      <c r="W85" s="430">
        <f>SUMIF([1]Нэгтгэл!B:B,'[1]12'!B:B,[1]Нэгтгэл!BW:BW)</f>
        <v>0</v>
      </c>
    </row>
    <row r="86" spans="1:23">
      <c r="A86" s="437">
        <f t="shared" si="1"/>
        <v>84</v>
      </c>
      <c r="B86" s="385">
        <v>2839717</v>
      </c>
      <c r="C86" s="429" t="s">
        <v>270</v>
      </c>
      <c r="D86" s="430">
        <f>SUMIF([1]Нэгтгэл!B:B,'[1]12'!B:B,[1]Нэгтгэл!F:F)</f>
        <v>2757895258.0999999</v>
      </c>
      <c r="E86" s="430">
        <f>SUMIF([1]Нэгтгэл!B:B,'[1]12'!B:B,[1]Нэгтгэл!I:I)</f>
        <v>128901934.29866301</v>
      </c>
      <c r="F86" s="430">
        <f>SUMIF([1]Нэгтгэл!B:B,'[1]12'!B:B,[1]Нэгтгэл!L:L)</f>
        <v>269088439.82720798</v>
      </c>
      <c r="G86" s="430">
        <f>SUMIF([1]Нэгтгэл!B:B,'[1]12'!B:B,[1]Нэгтгэл!R:R)</f>
        <v>0</v>
      </c>
      <c r="H86" s="430">
        <f>SUMIF([1]Нэгтгэл!B:B,'[1]12'!B:B,[1]Нэгтгэл!O:O)</f>
        <v>0</v>
      </c>
      <c r="I86" s="430">
        <f>SUMIF([1]Нэгтгэл!B:B,'[1]12'!B:B,[1]Нэгтгэл!X:X)</f>
        <v>9820912.75</v>
      </c>
      <c r="J86" s="430">
        <f>SUMIF([1]Нэгтгэл!B:B,'[1]12'!B:B,[1]Нэгтгэл!AA:AA)</f>
        <v>0</v>
      </c>
      <c r="K86" s="430">
        <f>SUMIF([1]Нэгтгэл!B:B,'[1]12'!B:B,[1]Нэгтгэл!AD:AD)</f>
        <v>0</v>
      </c>
      <c r="L86" s="430">
        <f>SUMIF([1]Нэгтгэл!B:B,'[1]12'!B:B,[1]Нэгтгэл!AJ:AJ)</f>
        <v>0</v>
      </c>
      <c r="M86" s="430">
        <f>SUMIF([1]Нэгтгэл!B:B,'[1]12'!B:B,[1]Нэгтгэл!AM:AM)</f>
        <v>931142979.63</v>
      </c>
      <c r="N86" s="430">
        <f>SUMIF([1]Нэгтгэл!B:B,'[1]12'!B:B,[1]Нэгтгэл!AP:AP)</f>
        <v>183200</v>
      </c>
      <c r="O86" s="430">
        <f>SUMIF([1]Нэгтгэл!B:B,'[1]12'!B:B,[1]Нэгтгэл!AS:AS)</f>
        <v>0</v>
      </c>
      <c r="P86" s="430">
        <f>SUMIF([1]Нэгтгэл!B:B,'[1]12'!B:B,[1]Нэгтгэл!BB:BB)</f>
        <v>0</v>
      </c>
      <c r="Q86" s="430">
        <f>SUMIF([1]Нэгтгэл!B:B,'[1]12'!B:B,[1]Нэгтгэл!BE:BE)</f>
        <v>0</v>
      </c>
      <c r="R86" s="430">
        <f>SUMIF([1]Нэгтгэл!B:B,'[1]12'!B:B,[1]Нэгтгэл!BH:BH)</f>
        <v>0</v>
      </c>
      <c r="S86" s="430">
        <f>SUMIF([1]Нэгтгэл!B:B,'[1]12'!B:B,[1]Нэгтгэл!BK:BK)</f>
        <v>0</v>
      </c>
      <c r="T86" s="430">
        <f>SUMIF([1]Нэгтгэл!B:B,'[1]12'!B:B,[1]Нэгтгэл!BN:BN)</f>
        <v>0</v>
      </c>
      <c r="U86" s="430">
        <f>SUMIF([1]Нэгтгэл!B:B,'[1]12'!B:B,[1]Нэгтгэл!BQ:BQ)</f>
        <v>0</v>
      </c>
      <c r="V86" s="430">
        <f>SUMIF([1]Нэгтгэл!B:B,'[1]12'!B:B,[1]Нэгтгэл!BT:BT)</f>
        <v>0</v>
      </c>
      <c r="W86" s="430">
        <f>SUMIF([1]Нэгтгэл!B:B,'[1]12'!B:B,[1]Нэгтгэл!BW:BW)</f>
        <v>295821471.88</v>
      </c>
    </row>
    <row r="87" spans="1:23">
      <c r="A87" s="437">
        <f t="shared" si="1"/>
        <v>85</v>
      </c>
      <c r="B87" s="385">
        <v>2344343</v>
      </c>
      <c r="C87" s="429" t="s">
        <v>271</v>
      </c>
      <c r="D87" s="430">
        <f>SUMIF([1]Нэгтгэл!B:B,'[1]12'!B:B,[1]Нэгтгэл!F:F)</f>
        <v>10999291.41</v>
      </c>
      <c r="E87" s="430">
        <f>SUMIF([1]Нэгтгэл!B:B,'[1]12'!B:B,[1]Нэгтгэл!I:I)</f>
        <v>0</v>
      </c>
      <c r="F87" s="430">
        <f>SUMIF([1]Нэгтгэл!B:B,'[1]12'!B:B,[1]Нэгтгэл!L:L)</f>
        <v>700343979.25999999</v>
      </c>
      <c r="G87" s="430">
        <f>SUMIF([1]Нэгтгэл!B:B,'[1]12'!B:B,[1]Нэгтгэл!R:R)</f>
        <v>0</v>
      </c>
      <c r="H87" s="430">
        <f>SUMIF([1]Нэгтгэл!B:B,'[1]12'!B:B,[1]Нэгтгэл!O:O)</f>
        <v>0</v>
      </c>
      <c r="I87" s="430">
        <f>SUMIF([1]Нэгтгэл!B:B,'[1]12'!B:B,[1]Нэгтгэл!X:X)</f>
        <v>0</v>
      </c>
      <c r="J87" s="430">
        <f>SUMIF([1]Нэгтгэл!B:B,'[1]12'!B:B,[1]Нэгтгэл!AA:AA)</f>
        <v>0</v>
      </c>
      <c r="K87" s="430">
        <f>SUMIF([1]Нэгтгэл!B:B,'[1]12'!B:B,[1]Нэгтгэл!AD:AD)</f>
        <v>0</v>
      </c>
      <c r="L87" s="430">
        <f>SUMIF([1]Нэгтгэл!B:B,'[1]12'!B:B,[1]Нэгтгэл!AJ:AJ)</f>
        <v>0</v>
      </c>
      <c r="M87" s="430">
        <f>SUMIF([1]Нэгтгэл!B:B,'[1]12'!B:B,[1]Нэгтгэл!AM:AM)</f>
        <v>509969314.87</v>
      </c>
      <c r="N87" s="430">
        <f>SUMIF([1]Нэгтгэл!B:B,'[1]12'!B:B,[1]Нэгтгэл!AP:AP)</f>
        <v>0</v>
      </c>
      <c r="O87" s="430">
        <f>SUMIF([1]Нэгтгэл!B:B,'[1]12'!B:B,[1]Нэгтгэл!AS:AS)</f>
        <v>0</v>
      </c>
      <c r="P87" s="430">
        <f>SUMIF([1]Нэгтгэл!B:B,'[1]12'!B:B,[1]Нэгтгэл!BB:BB)</f>
        <v>0</v>
      </c>
      <c r="Q87" s="430">
        <f>SUMIF([1]Нэгтгэл!B:B,'[1]12'!B:B,[1]Нэгтгэл!BE:BE)</f>
        <v>0</v>
      </c>
      <c r="R87" s="430">
        <f>SUMIF([1]Нэгтгэл!B:B,'[1]12'!B:B,[1]Нэгтгэл!BH:BH)</f>
        <v>0</v>
      </c>
      <c r="S87" s="430">
        <f>SUMIF([1]Нэгтгэл!B:B,'[1]12'!B:B,[1]Нэгтгэл!BK:BK)</f>
        <v>0</v>
      </c>
      <c r="T87" s="430">
        <f>SUMIF([1]Нэгтгэл!B:B,'[1]12'!B:B,[1]Нэгтгэл!BN:BN)</f>
        <v>0</v>
      </c>
      <c r="U87" s="430">
        <f>SUMIF([1]Нэгтгэл!B:B,'[1]12'!B:B,[1]Нэгтгэл!BQ:BQ)</f>
        <v>0</v>
      </c>
      <c r="V87" s="430">
        <f>SUMIF([1]Нэгтгэл!B:B,'[1]12'!B:B,[1]Нэгтгэл!BT:BT)</f>
        <v>0</v>
      </c>
      <c r="W87" s="430">
        <f>SUMIF([1]Нэгтгэл!B:B,'[1]12'!B:B,[1]Нэгтгэл!BW:BW)</f>
        <v>103406531.25999999</v>
      </c>
    </row>
    <row r="88" spans="1:23">
      <c r="A88" s="437">
        <f t="shared" si="1"/>
        <v>86</v>
      </c>
      <c r="B88" s="385">
        <v>2819996</v>
      </c>
      <c r="C88" s="429" t="s">
        <v>273</v>
      </c>
      <c r="D88" s="430">
        <f>SUMIF([1]Нэгтгэл!B:B,'[1]12'!B:B,[1]Нэгтгэл!F:F)</f>
        <v>492448414.80000001</v>
      </c>
      <c r="E88" s="430">
        <f>SUMIF([1]Нэгтгэл!B:B,'[1]12'!B:B,[1]Нэгтгэл!I:I)</f>
        <v>144649169.20692801</v>
      </c>
      <c r="F88" s="430">
        <f>SUMIF([1]Нэгтгэл!B:B,'[1]12'!B:B,[1]Нэгтгэл!L:L)</f>
        <v>823960158.15046799</v>
      </c>
      <c r="G88" s="430">
        <f>SUMIF([1]Нэгтгэл!B:B,'[1]12'!B:B,[1]Нэгтгэл!R:R)</f>
        <v>0</v>
      </c>
      <c r="H88" s="430">
        <f>SUMIF([1]Нэгтгэл!B:B,'[1]12'!B:B,[1]Нэгтгэл!O:O)</f>
        <v>0</v>
      </c>
      <c r="I88" s="430">
        <f>SUMIF([1]Нэгтгэл!B:B,'[1]12'!B:B,[1]Нэгтгэл!X:X)</f>
        <v>0</v>
      </c>
      <c r="J88" s="430">
        <f>SUMIF([1]Нэгтгэл!B:B,'[1]12'!B:B,[1]Нэгтгэл!AA:AA)</f>
        <v>0</v>
      </c>
      <c r="K88" s="430">
        <f>SUMIF([1]Нэгтгэл!B:B,'[1]12'!B:B,[1]Нэгтгэл!AD:AD)</f>
        <v>0</v>
      </c>
      <c r="L88" s="430">
        <f>SUMIF([1]Нэгтгэл!B:B,'[1]12'!B:B,[1]Нэгтгэл!AJ:AJ)</f>
        <v>0</v>
      </c>
      <c r="M88" s="430">
        <f>SUMIF([1]Нэгтгэл!B:B,'[1]12'!B:B,[1]Нэгтгэл!AM:AM)</f>
        <v>1826500000</v>
      </c>
      <c r="N88" s="430">
        <f>SUMIF([1]Нэгтгэл!B:B,'[1]12'!B:B,[1]Нэгтгэл!AP:AP)</f>
        <v>764000</v>
      </c>
      <c r="O88" s="430">
        <f>SUMIF([1]Нэгтгэл!B:B,'[1]12'!B:B,[1]Нэгтгэл!AS:AS)</f>
        <v>0</v>
      </c>
      <c r="P88" s="430">
        <f>SUMIF([1]Нэгтгэл!B:B,'[1]12'!B:B,[1]Нэгтгэл!BB:BB)</f>
        <v>0</v>
      </c>
      <c r="Q88" s="430">
        <f>SUMIF([1]Нэгтгэл!B:B,'[1]12'!B:B,[1]Нэгтгэл!BE:BE)</f>
        <v>0</v>
      </c>
      <c r="R88" s="430">
        <f>SUMIF([1]Нэгтгэл!B:B,'[1]12'!B:B,[1]Нэгтгэл!BH:BH)</f>
        <v>0</v>
      </c>
      <c r="S88" s="430">
        <f>SUMIF([1]Нэгтгэл!B:B,'[1]12'!B:B,[1]Нэгтгэл!BK:BK)</f>
        <v>0</v>
      </c>
      <c r="T88" s="430">
        <f>SUMIF([1]Нэгтгэл!B:B,'[1]12'!B:B,[1]Нэгтгэл!BN:BN)</f>
        <v>0</v>
      </c>
      <c r="U88" s="430">
        <f>SUMIF([1]Нэгтгэл!B:B,'[1]12'!B:B,[1]Нэгтгэл!BQ:BQ)</f>
        <v>0</v>
      </c>
      <c r="V88" s="430">
        <f>SUMIF([1]Нэгтгэл!B:B,'[1]12'!B:B,[1]Нэгтгэл!BT:BT)</f>
        <v>0</v>
      </c>
      <c r="W88" s="430">
        <f>SUMIF([1]Нэгтгэл!B:B,'[1]12'!B:B,[1]Нэгтгэл!BW:BW)</f>
        <v>582962539.19000006</v>
      </c>
    </row>
    <row r="89" spans="1:23">
      <c r="A89" s="437">
        <f t="shared" si="1"/>
        <v>87</v>
      </c>
      <c r="B89" s="385">
        <v>2868687</v>
      </c>
      <c r="C89" s="429" t="s">
        <v>277</v>
      </c>
      <c r="D89" s="430">
        <f>SUMIF([1]Нэгтгэл!B:B,'[1]12'!B:B,[1]Нэгтгэл!F:F)</f>
        <v>193601090.87</v>
      </c>
      <c r="E89" s="430">
        <f>SUMIF([1]Нэгтгэл!B:B,'[1]12'!B:B,[1]Нэгтгэл!I:I)</f>
        <v>16006602.275032001</v>
      </c>
      <c r="F89" s="430">
        <f>SUMIF([1]Нэгтгэл!B:B,'[1]12'!B:B,[1]Нэгтгэл!L:L)</f>
        <v>35392435.567561001</v>
      </c>
      <c r="G89" s="430">
        <f>SUMIF([1]Нэгтгэл!B:B,'[1]12'!B:B,[1]Нэгтгэл!R:R)</f>
        <v>0</v>
      </c>
      <c r="H89" s="430">
        <f>SUMIF([1]Нэгтгэл!B:B,'[1]12'!B:B,[1]Нэгтгэл!O:O)</f>
        <v>0</v>
      </c>
      <c r="I89" s="430">
        <f>SUMIF([1]Нэгтгэл!B:B,'[1]12'!B:B,[1]Нэгтгэл!X:X)</f>
        <v>0</v>
      </c>
      <c r="J89" s="430">
        <f>SUMIF([1]Нэгтгэл!B:B,'[1]12'!B:B,[1]Нэгтгэл!AA:AA)</f>
        <v>0</v>
      </c>
      <c r="K89" s="430">
        <f>SUMIF([1]Нэгтгэл!B:B,'[1]12'!B:B,[1]Нэгтгэл!AD:AD)</f>
        <v>0</v>
      </c>
      <c r="L89" s="430">
        <f>SUMIF([1]Нэгтгэл!B:B,'[1]12'!B:B,[1]Нэгтгэл!AJ:AJ)</f>
        <v>0</v>
      </c>
      <c r="M89" s="430">
        <f>SUMIF([1]Нэгтгэл!B:B,'[1]12'!B:B,[1]Нэгтгэл!AM:AM)</f>
        <v>592491981.22000003</v>
      </c>
      <c r="N89" s="430">
        <f>SUMIF([1]Нэгтгэл!B:B,'[1]12'!B:B,[1]Нэгтгэл!AP:AP)</f>
        <v>59600</v>
      </c>
      <c r="O89" s="430">
        <f>SUMIF([1]Нэгтгэл!B:B,'[1]12'!B:B,[1]Нэгтгэл!AS:AS)</f>
        <v>0</v>
      </c>
      <c r="P89" s="430">
        <f>SUMIF([1]Нэгтгэл!B:B,'[1]12'!B:B,[1]Нэгтгэл!BB:BB)</f>
        <v>0</v>
      </c>
      <c r="Q89" s="430">
        <f>SUMIF([1]Нэгтгэл!B:B,'[1]12'!B:B,[1]Нэгтгэл!BE:BE)</f>
        <v>0</v>
      </c>
      <c r="R89" s="430">
        <f>SUMIF([1]Нэгтгэл!B:B,'[1]12'!B:B,[1]Нэгтгэл!BH:BH)</f>
        <v>0</v>
      </c>
      <c r="S89" s="430">
        <f>SUMIF([1]Нэгтгэл!B:B,'[1]12'!B:B,[1]Нэгтгэл!BK:BK)</f>
        <v>0</v>
      </c>
      <c r="T89" s="430">
        <f>SUMIF([1]Нэгтгэл!B:B,'[1]12'!B:B,[1]Нэгтгэл!BN:BN)</f>
        <v>0</v>
      </c>
      <c r="U89" s="430">
        <f>SUMIF([1]Нэгтгэл!B:B,'[1]12'!B:B,[1]Нэгтгэл!BQ:BQ)</f>
        <v>0</v>
      </c>
      <c r="V89" s="430">
        <f>SUMIF([1]Нэгтгэл!B:B,'[1]12'!B:B,[1]Нэгтгэл!BT:BT)</f>
        <v>0</v>
      </c>
      <c r="W89" s="430">
        <f>SUMIF([1]Нэгтгэл!B:B,'[1]12'!B:B,[1]Нэгтгэл!BW:BW)</f>
        <v>182353255.13</v>
      </c>
    </row>
    <row r="90" spans="1:23">
      <c r="A90" s="437">
        <f t="shared" si="1"/>
        <v>88</v>
      </c>
      <c r="B90" s="385">
        <v>5877288</v>
      </c>
      <c r="C90" s="429" t="s">
        <v>279</v>
      </c>
      <c r="D90" s="430">
        <f>SUMIF([1]Нэгтгэл!B:B,'[1]12'!B:B,[1]Нэгтгэл!F:F)</f>
        <v>171237295.75</v>
      </c>
      <c r="E90" s="430">
        <f>SUMIF([1]Нэгтгэл!B:B,'[1]12'!B:B,[1]Нэгтгэл!I:I)</f>
        <v>0</v>
      </c>
      <c r="F90" s="430">
        <f>SUMIF([1]Нэгтгэл!B:B,'[1]12'!B:B,[1]Нэгтгэл!L:L)</f>
        <v>0</v>
      </c>
      <c r="G90" s="430">
        <f>SUMIF([1]Нэгтгэл!B:B,'[1]12'!B:B,[1]Нэгтгэл!R:R)</f>
        <v>0</v>
      </c>
      <c r="H90" s="430">
        <f>SUMIF([1]Нэгтгэл!B:B,'[1]12'!B:B,[1]Нэгтгэл!O:O)</f>
        <v>0</v>
      </c>
      <c r="I90" s="430">
        <f>SUMIF([1]Нэгтгэл!B:B,'[1]12'!B:B,[1]Нэгтгэл!X:X)</f>
        <v>5097026196.4099998</v>
      </c>
      <c r="J90" s="430">
        <f>SUMIF([1]Нэгтгэл!B:B,'[1]12'!B:B,[1]Нэгтгэл!AA:AA)</f>
        <v>0</v>
      </c>
      <c r="K90" s="430">
        <f>SUMIF([1]Нэгтгэл!B:B,'[1]12'!B:B,[1]Нэгтгэл!AD:AD)</f>
        <v>0</v>
      </c>
      <c r="L90" s="430">
        <f>SUMIF([1]Нэгтгэл!B:B,'[1]12'!B:B,[1]Нэгтгэл!AJ:AJ)</f>
        <v>497922270</v>
      </c>
      <c r="M90" s="430">
        <f>SUMIF([1]Нэгтгэл!B:B,'[1]12'!B:B,[1]Нэгтгэл!AM:AM)</f>
        <v>228683061.31</v>
      </c>
      <c r="N90" s="430">
        <f>SUMIF([1]Нэгтгэл!B:B,'[1]12'!B:B,[1]Нэгтгэл!AP:AP)</f>
        <v>483426990</v>
      </c>
      <c r="O90" s="430">
        <f>SUMIF([1]Нэгтгэл!B:B,'[1]12'!B:B,[1]Нэгтгэл!AS:AS)</f>
        <v>0</v>
      </c>
      <c r="P90" s="430">
        <f>SUMIF([1]Нэгтгэл!B:B,'[1]12'!B:B,[1]Нэгтгэл!BB:BB)</f>
        <v>0</v>
      </c>
      <c r="Q90" s="430">
        <f>SUMIF([1]Нэгтгэл!B:B,'[1]12'!B:B,[1]Нэгтгэл!BE:BE)</f>
        <v>0</v>
      </c>
      <c r="R90" s="430">
        <f>SUMIF([1]Нэгтгэл!B:B,'[1]12'!B:B,[1]Нэгтгэл!BH:BH)</f>
        <v>0</v>
      </c>
      <c r="S90" s="430">
        <f>SUMIF([1]Нэгтгэл!B:B,'[1]12'!B:B,[1]Нэгтгэл!BK:BK)</f>
        <v>0</v>
      </c>
      <c r="T90" s="430">
        <f>SUMIF([1]Нэгтгэл!B:B,'[1]12'!B:B,[1]Нэгтгэл!BN:BN)</f>
        <v>0</v>
      </c>
      <c r="U90" s="430">
        <f>SUMIF([1]Нэгтгэл!B:B,'[1]12'!B:B,[1]Нэгтгэл!BQ:BQ)</f>
        <v>0</v>
      </c>
      <c r="V90" s="430">
        <f>SUMIF([1]Нэгтгэл!B:B,'[1]12'!B:B,[1]Нэгтгэл!BT:BT)</f>
        <v>0</v>
      </c>
      <c r="W90" s="430">
        <f>SUMIF([1]Нэгтгэл!B:B,'[1]12'!B:B,[1]Нэгтгэл!BW:BW)</f>
        <v>63289922.650000006</v>
      </c>
    </row>
    <row r="91" spans="1:23">
      <c r="A91" s="437">
        <f t="shared" si="1"/>
        <v>89</v>
      </c>
      <c r="B91" s="385">
        <v>6195598</v>
      </c>
      <c r="C91" s="429" t="s">
        <v>281</v>
      </c>
      <c r="D91" s="430">
        <f>SUMIF([1]Нэгтгэл!B:B,'[1]12'!B:B,[1]Нэгтгэл!F:F)</f>
        <v>20000000</v>
      </c>
      <c r="E91" s="430">
        <f>SUMIF([1]Нэгтгэл!B:B,'[1]12'!B:B,[1]Нэгтгэл!I:I)</f>
        <v>541265.35</v>
      </c>
      <c r="F91" s="430">
        <f>SUMIF([1]Нэгтгэл!B:B,'[1]12'!B:B,[1]Нэгтгэл!L:L)</f>
        <v>1386657.2350000001</v>
      </c>
      <c r="G91" s="430">
        <f>SUMIF([1]Нэгтгэл!B:B,'[1]12'!B:B,[1]Нэгтгэл!R:R)</f>
        <v>0</v>
      </c>
      <c r="H91" s="430">
        <f>SUMIF([1]Нэгтгэл!B:B,'[1]12'!B:B,[1]Нэгтгэл!O:O)</f>
        <v>2500000</v>
      </c>
      <c r="I91" s="430">
        <f>SUMIF([1]Нэгтгэл!B:B,'[1]12'!B:B,[1]Нэгтгэл!X:X)</f>
        <v>0</v>
      </c>
      <c r="J91" s="430">
        <f>SUMIF([1]Нэгтгэл!B:B,'[1]12'!B:B,[1]Нэгтгэл!AA:AA)</f>
        <v>0</v>
      </c>
      <c r="K91" s="430">
        <f>SUMIF([1]Нэгтгэл!B:B,'[1]12'!B:B,[1]Нэгтгэл!AD:AD)</f>
        <v>0</v>
      </c>
      <c r="L91" s="430">
        <f>SUMIF([1]Нэгтгэл!B:B,'[1]12'!B:B,[1]Нэгтгэл!AJ:AJ)</f>
        <v>0</v>
      </c>
      <c r="M91" s="430">
        <f>SUMIF([1]Нэгтгэл!B:B,'[1]12'!B:B,[1]Нэгтгэл!AM:AM)</f>
        <v>1799741504.0999999</v>
      </c>
      <c r="N91" s="430">
        <f>SUMIF([1]Нэгтгэл!B:B,'[1]12'!B:B,[1]Нэгтгэл!AP:AP)</f>
        <v>7000</v>
      </c>
      <c r="O91" s="430">
        <f>SUMIF([1]Нэгтгэл!B:B,'[1]12'!B:B,[1]Нэгтгэл!AS:AS)</f>
        <v>0</v>
      </c>
      <c r="P91" s="430">
        <f>SUMIF([1]Нэгтгэл!B:B,'[1]12'!B:B,[1]Нэгтгэл!BB:BB)</f>
        <v>0</v>
      </c>
      <c r="Q91" s="430">
        <f>SUMIF([1]Нэгтгэл!B:B,'[1]12'!B:B,[1]Нэгтгэл!BE:BE)</f>
        <v>0</v>
      </c>
      <c r="R91" s="430">
        <f>SUMIF([1]Нэгтгэл!B:B,'[1]12'!B:B,[1]Нэгтгэл!BH:BH)</f>
        <v>11548780</v>
      </c>
      <c r="S91" s="430">
        <f>SUMIF([1]Нэгтгэл!B:B,'[1]12'!B:B,[1]Нэгтгэл!BK:BK)</f>
        <v>0</v>
      </c>
      <c r="T91" s="430">
        <f>SUMIF([1]Нэгтгэл!B:B,'[1]12'!B:B,[1]Нэгтгэл!BN:BN)</f>
        <v>0</v>
      </c>
      <c r="U91" s="430">
        <f>SUMIF([1]Нэгтгэл!B:B,'[1]12'!B:B,[1]Нэгтгэл!BQ:BQ)</f>
        <v>0</v>
      </c>
      <c r="V91" s="430">
        <f>SUMIF([1]Нэгтгэл!B:B,'[1]12'!B:B,[1]Нэгтгэл!BT:BT)</f>
        <v>0</v>
      </c>
      <c r="W91" s="430">
        <f>SUMIF([1]Нэгтгэл!B:B,'[1]12'!B:B,[1]Нэгтгэл!BW:BW)</f>
        <v>183155971.93000001</v>
      </c>
    </row>
    <row r="92" spans="1:23">
      <c r="A92" s="437">
        <f t="shared" si="1"/>
        <v>90</v>
      </c>
      <c r="B92" s="385">
        <v>6413811</v>
      </c>
      <c r="C92" s="429" t="s">
        <v>282</v>
      </c>
      <c r="D92" s="430">
        <f>SUMIF([1]Нэгтгэл!B:B,'[1]12'!B:B,[1]Нэгтгэл!F:F)</f>
        <v>356004744.88</v>
      </c>
      <c r="E92" s="430">
        <f>SUMIF([1]Нэгтгэл!B:B,'[1]12'!B:B,[1]Нэгтгэл!I:I)</f>
        <v>815892316.63881695</v>
      </c>
      <c r="F92" s="430">
        <f>SUMIF([1]Нэгтгэл!B:B,'[1]12'!B:B,[1]Нэгтгэл!L:L)</f>
        <v>1764433647.5682499</v>
      </c>
      <c r="G92" s="430">
        <f>SUMIF([1]Нэгтгэл!B:B,'[1]12'!B:B,[1]Нэгтгэл!R:R)</f>
        <v>0</v>
      </c>
      <c r="H92" s="430">
        <f>SUMIF([1]Нэгтгэл!B:B,'[1]12'!B:B,[1]Нэгтгэл!O:O)</f>
        <v>0</v>
      </c>
      <c r="I92" s="430">
        <f>SUMIF([1]Нэгтгэл!B:B,'[1]12'!B:B,[1]Нэгтгэл!X:X)</f>
        <v>0</v>
      </c>
      <c r="J92" s="430">
        <f>SUMIF([1]Нэгтгэл!B:B,'[1]12'!B:B,[1]Нэгтгэл!AA:AA)</f>
        <v>0</v>
      </c>
      <c r="K92" s="430">
        <f>SUMIF([1]Нэгтгэл!B:B,'[1]12'!B:B,[1]Нэгтгэл!AD:AD)</f>
        <v>0</v>
      </c>
      <c r="L92" s="430">
        <f>SUMIF([1]Нэгтгэл!B:B,'[1]12'!B:B,[1]Нэгтгэл!AJ:AJ)</f>
        <v>0</v>
      </c>
      <c r="M92" s="430">
        <f>SUMIF([1]Нэгтгэл!B:B,'[1]12'!B:B,[1]Нэгтгэл!AM:AM)</f>
        <v>5929721420.7799997</v>
      </c>
      <c r="N92" s="430">
        <f>SUMIF([1]Нэгтгэл!B:B,'[1]12'!B:B,[1]Нэгтгэл!AP:AP)</f>
        <v>1090715.28</v>
      </c>
      <c r="O92" s="430">
        <f>SUMIF([1]Нэгтгэл!B:B,'[1]12'!B:B,[1]Нэгтгэл!AS:AS)</f>
        <v>0</v>
      </c>
      <c r="P92" s="430">
        <f>SUMIF([1]Нэгтгэл!B:B,'[1]12'!B:B,[1]Нэгтгэл!BB:BB)</f>
        <v>0</v>
      </c>
      <c r="Q92" s="430">
        <f>SUMIF([1]Нэгтгэл!B:B,'[1]12'!B:B,[1]Нэгтгэл!BE:BE)</f>
        <v>0</v>
      </c>
      <c r="R92" s="430">
        <f>SUMIF([1]Нэгтгэл!B:B,'[1]12'!B:B,[1]Нэгтгэл!BH:BH)</f>
        <v>2774285</v>
      </c>
      <c r="S92" s="430">
        <f>SUMIF([1]Нэгтгэл!B:B,'[1]12'!B:B,[1]Нэгтгэл!BK:BK)</f>
        <v>0</v>
      </c>
      <c r="T92" s="430">
        <f>SUMIF([1]Нэгтгэл!B:B,'[1]12'!B:B,[1]Нэгтгэл!BN:BN)</f>
        <v>0</v>
      </c>
      <c r="U92" s="430">
        <f>SUMIF([1]Нэгтгэл!B:B,'[1]12'!B:B,[1]Нэгтгэл!BQ:BQ)</f>
        <v>0</v>
      </c>
      <c r="V92" s="430">
        <f>SUMIF([1]Нэгтгэл!B:B,'[1]12'!B:B,[1]Нэгтгэл!BT:BT)</f>
        <v>0</v>
      </c>
      <c r="W92" s="430">
        <f>SUMIF([1]Нэгтгэл!B:B,'[1]12'!B:B,[1]Нэгтгэл!BW:BW)</f>
        <v>1991190883.6900001</v>
      </c>
    </row>
    <row r="93" spans="1:23">
      <c r="A93" s="437">
        <f t="shared" si="1"/>
        <v>91</v>
      </c>
      <c r="B93" s="385">
        <v>2887134</v>
      </c>
      <c r="C93" s="429" t="s">
        <v>283</v>
      </c>
      <c r="D93" s="430">
        <f>SUMIF([1]Нэгтгэл!B:B,'[1]12'!B:B,[1]Нэгтгэл!F:F)</f>
        <v>5001000000</v>
      </c>
      <c r="E93" s="430">
        <f>SUMIF([1]Нэгтгэл!B:B,'[1]12'!B:B,[1]Нэгтгэл!I:I)</f>
        <v>0</v>
      </c>
      <c r="F93" s="430">
        <f>SUMIF([1]Нэгтгэл!B:B,'[1]12'!B:B,[1]Нэгтгэл!L:L)</f>
        <v>439561488.63</v>
      </c>
      <c r="G93" s="430">
        <f>SUMIF([1]Нэгтгэл!B:B,'[1]12'!B:B,[1]Нэгтгэл!R:R)</f>
        <v>0</v>
      </c>
      <c r="H93" s="430">
        <f>SUMIF([1]Нэгтгэл!B:B,'[1]12'!B:B,[1]Нэгтгэл!O:O)</f>
        <v>0</v>
      </c>
      <c r="I93" s="430">
        <f>SUMIF([1]Нэгтгэл!B:B,'[1]12'!B:B,[1]Нэгтгэл!X:X)</f>
        <v>49922618545.370003</v>
      </c>
      <c r="J93" s="430">
        <f>SUMIF([1]Нэгтгэл!B:B,'[1]12'!B:B,[1]Нэгтгэл!AA:AA)</f>
        <v>0</v>
      </c>
      <c r="K93" s="430">
        <f>SUMIF([1]Нэгтгэл!B:B,'[1]12'!B:B,[1]Нэгтгэл!AD:AD)</f>
        <v>0</v>
      </c>
      <c r="L93" s="430">
        <f>SUMIF([1]Нэгтгэл!B:B,'[1]12'!B:B,[1]Нэгтгэл!AJ:AJ)</f>
        <v>2223020000</v>
      </c>
      <c r="M93" s="430">
        <f>SUMIF([1]Нэгтгэл!B:B,'[1]12'!B:B,[1]Нэгтгэл!AM:AM)</f>
        <v>12771551.880000001</v>
      </c>
      <c r="N93" s="430">
        <f>SUMIF([1]Нэгтгэл!B:B,'[1]12'!B:B,[1]Нэгтгэл!AP:AP)</f>
        <v>1694571705</v>
      </c>
      <c r="O93" s="430">
        <f>SUMIF([1]Нэгтгэл!B:B,'[1]12'!B:B,[1]Нэгтгэл!AS:AS)</f>
        <v>0</v>
      </c>
      <c r="P93" s="430">
        <f>SUMIF([1]Нэгтгэл!B:B,'[1]12'!B:B,[1]Нэгтгэл!BB:BB)</f>
        <v>0</v>
      </c>
      <c r="Q93" s="430">
        <f>SUMIF([1]Нэгтгэл!B:B,'[1]12'!B:B,[1]Нэгтгэл!BE:BE)</f>
        <v>0</v>
      </c>
      <c r="R93" s="430">
        <f>SUMIF([1]Нэгтгэл!B:B,'[1]12'!B:B,[1]Нэгтгэл!BH:BH)</f>
        <v>0</v>
      </c>
      <c r="S93" s="430">
        <f>SUMIF([1]Нэгтгэл!B:B,'[1]12'!B:B,[1]Нэгтгэл!BK:BK)</f>
        <v>0</v>
      </c>
      <c r="T93" s="430">
        <f>SUMIF([1]Нэгтгэл!B:B,'[1]12'!B:B,[1]Нэгтгэл!BN:BN)</f>
        <v>0</v>
      </c>
      <c r="U93" s="430">
        <f>SUMIF([1]Нэгтгэл!B:B,'[1]12'!B:B,[1]Нэгтгэл!BQ:BQ)</f>
        <v>0</v>
      </c>
      <c r="V93" s="430">
        <f>SUMIF([1]Нэгтгэл!B:B,'[1]12'!B:B,[1]Нэгтгэл!BT:BT)</f>
        <v>0</v>
      </c>
      <c r="W93" s="430">
        <f>SUMIF([1]Нэгтгэл!B:B,'[1]12'!B:B,[1]Нэгтгэл!BW:BW)</f>
        <v>0</v>
      </c>
    </row>
    <row r="94" spans="1:23">
      <c r="A94" s="437">
        <f t="shared" si="1"/>
        <v>92</v>
      </c>
      <c r="B94" s="385">
        <v>2618176</v>
      </c>
      <c r="C94" s="429" t="s">
        <v>284</v>
      </c>
      <c r="D94" s="430">
        <f>SUMIF([1]Нэгтгэл!B:B,'[1]12'!B:B,[1]Нэгтгэл!F:F)</f>
        <v>0</v>
      </c>
      <c r="E94" s="430">
        <f>SUMIF([1]Нэгтгэл!B:B,'[1]12'!B:B,[1]Нэгтгэл!I:I)</f>
        <v>85353514.394021004</v>
      </c>
      <c r="F94" s="430">
        <f>SUMIF([1]Нэгтгэл!B:B,'[1]12'!B:B,[1]Нэгтгэл!L:L)</f>
        <v>142350305.627444</v>
      </c>
      <c r="G94" s="430">
        <f>SUMIF([1]Нэгтгэл!B:B,'[1]12'!B:B,[1]Нэгтгэл!R:R)</f>
        <v>0</v>
      </c>
      <c r="H94" s="430">
        <f>SUMIF([1]Нэгтгэл!B:B,'[1]12'!B:B,[1]Нэгтгэл!O:O)</f>
        <v>0</v>
      </c>
      <c r="I94" s="430">
        <f>SUMIF([1]Нэгтгэл!B:B,'[1]12'!B:B,[1]Нэгтгэл!X:X)</f>
        <v>1251742706.6700001</v>
      </c>
      <c r="J94" s="430">
        <f>SUMIF([1]Нэгтгэл!B:B,'[1]12'!B:B,[1]Нэгтгэл!AA:AA)</f>
        <v>0</v>
      </c>
      <c r="K94" s="430">
        <f>SUMIF([1]Нэгтгэл!B:B,'[1]12'!B:B,[1]Нэгтгэл!AD:AD)</f>
        <v>388100334.44</v>
      </c>
      <c r="L94" s="430">
        <f>SUMIF([1]Нэгтгэл!B:B,'[1]12'!B:B,[1]Нэгтгэл!AJ:AJ)</f>
        <v>0</v>
      </c>
      <c r="M94" s="430">
        <f>SUMIF([1]Нэгтгэл!B:B,'[1]12'!B:B,[1]Нэгтгэл!AM:AM)</f>
        <v>357195121.43000001</v>
      </c>
      <c r="N94" s="430">
        <f>SUMIF([1]Нэгтгэл!B:B,'[1]12'!B:B,[1]Нэгтгэл!AP:AP)</f>
        <v>24179260</v>
      </c>
      <c r="O94" s="430">
        <f>SUMIF([1]Нэгтгэл!B:B,'[1]12'!B:B,[1]Нэгтгэл!AS:AS)</f>
        <v>0</v>
      </c>
      <c r="P94" s="430">
        <f>SUMIF([1]Нэгтгэл!B:B,'[1]12'!B:B,[1]Нэгтгэл!BB:BB)</f>
        <v>0</v>
      </c>
      <c r="Q94" s="430">
        <f>SUMIF([1]Нэгтгэл!B:B,'[1]12'!B:B,[1]Нэгтгэл!BE:BE)</f>
        <v>0</v>
      </c>
      <c r="R94" s="430">
        <f>SUMIF([1]Нэгтгэл!B:B,'[1]12'!B:B,[1]Нэгтгэл!BH:BH)</f>
        <v>0</v>
      </c>
      <c r="S94" s="430">
        <f>SUMIF([1]Нэгтгэл!B:B,'[1]12'!B:B,[1]Нэгтгэл!BK:BK)</f>
        <v>0</v>
      </c>
      <c r="T94" s="430">
        <f>SUMIF([1]Нэгтгэл!B:B,'[1]12'!B:B,[1]Нэгтгэл!BN:BN)</f>
        <v>0</v>
      </c>
      <c r="U94" s="430">
        <f>SUMIF([1]Нэгтгэл!B:B,'[1]12'!B:B,[1]Нэгтгэл!BQ:BQ)</f>
        <v>0</v>
      </c>
      <c r="V94" s="430">
        <f>SUMIF([1]Нэгтгэл!B:B,'[1]12'!B:B,[1]Нэгтгэл!BT:BT)</f>
        <v>0</v>
      </c>
      <c r="W94" s="430">
        <f>SUMIF([1]Нэгтгэл!B:B,'[1]12'!B:B,[1]Нэгтгэл!BW:BW)</f>
        <v>108441498.54000001</v>
      </c>
    </row>
    <row r="95" spans="1:23">
      <c r="A95" s="437">
        <f t="shared" si="1"/>
        <v>93</v>
      </c>
      <c r="B95" s="385">
        <v>5364884</v>
      </c>
      <c r="C95" s="429" t="s">
        <v>285</v>
      </c>
      <c r="D95" s="430">
        <f>SUMIF([1]Нэгтгэл!B:B,'[1]12'!B:B,[1]Нэгтгэл!F:F)</f>
        <v>0</v>
      </c>
      <c r="E95" s="430">
        <f>SUMIF([1]Нэгтгэл!B:B,'[1]12'!B:B,[1]Нэгтгэл!I:I)</f>
        <v>0</v>
      </c>
      <c r="F95" s="430">
        <f>SUMIF([1]Нэгтгэл!B:B,'[1]12'!B:B,[1]Нэгтгэл!L:L)</f>
        <v>0</v>
      </c>
      <c r="G95" s="430">
        <f>SUMIF([1]Нэгтгэл!B:B,'[1]12'!B:B,[1]Нэгтгэл!R:R)</f>
        <v>0</v>
      </c>
      <c r="H95" s="430">
        <f>SUMIF([1]Нэгтгэл!B:B,'[1]12'!B:B,[1]Нэгтгэл!O:O)</f>
        <v>0</v>
      </c>
      <c r="I95" s="430">
        <f>SUMIF([1]Нэгтгэл!B:B,'[1]12'!B:B,[1]Нэгтгэл!X:X)</f>
        <v>0</v>
      </c>
      <c r="J95" s="430">
        <f>SUMIF([1]Нэгтгэл!B:B,'[1]12'!B:B,[1]Нэгтгэл!AA:AA)</f>
        <v>0</v>
      </c>
      <c r="K95" s="430">
        <f>SUMIF([1]Нэгтгэл!B:B,'[1]12'!B:B,[1]Нэгтгэл!AD:AD)</f>
        <v>0</v>
      </c>
      <c r="L95" s="430">
        <f>SUMIF([1]Нэгтгэл!B:B,'[1]12'!B:B,[1]Нэгтгэл!AJ:AJ)</f>
        <v>0</v>
      </c>
      <c r="M95" s="430">
        <f>SUMIF([1]Нэгтгэл!B:B,'[1]12'!B:B,[1]Нэгтгэл!AM:AM)</f>
        <v>0</v>
      </c>
      <c r="N95" s="430">
        <f>SUMIF([1]Нэгтгэл!B:B,'[1]12'!B:B,[1]Нэгтгэл!AP:AP)</f>
        <v>0</v>
      </c>
      <c r="O95" s="430">
        <f>SUMIF([1]Нэгтгэл!B:B,'[1]12'!B:B,[1]Нэгтгэл!AS:AS)</f>
        <v>0</v>
      </c>
      <c r="P95" s="430">
        <f>SUMIF([1]Нэгтгэл!B:B,'[1]12'!B:B,[1]Нэгтгэл!BB:BB)</f>
        <v>0</v>
      </c>
      <c r="Q95" s="430">
        <f>SUMIF([1]Нэгтгэл!B:B,'[1]12'!B:B,[1]Нэгтгэл!BE:BE)</f>
        <v>0</v>
      </c>
      <c r="R95" s="430">
        <f>SUMIF([1]Нэгтгэл!B:B,'[1]12'!B:B,[1]Нэгтгэл!BH:BH)</f>
        <v>0</v>
      </c>
      <c r="S95" s="430">
        <f>SUMIF([1]Нэгтгэл!B:B,'[1]12'!B:B,[1]Нэгтгэл!BK:BK)</f>
        <v>0</v>
      </c>
      <c r="T95" s="430">
        <f>SUMIF([1]Нэгтгэл!B:B,'[1]12'!B:B,[1]Нэгтгэл!BN:BN)</f>
        <v>0</v>
      </c>
      <c r="U95" s="430">
        <f>SUMIF([1]Нэгтгэл!B:B,'[1]12'!B:B,[1]Нэгтгэл!BQ:BQ)</f>
        <v>0</v>
      </c>
      <c r="V95" s="430">
        <f>SUMIF([1]Нэгтгэл!B:B,'[1]12'!B:B,[1]Нэгтгэл!BT:BT)</f>
        <v>0</v>
      </c>
      <c r="W95" s="430">
        <f>SUMIF([1]Нэгтгэл!B:B,'[1]12'!B:B,[1]Нэгтгэл!BW:BW)</f>
        <v>0</v>
      </c>
    </row>
    <row r="96" spans="1:23">
      <c r="A96" s="437">
        <f t="shared" si="1"/>
        <v>94</v>
      </c>
      <c r="B96" s="385">
        <v>2100231</v>
      </c>
      <c r="C96" s="429" t="s">
        <v>286</v>
      </c>
      <c r="D96" s="430">
        <f>SUMIF([1]Нэгтгэл!B:B,'[1]12'!B:B,[1]Нэгтгэл!F:F)</f>
        <v>30750428.68</v>
      </c>
      <c r="E96" s="430">
        <f>SUMIF([1]Нэгтгэл!B:B,'[1]12'!B:B,[1]Нэгтгэл!I:I)</f>
        <v>18885722.60588</v>
      </c>
      <c r="F96" s="430">
        <f>SUMIF([1]Нэгтгэл!B:B,'[1]12'!B:B,[1]Нэгтгэл!L:L)</f>
        <v>39660017.472344004</v>
      </c>
      <c r="G96" s="430">
        <f>SUMIF([1]Нэгтгэл!B:B,'[1]12'!B:B,[1]Нэгтгэл!R:R)</f>
        <v>0</v>
      </c>
      <c r="H96" s="430">
        <f>SUMIF([1]Нэгтгэл!B:B,'[1]12'!B:B,[1]Нэгтгэл!O:O)</f>
        <v>0</v>
      </c>
      <c r="I96" s="430">
        <f>SUMIF([1]Нэгтгэл!B:B,'[1]12'!B:B,[1]Нэгтгэл!X:X)</f>
        <v>0</v>
      </c>
      <c r="J96" s="430">
        <f>SUMIF([1]Нэгтгэл!B:B,'[1]12'!B:B,[1]Нэгтгэл!AA:AA)</f>
        <v>0</v>
      </c>
      <c r="K96" s="430">
        <f>SUMIF([1]Нэгтгэл!B:B,'[1]12'!B:B,[1]Нэгтгэл!AD:AD)</f>
        <v>0</v>
      </c>
      <c r="L96" s="430">
        <f>SUMIF([1]Нэгтгэл!B:B,'[1]12'!B:B,[1]Нэгтгэл!AJ:AJ)</f>
        <v>0</v>
      </c>
      <c r="M96" s="430">
        <f>SUMIF([1]Нэгтгэл!B:B,'[1]12'!B:B,[1]Нэгтгэл!AM:AM)</f>
        <v>1350687595</v>
      </c>
      <c r="N96" s="430">
        <f>SUMIF([1]Нэгтгэл!B:B,'[1]12'!B:B,[1]Нэгтгэл!AP:AP)</f>
        <v>51600</v>
      </c>
      <c r="O96" s="430">
        <f>SUMIF([1]Нэгтгэл!B:B,'[1]12'!B:B,[1]Нэгтгэл!AS:AS)</f>
        <v>0</v>
      </c>
      <c r="P96" s="430">
        <f>SUMIF([1]Нэгтгэл!B:B,'[1]12'!B:B,[1]Нэгтгэл!BB:BB)</f>
        <v>0</v>
      </c>
      <c r="Q96" s="430">
        <f>SUMIF([1]Нэгтгэл!B:B,'[1]12'!B:B,[1]Нэгтгэл!BE:BE)</f>
        <v>0</v>
      </c>
      <c r="R96" s="430">
        <f>SUMIF([1]Нэгтгэл!B:B,'[1]12'!B:B,[1]Нэгтгэл!BH:BH)</f>
        <v>15</v>
      </c>
      <c r="S96" s="430">
        <f>SUMIF([1]Нэгтгэл!B:B,'[1]12'!B:B,[1]Нэгтгэл!BK:BK)</f>
        <v>0</v>
      </c>
      <c r="T96" s="430">
        <f>SUMIF([1]Нэгтгэл!B:B,'[1]12'!B:B,[1]Нэгтгэл!BN:BN)</f>
        <v>0</v>
      </c>
      <c r="U96" s="430">
        <f>SUMIF([1]Нэгтгэл!B:B,'[1]12'!B:B,[1]Нэгтгэл!BQ:BQ)</f>
        <v>0</v>
      </c>
      <c r="V96" s="430">
        <f>SUMIF([1]Нэгтгэл!B:B,'[1]12'!B:B,[1]Нэгтгэл!BT:BT)</f>
        <v>0</v>
      </c>
      <c r="W96" s="430">
        <f>SUMIF([1]Нэгтгэл!B:B,'[1]12'!B:B,[1]Нэгтгэл!BW:BW)</f>
        <v>369594922.91000003</v>
      </c>
    </row>
    <row r="97" spans="1:23">
      <c r="A97" s="437">
        <f t="shared" si="1"/>
        <v>95</v>
      </c>
      <c r="B97" s="385">
        <v>2661128</v>
      </c>
      <c r="C97" s="429" t="s">
        <v>287</v>
      </c>
      <c r="D97" s="430">
        <f>SUMIF([1]Нэгтгэл!B:B,'[1]12'!B:B,[1]Нэгтгэл!F:F)</f>
        <v>114248578.51000001</v>
      </c>
      <c r="E97" s="430">
        <f>SUMIF([1]Нэгтгэл!B:B,'[1]12'!B:B,[1]Нэгтгэл!I:I)</f>
        <v>0</v>
      </c>
      <c r="F97" s="430">
        <f>SUMIF([1]Нэгтгэл!B:B,'[1]12'!B:B,[1]Нэгтгэл!L:L)</f>
        <v>353337517.72000003</v>
      </c>
      <c r="G97" s="430">
        <f>SUMIF([1]Нэгтгэл!B:B,'[1]12'!B:B,[1]Нэгтгэл!R:R)</f>
        <v>0</v>
      </c>
      <c r="H97" s="430">
        <f>SUMIF([1]Нэгтгэл!B:B,'[1]12'!B:B,[1]Нэгтгэл!O:O)</f>
        <v>0</v>
      </c>
      <c r="I97" s="430">
        <f>SUMIF([1]Нэгтгэл!B:B,'[1]12'!B:B,[1]Нэгтгэл!X:X)</f>
        <v>142292626.49000001</v>
      </c>
      <c r="J97" s="430">
        <f>SUMIF([1]Нэгтгэл!B:B,'[1]12'!B:B,[1]Нэгтгэл!AA:AA)</f>
        <v>0</v>
      </c>
      <c r="K97" s="430">
        <f>SUMIF([1]Нэгтгэл!B:B,'[1]12'!B:B,[1]Нэгтгэл!AD:AD)</f>
        <v>0</v>
      </c>
      <c r="L97" s="430">
        <f>SUMIF([1]Нэгтгэл!B:B,'[1]12'!B:B,[1]Нэгтгэл!AJ:AJ)</f>
        <v>195087000</v>
      </c>
      <c r="M97" s="430">
        <f>SUMIF([1]Нэгтгэл!B:B,'[1]12'!B:B,[1]Нэгтгэл!AM:AM)</f>
        <v>193423803</v>
      </c>
      <c r="N97" s="430">
        <f>SUMIF([1]Нэгтгэл!B:B,'[1]12'!B:B,[1]Нэгтгэл!AP:AP)</f>
        <v>0</v>
      </c>
      <c r="O97" s="430">
        <f>SUMIF([1]Нэгтгэл!B:B,'[1]12'!B:B,[1]Нэгтгэл!AS:AS)</f>
        <v>0</v>
      </c>
      <c r="P97" s="430">
        <f>SUMIF([1]Нэгтгэл!B:B,'[1]12'!B:B,[1]Нэгтгэл!BB:BB)</f>
        <v>0</v>
      </c>
      <c r="Q97" s="430">
        <f>SUMIF([1]Нэгтгэл!B:B,'[1]12'!B:B,[1]Нэгтгэл!BE:BE)</f>
        <v>0</v>
      </c>
      <c r="R97" s="430">
        <f>SUMIF([1]Нэгтгэл!B:B,'[1]12'!B:B,[1]Нэгтгэл!BH:BH)</f>
        <v>0</v>
      </c>
      <c r="S97" s="430">
        <f>SUMIF([1]Нэгтгэл!B:B,'[1]12'!B:B,[1]Нэгтгэл!BK:BK)</f>
        <v>0</v>
      </c>
      <c r="T97" s="430">
        <f>SUMIF([1]Нэгтгэл!B:B,'[1]12'!B:B,[1]Нэгтгэл!BN:BN)</f>
        <v>0</v>
      </c>
      <c r="U97" s="430">
        <f>SUMIF([1]Нэгтгэл!B:B,'[1]12'!B:B,[1]Нэгтгэл!BQ:BQ)</f>
        <v>0</v>
      </c>
      <c r="V97" s="430">
        <f>SUMIF([1]Нэгтгэл!B:B,'[1]12'!B:B,[1]Нэгтгэл!BT:BT)</f>
        <v>0</v>
      </c>
      <c r="W97" s="430">
        <f>SUMIF([1]Нэгтгэл!B:B,'[1]12'!B:B,[1]Нэгтгэл!BW:BW)</f>
        <v>59779046.850000001</v>
      </c>
    </row>
    <row r="98" spans="1:23">
      <c r="A98" s="437">
        <f t="shared" si="1"/>
        <v>96</v>
      </c>
      <c r="B98" s="385">
        <v>5878756</v>
      </c>
      <c r="C98" s="429" t="s">
        <v>290</v>
      </c>
      <c r="D98" s="430">
        <f>SUMIF([1]Нэгтгэл!B:B,'[1]12'!B:B,[1]Нэгтгэл!F:F)</f>
        <v>9866637.1099999994</v>
      </c>
      <c r="E98" s="430">
        <f>SUMIF([1]Нэгтгэл!B:B,'[1]12'!B:B,[1]Нэгтгэл!I:I)</f>
        <v>207912609.90904501</v>
      </c>
      <c r="F98" s="430">
        <f>SUMIF([1]Нэгтгэл!B:B,'[1]12'!B:B,[1]Нэгтгэл!L:L)</f>
        <v>431179367.80353898</v>
      </c>
      <c r="G98" s="430">
        <f>SUMIF([1]Нэгтгэл!B:B,'[1]12'!B:B,[1]Нэгтгэл!R:R)</f>
        <v>0</v>
      </c>
      <c r="H98" s="430">
        <f>SUMIF([1]Нэгтгэл!B:B,'[1]12'!B:B,[1]Нэгтгэл!O:O)</f>
        <v>0</v>
      </c>
      <c r="I98" s="430">
        <f>SUMIF([1]Нэгтгэл!B:B,'[1]12'!B:B,[1]Нэгтгэл!X:X)</f>
        <v>281285800.75</v>
      </c>
      <c r="J98" s="430">
        <f>SUMIF([1]Нэгтгэл!B:B,'[1]12'!B:B,[1]Нэгтгэл!AA:AA)</f>
        <v>0</v>
      </c>
      <c r="K98" s="430">
        <f>SUMIF([1]Нэгтгэл!B:B,'[1]12'!B:B,[1]Нэгтгэл!AD:AD)</f>
        <v>0</v>
      </c>
      <c r="L98" s="430">
        <f>SUMIF([1]Нэгтгэл!B:B,'[1]12'!B:B,[1]Нэгтгэл!AJ:AJ)</f>
        <v>0</v>
      </c>
      <c r="M98" s="430">
        <f>SUMIF([1]Нэгтгэл!B:B,'[1]12'!B:B,[1]Нэгтгэл!AM:AM)</f>
        <v>464557508.93000001</v>
      </c>
      <c r="N98" s="430">
        <f>SUMIF([1]Нэгтгэл!B:B,'[1]12'!B:B,[1]Нэгтгэл!AP:AP)</f>
        <v>50277111.5</v>
      </c>
      <c r="O98" s="430">
        <f>SUMIF([1]Нэгтгэл!B:B,'[1]12'!B:B,[1]Нэгтгэл!AS:AS)</f>
        <v>0</v>
      </c>
      <c r="P98" s="430">
        <f>SUMIF([1]Нэгтгэл!B:B,'[1]12'!B:B,[1]Нэгтгэл!BB:BB)</f>
        <v>0</v>
      </c>
      <c r="Q98" s="430">
        <f>SUMIF([1]Нэгтгэл!B:B,'[1]12'!B:B,[1]Нэгтгэл!BE:BE)</f>
        <v>0</v>
      </c>
      <c r="R98" s="430">
        <f>SUMIF([1]Нэгтгэл!B:B,'[1]12'!B:B,[1]Нэгтгэл!BH:BH)</f>
        <v>0</v>
      </c>
      <c r="S98" s="430">
        <f>SUMIF([1]Нэгтгэл!B:B,'[1]12'!B:B,[1]Нэгтгэл!BK:BK)</f>
        <v>0</v>
      </c>
      <c r="T98" s="430">
        <f>SUMIF([1]Нэгтгэл!B:B,'[1]12'!B:B,[1]Нэгтгэл!BN:BN)</f>
        <v>0</v>
      </c>
      <c r="U98" s="430">
        <f>SUMIF([1]Нэгтгэл!B:B,'[1]12'!B:B,[1]Нэгтгэл!BQ:BQ)</f>
        <v>0</v>
      </c>
      <c r="V98" s="430">
        <f>SUMIF([1]Нэгтгэл!B:B,'[1]12'!B:B,[1]Нэгтгэл!BT:BT)</f>
        <v>0</v>
      </c>
      <c r="W98" s="430">
        <f>SUMIF([1]Нэгтгэл!B:B,'[1]12'!B:B,[1]Нэгтгэл!BW:BW)</f>
        <v>37466619.859999999</v>
      </c>
    </row>
    <row r="99" spans="1:23">
      <c r="A99" s="437">
        <f t="shared" si="1"/>
        <v>97</v>
      </c>
      <c r="B99" s="385">
        <v>2166631</v>
      </c>
      <c r="C99" s="429" t="s">
        <v>292</v>
      </c>
      <c r="D99" s="430">
        <f>SUMIF([1]Нэгтгэл!B:B,'[1]12'!B:B,[1]Нэгтгэл!F:F)</f>
        <v>330714496.06</v>
      </c>
      <c r="E99" s="430">
        <f>SUMIF([1]Нэгтгэл!B:B,'[1]12'!B:B,[1]Нэгтгэл!I:I)</f>
        <v>7914349.1115349997</v>
      </c>
      <c r="F99" s="430">
        <f>SUMIF([1]Нэгтгэл!B:B,'[1]12'!B:B,[1]Нэгтгэл!L:L)</f>
        <v>15044864.147815</v>
      </c>
      <c r="G99" s="430">
        <f>SUMIF([1]Нэгтгэл!B:B,'[1]12'!B:B,[1]Нэгтгэл!R:R)</f>
        <v>0</v>
      </c>
      <c r="H99" s="430">
        <f>SUMIF([1]Нэгтгэл!B:B,'[1]12'!B:B,[1]Нэгтгэл!O:O)</f>
        <v>0</v>
      </c>
      <c r="I99" s="430">
        <f>SUMIF([1]Нэгтгэл!B:B,'[1]12'!B:B,[1]Нэгтгэл!X:X)</f>
        <v>1023337137.3099999</v>
      </c>
      <c r="J99" s="430">
        <f>SUMIF([1]Нэгтгэл!B:B,'[1]12'!B:B,[1]Нэгтгэл!AA:AA)</f>
        <v>0</v>
      </c>
      <c r="K99" s="430">
        <f>SUMIF([1]Нэгтгэл!B:B,'[1]12'!B:B,[1]Нэгтгэл!AD:AD)</f>
        <v>0</v>
      </c>
      <c r="L99" s="430">
        <f>SUMIF([1]Нэгтгэл!B:B,'[1]12'!B:B,[1]Нэгтгэл!AJ:AJ)</f>
        <v>0</v>
      </c>
      <c r="M99" s="430">
        <f>SUMIF([1]Нэгтгэл!B:B,'[1]12'!B:B,[1]Нэгтгэл!AM:AM)</f>
        <v>730755123.12</v>
      </c>
      <c r="N99" s="430">
        <f>SUMIF([1]Нэгтгэл!B:B,'[1]12'!B:B,[1]Нэгтгэл!AP:AP)</f>
        <v>27085656.5</v>
      </c>
      <c r="O99" s="430">
        <f>SUMIF([1]Нэгтгэл!B:B,'[1]12'!B:B,[1]Нэгтгэл!AS:AS)</f>
        <v>0</v>
      </c>
      <c r="P99" s="430">
        <f>SUMIF([1]Нэгтгэл!B:B,'[1]12'!B:B,[1]Нэгтгэл!BB:BB)</f>
        <v>0</v>
      </c>
      <c r="Q99" s="430">
        <f>SUMIF([1]Нэгтгэл!B:B,'[1]12'!B:B,[1]Нэгтгэл!BE:BE)</f>
        <v>0</v>
      </c>
      <c r="R99" s="430">
        <f>SUMIF([1]Нэгтгэл!B:B,'[1]12'!B:B,[1]Нэгтгэл!BH:BH)</f>
        <v>0</v>
      </c>
      <c r="S99" s="430">
        <f>SUMIF([1]Нэгтгэл!B:B,'[1]12'!B:B,[1]Нэгтгэл!BK:BK)</f>
        <v>0</v>
      </c>
      <c r="T99" s="430">
        <f>SUMIF([1]Нэгтгэл!B:B,'[1]12'!B:B,[1]Нэгтгэл!BN:BN)</f>
        <v>0</v>
      </c>
      <c r="U99" s="430">
        <f>SUMIF([1]Нэгтгэл!B:B,'[1]12'!B:B,[1]Нэгтгэл!BQ:BQ)</f>
        <v>0</v>
      </c>
      <c r="V99" s="430">
        <f>SUMIF([1]Нэгтгэл!B:B,'[1]12'!B:B,[1]Нэгтгэл!BT:BT)</f>
        <v>0</v>
      </c>
      <c r="W99" s="430">
        <f>SUMIF([1]Нэгтгэл!B:B,'[1]12'!B:B,[1]Нэгтгэл!BW:BW)</f>
        <v>246173769.48000005</v>
      </c>
    </row>
    <row r="100" spans="1:23">
      <c r="A100" s="437">
        <f t="shared" si="1"/>
        <v>98</v>
      </c>
      <c r="B100" s="385">
        <v>5671833</v>
      </c>
      <c r="C100" s="429" t="s">
        <v>296</v>
      </c>
      <c r="D100" s="430">
        <f>SUMIF([1]Нэгтгэл!B:B,'[1]12'!B:B,[1]Нэгтгэл!F:F)</f>
        <v>9676318378.7999992</v>
      </c>
      <c r="E100" s="430">
        <f>SUMIF([1]Нэгтгэл!B:B,'[1]12'!B:B,[1]Нэгтгэл!I:I)</f>
        <v>1790535344.7943001</v>
      </c>
      <c r="F100" s="430">
        <f>SUMIF([1]Нэгтгэл!B:B,'[1]12'!B:B,[1]Нэгтгэл!L:L)</f>
        <v>3765525186.2123799</v>
      </c>
      <c r="G100" s="430">
        <f>SUMIF([1]Нэгтгэл!B:B,'[1]12'!B:B,[1]Нэгтгэл!R:R)</f>
        <v>0</v>
      </c>
      <c r="H100" s="430">
        <f>SUMIF([1]Нэгтгэл!B:B,'[1]12'!B:B,[1]Нэгтгэл!O:O)</f>
        <v>0</v>
      </c>
      <c r="I100" s="430">
        <f>SUMIF([1]Нэгтгэл!B:B,'[1]12'!B:B,[1]Нэгтгэл!X:X)</f>
        <v>38883791367.050003</v>
      </c>
      <c r="J100" s="430">
        <f>SUMIF([1]Нэгтгэл!B:B,'[1]12'!B:B,[1]Нэгтгэл!AA:AA)</f>
        <v>0</v>
      </c>
      <c r="K100" s="430">
        <f>SUMIF([1]Нэгтгэл!B:B,'[1]12'!B:B,[1]Нэгтгэл!AD:AD)</f>
        <v>0</v>
      </c>
      <c r="L100" s="430">
        <f>SUMIF([1]Нэгтгэл!B:B,'[1]12'!B:B,[1]Нэгтгэл!AJ:AJ)</f>
        <v>675890800</v>
      </c>
      <c r="M100" s="430">
        <f>SUMIF([1]Нэгтгэл!B:B,'[1]12'!B:B,[1]Нэгтгэл!AM:AM)</f>
        <v>3150828145.3899999</v>
      </c>
      <c r="N100" s="430">
        <f>SUMIF([1]Нэгтгэл!B:B,'[1]12'!B:B,[1]Нэгтгэл!AP:AP)</f>
        <v>1051305000</v>
      </c>
      <c r="O100" s="430">
        <f>SUMIF([1]Нэгтгэл!B:B,'[1]12'!B:B,[1]Нэгтгэл!AS:AS)</f>
        <v>0</v>
      </c>
      <c r="P100" s="430">
        <f>SUMIF([1]Нэгтгэл!B:B,'[1]12'!B:B,[1]Нэгтгэл!BB:BB)</f>
        <v>0</v>
      </c>
      <c r="Q100" s="430">
        <f>SUMIF([1]Нэгтгэл!B:B,'[1]12'!B:B,[1]Нэгтгэл!BE:BE)</f>
        <v>0</v>
      </c>
      <c r="R100" s="430">
        <f>SUMIF([1]Нэгтгэл!B:B,'[1]12'!B:B,[1]Нэгтгэл!BH:BH)</f>
        <v>0</v>
      </c>
      <c r="S100" s="430">
        <f>SUMIF([1]Нэгтгэл!B:B,'[1]12'!B:B,[1]Нэгтгэл!BK:BK)</f>
        <v>0</v>
      </c>
      <c r="T100" s="430">
        <f>SUMIF([1]Нэгтгэл!B:B,'[1]12'!B:B,[1]Нэгтгэл!BN:BN)</f>
        <v>0</v>
      </c>
      <c r="U100" s="430">
        <f>SUMIF([1]Нэгтгэл!B:B,'[1]12'!B:B,[1]Нэгтгэл!BQ:BQ)</f>
        <v>0</v>
      </c>
      <c r="V100" s="430">
        <f>SUMIF([1]Нэгтгэл!B:B,'[1]12'!B:B,[1]Нэгтгэл!BT:BT)</f>
        <v>0</v>
      </c>
      <c r="W100" s="430">
        <f>SUMIF([1]Нэгтгэл!B:B,'[1]12'!B:B,[1]Нэгтгэл!BW:BW)</f>
        <v>1241728437.4699998</v>
      </c>
    </row>
    <row r="101" spans="1:23">
      <c r="A101" s="437">
        <f t="shared" si="1"/>
        <v>99</v>
      </c>
      <c r="B101" s="385">
        <v>5104424</v>
      </c>
      <c r="C101" s="429" t="s">
        <v>297</v>
      </c>
      <c r="D101" s="430">
        <f>SUMIF([1]Нэгтгэл!B:B,'[1]12'!B:B,[1]Нэгтгэл!F:F)</f>
        <v>0</v>
      </c>
      <c r="E101" s="430">
        <f>SUMIF([1]Нэгтгэл!B:B,'[1]12'!B:B,[1]Нэгтгэл!I:I)</f>
        <v>0</v>
      </c>
      <c r="F101" s="430">
        <f>SUMIF([1]Нэгтгэл!B:B,'[1]12'!B:B,[1]Нэгтгэл!L:L)</f>
        <v>0</v>
      </c>
      <c r="G101" s="430">
        <f>SUMIF([1]Нэгтгэл!B:B,'[1]12'!B:B,[1]Нэгтгэл!R:R)</f>
        <v>0</v>
      </c>
      <c r="H101" s="430">
        <f>SUMIF([1]Нэгтгэл!B:B,'[1]12'!B:B,[1]Нэгтгэл!O:O)</f>
        <v>0</v>
      </c>
      <c r="I101" s="430">
        <f>SUMIF([1]Нэгтгэл!B:B,'[1]12'!B:B,[1]Нэгтгэл!X:X)</f>
        <v>0</v>
      </c>
      <c r="J101" s="430">
        <f>SUMIF([1]Нэгтгэл!B:B,'[1]12'!B:B,[1]Нэгтгэл!AA:AA)</f>
        <v>0</v>
      </c>
      <c r="K101" s="430">
        <f>SUMIF([1]Нэгтгэл!B:B,'[1]12'!B:B,[1]Нэгтгэл!AD:AD)</f>
        <v>0</v>
      </c>
      <c r="L101" s="430">
        <f>SUMIF([1]Нэгтгэл!B:B,'[1]12'!B:B,[1]Нэгтгэл!AJ:AJ)</f>
        <v>0</v>
      </c>
      <c r="M101" s="430">
        <f>SUMIF([1]Нэгтгэл!B:B,'[1]12'!B:B,[1]Нэгтгэл!AM:AM)</f>
        <v>0</v>
      </c>
      <c r="N101" s="430">
        <f>SUMIF([1]Нэгтгэл!B:B,'[1]12'!B:B,[1]Нэгтгэл!AP:AP)</f>
        <v>0</v>
      </c>
      <c r="O101" s="430">
        <f>SUMIF([1]Нэгтгэл!B:B,'[1]12'!B:B,[1]Нэгтгэл!AS:AS)</f>
        <v>0</v>
      </c>
      <c r="P101" s="430">
        <f>SUMIF([1]Нэгтгэл!B:B,'[1]12'!B:B,[1]Нэгтгэл!BB:BB)</f>
        <v>0</v>
      </c>
      <c r="Q101" s="430">
        <f>SUMIF([1]Нэгтгэл!B:B,'[1]12'!B:B,[1]Нэгтгэл!BE:BE)</f>
        <v>0</v>
      </c>
      <c r="R101" s="430">
        <f>SUMIF([1]Нэгтгэл!B:B,'[1]12'!B:B,[1]Нэгтгэл!BH:BH)</f>
        <v>0</v>
      </c>
      <c r="S101" s="430">
        <f>SUMIF([1]Нэгтгэл!B:B,'[1]12'!B:B,[1]Нэгтгэл!BK:BK)</f>
        <v>0</v>
      </c>
      <c r="T101" s="430">
        <f>SUMIF([1]Нэгтгэл!B:B,'[1]12'!B:B,[1]Нэгтгэл!BN:BN)</f>
        <v>0</v>
      </c>
      <c r="U101" s="430">
        <f>SUMIF([1]Нэгтгэл!B:B,'[1]12'!B:B,[1]Нэгтгэл!BQ:BQ)</f>
        <v>0</v>
      </c>
      <c r="V101" s="430">
        <f>SUMIF([1]Нэгтгэл!B:B,'[1]12'!B:B,[1]Нэгтгэл!BT:BT)</f>
        <v>0</v>
      </c>
      <c r="W101" s="430">
        <f>SUMIF([1]Нэгтгэл!B:B,'[1]12'!B:B,[1]Нэгтгэл!BW:BW)</f>
        <v>0</v>
      </c>
    </row>
    <row r="102" spans="1:23">
      <c r="A102" s="437">
        <f t="shared" si="1"/>
        <v>100</v>
      </c>
      <c r="B102" s="385">
        <v>2668505</v>
      </c>
      <c r="C102" s="429" t="s">
        <v>298</v>
      </c>
      <c r="D102" s="430">
        <f>SUMIF([1]Нэгтгэл!B:B,'[1]12'!B:B,[1]Нэгтгэл!F:F)</f>
        <v>46000000</v>
      </c>
      <c r="E102" s="430">
        <f>SUMIF([1]Нэгтгэл!B:B,'[1]12'!B:B,[1]Нэгтгэл!I:I)</f>
        <v>0</v>
      </c>
      <c r="F102" s="430">
        <f>SUMIF([1]Нэгтгэл!B:B,'[1]12'!B:B,[1]Нэгтгэл!L:L)</f>
        <v>1000000</v>
      </c>
      <c r="G102" s="430">
        <f>SUMIF([1]Нэгтгэл!B:B,'[1]12'!B:B,[1]Нэгтгэл!R:R)</f>
        <v>0</v>
      </c>
      <c r="H102" s="430">
        <f>SUMIF([1]Нэгтгэл!B:B,'[1]12'!B:B,[1]Нэгтгэл!O:O)</f>
        <v>0</v>
      </c>
      <c r="I102" s="430">
        <f>SUMIF([1]Нэгтгэл!B:B,'[1]12'!B:B,[1]Нэгтгэл!X:X)</f>
        <v>2474211842.98</v>
      </c>
      <c r="J102" s="430">
        <f>SUMIF([1]Нэгтгэл!B:B,'[1]12'!B:B,[1]Нэгтгэл!AA:AA)</f>
        <v>0</v>
      </c>
      <c r="K102" s="430">
        <f>SUMIF([1]Нэгтгэл!B:B,'[1]12'!B:B,[1]Нэгтгэл!AD:AD)</f>
        <v>8000000</v>
      </c>
      <c r="L102" s="430">
        <f>SUMIF([1]Нэгтгэл!B:B,'[1]12'!B:B,[1]Нэгтгэл!AJ:AJ)</f>
        <v>98389230</v>
      </c>
      <c r="M102" s="430">
        <f>SUMIF([1]Нэгтгэл!B:B,'[1]12'!B:B,[1]Нэгтгэл!AM:AM)</f>
        <v>115872942.06</v>
      </c>
      <c r="N102" s="430">
        <f>SUMIF([1]Нэгтгэл!B:B,'[1]12'!B:B,[1]Нэгтгэл!AP:AP)</f>
        <v>286414395</v>
      </c>
      <c r="O102" s="430">
        <f>SUMIF([1]Нэгтгэл!B:B,'[1]12'!B:B,[1]Нэгтгэл!AS:AS)</f>
        <v>0</v>
      </c>
      <c r="P102" s="430">
        <f>SUMIF([1]Нэгтгэл!B:B,'[1]12'!B:B,[1]Нэгтгэл!BB:BB)</f>
        <v>0</v>
      </c>
      <c r="Q102" s="430">
        <f>SUMIF([1]Нэгтгэл!B:B,'[1]12'!B:B,[1]Нэгтгэл!BE:BE)</f>
        <v>0</v>
      </c>
      <c r="R102" s="430">
        <f>SUMIF([1]Нэгтгэл!B:B,'[1]12'!B:B,[1]Нэгтгэл!BH:BH)</f>
        <v>0</v>
      </c>
      <c r="S102" s="430">
        <f>SUMIF([1]Нэгтгэл!B:B,'[1]12'!B:B,[1]Нэгтгэл!BK:BK)</f>
        <v>0</v>
      </c>
      <c r="T102" s="430">
        <f>SUMIF([1]Нэгтгэл!B:B,'[1]12'!B:B,[1]Нэгтгэл!BN:BN)</f>
        <v>0</v>
      </c>
      <c r="U102" s="430">
        <f>SUMIF([1]Нэгтгэл!B:B,'[1]12'!B:B,[1]Нэгтгэл!BQ:BQ)</f>
        <v>0</v>
      </c>
      <c r="V102" s="430">
        <f>SUMIF([1]Нэгтгэл!B:B,'[1]12'!B:B,[1]Нэгтгэл!BT:BT)</f>
        <v>0</v>
      </c>
      <c r="W102" s="430">
        <f>SUMIF([1]Нэгтгэл!B:B,'[1]12'!B:B,[1]Нэгтгэл!BW:BW)</f>
        <v>27392014.280000001</v>
      </c>
    </row>
    <row r="103" spans="1:23">
      <c r="A103" s="437">
        <f t="shared" si="1"/>
        <v>101</v>
      </c>
      <c r="B103" s="385">
        <v>2697947</v>
      </c>
      <c r="C103" s="429" t="s">
        <v>299</v>
      </c>
      <c r="D103" s="430">
        <f>SUMIF([1]Нэгтгэл!B:B,'[1]12'!B:B,[1]Нэгтгэл!F:F)</f>
        <v>145745087073.02002</v>
      </c>
      <c r="E103" s="430">
        <f>SUMIF([1]Нэгтгэл!B:B,'[1]12'!B:B,[1]Нэгтгэл!I:I)</f>
        <v>138849498.82848299</v>
      </c>
      <c r="F103" s="430">
        <f>SUMIF([1]Нэгтгэл!B:B,'[1]12'!B:B,[1]Нэгтгэл!L:L)</f>
        <v>12531729985.769943</v>
      </c>
      <c r="G103" s="430">
        <f>SUMIF([1]Нэгтгэл!B:B,'[1]12'!B:B,[1]Нэгтгэл!R:R)</f>
        <v>0</v>
      </c>
      <c r="H103" s="430">
        <f>SUMIF([1]Нэгтгэл!B:B,'[1]12'!B:B,[1]Нэгтгэл!O:O)</f>
        <v>0</v>
      </c>
      <c r="I103" s="430">
        <f>SUMIF([1]Нэгтгэл!B:B,'[1]12'!B:B,[1]Нэгтгэл!X:X)</f>
        <v>121735112098.35001</v>
      </c>
      <c r="J103" s="430">
        <f>SUMIF([1]Нэгтгэл!B:B,'[1]12'!B:B,[1]Нэгтгэл!AA:AA)</f>
        <v>0</v>
      </c>
      <c r="K103" s="430">
        <f>SUMIF([1]Нэгтгэл!B:B,'[1]12'!B:B,[1]Нэгтгэл!AD:AD)</f>
        <v>0</v>
      </c>
      <c r="L103" s="430">
        <f>SUMIF([1]Нэгтгэл!B:B,'[1]12'!B:B,[1]Нэгтгэл!AJ:AJ)</f>
        <v>3306239100</v>
      </c>
      <c r="M103" s="430">
        <f>SUMIF([1]Нэгтгэл!B:B,'[1]12'!B:B,[1]Нэгтгэл!AM:AM)</f>
        <v>1723660746.6099999</v>
      </c>
      <c r="N103" s="430">
        <f>SUMIF([1]Нэгтгэл!B:B,'[1]12'!B:B,[1]Нэгтгэл!AP:AP)</f>
        <v>3870142450</v>
      </c>
      <c r="O103" s="430">
        <f>SUMIF([1]Нэгтгэл!B:B,'[1]12'!B:B,[1]Нэгтгэл!AS:AS)</f>
        <v>0</v>
      </c>
      <c r="P103" s="430">
        <f>SUMIF([1]Нэгтгэл!B:B,'[1]12'!B:B,[1]Нэгтгэл!BB:BB)</f>
        <v>0</v>
      </c>
      <c r="Q103" s="430">
        <f>SUMIF([1]Нэгтгэл!B:B,'[1]12'!B:B,[1]Нэгтгэл!BE:BE)</f>
        <v>0</v>
      </c>
      <c r="R103" s="430">
        <f>SUMIF([1]Нэгтгэл!B:B,'[1]12'!B:B,[1]Нэгтгэл!BH:BH)</f>
        <v>0</v>
      </c>
      <c r="S103" s="430">
        <f>SUMIF([1]Нэгтгэл!B:B,'[1]12'!B:B,[1]Нэгтгэл!BK:BK)</f>
        <v>0</v>
      </c>
      <c r="T103" s="430">
        <f>SUMIF([1]Нэгтгэл!B:B,'[1]12'!B:B,[1]Нэгтгэл!BN:BN)</f>
        <v>0</v>
      </c>
      <c r="U103" s="430">
        <f>SUMIF([1]Нэгтгэл!B:B,'[1]12'!B:B,[1]Нэгтгэл!BQ:BQ)</f>
        <v>0</v>
      </c>
      <c r="V103" s="430">
        <f>SUMIF([1]Нэгтгэл!B:B,'[1]12'!B:B,[1]Нэгтгэл!BT:BT)</f>
        <v>0</v>
      </c>
      <c r="W103" s="430">
        <f>SUMIF([1]Нэгтгэл!B:B,'[1]12'!B:B,[1]Нэгтгэл!BW:BW)</f>
        <v>669482131.77999997</v>
      </c>
    </row>
    <row r="104" spans="1:23">
      <c r="A104" s="437">
        <f t="shared" si="1"/>
        <v>102</v>
      </c>
      <c r="B104" s="385">
        <v>5352827</v>
      </c>
      <c r="C104" s="429" t="s">
        <v>300</v>
      </c>
      <c r="D104" s="430">
        <f>SUMIF([1]Нэгтгэл!B:B,'[1]12'!B:B,[1]Нэгтгэл!F:F)</f>
        <v>0</v>
      </c>
      <c r="E104" s="430">
        <f>SUMIF([1]Нэгтгэл!B:B,'[1]12'!B:B,[1]Нэгтгэл!I:I)</f>
        <v>81986700.371019006</v>
      </c>
      <c r="F104" s="430">
        <f>SUMIF([1]Нэгтгэл!B:B,'[1]12'!B:B,[1]Нэгтгэл!L:L)</f>
        <v>717947879.88913989</v>
      </c>
      <c r="G104" s="430">
        <f>SUMIF([1]Нэгтгэл!B:B,'[1]12'!B:B,[1]Нэгтгэл!R:R)</f>
        <v>0</v>
      </c>
      <c r="H104" s="430">
        <f>SUMIF([1]Нэгтгэл!B:B,'[1]12'!B:B,[1]Нэгтгэл!O:O)</f>
        <v>0</v>
      </c>
      <c r="I104" s="430">
        <f>SUMIF([1]Нэгтгэл!B:B,'[1]12'!B:B,[1]Нэгтгэл!X:X)</f>
        <v>23550773273.110001</v>
      </c>
      <c r="J104" s="430">
        <f>SUMIF([1]Нэгтгэл!B:B,'[1]12'!B:B,[1]Нэгтгэл!AA:AA)</f>
        <v>0</v>
      </c>
      <c r="K104" s="430">
        <f>SUMIF([1]Нэгтгэл!B:B,'[1]12'!B:B,[1]Нэгтгэл!AD:AD)</f>
        <v>0</v>
      </c>
      <c r="L104" s="430">
        <f>SUMIF([1]Нэгтгэл!B:B,'[1]12'!B:B,[1]Нэгтгэл!AJ:AJ)</f>
        <v>462310640</v>
      </c>
      <c r="M104" s="430">
        <f>SUMIF([1]Нэгтгэл!B:B,'[1]12'!B:B,[1]Нэгтгэл!AM:AM)</f>
        <v>3242496116.3699999</v>
      </c>
      <c r="N104" s="430">
        <f>SUMIF([1]Нэгтгэл!B:B,'[1]12'!B:B,[1]Нэгтгэл!AP:AP)</f>
        <v>1235807325</v>
      </c>
      <c r="O104" s="430">
        <f>SUMIF([1]Нэгтгэл!B:B,'[1]12'!B:B,[1]Нэгтгэл!AS:AS)</f>
        <v>0</v>
      </c>
      <c r="P104" s="430">
        <f>SUMIF([1]Нэгтгэл!B:B,'[1]12'!B:B,[1]Нэгтгэл!BB:BB)</f>
        <v>0</v>
      </c>
      <c r="Q104" s="430">
        <f>SUMIF([1]Нэгтгэл!B:B,'[1]12'!B:B,[1]Нэгтгэл!BE:BE)</f>
        <v>0</v>
      </c>
      <c r="R104" s="430">
        <f>SUMIF([1]Нэгтгэл!B:B,'[1]12'!B:B,[1]Нэгтгэл!BH:BH)</f>
        <v>0</v>
      </c>
      <c r="S104" s="430">
        <f>SUMIF([1]Нэгтгэл!B:B,'[1]12'!B:B,[1]Нэгтгэл!BK:BK)</f>
        <v>0</v>
      </c>
      <c r="T104" s="430">
        <f>SUMIF([1]Нэгтгэл!B:B,'[1]12'!B:B,[1]Нэгтгэл!BN:BN)</f>
        <v>0</v>
      </c>
      <c r="U104" s="430">
        <f>SUMIF([1]Нэгтгэл!B:B,'[1]12'!B:B,[1]Нэгтгэл!BQ:BQ)</f>
        <v>0</v>
      </c>
      <c r="V104" s="430">
        <f>SUMIF([1]Нэгтгэл!B:B,'[1]12'!B:B,[1]Нэгтгэл!BT:BT)</f>
        <v>0</v>
      </c>
      <c r="W104" s="430">
        <f>SUMIF([1]Нэгтгэл!B:B,'[1]12'!B:B,[1]Нэгтгэл!BW:BW)</f>
        <v>1571090012.4500003</v>
      </c>
    </row>
    <row r="105" spans="1:23">
      <c r="A105" s="437">
        <f t="shared" si="1"/>
        <v>103</v>
      </c>
      <c r="B105" s="385">
        <v>2548747</v>
      </c>
      <c r="C105" s="429" t="s">
        <v>301</v>
      </c>
      <c r="D105" s="430">
        <f>SUMIF([1]Нэгтгэл!B:B,'[1]12'!B:B,[1]Нэгтгэл!F:F)</f>
        <v>34391600622.970001</v>
      </c>
      <c r="E105" s="430">
        <f>SUMIF([1]Нэгтгэл!B:B,'[1]12'!B:B,[1]Нэгтгэл!I:I)</f>
        <v>2998995409.9569802</v>
      </c>
      <c r="F105" s="430">
        <f>SUMIF([1]Нэгтгэл!B:B,'[1]12'!B:B,[1]Нэгтгэл!L:L)</f>
        <v>7665163447.1339397</v>
      </c>
      <c r="G105" s="430">
        <f>SUMIF([1]Нэгтгэл!B:B,'[1]12'!B:B,[1]Нэгтгэл!R:R)</f>
        <v>0</v>
      </c>
      <c r="H105" s="430">
        <f>SUMIF([1]Нэгтгэл!B:B,'[1]12'!B:B,[1]Нэгтгэл!O:O)</f>
        <v>0</v>
      </c>
      <c r="I105" s="430">
        <f>SUMIF([1]Нэгтгэл!B:B,'[1]12'!B:B,[1]Нэгтгэл!X:X)</f>
        <v>29794056959.690002</v>
      </c>
      <c r="J105" s="430">
        <f>SUMIF([1]Нэгтгэл!B:B,'[1]12'!B:B,[1]Нэгтгэл!AA:AA)</f>
        <v>0</v>
      </c>
      <c r="K105" s="430">
        <f>SUMIF([1]Нэгтгэл!B:B,'[1]12'!B:B,[1]Нэгтгэл!AD:AD)</f>
        <v>0</v>
      </c>
      <c r="L105" s="430">
        <f>SUMIF([1]Нэгтгэл!B:B,'[1]12'!B:B,[1]Нэгтгэл!AJ:AJ)</f>
        <v>0</v>
      </c>
      <c r="M105" s="430">
        <f>SUMIF([1]Нэгтгэл!B:B,'[1]12'!B:B,[1]Нэгтгэл!AM:AM)</f>
        <v>3266058647.0599999</v>
      </c>
      <c r="N105" s="430">
        <f>SUMIF([1]Нэгтгэл!B:B,'[1]12'!B:B,[1]Нэгтгэл!AP:AP)</f>
        <v>129940936</v>
      </c>
      <c r="O105" s="430">
        <f>SUMIF([1]Нэгтгэл!B:B,'[1]12'!B:B,[1]Нэгтгэл!AS:AS)</f>
        <v>0</v>
      </c>
      <c r="P105" s="430">
        <f>SUMIF([1]Нэгтгэл!B:B,'[1]12'!B:B,[1]Нэгтгэл!BB:BB)</f>
        <v>0</v>
      </c>
      <c r="Q105" s="430">
        <f>SUMIF([1]Нэгтгэл!B:B,'[1]12'!B:B,[1]Нэгтгэл!BE:BE)</f>
        <v>0</v>
      </c>
      <c r="R105" s="430">
        <f>SUMIF([1]Нэгтгэл!B:B,'[1]12'!B:B,[1]Нэгтгэл!BH:BH)</f>
        <v>0</v>
      </c>
      <c r="S105" s="430">
        <f>SUMIF([1]Нэгтгэл!B:B,'[1]12'!B:B,[1]Нэгтгэл!BK:BK)</f>
        <v>0</v>
      </c>
      <c r="T105" s="430">
        <f>SUMIF([1]Нэгтгэл!B:B,'[1]12'!B:B,[1]Нэгтгэл!BN:BN)</f>
        <v>0</v>
      </c>
      <c r="U105" s="430">
        <f>SUMIF([1]Нэгтгэл!B:B,'[1]12'!B:B,[1]Нэгтгэл!BQ:BQ)</f>
        <v>0</v>
      </c>
      <c r="V105" s="430">
        <f>SUMIF([1]Нэгтгэл!B:B,'[1]12'!B:B,[1]Нэгтгэл!BT:BT)</f>
        <v>0</v>
      </c>
      <c r="W105" s="430">
        <f>SUMIF([1]Нэгтгэл!B:B,'[1]12'!B:B,[1]Нэгтгэл!BW:BW)</f>
        <v>1117928383.76</v>
      </c>
    </row>
    <row r="106" spans="1:23">
      <c r="A106" s="437">
        <f t="shared" si="1"/>
        <v>104</v>
      </c>
      <c r="B106" s="385">
        <v>2641984</v>
      </c>
      <c r="C106" s="429" t="s">
        <v>303</v>
      </c>
      <c r="D106" s="430">
        <f>SUMIF([1]Нэгтгэл!B:B,'[1]12'!B:B,[1]Нэгтгэл!F:F)</f>
        <v>50000000</v>
      </c>
      <c r="E106" s="430">
        <f>SUMIF([1]Нэгтгэл!B:B,'[1]12'!B:B,[1]Нэгтгэл!I:I)</f>
        <v>237929511.618837</v>
      </c>
      <c r="F106" s="430">
        <f>SUMIF([1]Нэгтгэл!B:B,'[1]12'!B:B,[1]Нэгтгэл!L:L)</f>
        <v>1899253052.851325</v>
      </c>
      <c r="G106" s="430">
        <f>SUMIF([1]Нэгтгэл!B:B,'[1]12'!B:B,[1]Нэгтгэл!R:R)</f>
        <v>0</v>
      </c>
      <c r="H106" s="430">
        <f>SUMIF([1]Нэгтгэл!B:B,'[1]12'!B:B,[1]Нэгтгэл!O:O)</f>
        <v>0</v>
      </c>
      <c r="I106" s="430">
        <f>SUMIF([1]Нэгтгэл!B:B,'[1]12'!B:B,[1]Нэгтгэл!X:X)</f>
        <v>112860669.7</v>
      </c>
      <c r="J106" s="430">
        <f>SUMIF([1]Нэгтгэл!B:B,'[1]12'!B:B,[1]Нэгтгэл!AA:AA)</f>
        <v>0</v>
      </c>
      <c r="K106" s="430">
        <f>SUMIF([1]Нэгтгэл!B:B,'[1]12'!B:B,[1]Нэгтгэл!AD:AD)</f>
        <v>0</v>
      </c>
      <c r="L106" s="430">
        <f>SUMIF([1]Нэгтгэл!B:B,'[1]12'!B:B,[1]Нэгтгэл!AJ:AJ)</f>
        <v>0</v>
      </c>
      <c r="M106" s="430">
        <f>SUMIF([1]Нэгтгэл!B:B,'[1]12'!B:B,[1]Нэгтгэл!AM:AM)</f>
        <v>4953263008.0200005</v>
      </c>
      <c r="N106" s="430">
        <f>SUMIF([1]Нэгтгэл!B:B,'[1]12'!B:B,[1]Нэгтгэл!AP:AP)</f>
        <v>277200</v>
      </c>
      <c r="O106" s="430">
        <f>SUMIF([1]Нэгтгэл!B:B,'[1]12'!B:B,[1]Нэгтгэл!AS:AS)</f>
        <v>0</v>
      </c>
      <c r="P106" s="430">
        <f>SUMIF([1]Нэгтгэл!B:B,'[1]12'!B:B,[1]Нэгтгэл!BB:BB)</f>
        <v>0</v>
      </c>
      <c r="Q106" s="430">
        <f>SUMIF([1]Нэгтгэл!B:B,'[1]12'!B:B,[1]Нэгтгэл!BE:BE)</f>
        <v>0</v>
      </c>
      <c r="R106" s="430">
        <f>SUMIF([1]Нэгтгэл!B:B,'[1]12'!B:B,[1]Нэгтгэл!BH:BH)</f>
        <v>0</v>
      </c>
      <c r="S106" s="430">
        <f>SUMIF([1]Нэгтгэл!B:B,'[1]12'!B:B,[1]Нэгтгэл!BK:BK)</f>
        <v>0</v>
      </c>
      <c r="T106" s="430">
        <f>SUMIF([1]Нэгтгэл!B:B,'[1]12'!B:B,[1]Нэгтгэл!BN:BN)</f>
        <v>0</v>
      </c>
      <c r="U106" s="430">
        <f>SUMIF([1]Нэгтгэл!B:B,'[1]12'!B:B,[1]Нэгтгэл!BQ:BQ)</f>
        <v>0</v>
      </c>
      <c r="V106" s="430">
        <f>SUMIF([1]Нэгтгэл!B:B,'[1]12'!B:B,[1]Нэгтгэл!BT:BT)</f>
        <v>0</v>
      </c>
      <c r="W106" s="430">
        <f>SUMIF([1]Нэгтгэл!B:B,'[1]12'!B:B,[1]Нэгтгэл!BW:BW)</f>
        <v>1136235834.05</v>
      </c>
    </row>
    <row r="107" spans="1:23">
      <c r="A107" s="437">
        <f t="shared" si="1"/>
        <v>105</v>
      </c>
      <c r="B107" s="385">
        <v>6342485</v>
      </c>
      <c r="C107" s="429" t="s">
        <v>306</v>
      </c>
      <c r="D107" s="430">
        <f>SUMIF([1]Нэгтгэл!B:B,'[1]12'!B:B,[1]Нэгтгэл!F:F)</f>
        <v>1198132463.51</v>
      </c>
      <c r="E107" s="430">
        <f>SUMIF([1]Нэгтгэл!B:B,'[1]12'!B:B,[1]Нэгтгэл!I:I)</f>
        <v>0</v>
      </c>
      <c r="F107" s="430">
        <f>SUMIF([1]Нэгтгэл!B:B,'[1]12'!B:B,[1]Нэгтгэл!L:L)</f>
        <v>486566634.65999997</v>
      </c>
      <c r="G107" s="430">
        <f>SUMIF([1]Нэгтгэл!B:B,'[1]12'!B:B,[1]Нэгтгэл!R:R)</f>
        <v>0</v>
      </c>
      <c r="H107" s="430">
        <f>SUMIF([1]Нэгтгэл!B:B,'[1]12'!B:B,[1]Нэгтгэл!O:O)</f>
        <v>0</v>
      </c>
      <c r="I107" s="430">
        <f>SUMIF([1]Нэгтгэл!B:B,'[1]12'!B:B,[1]Нэгтгэл!X:X)</f>
        <v>0</v>
      </c>
      <c r="J107" s="430">
        <f>SUMIF([1]Нэгтгэл!B:B,'[1]12'!B:B,[1]Нэгтгэл!AA:AA)</f>
        <v>0</v>
      </c>
      <c r="K107" s="430">
        <f>SUMIF([1]Нэгтгэл!B:B,'[1]12'!B:B,[1]Нэгтгэл!AD:AD)</f>
        <v>0</v>
      </c>
      <c r="L107" s="430">
        <f>SUMIF([1]Нэгтгэл!B:B,'[1]12'!B:B,[1]Нэгтгэл!AJ:AJ)</f>
        <v>0</v>
      </c>
      <c r="M107" s="430">
        <f>SUMIF([1]Нэгтгэл!B:B,'[1]12'!B:B,[1]Нэгтгэл!AM:AM)</f>
        <v>7163590.9100000001</v>
      </c>
      <c r="N107" s="430">
        <f>SUMIF([1]Нэгтгэл!B:B,'[1]12'!B:B,[1]Нэгтгэл!AP:AP)</f>
        <v>0</v>
      </c>
      <c r="O107" s="430">
        <f>SUMIF([1]Нэгтгэл!B:B,'[1]12'!B:B,[1]Нэгтгэл!AS:AS)</f>
        <v>0</v>
      </c>
      <c r="P107" s="430">
        <f>SUMIF([1]Нэгтгэл!B:B,'[1]12'!B:B,[1]Нэгтгэл!BB:BB)</f>
        <v>0</v>
      </c>
      <c r="Q107" s="430">
        <f>SUMIF([1]Нэгтгэл!B:B,'[1]12'!B:B,[1]Нэгтгэл!BE:BE)</f>
        <v>0</v>
      </c>
      <c r="R107" s="430">
        <f>SUMIF([1]Нэгтгэл!B:B,'[1]12'!B:B,[1]Нэгтгэл!BH:BH)</f>
        <v>0</v>
      </c>
      <c r="S107" s="430">
        <f>SUMIF([1]Нэгтгэл!B:B,'[1]12'!B:B,[1]Нэгтгэл!BK:BK)</f>
        <v>0</v>
      </c>
      <c r="T107" s="430">
        <f>SUMIF([1]Нэгтгэл!B:B,'[1]12'!B:B,[1]Нэгтгэл!BN:BN)</f>
        <v>0</v>
      </c>
      <c r="U107" s="430">
        <f>SUMIF([1]Нэгтгэл!B:B,'[1]12'!B:B,[1]Нэгтгэл!BQ:BQ)</f>
        <v>0</v>
      </c>
      <c r="V107" s="430">
        <f>SUMIF([1]Нэгтгэл!B:B,'[1]12'!B:B,[1]Нэгтгэл!BT:BT)</f>
        <v>0</v>
      </c>
      <c r="W107" s="430">
        <f>SUMIF([1]Нэгтгэл!B:B,'[1]12'!B:B,[1]Нэгтгэл!BW:BW)</f>
        <v>3015141.82</v>
      </c>
    </row>
    <row r="108" spans="1:23">
      <c r="A108" s="437">
        <f t="shared" si="1"/>
        <v>106</v>
      </c>
      <c r="B108" s="385">
        <v>5166667</v>
      </c>
      <c r="C108" s="429" t="s">
        <v>307</v>
      </c>
      <c r="D108" s="430">
        <f>SUMIF([1]Нэгтгэл!B:B,'[1]12'!B:B,[1]Нэгтгэл!F:F)</f>
        <v>0</v>
      </c>
      <c r="E108" s="430">
        <f>SUMIF([1]Нэгтгэл!B:B,'[1]12'!B:B,[1]Нэгтгэл!I:I)</f>
        <v>0</v>
      </c>
      <c r="F108" s="430">
        <f>SUMIF([1]Нэгтгэл!B:B,'[1]12'!B:B,[1]Нэгтгэл!L:L)</f>
        <v>0</v>
      </c>
      <c r="G108" s="430">
        <f>SUMIF([1]Нэгтгэл!B:B,'[1]12'!B:B,[1]Нэгтгэл!R:R)</f>
        <v>0</v>
      </c>
      <c r="H108" s="430">
        <f>SUMIF([1]Нэгтгэл!B:B,'[1]12'!B:B,[1]Нэгтгэл!O:O)</f>
        <v>0</v>
      </c>
      <c r="I108" s="430">
        <f>SUMIF([1]Нэгтгэл!B:B,'[1]12'!B:B,[1]Нэгтгэл!X:X)</f>
        <v>0</v>
      </c>
      <c r="J108" s="430">
        <f>SUMIF([1]Нэгтгэл!B:B,'[1]12'!B:B,[1]Нэгтгэл!AA:AA)</f>
        <v>0</v>
      </c>
      <c r="K108" s="430">
        <f>SUMIF([1]Нэгтгэл!B:B,'[1]12'!B:B,[1]Нэгтгэл!AD:AD)</f>
        <v>0</v>
      </c>
      <c r="L108" s="430">
        <f>SUMIF([1]Нэгтгэл!B:B,'[1]12'!B:B,[1]Нэгтгэл!AJ:AJ)</f>
        <v>0</v>
      </c>
      <c r="M108" s="430">
        <f>SUMIF([1]Нэгтгэл!B:B,'[1]12'!B:B,[1]Нэгтгэл!AM:AM)</f>
        <v>510000</v>
      </c>
      <c r="N108" s="430">
        <f>SUMIF([1]Нэгтгэл!B:B,'[1]12'!B:B,[1]Нэгтгэл!AP:AP)</f>
        <v>0</v>
      </c>
      <c r="O108" s="430">
        <f>SUMIF([1]Нэгтгэл!B:B,'[1]12'!B:B,[1]Нэгтгэл!AS:AS)</f>
        <v>0</v>
      </c>
      <c r="P108" s="430">
        <f>SUMIF([1]Нэгтгэл!B:B,'[1]12'!B:B,[1]Нэгтгэл!BB:BB)</f>
        <v>0</v>
      </c>
      <c r="Q108" s="430">
        <f>SUMIF([1]Нэгтгэл!B:B,'[1]12'!B:B,[1]Нэгтгэл!BE:BE)</f>
        <v>0</v>
      </c>
      <c r="R108" s="430">
        <f>SUMIF([1]Нэгтгэл!B:B,'[1]12'!B:B,[1]Нэгтгэл!BH:BH)</f>
        <v>0</v>
      </c>
      <c r="S108" s="430">
        <f>SUMIF([1]Нэгтгэл!B:B,'[1]12'!B:B,[1]Нэгтгэл!BK:BK)</f>
        <v>0</v>
      </c>
      <c r="T108" s="430">
        <f>SUMIF([1]Нэгтгэл!B:B,'[1]12'!B:B,[1]Нэгтгэл!BN:BN)</f>
        <v>0</v>
      </c>
      <c r="U108" s="430">
        <f>SUMIF([1]Нэгтгэл!B:B,'[1]12'!B:B,[1]Нэгтгэл!BQ:BQ)</f>
        <v>0</v>
      </c>
      <c r="V108" s="430">
        <f>SUMIF([1]Нэгтгэл!B:B,'[1]12'!B:B,[1]Нэгтгэл!BT:BT)</f>
        <v>0</v>
      </c>
      <c r="W108" s="430">
        <f>SUMIF([1]Нэгтгэл!B:B,'[1]12'!B:B,[1]Нэгтгэл!BW:BW)</f>
        <v>51245.4</v>
      </c>
    </row>
    <row r="109" spans="1:23">
      <c r="A109" s="437">
        <f t="shared" si="1"/>
        <v>107</v>
      </c>
      <c r="B109" s="385">
        <v>5482046</v>
      </c>
      <c r="C109" s="429" t="s">
        <v>308</v>
      </c>
      <c r="D109" s="430">
        <f>SUMIF([1]Нэгтгэл!B:B,'[1]12'!B:B,[1]Нэгтгэл!F:F)</f>
        <v>0</v>
      </c>
      <c r="E109" s="430">
        <f>SUMIF([1]Нэгтгэл!B:B,'[1]12'!B:B,[1]Нэгтгэл!I:I)</f>
        <v>24906109.651432</v>
      </c>
      <c r="F109" s="430">
        <f>SUMIF([1]Нэгтгэл!B:B,'[1]12'!B:B,[1]Нэгтгэл!L:L)</f>
        <v>52302830.267980002</v>
      </c>
      <c r="G109" s="430">
        <f>SUMIF([1]Нэгтгэл!B:B,'[1]12'!B:B,[1]Нэгтгэл!R:R)</f>
        <v>0</v>
      </c>
      <c r="H109" s="430">
        <f>SUMIF([1]Нэгтгэл!B:B,'[1]12'!B:B,[1]Нэгтгэл!O:O)</f>
        <v>0</v>
      </c>
      <c r="I109" s="430">
        <f>SUMIF([1]Нэгтгэл!B:B,'[1]12'!B:B,[1]Нэгтгэл!X:X)</f>
        <v>173800146.80000001</v>
      </c>
      <c r="J109" s="430">
        <f>SUMIF([1]Нэгтгэл!B:B,'[1]12'!B:B,[1]Нэгтгэл!AA:AA)</f>
        <v>0</v>
      </c>
      <c r="K109" s="430">
        <f>SUMIF([1]Нэгтгэл!B:B,'[1]12'!B:B,[1]Нэгтгэл!AD:AD)</f>
        <v>0</v>
      </c>
      <c r="L109" s="430">
        <f>SUMIF([1]Нэгтгэл!B:B,'[1]12'!B:B,[1]Нэгтгэл!AJ:AJ)</f>
        <v>170061800</v>
      </c>
      <c r="M109" s="430">
        <f>SUMIF([1]Нэгтгэл!B:B,'[1]12'!B:B,[1]Нэгтгэл!AM:AM)</f>
        <v>1081983956</v>
      </c>
      <c r="N109" s="430">
        <f>SUMIF([1]Нэгтгэл!B:B,'[1]12'!B:B,[1]Нэгтгэл!AP:AP)</f>
        <v>6159400</v>
      </c>
      <c r="O109" s="430">
        <f>SUMIF([1]Нэгтгэл!B:B,'[1]12'!B:B,[1]Нэгтгэл!AS:AS)</f>
        <v>0</v>
      </c>
      <c r="P109" s="430">
        <f>SUMIF([1]Нэгтгэл!B:B,'[1]12'!B:B,[1]Нэгтгэл!BB:BB)</f>
        <v>0</v>
      </c>
      <c r="Q109" s="430">
        <f>SUMIF([1]Нэгтгэл!B:B,'[1]12'!B:B,[1]Нэгтгэл!BE:BE)</f>
        <v>0</v>
      </c>
      <c r="R109" s="430">
        <f>SUMIF([1]Нэгтгэл!B:B,'[1]12'!B:B,[1]Нэгтгэл!BH:BH)</f>
        <v>0</v>
      </c>
      <c r="S109" s="430">
        <f>SUMIF([1]Нэгтгэл!B:B,'[1]12'!B:B,[1]Нэгтгэл!BK:BK)</f>
        <v>0</v>
      </c>
      <c r="T109" s="430">
        <f>SUMIF([1]Нэгтгэл!B:B,'[1]12'!B:B,[1]Нэгтгэл!BN:BN)</f>
        <v>0</v>
      </c>
      <c r="U109" s="430">
        <f>SUMIF([1]Нэгтгэл!B:B,'[1]12'!B:B,[1]Нэгтгэл!BQ:BQ)</f>
        <v>0</v>
      </c>
      <c r="V109" s="430">
        <f>SUMIF([1]Нэгтгэл!B:B,'[1]12'!B:B,[1]Нэгтгэл!BT:BT)</f>
        <v>0</v>
      </c>
      <c r="W109" s="430">
        <f>SUMIF([1]Нэгтгэл!B:B,'[1]12'!B:B,[1]Нэгтгэл!BW:BW)</f>
        <v>282626292.11000001</v>
      </c>
    </row>
    <row r="110" spans="1:23">
      <c r="A110" s="437">
        <f t="shared" si="1"/>
        <v>108</v>
      </c>
      <c r="B110" s="385">
        <v>2050374</v>
      </c>
      <c r="C110" s="429" t="s">
        <v>309</v>
      </c>
      <c r="D110" s="430">
        <f>SUMIF([1]Нэгтгэл!B:B,'[1]12'!B:B,[1]Нэгтгэл!F:F)</f>
        <v>450927035.63999999</v>
      </c>
      <c r="E110" s="430">
        <f>SUMIF([1]Нэгтгэл!B:B,'[1]12'!B:B,[1]Нэгтгэл!I:I)</f>
        <v>0</v>
      </c>
      <c r="F110" s="430">
        <f>SUMIF([1]Нэгтгэл!B:B,'[1]12'!B:B,[1]Нэгтгэл!L:L)</f>
        <v>1784006919.26</v>
      </c>
      <c r="G110" s="430">
        <f>SUMIF([1]Нэгтгэл!B:B,'[1]12'!B:B,[1]Нэгтгэл!R:R)</f>
        <v>0</v>
      </c>
      <c r="H110" s="430">
        <f>SUMIF([1]Нэгтгэл!B:B,'[1]12'!B:B,[1]Нэгтгэл!O:O)</f>
        <v>0</v>
      </c>
      <c r="I110" s="430">
        <f>SUMIF([1]Нэгтгэл!B:B,'[1]12'!B:B,[1]Нэгтгэл!X:X)</f>
        <v>3110189457.9899998</v>
      </c>
      <c r="J110" s="430">
        <f>SUMIF([1]Нэгтгэл!B:B,'[1]12'!B:B,[1]Нэгтгэл!AA:AA)</f>
        <v>0</v>
      </c>
      <c r="K110" s="430">
        <f>SUMIF([1]Нэгтгэл!B:B,'[1]12'!B:B,[1]Нэгтгэл!AD:AD)</f>
        <v>0</v>
      </c>
      <c r="L110" s="430">
        <f>SUMIF([1]Нэгтгэл!B:B,'[1]12'!B:B,[1]Нэгтгэл!AJ:AJ)</f>
        <v>199738660</v>
      </c>
      <c r="M110" s="430">
        <f>SUMIF([1]Нэгтгэл!B:B,'[1]12'!B:B,[1]Нэгтгэл!AM:AM)</f>
        <v>3691051546.8400002</v>
      </c>
      <c r="N110" s="430">
        <f>SUMIF([1]Нэгтгэл!B:B,'[1]12'!B:B,[1]Нэгтгэл!AP:AP)</f>
        <v>147577725</v>
      </c>
      <c r="O110" s="430">
        <f>SUMIF([1]Нэгтгэл!B:B,'[1]12'!B:B,[1]Нэгтгэл!AS:AS)</f>
        <v>0</v>
      </c>
      <c r="P110" s="430">
        <f>SUMIF([1]Нэгтгэл!B:B,'[1]12'!B:B,[1]Нэгтгэл!BB:BB)</f>
        <v>0</v>
      </c>
      <c r="Q110" s="430">
        <f>SUMIF([1]Нэгтгэл!B:B,'[1]12'!B:B,[1]Нэгтгэл!BE:BE)</f>
        <v>0</v>
      </c>
      <c r="R110" s="430">
        <f>SUMIF([1]Нэгтгэл!B:B,'[1]12'!B:B,[1]Нэгтгэл!BH:BH)</f>
        <v>0</v>
      </c>
      <c r="S110" s="430">
        <f>SUMIF([1]Нэгтгэл!B:B,'[1]12'!B:B,[1]Нэгтгэл!BK:BK)</f>
        <v>0</v>
      </c>
      <c r="T110" s="430">
        <f>SUMIF([1]Нэгтгэл!B:B,'[1]12'!B:B,[1]Нэгтгэл!BN:BN)</f>
        <v>0</v>
      </c>
      <c r="U110" s="430">
        <f>SUMIF([1]Нэгтгэл!B:B,'[1]12'!B:B,[1]Нэгтгэл!BQ:BQ)</f>
        <v>0</v>
      </c>
      <c r="V110" s="430">
        <f>SUMIF([1]Нэгтгэл!B:B,'[1]12'!B:B,[1]Нэгтгэл!BT:BT)</f>
        <v>0</v>
      </c>
      <c r="W110" s="430">
        <f>SUMIF([1]Нэгтгэл!B:B,'[1]12'!B:B,[1]Нэгтгэл!BW:BW)</f>
        <v>1126495931.25</v>
      </c>
    </row>
    <row r="111" spans="1:23">
      <c r="A111" s="437">
        <f t="shared" si="1"/>
        <v>109</v>
      </c>
      <c r="B111" s="385">
        <v>2004879</v>
      </c>
      <c r="C111" s="429" t="s">
        <v>311</v>
      </c>
      <c r="D111" s="430">
        <f>SUMIF([1]Нэгтгэл!B:B,'[1]12'!B:B,[1]Нэгтгэл!F:F)</f>
        <v>356493.24</v>
      </c>
      <c r="E111" s="430">
        <f>SUMIF([1]Нэгтгэл!B:B,'[1]12'!B:B,[1]Нэгтгэл!I:I)</f>
        <v>107663900.599988</v>
      </c>
      <c r="F111" s="430">
        <f>SUMIF([1]Нэгтгэл!B:B,'[1]12'!B:B,[1]Нэгтгэл!L:L)</f>
        <v>819094191.259974</v>
      </c>
      <c r="G111" s="430">
        <f>SUMIF([1]Нэгтгэл!B:B,'[1]12'!B:B,[1]Нэгтгэл!R:R)</f>
        <v>0</v>
      </c>
      <c r="H111" s="430">
        <f>SUMIF([1]Нэгтгэл!B:B,'[1]12'!B:B,[1]Нэгтгэл!O:O)</f>
        <v>0</v>
      </c>
      <c r="I111" s="430">
        <f>SUMIF([1]Нэгтгэл!B:B,'[1]12'!B:B,[1]Нэгтгэл!X:X)</f>
        <v>502000000</v>
      </c>
      <c r="J111" s="430">
        <f>SUMIF([1]Нэгтгэл!B:B,'[1]12'!B:B,[1]Нэгтгэл!AA:AA)</f>
        <v>0</v>
      </c>
      <c r="K111" s="430">
        <f>SUMIF([1]Нэгтгэл!B:B,'[1]12'!B:B,[1]Нэгтгэл!AD:AD)</f>
        <v>0</v>
      </c>
      <c r="L111" s="430">
        <f>SUMIF([1]Нэгтгэл!B:B,'[1]12'!B:B,[1]Нэгтгэл!AJ:AJ)</f>
        <v>0</v>
      </c>
      <c r="M111" s="430">
        <f>SUMIF([1]Нэгтгэл!B:B,'[1]12'!B:B,[1]Нэгтгэл!AM:AM)</f>
        <v>2861000000</v>
      </c>
      <c r="N111" s="430">
        <f>SUMIF([1]Нэгтгэл!B:B,'[1]12'!B:B,[1]Нэгтгэл!AP:AP)</f>
        <v>30400</v>
      </c>
      <c r="O111" s="430">
        <f>SUMIF([1]Нэгтгэл!B:B,'[1]12'!B:B,[1]Нэгтгэл!AS:AS)</f>
        <v>0</v>
      </c>
      <c r="P111" s="430">
        <f>SUMIF([1]Нэгтгэл!B:B,'[1]12'!B:B,[1]Нэгтгэл!BB:BB)</f>
        <v>0</v>
      </c>
      <c r="Q111" s="430">
        <f>SUMIF([1]Нэгтгэл!B:B,'[1]12'!B:B,[1]Нэгтгэл!BE:BE)</f>
        <v>0</v>
      </c>
      <c r="R111" s="430">
        <f>SUMIF([1]Нэгтгэл!B:B,'[1]12'!B:B,[1]Нэгтгэл!BH:BH)</f>
        <v>0</v>
      </c>
      <c r="S111" s="430">
        <f>SUMIF([1]Нэгтгэл!B:B,'[1]12'!B:B,[1]Нэгтгэл!BK:BK)</f>
        <v>0</v>
      </c>
      <c r="T111" s="430">
        <f>SUMIF([1]Нэгтгэл!B:B,'[1]12'!B:B,[1]Нэгтгэл!BN:BN)</f>
        <v>0</v>
      </c>
      <c r="U111" s="430">
        <f>SUMIF([1]Нэгтгэл!B:B,'[1]12'!B:B,[1]Нэгтгэл!BQ:BQ)</f>
        <v>0</v>
      </c>
      <c r="V111" s="430">
        <f>SUMIF([1]Нэгтгэл!B:B,'[1]12'!B:B,[1]Нэгтгэл!BT:BT)</f>
        <v>0</v>
      </c>
      <c r="W111" s="430">
        <f>SUMIF([1]Нэгтгэл!B:B,'[1]12'!B:B,[1]Нэгтгэл!BW:BW)</f>
        <v>1270067156.0200002</v>
      </c>
    </row>
    <row r="112" spans="1:23">
      <c r="A112" s="437">
        <f t="shared" si="1"/>
        <v>110</v>
      </c>
      <c r="B112" s="385">
        <v>2830213</v>
      </c>
      <c r="C112" s="429" t="s">
        <v>314</v>
      </c>
      <c r="D112" s="430">
        <f>SUMIF([1]Нэгтгэл!B:B,'[1]12'!B:B,[1]Нэгтгэл!F:F)</f>
        <v>13350410353.42</v>
      </c>
      <c r="E112" s="430">
        <f>SUMIF([1]Нэгтгэл!B:B,'[1]12'!B:B,[1]Нэгтгэл!I:I)</f>
        <v>2017259712.3740499</v>
      </c>
      <c r="F112" s="430">
        <f>SUMIF([1]Нэгтгэл!B:B,'[1]12'!B:B,[1]Нэгтгэл!L:L)</f>
        <v>6359498968.5453806</v>
      </c>
      <c r="G112" s="430">
        <f>SUMIF([1]Нэгтгэл!B:B,'[1]12'!B:B,[1]Нэгтгэл!R:R)</f>
        <v>0</v>
      </c>
      <c r="H112" s="430">
        <f>SUMIF([1]Нэгтгэл!B:B,'[1]12'!B:B,[1]Нэгтгэл!O:O)</f>
        <v>6100000</v>
      </c>
      <c r="I112" s="430">
        <f>SUMIF([1]Нэгтгэл!B:B,'[1]12'!B:B,[1]Нэгтгэл!X:X)</f>
        <v>38030103276.119995</v>
      </c>
      <c r="J112" s="430">
        <f>SUMIF([1]Нэгтгэл!B:B,'[1]12'!B:B,[1]Нэгтгэл!AA:AA)</f>
        <v>0</v>
      </c>
      <c r="K112" s="430">
        <f>SUMIF([1]Нэгтгэл!B:B,'[1]12'!B:B,[1]Нэгтгэл!AD:AD)</f>
        <v>0</v>
      </c>
      <c r="L112" s="430">
        <f>SUMIF([1]Нэгтгэл!B:B,'[1]12'!B:B,[1]Нэгтгэл!AJ:AJ)</f>
        <v>0</v>
      </c>
      <c r="M112" s="430">
        <f>SUMIF([1]Нэгтгэл!B:B,'[1]12'!B:B,[1]Нэгтгэл!AM:AM)</f>
        <v>4475429664</v>
      </c>
      <c r="N112" s="430">
        <f>SUMIF([1]Нэгтгэл!B:B,'[1]12'!B:B,[1]Нэгтгэл!AP:AP)</f>
        <v>111798200</v>
      </c>
      <c r="O112" s="430">
        <f>SUMIF([1]Нэгтгэл!B:B,'[1]12'!B:B,[1]Нэгтгэл!AS:AS)</f>
        <v>0</v>
      </c>
      <c r="P112" s="430">
        <f>SUMIF([1]Нэгтгэл!B:B,'[1]12'!B:B,[1]Нэгтгэл!BB:BB)</f>
        <v>0</v>
      </c>
      <c r="Q112" s="430">
        <f>SUMIF([1]Нэгтгэл!B:B,'[1]12'!B:B,[1]Нэгтгэл!BE:BE)</f>
        <v>0</v>
      </c>
      <c r="R112" s="430">
        <f>SUMIF([1]Нэгтгэл!B:B,'[1]12'!B:B,[1]Нэгтгэл!BH:BH)</f>
        <v>0</v>
      </c>
      <c r="S112" s="430">
        <f>SUMIF([1]Нэгтгэл!B:B,'[1]12'!B:B,[1]Нэгтгэл!BK:BK)</f>
        <v>0</v>
      </c>
      <c r="T112" s="430">
        <f>SUMIF([1]Нэгтгэл!B:B,'[1]12'!B:B,[1]Нэгтгэл!BN:BN)</f>
        <v>0</v>
      </c>
      <c r="U112" s="430">
        <f>SUMIF([1]Нэгтгэл!B:B,'[1]12'!B:B,[1]Нэгтгэл!BQ:BQ)</f>
        <v>0</v>
      </c>
      <c r="V112" s="430">
        <f>SUMIF([1]Нэгтгэл!B:B,'[1]12'!B:B,[1]Нэгтгэл!BT:BT)</f>
        <v>0</v>
      </c>
      <c r="W112" s="430">
        <f>SUMIF([1]Нэгтгэл!B:B,'[1]12'!B:B,[1]Нэгтгэл!BW:BW)</f>
        <v>1957885837.3599997</v>
      </c>
    </row>
    <row r="113" spans="1:23">
      <c r="A113" s="437">
        <f t="shared" si="1"/>
        <v>111</v>
      </c>
      <c r="B113" s="385">
        <v>5320607</v>
      </c>
      <c r="C113" s="429" t="s">
        <v>315</v>
      </c>
      <c r="D113" s="430">
        <f>SUMIF([1]Нэгтгэл!B:B,'[1]12'!B:B,[1]Нэгтгэл!F:F)</f>
        <v>53285224.710000001</v>
      </c>
      <c r="E113" s="430">
        <f>SUMIF([1]Нэгтгэл!B:B,'[1]12'!B:B,[1]Нэгтгэл!I:I)</f>
        <v>84776908.981553003</v>
      </c>
      <c r="F113" s="430">
        <f>SUMIF([1]Нэгтгэл!B:B,'[1]12'!B:B,[1]Нэгтгэл!L:L)</f>
        <v>176314834.011262</v>
      </c>
      <c r="G113" s="430">
        <f>SUMIF([1]Нэгтгэл!B:B,'[1]12'!B:B,[1]Нэгтгэл!R:R)</f>
        <v>0</v>
      </c>
      <c r="H113" s="430">
        <f>SUMIF([1]Нэгтгэл!B:B,'[1]12'!B:B,[1]Нэгтгэл!O:O)</f>
        <v>0</v>
      </c>
      <c r="I113" s="430">
        <f>SUMIF([1]Нэгтгэл!B:B,'[1]12'!B:B,[1]Нэгтгэл!X:X)</f>
        <v>0</v>
      </c>
      <c r="J113" s="430">
        <f>SUMIF([1]Нэгтгэл!B:B,'[1]12'!B:B,[1]Нэгтгэл!AA:AA)</f>
        <v>0</v>
      </c>
      <c r="K113" s="430">
        <f>SUMIF([1]Нэгтгэл!B:B,'[1]12'!B:B,[1]Нэгтгэл!AD:AD)</f>
        <v>0</v>
      </c>
      <c r="L113" s="430">
        <f>SUMIF([1]Нэгтгэл!B:B,'[1]12'!B:B,[1]Нэгтгэл!AJ:AJ)</f>
        <v>0</v>
      </c>
      <c r="M113" s="430">
        <f>SUMIF([1]Нэгтгэл!B:B,'[1]12'!B:B,[1]Нэгтгэл!AM:AM)</f>
        <v>672327448.36000001</v>
      </c>
      <c r="N113" s="430">
        <f>SUMIF([1]Нэгтгэл!B:B,'[1]12'!B:B,[1]Нэгтгэл!AP:AP)</f>
        <v>105200</v>
      </c>
      <c r="O113" s="430">
        <f>SUMIF([1]Нэгтгэл!B:B,'[1]12'!B:B,[1]Нэгтгэл!AS:AS)</f>
        <v>0</v>
      </c>
      <c r="P113" s="430">
        <f>SUMIF([1]Нэгтгэл!B:B,'[1]12'!B:B,[1]Нэгтгэл!BB:BB)</f>
        <v>0</v>
      </c>
      <c r="Q113" s="430">
        <f>SUMIF([1]Нэгтгэл!B:B,'[1]12'!B:B,[1]Нэгтгэл!BE:BE)</f>
        <v>0</v>
      </c>
      <c r="R113" s="430">
        <f>SUMIF([1]Нэгтгэл!B:B,'[1]12'!B:B,[1]Нэгтгэл!BH:BH)</f>
        <v>0</v>
      </c>
      <c r="S113" s="430">
        <f>SUMIF([1]Нэгтгэл!B:B,'[1]12'!B:B,[1]Нэгтгэл!BK:BK)</f>
        <v>0</v>
      </c>
      <c r="T113" s="430">
        <f>SUMIF([1]Нэгтгэл!B:B,'[1]12'!B:B,[1]Нэгтгэл!BN:BN)</f>
        <v>0</v>
      </c>
      <c r="U113" s="430">
        <f>SUMIF([1]Нэгтгэл!B:B,'[1]12'!B:B,[1]Нэгтгэл!BQ:BQ)</f>
        <v>0</v>
      </c>
      <c r="V113" s="430">
        <f>SUMIF([1]Нэгтгэл!B:B,'[1]12'!B:B,[1]Нэгтгэл!BT:BT)</f>
        <v>0</v>
      </c>
      <c r="W113" s="430">
        <f>SUMIF([1]Нэгтгэл!B:B,'[1]12'!B:B,[1]Нэгтгэл!BW:BW)</f>
        <v>231814040.85000002</v>
      </c>
    </row>
    <row r="114" spans="1:23">
      <c r="A114" s="437">
        <f t="shared" si="1"/>
        <v>112</v>
      </c>
      <c r="B114" s="385">
        <v>5586119</v>
      </c>
      <c r="C114" s="429" t="s">
        <v>316</v>
      </c>
      <c r="D114" s="430">
        <f>SUMIF([1]Нэгтгэл!B:B,'[1]12'!B:B,[1]Нэгтгэл!F:F)</f>
        <v>0</v>
      </c>
      <c r="E114" s="430">
        <f>SUMIF([1]Нэгтгэл!B:B,'[1]12'!B:B,[1]Нэгтгэл!I:I)</f>
        <v>0</v>
      </c>
      <c r="F114" s="430">
        <f>SUMIF([1]Нэгтгэл!B:B,'[1]12'!B:B,[1]Нэгтгэл!L:L)</f>
        <v>0</v>
      </c>
      <c r="G114" s="430">
        <f>SUMIF([1]Нэгтгэл!B:B,'[1]12'!B:B,[1]Нэгтгэл!R:R)</f>
        <v>0</v>
      </c>
      <c r="H114" s="430">
        <f>SUMIF([1]Нэгтгэл!B:B,'[1]12'!B:B,[1]Нэгтгэл!O:O)</f>
        <v>0</v>
      </c>
      <c r="I114" s="430">
        <f>SUMIF([1]Нэгтгэл!B:B,'[1]12'!B:B,[1]Нэгтгэл!X:X)</f>
        <v>0</v>
      </c>
      <c r="J114" s="430">
        <f>SUMIF([1]Нэгтгэл!B:B,'[1]12'!B:B,[1]Нэгтгэл!AA:AA)</f>
        <v>0</v>
      </c>
      <c r="K114" s="430">
        <f>SUMIF([1]Нэгтгэл!B:B,'[1]12'!B:B,[1]Нэгтгэл!AD:AD)</f>
        <v>0</v>
      </c>
      <c r="L114" s="430">
        <f>SUMIF([1]Нэгтгэл!B:B,'[1]12'!B:B,[1]Нэгтгэл!AJ:AJ)</f>
        <v>0</v>
      </c>
      <c r="M114" s="430">
        <f>SUMIF([1]Нэгтгэл!B:B,'[1]12'!B:B,[1]Нэгтгэл!AM:AM)</f>
        <v>0</v>
      </c>
      <c r="N114" s="430">
        <f>SUMIF([1]Нэгтгэл!B:B,'[1]12'!B:B,[1]Нэгтгэл!AP:AP)</f>
        <v>0</v>
      </c>
      <c r="O114" s="430">
        <f>SUMIF([1]Нэгтгэл!B:B,'[1]12'!B:B,[1]Нэгтгэл!AS:AS)</f>
        <v>0</v>
      </c>
      <c r="P114" s="430">
        <f>SUMIF([1]Нэгтгэл!B:B,'[1]12'!B:B,[1]Нэгтгэл!BB:BB)</f>
        <v>0</v>
      </c>
      <c r="Q114" s="430">
        <f>SUMIF([1]Нэгтгэл!B:B,'[1]12'!B:B,[1]Нэгтгэл!BE:BE)</f>
        <v>0</v>
      </c>
      <c r="R114" s="430">
        <f>SUMIF([1]Нэгтгэл!B:B,'[1]12'!B:B,[1]Нэгтгэл!BH:BH)</f>
        <v>0</v>
      </c>
      <c r="S114" s="430">
        <f>SUMIF([1]Нэгтгэл!B:B,'[1]12'!B:B,[1]Нэгтгэл!BK:BK)</f>
        <v>0</v>
      </c>
      <c r="T114" s="430">
        <f>SUMIF([1]Нэгтгэл!B:B,'[1]12'!B:B,[1]Нэгтгэл!BN:BN)</f>
        <v>0</v>
      </c>
      <c r="U114" s="430">
        <f>SUMIF([1]Нэгтгэл!B:B,'[1]12'!B:B,[1]Нэгтгэл!BQ:BQ)</f>
        <v>0</v>
      </c>
      <c r="V114" s="430">
        <f>SUMIF([1]Нэгтгэл!B:B,'[1]12'!B:B,[1]Нэгтгэл!BT:BT)</f>
        <v>0</v>
      </c>
      <c r="W114" s="430">
        <f>SUMIF([1]Нэгтгэл!B:B,'[1]12'!B:B,[1]Нэгтгэл!BW:BW)</f>
        <v>0</v>
      </c>
    </row>
    <row r="115" spans="1:23">
      <c r="A115" s="437">
        <f t="shared" si="1"/>
        <v>113</v>
      </c>
      <c r="B115" s="385">
        <v>5015243</v>
      </c>
      <c r="C115" s="429" t="s">
        <v>317</v>
      </c>
      <c r="D115" s="430">
        <f>SUMIF([1]Нэгтгэл!B:B,'[1]12'!B:B,[1]Нэгтгэл!F:F)</f>
        <v>0</v>
      </c>
      <c r="E115" s="430">
        <f>SUMIF([1]Нэгтгэл!B:B,'[1]12'!B:B,[1]Нэгтгэл!I:I)</f>
        <v>38656211.444112003</v>
      </c>
      <c r="F115" s="430">
        <f>SUMIF([1]Нэгтгэл!B:B,'[1]12'!B:B,[1]Нэгтгэл!L:L)</f>
        <v>81178044.032636002</v>
      </c>
      <c r="G115" s="430">
        <f>SUMIF([1]Нэгтгэл!B:B,'[1]12'!B:B,[1]Нэгтгэл!R:R)</f>
        <v>0</v>
      </c>
      <c r="H115" s="430">
        <f>SUMIF([1]Нэгтгэл!B:B,'[1]12'!B:B,[1]Нэгтгэл!O:O)</f>
        <v>0</v>
      </c>
      <c r="I115" s="430">
        <f>SUMIF([1]Нэгтгэл!B:B,'[1]12'!B:B,[1]Нэгтгэл!X:X)</f>
        <v>739134555.80999994</v>
      </c>
      <c r="J115" s="430">
        <f>SUMIF([1]Нэгтгэл!B:B,'[1]12'!B:B,[1]Нэгтгэл!AA:AA)</f>
        <v>0</v>
      </c>
      <c r="K115" s="430">
        <f>SUMIF([1]Нэгтгэл!B:B,'[1]12'!B:B,[1]Нэгтгэл!AD:AD)</f>
        <v>0</v>
      </c>
      <c r="L115" s="430">
        <f>SUMIF([1]Нэгтгэл!B:B,'[1]12'!B:B,[1]Нэгтгэл!AJ:AJ)</f>
        <v>0</v>
      </c>
      <c r="M115" s="430">
        <f>SUMIF([1]Нэгтгэл!B:B,'[1]12'!B:B,[1]Нэгтгэл!AM:AM)</f>
        <v>136363290.56</v>
      </c>
      <c r="N115" s="430">
        <f>SUMIF([1]Нэгтгэл!B:B,'[1]12'!B:B,[1]Нэгтгэл!AP:AP)</f>
        <v>27076845.5</v>
      </c>
      <c r="O115" s="430">
        <f>SUMIF([1]Нэгтгэл!B:B,'[1]12'!B:B,[1]Нэгтгэл!AS:AS)</f>
        <v>0</v>
      </c>
      <c r="P115" s="430">
        <f>SUMIF([1]Нэгтгэл!B:B,'[1]12'!B:B,[1]Нэгтгэл!BB:BB)</f>
        <v>0</v>
      </c>
      <c r="Q115" s="430">
        <f>SUMIF([1]Нэгтгэл!B:B,'[1]12'!B:B,[1]Нэгтгэл!BE:BE)</f>
        <v>0</v>
      </c>
      <c r="R115" s="430">
        <f>SUMIF([1]Нэгтгэл!B:B,'[1]12'!B:B,[1]Нэгтгэл!BH:BH)</f>
        <v>0</v>
      </c>
      <c r="S115" s="430">
        <f>SUMIF([1]Нэгтгэл!B:B,'[1]12'!B:B,[1]Нэгтгэл!BK:BK)</f>
        <v>0</v>
      </c>
      <c r="T115" s="430">
        <f>SUMIF([1]Нэгтгэл!B:B,'[1]12'!B:B,[1]Нэгтгэл!BN:BN)</f>
        <v>0</v>
      </c>
      <c r="U115" s="430">
        <f>SUMIF([1]Нэгтгэл!B:B,'[1]12'!B:B,[1]Нэгтгэл!BQ:BQ)</f>
        <v>0</v>
      </c>
      <c r="V115" s="430">
        <f>SUMIF([1]Нэгтгэл!B:B,'[1]12'!B:B,[1]Нэгтгэл!BT:BT)</f>
        <v>0</v>
      </c>
      <c r="W115" s="430">
        <f>SUMIF([1]Нэгтгэл!B:B,'[1]12'!B:B,[1]Нэгтгэл!BW:BW)</f>
        <v>24287016.07</v>
      </c>
    </row>
    <row r="116" spans="1:23">
      <c r="A116" s="437">
        <f t="shared" si="1"/>
        <v>114</v>
      </c>
      <c r="B116" s="385">
        <v>5452503</v>
      </c>
      <c r="C116" s="435" t="s">
        <v>318</v>
      </c>
      <c r="D116" s="430">
        <f>SUMIF([1]Нэгтгэл!B:B,'[1]12'!B:B,[1]Нэгтгэл!F:F)</f>
        <v>0</v>
      </c>
      <c r="E116" s="430">
        <f>SUMIF([1]Нэгтгэл!B:B,'[1]12'!B:B,[1]Нэгтгэл!I:I)</f>
        <v>597148.61162600003</v>
      </c>
      <c r="F116" s="430">
        <f>SUMIF([1]Нэгтгэл!B:B,'[1]12'!B:B,[1]Нэгтгэл!L:L)</f>
        <v>1254012.0844149999</v>
      </c>
      <c r="G116" s="430">
        <f>SUMIF([1]Нэгтгэл!B:B,'[1]12'!B:B,[1]Нэгтгэл!R:R)</f>
        <v>0</v>
      </c>
      <c r="H116" s="430">
        <f>SUMIF([1]Нэгтгэл!B:B,'[1]12'!B:B,[1]Нэгтгэл!O:O)</f>
        <v>0</v>
      </c>
      <c r="I116" s="430">
        <f>SUMIF([1]Нэгтгэл!B:B,'[1]12'!B:B,[1]Нэгтгэл!X:X)</f>
        <v>756523099.79999995</v>
      </c>
      <c r="J116" s="430">
        <f>SUMIF([1]Нэгтгэл!B:B,'[1]12'!B:B,[1]Нэгтгэл!AA:AA)</f>
        <v>0</v>
      </c>
      <c r="K116" s="430">
        <f>SUMIF([1]Нэгтгэл!B:B,'[1]12'!B:B,[1]Нэгтгэл!AD:AD)</f>
        <v>0</v>
      </c>
      <c r="L116" s="430">
        <f>SUMIF([1]Нэгтгэл!B:B,'[1]12'!B:B,[1]Нэгтгэл!AJ:AJ)</f>
        <v>0</v>
      </c>
      <c r="M116" s="430">
        <f>SUMIF([1]Нэгтгэл!B:B,'[1]12'!B:B,[1]Нэгтгэл!AM:AM)</f>
        <v>313984819.48000002</v>
      </c>
      <c r="N116" s="430">
        <f>SUMIF([1]Нэгтгэл!B:B,'[1]12'!B:B,[1]Нэгтгэл!AP:AP)</f>
        <v>132140200</v>
      </c>
      <c r="O116" s="430">
        <f>SUMIF([1]Нэгтгэл!B:B,'[1]12'!B:B,[1]Нэгтгэл!AS:AS)</f>
        <v>0</v>
      </c>
      <c r="P116" s="430">
        <f>SUMIF([1]Нэгтгэл!B:B,'[1]12'!B:B,[1]Нэгтгэл!BB:BB)</f>
        <v>0</v>
      </c>
      <c r="Q116" s="430">
        <f>SUMIF([1]Нэгтгэл!B:B,'[1]12'!B:B,[1]Нэгтгэл!BE:BE)</f>
        <v>0</v>
      </c>
      <c r="R116" s="430">
        <f>SUMIF([1]Нэгтгэл!B:B,'[1]12'!B:B,[1]Нэгтгэл!BH:BH)</f>
        <v>0</v>
      </c>
      <c r="S116" s="430">
        <f>SUMIF([1]Нэгтгэл!B:B,'[1]12'!B:B,[1]Нэгтгэл!BK:BK)</f>
        <v>0</v>
      </c>
      <c r="T116" s="430">
        <f>SUMIF([1]Нэгтгэл!B:B,'[1]12'!B:B,[1]Нэгтгэл!BN:BN)</f>
        <v>0</v>
      </c>
      <c r="U116" s="430">
        <f>SUMIF([1]Нэгтгэл!B:B,'[1]12'!B:B,[1]Нэгтгэл!BQ:BQ)</f>
        <v>0</v>
      </c>
      <c r="V116" s="430">
        <f>SUMIF([1]Нэгтгэл!B:B,'[1]12'!B:B,[1]Нэгтгэл!BT:BT)</f>
        <v>0</v>
      </c>
      <c r="W116" s="430">
        <f>SUMIF([1]Нэгтгэл!B:B,'[1]12'!B:B,[1]Нэгтгэл!BW:BW)</f>
        <v>122791228.74999999</v>
      </c>
    </row>
    <row r="117" spans="1:23">
      <c r="A117" s="437">
        <f t="shared" si="1"/>
        <v>115</v>
      </c>
      <c r="B117" s="385">
        <v>2887746</v>
      </c>
      <c r="C117" s="429" t="s">
        <v>319</v>
      </c>
      <c r="D117" s="430">
        <f>SUMIF([1]Нэгтгэл!B:B,'[1]12'!B:B,[1]Нэгтгэл!F:F)</f>
        <v>73443174213</v>
      </c>
      <c r="E117" s="430">
        <f>SUMIF([1]Нэгтгэл!B:B,'[1]12'!B:B,[1]Нэгтгэл!I:I)</f>
        <v>512725787.89601499</v>
      </c>
      <c r="F117" s="430">
        <f>SUMIF([1]Нэгтгэл!B:B,'[1]12'!B:B,[1]Нэгтгэл!L:L)</f>
        <v>12024650158.297953</v>
      </c>
      <c r="G117" s="430">
        <f>SUMIF([1]Нэгтгэл!B:B,'[1]12'!B:B,[1]Нэгтгэл!R:R)</f>
        <v>0</v>
      </c>
      <c r="H117" s="430">
        <f>SUMIF([1]Нэгтгэл!B:B,'[1]12'!B:B,[1]Нэгтгэл!O:O)</f>
        <v>0</v>
      </c>
      <c r="I117" s="430">
        <f>SUMIF([1]Нэгтгэл!B:B,'[1]12'!B:B,[1]Нэгтгэл!X:X)</f>
        <v>276565121144.53998</v>
      </c>
      <c r="J117" s="430">
        <f>SUMIF([1]Нэгтгэл!B:B,'[1]12'!B:B,[1]Нэгтгэл!AA:AA)</f>
        <v>0</v>
      </c>
      <c r="K117" s="430">
        <f>SUMIF([1]Нэгтгэл!B:B,'[1]12'!B:B,[1]Нэгтгэл!AD:AD)</f>
        <v>0</v>
      </c>
      <c r="L117" s="430">
        <f>SUMIF([1]Нэгтгэл!B:B,'[1]12'!B:B,[1]Нэгтгэл!AJ:AJ)</f>
        <v>0</v>
      </c>
      <c r="M117" s="430">
        <f>SUMIF([1]Нэгтгэл!B:B,'[1]12'!B:B,[1]Нэгтгэл!AM:AM)</f>
        <v>28660000000</v>
      </c>
      <c r="N117" s="430">
        <f>SUMIF([1]Нэгтгэл!B:B,'[1]12'!B:B,[1]Нэгтгэл!AP:AP)</f>
        <v>11842522115</v>
      </c>
      <c r="O117" s="430">
        <f>SUMIF([1]Нэгтгэл!B:B,'[1]12'!B:B,[1]Нэгтгэл!AS:AS)</f>
        <v>0</v>
      </c>
      <c r="P117" s="430">
        <f>SUMIF([1]Нэгтгэл!B:B,'[1]12'!B:B,[1]Нэгтгэл!BB:BB)</f>
        <v>0</v>
      </c>
      <c r="Q117" s="430">
        <f>SUMIF([1]Нэгтгэл!B:B,'[1]12'!B:B,[1]Нэгтгэл!BE:BE)</f>
        <v>0</v>
      </c>
      <c r="R117" s="430">
        <f>SUMIF([1]Нэгтгэл!B:B,'[1]12'!B:B,[1]Нэгтгэл!BH:BH)</f>
        <v>0</v>
      </c>
      <c r="S117" s="430">
        <f>SUMIF([1]Нэгтгэл!B:B,'[1]12'!B:B,[1]Нэгтгэл!BK:BK)</f>
        <v>0</v>
      </c>
      <c r="T117" s="430">
        <f>SUMIF([1]Нэгтгэл!B:B,'[1]12'!B:B,[1]Нэгтгэл!BN:BN)</f>
        <v>0</v>
      </c>
      <c r="U117" s="430">
        <f>SUMIF([1]Нэгтгэл!B:B,'[1]12'!B:B,[1]Нэгтгэл!BQ:BQ)</f>
        <v>0</v>
      </c>
      <c r="V117" s="430">
        <f>SUMIF([1]Нэгтгэл!B:B,'[1]12'!B:B,[1]Нэгтгэл!BT:BT)</f>
        <v>0</v>
      </c>
      <c r="W117" s="430">
        <f>SUMIF([1]Нэгтгэл!B:B,'[1]12'!B:B,[1]Нэгтгэл!BW:BW)</f>
        <v>11150000000</v>
      </c>
    </row>
    <row r="118" spans="1:23">
      <c r="A118" s="437">
        <f t="shared" si="1"/>
        <v>116</v>
      </c>
      <c r="B118" s="385">
        <v>5618339</v>
      </c>
      <c r="C118" s="429" t="s">
        <v>320</v>
      </c>
      <c r="D118" s="430">
        <f>SUMIF([1]Нэгтгэл!B:B,'[1]12'!B:B,[1]Нэгтгэл!F:F)</f>
        <v>0</v>
      </c>
      <c r="E118" s="430">
        <f>SUMIF([1]Нэгтгэл!B:B,'[1]12'!B:B,[1]Нэгтгэл!I:I)</f>
        <v>0</v>
      </c>
      <c r="F118" s="430">
        <f>SUMIF([1]Нэгтгэл!B:B,'[1]12'!B:B,[1]Нэгтгэл!L:L)</f>
        <v>0</v>
      </c>
      <c r="G118" s="430">
        <f>SUMIF([1]Нэгтгэл!B:B,'[1]12'!B:B,[1]Нэгтгэл!R:R)</f>
        <v>0</v>
      </c>
      <c r="H118" s="430">
        <f>SUMIF([1]Нэгтгэл!B:B,'[1]12'!B:B,[1]Нэгтгэл!O:O)</f>
        <v>0</v>
      </c>
      <c r="I118" s="430">
        <f>SUMIF([1]Нэгтгэл!B:B,'[1]12'!B:B,[1]Нэгтгэл!X:X)</f>
        <v>0</v>
      </c>
      <c r="J118" s="430">
        <f>SUMIF([1]Нэгтгэл!B:B,'[1]12'!B:B,[1]Нэгтгэл!AA:AA)</f>
        <v>0</v>
      </c>
      <c r="K118" s="430">
        <f>SUMIF([1]Нэгтгэл!B:B,'[1]12'!B:B,[1]Нэгтгэл!AD:AD)</f>
        <v>0</v>
      </c>
      <c r="L118" s="430">
        <f>SUMIF([1]Нэгтгэл!B:B,'[1]12'!B:B,[1]Нэгтгэл!AJ:AJ)</f>
        <v>0</v>
      </c>
      <c r="M118" s="430">
        <f>SUMIF([1]Нэгтгэл!B:B,'[1]12'!B:B,[1]Нэгтгэл!AM:AM)</f>
        <v>0</v>
      </c>
      <c r="N118" s="430">
        <f>SUMIF([1]Нэгтгэл!B:B,'[1]12'!B:B,[1]Нэгтгэл!AP:AP)</f>
        <v>0</v>
      </c>
      <c r="O118" s="430">
        <f>SUMIF([1]Нэгтгэл!B:B,'[1]12'!B:B,[1]Нэгтгэл!AS:AS)</f>
        <v>0</v>
      </c>
      <c r="P118" s="430">
        <f>SUMIF([1]Нэгтгэл!B:B,'[1]12'!B:B,[1]Нэгтгэл!BB:BB)</f>
        <v>0</v>
      </c>
      <c r="Q118" s="430">
        <f>SUMIF([1]Нэгтгэл!B:B,'[1]12'!B:B,[1]Нэгтгэл!BE:BE)</f>
        <v>0</v>
      </c>
      <c r="R118" s="430">
        <f>SUMIF([1]Нэгтгэл!B:B,'[1]12'!B:B,[1]Нэгтгэл!BH:BH)</f>
        <v>0</v>
      </c>
      <c r="S118" s="430">
        <f>SUMIF([1]Нэгтгэл!B:B,'[1]12'!B:B,[1]Нэгтгэл!BK:BK)</f>
        <v>0</v>
      </c>
      <c r="T118" s="430">
        <f>SUMIF([1]Нэгтгэл!B:B,'[1]12'!B:B,[1]Нэгтгэл!BN:BN)</f>
        <v>0</v>
      </c>
      <c r="U118" s="430">
        <f>SUMIF([1]Нэгтгэл!B:B,'[1]12'!B:B,[1]Нэгтгэл!BQ:BQ)</f>
        <v>0</v>
      </c>
      <c r="V118" s="430">
        <f>SUMIF([1]Нэгтгэл!B:B,'[1]12'!B:B,[1]Нэгтгэл!BT:BT)</f>
        <v>0</v>
      </c>
      <c r="W118" s="430">
        <f>SUMIF([1]Нэгтгэл!B:B,'[1]12'!B:B,[1]Нэгтгэл!BW:BW)</f>
        <v>0</v>
      </c>
    </row>
    <row r="119" spans="1:23">
      <c r="A119" s="437">
        <f t="shared" si="1"/>
        <v>117</v>
      </c>
      <c r="B119" s="385">
        <v>2718243</v>
      </c>
      <c r="C119" s="429" t="s">
        <v>321</v>
      </c>
      <c r="D119" s="430">
        <f>SUMIF([1]Нэгтгэл!B:B,'[1]12'!B:B,[1]Нэгтгэл!F:F)</f>
        <v>20833.330000000002</v>
      </c>
      <c r="E119" s="430">
        <f>SUMIF([1]Нэгтгэл!B:B,'[1]12'!B:B,[1]Нэгтгэл!I:I)</f>
        <v>89141951.760000005</v>
      </c>
      <c r="F119" s="430">
        <f>SUMIF([1]Нэгтгэл!B:B,'[1]12'!B:B,[1]Нэгтгэл!L:L)</f>
        <v>407775533.36600006</v>
      </c>
      <c r="G119" s="430">
        <f>SUMIF([1]Нэгтгэл!B:B,'[1]12'!B:B,[1]Нэгтгэл!R:R)</f>
        <v>0</v>
      </c>
      <c r="H119" s="430">
        <f>SUMIF([1]Нэгтгэл!B:B,'[1]12'!B:B,[1]Нэгтгэл!O:O)</f>
        <v>0</v>
      </c>
      <c r="I119" s="430">
        <f>SUMIF([1]Нэгтгэл!B:B,'[1]12'!B:B,[1]Нэгтгэл!X:X)</f>
        <v>0</v>
      </c>
      <c r="J119" s="430">
        <f>SUMIF([1]Нэгтгэл!B:B,'[1]12'!B:B,[1]Нэгтгэл!AA:AA)</f>
        <v>0</v>
      </c>
      <c r="K119" s="430">
        <f>SUMIF([1]Нэгтгэл!B:B,'[1]12'!B:B,[1]Нэгтгэл!AD:AD)</f>
        <v>0</v>
      </c>
      <c r="L119" s="430">
        <f>SUMIF([1]Нэгтгэл!B:B,'[1]12'!B:B,[1]Нэгтгэл!AJ:AJ)</f>
        <v>0</v>
      </c>
      <c r="M119" s="430">
        <f>SUMIF([1]Нэгтгэл!B:B,'[1]12'!B:B,[1]Нэгтгэл!AM:AM)</f>
        <v>1006658456.0599999</v>
      </c>
      <c r="N119" s="430">
        <f>SUMIF([1]Нэгтгэл!B:B,'[1]12'!B:B,[1]Нэгтгэл!AP:AP)</f>
        <v>63000</v>
      </c>
      <c r="O119" s="430">
        <f>SUMIF([1]Нэгтгэл!B:B,'[1]12'!B:B,[1]Нэгтгэл!AS:AS)</f>
        <v>0</v>
      </c>
      <c r="P119" s="430">
        <f>SUMIF([1]Нэгтгэл!B:B,'[1]12'!B:B,[1]Нэгтгэл!BB:BB)</f>
        <v>0</v>
      </c>
      <c r="Q119" s="430">
        <f>SUMIF([1]Нэгтгэл!B:B,'[1]12'!B:B,[1]Нэгтгэл!BE:BE)</f>
        <v>0</v>
      </c>
      <c r="R119" s="430">
        <f>SUMIF([1]Нэгтгэл!B:B,'[1]12'!B:B,[1]Нэгтгэл!BH:BH)</f>
        <v>0</v>
      </c>
      <c r="S119" s="430">
        <f>SUMIF([1]Нэгтгэл!B:B,'[1]12'!B:B,[1]Нэгтгэл!BK:BK)</f>
        <v>0</v>
      </c>
      <c r="T119" s="430">
        <f>SUMIF([1]Нэгтгэл!B:B,'[1]12'!B:B,[1]Нэгтгэл!BN:BN)</f>
        <v>0</v>
      </c>
      <c r="U119" s="430">
        <f>SUMIF([1]Нэгтгэл!B:B,'[1]12'!B:B,[1]Нэгтгэл!BQ:BQ)</f>
        <v>0</v>
      </c>
      <c r="V119" s="430">
        <f>SUMIF([1]Нэгтгэл!B:B,'[1]12'!B:B,[1]Нэгтгэл!BT:BT)</f>
        <v>0</v>
      </c>
      <c r="W119" s="430">
        <f>SUMIF([1]Нэгтгэл!B:B,'[1]12'!B:B,[1]Нэгтгэл!BW:BW)</f>
        <v>554317448.38</v>
      </c>
    </row>
    <row r="120" spans="1:23">
      <c r="A120" s="437">
        <f t="shared" si="1"/>
        <v>118</v>
      </c>
      <c r="B120" s="385">
        <v>6896197</v>
      </c>
      <c r="C120" s="429" t="s">
        <v>322</v>
      </c>
      <c r="D120" s="430">
        <f>SUMIF([1]Нэгтгэл!B:B,'[1]12'!B:B,[1]Нэгтгэл!F:F)</f>
        <v>0</v>
      </c>
      <c r="E120" s="430">
        <f>SUMIF([1]Нэгтгэл!B:B,'[1]12'!B:B,[1]Нэгтгэл!I:I)</f>
        <v>0</v>
      </c>
      <c r="F120" s="430">
        <f>SUMIF([1]Нэгтгэл!B:B,'[1]12'!B:B,[1]Нэгтгэл!L:L)</f>
        <v>0</v>
      </c>
      <c r="G120" s="430">
        <f>SUMIF([1]Нэгтгэл!B:B,'[1]12'!B:B,[1]Нэгтгэл!R:R)</f>
        <v>0</v>
      </c>
      <c r="H120" s="430">
        <f>SUMIF([1]Нэгтгэл!B:B,'[1]12'!B:B,[1]Нэгтгэл!O:O)</f>
        <v>0</v>
      </c>
      <c r="I120" s="430">
        <f>SUMIF([1]Нэгтгэл!B:B,'[1]12'!B:B,[1]Нэгтгэл!X:X)</f>
        <v>0</v>
      </c>
      <c r="J120" s="430">
        <f>SUMIF([1]Нэгтгэл!B:B,'[1]12'!B:B,[1]Нэгтгэл!AA:AA)</f>
        <v>0</v>
      </c>
      <c r="K120" s="430">
        <f>SUMIF([1]Нэгтгэл!B:B,'[1]12'!B:B,[1]Нэгтгэл!AD:AD)</f>
        <v>0</v>
      </c>
      <c r="L120" s="430">
        <f>SUMIF([1]Нэгтгэл!B:B,'[1]12'!B:B,[1]Нэгтгэл!AJ:AJ)</f>
        <v>0</v>
      </c>
      <c r="M120" s="430">
        <f>SUMIF([1]Нэгтгэл!B:B,'[1]12'!B:B,[1]Нэгтгэл!AM:AM)</f>
        <v>97816667</v>
      </c>
      <c r="N120" s="430">
        <f>SUMIF([1]Нэгтгэл!B:B,'[1]12'!B:B,[1]Нэгтгэл!AP:AP)</f>
        <v>0</v>
      </c>
      <c r="O120" s="430">
        <f>SUMIF([1]Нэгтгэл!B:B,'[1]12'!B:B,[1]Нэгтгэл!AS:AS)</f>
        <v>0</v>
      </c>
      <c r="P120" s="430">
        <f>SUMIF([1]Нэгтгэл!B:B,'[1]12'!B:B,[1]Нэгтгэл!BB:BB)</f>
        <v>0</v>
      </c>
      <c r="Q120" s="430">
        <f>SUMIF([1]Нэгтгэл!B:B,'[1]12'!B:B,[1]Нэгтгэл!BE:BE)</f>
        <v>0</v>
      </c>
      <c r="R120" s="430">
        <f>SUMIF([1]Нэгтгэл!B:B,'[1]12'!B:B,[1]Нэгтгэл!BH:BH)</f>
        <v>40000</v>
      </c>
      <c r="S120" s="430">
        <f>SUMIF([1]Нэгтгэл!B:B,'[1]12'!B:B,[1]Нэгтгэл!BK:BK)</f>
        <v>0</v>
      </c>
      <c r="T120" s="430">
        <f>SUMIF([1]Нэгтгэл!B:B,'[1]12'!B:B,[1]Нэгтгэл!BN:BN)</f>
        <v>0</v>
      </c>
      <c r="U120" s="430">
        <f>SUMIF([1]Нэгтгэл!B:B,'[1]12'!B:B,[1]Нэгтгэл!BQ:BQ)</f>
        <v>0</v>
      </c>
      <c r="V120" s="430">
        <f>SUMIF([1]Нэгтгэл!B:B,'[1]12'!B:B,[1]Нэгтгэл!BT:BT)</f>
        <v>0</v>
      </c>
      <c r="W120" s="430">
        <f>SUMIF([1]Нэгтгэл!B:B,'[1]12'!B:B,[1]Нэгтгэл!BW:BW)</f>
        <v>29786945.66</v>
      </c>
    </row>
    <row r="121" spans="1:23">
      <c r="A121" s="437">
        <f t="shared" si="1"/>
        <v>119</v>
      </c>
      <c r="B121" s="385">
        <v>5435528</v>
      </c>
      <c r="C121" s="429" t="s">
        <v>323</v>
      </c>
      <c r="D121" s="430">
        <f>SUMIF([1]Нэгтгэл!B:B,'[1]12'!B:B,[1]Нэгтгэл!F:F)</f>
        <v>800429129587.85999</v>
      </c>
      <c r="E121" s="430">
        <f>SUMIF([1]Нэгтгэл!B:B,'[1]12'!B:B,[1]Нэгтгэл!I:I)</f>
        <v>0</v>
      </c>
      <c r="F121" s="430">
        <f>SUMIF([1]Нэгтгэл!B:B,'[1]12'!B:B,[1]Нэгтгэл!L:L)</f>
        <v>35388382.579999998</v>
      </c>
      <c r="G121" s="430">
        <f>SUMIF([1]Нэгтгэл!B:B,'[1]12'!B:B,[1]Нэгтгэл!R:R)</f>
        <v>0</v>
      </c>
      <c r="H121" s="430">
        <f>SUMIF([1]Нэгтгэл!B:B,'[1]12'!B:B,[1]Нэгтгэл!O:O)</f>
        <v>0</v>
      </c>
      <c r="I121" s="430">
        <f>SUMIF([1]Нэгтгэл!B:B,'[1]12'!B:B,[1]Нэгтгэл!X:X)</f>
        <v>1931203924854.3003</v>
      </c>
      <c r="J121" s="430">
        <f>SUMIF([1]Нэгтгэл!B:B,'[1]12'!B:B,[1]Нэгтгэл!AA:AA)</f>
        <v>0</v>
      </c>
      <c r="K121" s="430">
        <f>SUMIF([1]Нэгтгэл!B:B,'[1]12'!B:B,[1]Нэгтгэл!AD:AD)</f>
        <v>0</v>
      </c>
      <c r="L121" s="430">
        <f>SUMIF([1]Нэгтгэл!B:B,'[1]12'!B:B,[1]Нэгтгэл!AJ:AJ)</f>
        <v>31496827168.290001</v>
      </c>
      <c r="M121" s="430">
        <f>SUMIF([1]Нэгтгэл!B:B,'[1]12'!B:B,[1]Нэгтгэл!AM:AM)</f>
        <v>31570196997.459999</v>
      </c>
      <c r="N121" s="430">
        <f>SUMIF([1]Нэгтгэл!B:B,'[1]12'!B:B,[1]Нэгтгэл!AP:AP)</f>
        <v>42811832509.5</v>
      </c>
      <c r="O121" s="430">
        <f>SUMIF([1]Нэгтгэл!B:B,'[1]12'!B:B,[1]Нэгтгэл!AS:AS)</f>
        <v>0</v>
      </c>
      <c r="P121" s="430">
        <f>SUMIF([1]Нэгтгэл!B:B,'[1]12'!B:B,[1]Нэгтгэл!BB:BB)</f>
        <v>0</v>
      </c>
      <c r="Q121" s="430">
        <f>SUMIF([1]Нэгтгэл!B:B,'[1]12'!B:B,[1]Нэгтгэл!BE:BE)</f>
        <v>0</v>
      </c>
      <c r="R121" s="430">
        <f>SUMIF([1]Нэгтгэл!B:B,'[1]12'!B:B,[1]Нэгтгэл!BH:BH)</f>
        <v>0</v>
      </c>
      <c r="S121" s="430">
        <f>SUMIF([1]Нэгтгэл!B:B,'[1]12'!B:B,[1]Нэгтгэл!BK:BK)</f>
        <v>0</v>
      </c>
      <c r="T121" s="430">
        <f>SUMIF([1]Нэгтгэл!B:B,'[1]12'!B:B,[1]Нэгтгэл!BN:BN)</f>
        <v>0</v>
      </c>
      <c r="U121" s="430">
        <f>SUMIF([1]Нэгтгэл!B:B,'[1]12'!B:B,[1]Нэгтгэл!BQ:BQ)</f>
        <v>0</v>
      </c>
      <c r="V121" s="430">
        <f>SUMIF([1]Нэгтгэл!B:B,'[1]12'!B:B,[1]Нэгтгэл!BT:BT)</f>
        <v>0</v>
      </c>
      <c r="W121" s="430">
        <f>SUMIF([1]Нэгтгэл!B:B,'[1]12'!B:B,[1]Нэгтгэл!BW:BW)</f>
        <v>17335273673.889999</v>
      </c>
    </row>
    <row r="122" spans="1:23">
      <c r="A122" s="437">
        <f t="shared" si="1"/>
        <v>120</v>
      </c>
      <c r="B122" s="385">
        <v>5824826</v>
      </c>
      <c r="C122" s="429" t="s">
        <v>324</v>
      </c>
      <c r="D122" s="430">
        <f>SUMIF([1]Нэгтгэл!B:B,'[1]12'!B:B,[1]Нэгтгэл!F:F)</f>
        <v>14248867.27</v>
      </c>
      <c r="E122" s="430">
        <f>SUMIF([1]Нэгтгэл!B:B,'[1]12'!B:B,[1]Нэгтгэл!I:I)</f>
        <v>481440899.61461699</v>
      </c>
      <c r="F122" s="430">
        <f>SUMIF([1]Нэгтгэл!B:B,'[1]12'!B:B,[1]Нэгтгэл!L:L)</f>
        <v>1011113056.1806901</v>
      </c>
      <c r="G122" s="430">
        <f>SUMIF([1]Нэгтгэл!B:B,'[1]12'!B:B,[1]Нэгтгэл!R:R)</f>
        <v>0</v>
      </c>
      <c r="H122" s="430">
        <f>SUMIF([1]Нэгтгэл!B:B,'[1]12'!B:B,[1]Нэгтгэл!O:O)</f>
        <v>0</v>
      </c>
      <c r="I122" s="430">
        <f>SUMIF([1]Нэгтгэл!B:B,'[1]12'!B:B,[1]Нэгтгэл!X:X)</f>
        <v>0</v>
      </c>
      <c r="J122" s="430">
        <f>SUMIF([1]Нэгтгэл!B:B,'[1]12'!B:B,[1]Нэгтгэл!AA:AA)</f>
        <v>0</v>
      </c>
      <c r="K122" s="430">
        <f>SUMIF([1]Нэгтгэл!B:B,'[1]12'!B:B,[1]Нэгтгэл!AD:AD)</f>
        <v>0</v>
      </c>
      <c r="L122" s="430">
        <f>SUMIF([1]Нэгтгэл!B:B,'[1]12'!B:B,[1]Нэгтгэл!AJ:AJ)</f>
        <v>0</v>
      </c>
      <c r="M122" s="430">
        <f>SUMIF([1]Нэгтгэл!B:B,'[1]12'!B:B,[1]Нэгтгэл!AM:AM)</f>
        <v>201950106.36000001</v>
      </c>
      <c r="N122" s="430">
        <f>SUMIF([1]Нэгтгэл!B:B,'[1]12'!B:B,[1]Нэгтгэл!AP:AP)</f>
        <v>984800</v>
      </c>
      <c r="O122" s="430">
        <f>SUMIF([1]Нэгтгэл!B:B,'[1]12'!B:B,[1]Нэгтгэл!AS:AS)</f>
        <v>0</v>
      </c>
      <c r="P122" s="430">
        <f>SUMIF([1]Нэгтгэл!B:B,'[1]12'!B:B,[1]Нэгтгэл!BB:BB)</f>
        <v>0</v>
      </c>
      <c r="Q122" s="430">
        <f>SUMIF([1]Нэгтгэл!B:B,'[1]12'!B:B,[1]Нэгтгэл!BE:BE)</f>
        <v>0</v>
      </c>
      <c r="R122" s="430">
        <f>SUMIF([1]Нэгтгэл!B:B,'[1]12'!B:B,[1]Нэгтгэл!BH:BH)</f>
        <v>0</v>
      </c>
      <c r="S122" s="430">
        <f>SUMIF([1]Нэгтгэл!B:B,'[1]12'!B:B,[1]Нэгтгэл!BK:BK)</f>
        <v>0</v>
      </c>
      <c r="T122" s="430">
        <f>SUMIF([1]Нэгтгэл!B:B,'[1]12'!B:B,[1]Нэгтгэл!BN:BN)</f>
        <v>0</v>
      </c>
      <c r="U122" s="430">
        <f>SUMIF([1]Нэгтгэл!B:B,'[1]12'!B:B,[1]Нэгтгэл!BQ:BQ)</f>
        <v>0</v>
      </c>
      <c r="V122" s="430">
        <f>SUMIF([1]Нэгтгэл!B:B,'[1]12'!B:B,[1]Нэгтгэл!BT:BT)</f>
        <v>0</v>
      </c>
      <c r="W122" s="430">
        <f>SUMIF([1]Нэгтгэл!B:B,'[1]12'!B:B,[1]Нэгтгэл!BW:BW)</f>
        <v>64119602.570000008</v>
      </c>
    </row>
    <row r="123" spans="1:23">
      <c r="A123" s="437">
        <f t="shared" si="1"/>
        <v>121</v>
      </c>
      <c r="B123" s="385">
        <v>6141536</v>
      </c>
      <c r="C123" s="429" t="s">
        <v>325</v>
      </c>
      <c r="D123" s="430">
        <f>SUMIF([1]Нэгтгэл!B:B,'[1]12'!B:B,[1]Нэгтгэл!F:F)</f>
        <v>0</v>
      </c>
      <c r="E123" s="430">
        <f>SUMIF([1]Нэгтгэл!B:B,'[1]12'!B:B,[1]Нэгтгэл!I:I)</f>
        <v>0</v>
      </c>
      <c r="F123" s="430">
        <f>SUMIF([1]Нэгтгэл!B:B,'[1]12'!B:B,[1]Нэгтгэл!L:L)</f>
        <v>0</v>
      </c>
      <c r="G123" s="430">
        <f>SUMIF([1]Нэгтгэл!B:B,'[1]12'!B:B,[1]Нэгтгэл!R:R)</f>
        <v>0</v>
      </c>
      <c r="H123" s="430">
        <f>SUMIF([1]Нэгтгэл!B:B,'[1]12'!B:B,[1]Нэгтгэл!O:O)</f>
        <v>0</v>
      </c>
      <c r="I123" s="430">
        <f>SUMIF([1]Нэгтгэл!B:B,'[1]12'!B:B,[1]Нэгтгэл!X:X)</f>
        <v>0</v>
      </c>
      <c r="J123" s="430">
        <f>SUMIF([1]Нэгтгэл!B:B,'[1]12'!B:B,[1]Нэгтгэл!AA:AA)</f>
        <v>0</v>
      </c>
      <c r="K123" s="430">
        <f>SUMIF([1]Нэгтгэл!B:B,'[1]12'!B:B,[1]Нэгтгэл!AD:AD)</f>
        <v>0</v>
      </c>
      <c r="L123" s="430">
        <f>SUMIF([1]Нэгтгэл!B:B,'[1]12'!B:B,[1]Нэгтгэл!AJ:AJ)</f>
        <v>0</v>
      </c>
      <c r="M123" s="430">
        <f>SUMIF([1]Нэгтгэл!B:B,'[1]12'!B:B,[1]Нэгтгэл!AM:AM)</f>
        <v>0</v>
      </c>
      <c r="N123" s="430">
        <f>SUMIF([1]Нэгтгэл!B:B,'[1]12'!B:B,[1]Нэгтгэл!AP:AP)</f>
        <v>0</v>
      </c>
      <c r="O123" s="430">
        <f>SUMIF([1]Нэгтгэл!B:B,'[1]12'!B:B,[1]Нэгтгэл!AS:AS)</f>
        <v>0</v>
      </c>
      <c r="P123" s="430">
        <f>SUMIF([1]Нэгтгэл!B:B,'[1]12'!B:B,[1]Нэгтгэл!BB:BB)</f>
        <v>0</v>
      </c>
      <c r="Q123" s="430">
        <f>SUMIF([1]Нэгтгэл!B:B,'[1]12'!B:B,[1]Нэгтгэл!BE:BE)</f>
        <v>0</v>
      </c>
      <c r="R123" s="430">
        <f>SUMIF([1]Нэгтгэл!B:B,'[1]12'!B:B,[1]Нэгтгэл!BH:BH)</f>
        <v>0</v>
      </c>
      <c r="S123" s="430">
        <f>SUMIF([1]Нэгтгэл!B:B,'[1]12'!B:B,[1]Нэгтгэл!BK:BK)</f>
        <v>0</v>
      </c>
      <c r="T123" s="430">
        <f>SUMIF([1]Нэгтгэл!B:B,'[1]12'!B:B,[1]Нэгтгэл!BN:BN)</f>
        <v>0</v>
      </c>
      <c r="U123" s="430">
        <f>SUMIF([1]Нэгтгэл!B:B,'[1]12'!B:B,[1]Нэгтгэл!BQ:BQ)</f>
        <v>0</v>
      </c>
      <c r="V123" s="430">
        <f>SUMIF([1]Нэгтгэл!B:B,'[1]12'!B:B,[1]Нэгтгэл!BT:BT)</f>
        <v>0</v>
      </c>
      <c r="W123" s="430">
        <f>SUMIF([1]Нэгтгэл!B:B,'[1]12'!B:B,[1]Нэгтгэл!BW:BW)</f>
        <v>0</v>
      </c>
    </row>
    <row r="124" spans="1:23">
      <c r="A124" s="437">
        <f t="shared" si="1"/>
        <v>122</v>
      </c>
      <c r="B124" s="385">
        <v>5124913</v>
      </c>
      <c r="C124" s="429" t="s">
        <v>326</v>
      </c>
      <c r="D124" s="430">
        <f>SUMIF([1]Нэгтгэл!B:B,'[1]12'!B:B,[1]Нэгтгэл!F:F)</f>
        <v>34581634955.279999</v>
      </c>
      <c r="E124" s="430">
        <f>SUMIF([1]Нэгтгэл!B:B,'[1]12'!B:B,[1]Нэгтгэл!I:I)</f>
        <v>0</v>
      </c>
      <c r="F124" s="430">
        <f>SUMIF([1]Нэгтгэл!B:B,'[1]12'!B:B,[1]Нэгтгэл!L:L)</f>
        <v>23155549204.07</v>
      </c>
      <c r="G124" s="430">
        <f>SUMIF([1]Нэгтгэл!B:B,'[1]12'!B:B,[1]Нэгтгэл!R:R)</f>
        <v>0</v>
      </c>
      <c r="H124" s="430">
        <f>SUMIF([1]Нэгтгэл!B:B,'[1]12'!B:B,[1]Нэгтгэл!O:O)</f>
        <v>0</v>
      </c>
      <c r="I124" s="430">
        <f>SUMIF([1]Нэгтгэл!B:B,'[1]12'!B:B,[1]Нэгтгэл!X:X)</f>
        <v>0</v>
      </c>
      <c r="J124" s="430">
        <f>SUMIF([1]Нэгтгэл!B:B,'[1]12'!B:B,[1]Нэгтгэл!AA:AA)</f>
        <v>0</v>
      </c>
      <c r="K124" s="430">
        <f>SUMIF([1]Нэгтгэл!B:B,'[1]12'!B:B,[1]Нэгтгэл!AD:AD)</f>
        <v>0</v>
      </c>
      <c r="L124" s="430">
        <f>SUMIF([1]Нэгтгэл!B:B,'[1]12'!B:B,[1]Нэгтгэл!AJ:AJ)</f>
        <v>0</v>
      </c>
      <c r="M124" s="430">
        <f>SUMIF([1]Нэгтгэл!B:B,'[1]12'!B:B,[1]Нэгтгэл!AM:AM)</f>
        <v>1299057096</v>
      </c>
      <c r="N124" s="430">
        <f>SUMIF([1]Нэгтгэл!B:B,'[1]12'!B:B,[1]Нэгтгэл!AP:AP)</f>
        <v>0</v>
      </c>
      <c r="O124" s="430">
        <f>SUMIF([1]Нэгтгэл!B:B,'[1]12'!B:B,[1]Нэгтгэл!AS:AS)</f>
        <v>0</v>
      </c>
      <c r="P124" s="430">
        <f>SUMIF([1]Нэгтгэл!B:B,'[1]12'!B:B,[1]Нэгтгэл!BB:BB)</f>
        <v>0</v>
      </c>
      <c r="Q124" s="430">
        <f>SUMIF([1]Нэгтгэл!B:B,'[1]12'!B:B,[1]Нэгтгэл!BE:BE)</f>
        <v>0</v>
      </c>
      <c r="R124" s="430">
        <f>SUMIF([1]Нэгтгэл!B:B,'[1]12'!B:B,[1]Нэгтгэл!BH:BH)</f>
        <v>0</v>
      </c>
      <c r="S124" s="430">
        <f>SUMIF([1]Нэгтгэл!B:B,'[1]12'!B:B,[1]Нэгтгэл!BK:BK)</f>
        <v>0</v>
      </c>
      <c r="T124" s="430">
        <f>SUMIF([1]Нэгтгэл!B:B,'[1]12'!B:B,[1]Нэгтгэл!BN:BN)</f>
        <v>0</v>
      </c>
      <c r="U124" s="430">
        <f>SUMIF([1]Нэгтгэл!B:B,'[1]12'!B:B,[1]Нэгтгэл!BQ:BQ)</f>
        <v>0</v>
      </c>
      <c r="V124" s="430">
        <f>SUMIF([1]Нэгтгэл!B:B,'[1]12'!B:B,[1]Нэгтгэл!BT:BT)</f>
        <v>0</v>
      </c>
      <c r="W124" s="430">
        <f>SUMIF([1]Нэгтгэл!B:B,'[1]12'!B:B,[1]Нэгтгэл!BW:BW)</f>
        <v>522556586.69999999</v>
      </c>
    </row>
    <row r="125" spans="1:23">
      <c r="A125" s="437">
        <f t="shared" si="1"/>
        <v>123</v>
      </c>
      <c r="B125" s="385">
        <v>2074192</v>
      </c>
      <c r="C125" s="429" t="s">
        <v>327</v>
      </c>
      <c r="D125" s="430">
        <f>SUMIF([1]Нэгтгэл!B:B,'[1]12'!B:B,[1]Нэгтгэл!F:F)</f>
        <v>445523374768.19</v>
      </c>
      <c r="E125" s="430">
        <f>SUMIF([1]Нэгтгэл!B:B,'[1]12'!B:B,[1]Нэгтгэл!I:I)</f>
        <v>11296332236.365601</v>
      </c>
      <c r="F125" s="430">
        <f>SUMIF([1]Нэгтгэл!B:B,'[1]12'!B:B,[1]Нэгтгэл!L:L)</f>
        <v>41729384282.547501</v>
      </c>
      <c r="G125" s="430">
        <f>SUMIF([1]Нэгтгэл!B:B,'[1]12'!B:B,[1]Нэгтгэл!R:R)</f>
        <v>0</v>
      </c>
      <c r="H125" s="430">
        <f>SUMIF([1]Нэгтгэл!B:B,'[1]12'!B:B,[1]Нэгтгэл!O:O)</f>
        <v>0</v>
      </c>
      <c r="I125" s="430">
        <f>SUMIF([1]Нэгтгэл!B:B,'[1]12'!B:B,[1]Нэгтгэл!X:X)</f>
        <v>885075489881.20007</v>
      </c>
      <c r="J125" s="430">
        <f>SUMIF([1]Нэгтгэл!B:B,'[1]12'!B:B,[1]Нэгтгэл!AA:AA)</f>
        <v>0</v>
      </c>
      <c r="K125" s="430">
        <f>SUMIF([1]Нэгтгэл!B:B,'[1]12'!B:B,[1]Нэгтгэл!AD:AD)</f>
        <v>0</v>
      </c>
      <c r="L125" s="430">
        <f>SUMIF([1]Нэгтгэл!B:B,'[1]12'!B:B,[1]Нэгтгэл!AJ:AJ)</f>
        <v>0</v>
      </c>
      <c r="M125" s="430">
        <f>SUMIF([1]Нэгтгэл!B:B,'[1]12'!B:B,[1]Нэгтгэл!AM:AM)</f>
        <v>102796116000</v>
      </c>
      <c r="N125" s="430">
        <f>SUMIF([1]Нэгтгэл!B:B,'[1]12'!B:B,[1]Нэгтгэл!AP:AP)</f>
        <v>1015849180</v>
      </c>
      <c r="O125" s="430">
        <f>SUMIF([1]Нэгтгэл!B:B,'[1]12'!B:B,[1]Нэгтгэл!AS:AS)</f>
        <v>415582045950</v>
      </c>
      <c r="P125" s="430">
        <f>SUMIF([1]Нэгтгэл!B:B,'[1]12'!B:B,[1]Нэгтгэл!BB:BB)</f>
        <v>0</v>
      </c>
      <c r="Q125" s="430">
        <f>SUMIF([1]Нэгтгэл!B:B,'[1]12'!B:B,[1]Нэгтгэл!BE:BE)</f>
        <v>0</v>
      </c>
      <c r="R125" s="430">
        <f>SUMIF([1]Нэгтгэл!B:B,'[1]12'!B:B,[1]Нэгтгэл!BH:BH)</f>
        <v>0</v>
      </c>
      <c r="S125" s="430">
        <f>SUMIF([1]Нэгтгэл!B:B,'[1]12'!B:B,[1]Нэгтгэл!BK:BK)</f>
        <v>0</v>
      </c>
      <c r="T125" s="430">
        <f>SUMIF([1]Нэгтгэл!B:B,'[1]12'!B:B,[1]Нэгтгэл!BN:BN)</f>
        <v>0</v>
      </c>
      <c r="U125" s="430">
        <f>SUMIF([1]Нэгтгэл!B:B,'[1]12'!B:B,[1]Нэгтгэл!BQ:BQ)</f>
        <v>0</v>
      </c>
      <c r="V125" s="430">
        <f>SUMIF([1]Нэгтгэл!B:B,'[1]12'!B:B,[1]Нэгтгэл!BT:BT)</f>
        <v>0</v>
      </c>
      <c r="W125" s="430">
        <f>SUMIF([1]Нэгтгэл!B:B,'[1]12'!B:B,[1]Нэгтгэл!BW:BW)</f>
        <v>38248392199.989998</v>
      </c>
    </row>
    <row r="126" spans="1:23">
      <c r="A126" s="437">
        <f t="shared" si="1"/>
        <v>124</v>
      </c>
      <c r="B126" s="385">
        <v>2861224</v>
      </c>
      <c r="C126" s="429" t="s">
        <v>331</v>
      </c>
      <c r="D126" s="430">
        <f>SUMIF([1]Нэгтгэл!B:B,'[1]12'!B:B,[1]Нэгтгэл!F:F)</f>
        <v>0</v>
      </c>
      <c r="E126" s="430">
        <f>SUMIF([1]Нэгтгэл!B:B,'[1]12'!B:B,[1]Нэгтгэл!I:I)</f>
        <v>0</v>
      </c>
      <c r="F126" s="430">
        <f>SUMIF([1]Нэгтгэл!B:B,'[1]12'!B:B,[1]Нэгтгэл!L:L)</f>
        <v>0</v>
      </c>
      <c r="G126" s="430">
        <f>SUMIF([1]Нэгтгэл!B:B,'[1]12'!B:B,[1]Нэгтгэл!R:R)</f>
        <v>0</v>
      </c>
      <c r="H126" s="430">
        <f>SUMIF([1]Нэгтгэл!B:B,'[1]12'!B:B,[1]Нэгтгэл!O:O)</f>
        <v>0</v>
      </c>
      <c r="I126" s="430">
        <f>SUMIF([1]Нэгтгэл!B:B,'[1]12'!B:B,[1]Нэгтгэл!X:X)</f>
        <v>0</v>
      </c>
      <c r="J126" s="430">
        <f>SUMIF([1]Нэгтгэл!B:B,'[1]12'!B:B,[1]Нэгтгэл!AA:AA)</f>
        <v>0</v>
      </c>
      <c r="K126" s="430">
        <f>SUMIF([1]Нэгтгэл!B:B,'[1]12'!B:B,[1]Нэгтгэл!AD:AD)</f>
        <v>0</v>
      </c>
      <c r="L126" s="430">
        <f>SUMIF([1]Нэгтгэл!B:B,'[1]12'!B:B,[1]Нэгтгэл!AJ:AJ)</f>
        <v>0</v>
      </c>
      <c r="M126" s="430">
        <f>SUMIF([1]Нэгтгэл!B:B,'[1]12'!B:B,[1]Нэгтгэл!AM:AM)</f>
        <v>0</v>
      </c>
      <c r="N126" s="430">
        <f>SUMIF([1]Нэгтгэл!B:B,'[1]12'!B:B,[1]Нэгтгэл!AP:AP)</f>
        <v>0</v>
      </c>
      <c r="O126" s="430">
        <f>SUMIF([1]Нэгтгэл!B:B,'[1]12'!B:B,[1]Нэгтгэл!AS:AS)</f>
        <v>0</v>
      </c>
      <c r="P126" s="430">
        <f>SUMIF([1]Нэгтгэл!B:B,'[1]12'!B:B,[1]Нэгтгэл!BB:BB)</f>
        <v>0</v>
      </c>
      <c r="Q126" s="430">
        <f>SUMIF([1]Нэгтгэл!B:B,'[1]12'!B:B,[1]Нэгтгэл!BE:BE)</f>
        <v>0</v>
      </c>
      <c r="R126" s="430">
        <f>SUMIF([1]Нэгтгэл!B:B,'[1]12'!B:B,[1]Нэгтгэл!BH:BH)</f>
        <v>0</v>
      </c>
      <c r="S126" s="430">
        <f>SUMIF([1]Нэгтгэл!B:B,'[1]12'!B:B,[1]Нэгтгэл!BK:BK)</f>
        <v>0</v>
      </c>
      <c r="T126" s="430">
        <f>SUMIF([1]Нэгтгэл!B:B,'[1]12'!B:B,[1]Нэгтгэл!BN:BN)</f>
        <v>0</v>
      </c>
      <c r="U126" s="430">
        <f>SUMIF([1]Нэгтгэл!B:B,'[1]12'!B:B,[1]Нэгтгэл!BQ:BQ)</f>
        <v>0</v>
      </c>
      <c r="V126" s="430">
        <f>SUMIF([1]Нэгтгэл!B:B,'[1]12'!B:B,[1]Нэгтгэл!BT:BT)</f>
        <v>0</v>
      </c>
      <c r="W126" s="430">
        <f>SUMIF([1]Нэгтгэл!B:B,'[1]12'!B:B,[1]Нэгтгэл!BW:BW)</f>
        <v>0</v>
      </c>
    </row>
    <row r="127" spans="1:23">
      <c r="A127" s="437">
        <f t="shared" si="1"/>
        <v>125</v>
      </c>
      <c r="B127" s="385">
        <v>5137977</v>
      </c>
      <c r="C127" s="429" t="s">
        <v>332</v>
      </c>
      <c r="D127" s="430">
        <f>SUMIF([1]Нэгтгэл!B:B,'[1]12'!B:B,[1]Нэгтгэл!F:F)</f>
        <v>1714875</v>
      </c>
      <c r="E127" s="430">
        <f>SUMIF([1]Нэгтгэл!B:B,'[1]12'!B:B,[1]Нэгтгэл!I:I)</f>
        <v>175303052.85210201</v>
      </c>
      <c r="F127" s="430">
        <f>SUMIF([1]Нэгтгэл!B:B,'[1]12'!B:B,[1]Нэгтгэл!L:L)</f>
        <v>372268054.95941502</v>
      </c>
      <c r="G127" s="430">
        <f>SUMIF([1]Нэгтгэл!B:B,'[1]12'!B:B,[1]Нэгтгэл!R:R)</f>
        <v>0</v>
      </c>
      <c r="H127" s="430">
        <f>SUMIF([1]Нэгтгэл!B:B,'[1]12'!B:B,[1]Нэгтгэл!O:O)</f>
        <v>0</v>
      </c>
      <c r="I127" s="430">
        <f>SUMIF([1]Нэгтгэл!B:B,'[1]12'!B:B,[1]Нэгтгэл!X:X)</f>
        <v>0</v>
      </c>
      <c r="J127" s="430">
        <f>SUMIF([1]Нэгтгэл!B:B,'[1]12'!B:B,[1]Нэгтгэл!AA:AA)</f>
        <v>0</v>
      </c>
      <c r="K127" s="430">
        <f>SUMIF([1]Нэгтгэл!B:B,'[1]12'!B:B,[1]Нэгтгэл!AD:AD)</f>
        <v>0</v>
      </c>
      <c r="L127" s="430">
        <f>SUMIF([1]Нэгтгэл!B:B,'[1]12'!B:B,[1]Нэгтгэл!AJ:AJ)</f>
        <v>0</v>
      </c>
      <c r="M127" s="430">
        <f>SUMIF([1]Нэгтгэл!B:B,'[1]12'!B:B,[1]Нэгтгэл!AM:AM)</f>
        <v>214450778.69999999</v>
      </c>
      <c r="N127" s="430">
        <f>SUMIF([1]Нэгтгэл!B:B,'[1]12'!B:B,[1]Нэгтгэл!AP:AP)</f>
        <v>16400</v>
      </c>
      <c r="O127" s="430">
        <f>SUMIF([1]Нэгтгэл!B:B,'[1]12'!B:B,[1]Нэгтгэл!AS:AS)</f>
        <v>0</v>
      </c>
      <c r="P127" s="430">
        <f>SUMIF([1]Нэгтгэл!B:B,'[1]12'!B:B,[1]Нэгтгэл!BB:BB)</f>
        <v>0</v>
      </c>
      <c r="Q127" s="430">
        <f>SUMIF([1]Нэгтгэл!B:B,'[1]12'!B:B,[1]Нэгтгэл!BE:BE)</f>
        <v>0</v>
      </c>
      <c r="R127" s="430">
        <f>SUMIF([1]Нэгтгэл!B:B,'[1]12'!B:B,[1]Нэгтгэл!BH:BH)</f>
        <v>0</v>
      </c>
      <c r="S127" s="430">
        <f>SUMIF([1]Нэгтгэл!B:B,'[1]12'!B:B,[1]Нэгтгэл!BK:BK)</f>
        <v>0</v>
      </c>
      <c r="T127" s="430">
        <f>SUMIF([1]Нэгтгэл!B:B,'[1]12'!B:B,[1]Нэгтгэл!BN:BN)</f>
        <v>0</v>
      </c>
      <c r="U127" s="430">
        <f>SUMIF([1]Нэгтгэл!B:B,'[1]12'!B:B,[1]Нэгтгэл!BQ:BQ)</f>
        <v>0</v>
      </c>
      <c r="V127" s="430">
        <f>SUMIF([1]Нэгтгэл!B:B,'[1]12'!B:B,[1]Нэгтгэл!BT:BT)</f>
        <v>0</v>
      </c>
      <c r="W127" s="430">
        <f>SUMIF([1]Нэгтгэл!B:B,'[1]12'!B:B,[1]Нэгтгэл!BW:BW)</f>
        <v>84822981.88000001</v>
      </c>
    </row>
  </sheetData>
  <mergeCells count="1">
    <mergeCell ref="A1:H1"/>
  </mergeCells>
  <conditionalFormatting sqref="B3:B32 B88">
    <cfRule type="duplicateValues" dxfId="498" priority="12"/>
  </conditionalFormatting>
  <conditionalFormatting sqref="B33:B82">
    <cfRule type="duplicateValues" dxfId="497" priority="11"/>
  </conditionalFormatting>
  <conditionalFormatting sqref="B83">
    <cfRule type="duplicateValues" dxfId="496" priority="10"/>
  </conditionalFormatting>
  <conditionalFormatting sqref="B84">
    <cfRule type="duplicateValues" dxfId="495" priority="9"/>
  </conditionalFormatting>
  <conditionalFormatting sqref="B85">
    <cfRule type="duplicateValues" dxfId="494" priority="8"/>
  </conditionalFormatting>
  <conditionalFormatting sqref="B86">
    <cfRule type="duplicateValues" dxfId="493" priority="7"/>
  </conditionalFormatting>
  <conditionalFormatting sqref="B87">
    <cfRule type="duplicateValues" dxfId="492" priority="6"/>
  </conditionalFormatting>
  <conditionalFormatting sqref="B89:B127">
    <cfRule type="duplicateValues" dxfId="491" priority="13"/>
  </conditionalFormatting>
  <conditionalFormatting sqref="C3:C32 C88">
    <cfRule type="duplicateValues" dxfId="490" priority="4"/>
  </conditionalFormatting>
  <conditionalFormatting sqref="C33:C82">
    <cfRule type="duplicateValues" dxfId="489" priority="3"/>
  </conditionalFormatting>
  <conditionalFormatting sqref="C83">
    <cfRule type="duplicateValues" dxfId="488" priority="1"/>
  </conditionalFormatting>
  <conditionalFormatting sqref="C84:C87">
    <cfRule type="duplicateValues" dxfId="487" priority="2"/>
  </conditionalFormatting>
  <conditionalFormatting sqref="C89:C127">
    <cfRule type="duplicateValues" dxfId="486" priority="5"/>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D3AF-15E4-4D38-A279-7A513C2BD7F1}">
  <sheetPr>
    <tabColor rgb="FF006432"/>
  </sheetPr>
  <dimension ref="A1:S127"/>
  <sheetViews>
    <sheetView workbookViewId="0">
      <selection activeCell="C2" sqref="C2"/>
    </sheetView>
  </sheetViews>
  <sheetFormatPr defaultRowHeight="15"/>
  <cols>
    <col min="1" max="1" width="6.28515625" style="439" customWidth="1"/>
    <col min="2" max="2" width="14" customWidth="1"/>
    <col min="3" max="3" width="36.140625" customWidth="1"/>
    <col min="4" max="4" width="19.5703125" customWidth="1"/>
    <col min="5" max="5" width="16.7109375" customWidth="1"/>
    <col min="6" max="6" width="20.5703125" customWidth="1"/>
    <col min="7" max="7" width="15" customWidth="1"/>
    <col min="8" max="8" width="16.5703125" customWidth="1"/>
    <col min="9" max="9" width="16.7109375" customWidth="1"/>
    <col min="10" max="10" width="17.7109375" customWidth="1"/>
    <col min="11" max="11" width="17.5703125" customWidth="1"/>
    <col min="12" max="12" width="17" customWidth="1"/>
    <col min="13" max="13" width="19.28515625" customWidth="1"/>
    <col min="14" max="14" width="18.85546875" customWidth="1"/>
    <col min="15" max="15" width="25.140625" customWidth="1"/>
    <col min="16" max="16" width="15.7109375" customWidth="1"/>
    <col min="17" max="17" width="19.5703125" customWidth="1"/>
    <col min="18" max="18" width="15.5703125" customWidth="1"/>
    <col min="19" max="19" width="16.85546875" customWidth="1"/>
  </cols>
  <sheetData>
    <row r="1" spans="1:19" ht="16.5" thickBot="1">
      <c r="A1" s="641" t="s">
        <v>716</v>
      </c>
      <c r="B1" s="641"/>
      <c r="C1" s="641"/>
      <c r="D1" s="641"/>
      <c r="E1" s="641"/>
      <c r="F1" s="641"/>
      <c r="G1" s="641"/>
      <c r="H1" s="641"/>
      <c r="I1" s="641"/>
      <c r="J1" s="641"/>
      <c r="K1" s="641"/>
      <c r="L1" s="641"/>
      <c r="M1" s="641"/>
      <c r="N1" s="641"/>
      <c r="O1" s="43" t="s">
        <v>700</v>
      </c>
      <c r="P1" s="23"/>
      <c r="Q1" s="23"/>
      <c r="R1" s="23"/>
      <c r="S1" s="23"/>
    </row>
    <row r="2" spans="1:19" ht="63" customHeight="1" thickTop="1">
      <c r="A2" s="438" t="s">
        <v>114</v>
      </c>
      <c r="B2" s="434" t="s">
        <v>621</v>
      </c>
      <c r="C2" s="434" t="s">
        <v>115</v>
      </c>
      <c r="D2" s="434" t="s">
        <v>717</v>
      </c>
      <c r="E2" s="434" t="s">
        <v>718</v>
      </c>
      <c r="F2" s="434" t="s">
        <v>719</v>
      </c>
      <c r="G2" s="434" t="s">
        <v>720</v>
      </c>
      <c r="H2" s="434" t="s">
        <v>721</v>
      </c>
      <c r="I2" s="434" t="s">
        <v>722</v>
      </c>
      <c r="J2" s="434" t="s">
        <v>723</v>
      </c>
      <c r="K2" s="434" t="s">
        <v>724</v>
      </c>
      <c r="L2" s="434" t="s">
        <v>709</v>
      </c>
      <c r="M2" s="434" t="s">
        <v>710</v>
      </c>
      <c r="N2" s="434" t="s">
        <v>127</v>
      </c>
      <c r="O2" s="434" t="s">
        <v>725</v>
      </c>
      <c r="P2" s="434" t="s">
        <v>726</v>
      </c>
      <c r="Q2" s="434" t="s">
        <v>727</v>
      </c>
      <c r="R2" s="434" t="s">
        <v>728</v>
      </c>
      <c r="S2" s="434" t="s">
        <v>729</v>
      </c>
    </row>
    <row r="3" spans="1:19">
      <c r="A3" s="314">
        <v>1</v>
      </c>
      <c r="B3" s="385">
        <v>2011239</v>
      </c>
      <c r="C3" s="429" t="s">
        <v>121</v>
      </c>
      <c r="D3" s="429">
        <f>SUMIF([1]Нэгтгэл!B:B,'[1]13'!B:B,[1]Нэгтгэл!CD:CD)</f>
        <v>0</v>
      </c>
      <c r="E3" s="429">
        <f>SUMIF([1]Нэгтгэл!B:B,'[1]13'!B:B,[1]Нэгтгэл!CG:CG)</f>
        <v>0</v>
      </c>
      <c r="F3" s="429">
        <f>SUMIF([1]Нэгтгэл!B:B,'[1]13'!B:B,[1]Нэгтгэл!CJ:CJ)</f>
        <v>0</v>
      </c>
      <c r="G3" s="429">
        <f>SUMIF([1]Нэгтгэл!B:B,'[1]13'!B:B,[1]Нэгтгэл!CM:CM)</f>
        <v>0</v>
      </c>
      <c r="H3" s="429">
        <f>SUMIF([1]Нэгтгэл!B:B,'[1]13'!B:B,[1]Нэгтгэл!CP:CP)</f>
        <v>0</v>
      </c>
      <c r="I3" s="429">
        <f>SUMIF([1]Нэгтгэл!B:B,'[1]13'!B:B,[1]Нэгтгэл!CS:CS)</f>
        <v>0</v>
      </c>
      <c r="J3" s="429">
        <f>SUMIF([1]Нэгтгэл!B:B,'[1]13'!B:B,[1]Нэгтгэл!CV:CV)</f>
        <v>0</v>
      </c>
      <c r="K3" s="429">
        <f>SUMIF([1]Нэгтгэл!B:B,'[1]13'!B:B,[1]Нэгтгэл!CY:CY)</f>
        <v>0</v>
      </c>
      <c r="L3" s="427">
        <v>0</v>
      </c>
      <c r="M3" s="427">
        <v>0</v>
      </c>
      <c r="N3" s="427">
        <v>3000000</v>
      </c>
      <c r="O3" s="429">
        <f>SUMIF([1]Нэгтгэл!B:B,'[1]13'!B:B,[1]Нэгтгэл!DK:DK)</f>
        <v>0</v>
      </c>
      <c r="P3" s="429">
        <f>SUMIF([1]Нэгтгэл!B:B,'[1]13'!B:B,[1]Нэгтгэл!DN:DN)</f>
        <v>0</v>
      </c>
      <c r="Q3" s="429">
        <f>SUMIF([1]Нэгтгэл!B:B,'[1]13'!B:B,[1]Нэгтгэл!DQ:DQ)</f>
        <v>0</v>
      </c>
      <c r="R3" s="429">
        <f>SUMIF([1]Нэгтгэл!B:B,'[1]13'!B:B,[1]Нэгтгэл!DT:DT)</f>
        <v>0</v>
      </c>
      <c r="S3" s="429">
        <f>SUMIF([1]Нэгтгэл!B:B,'[1]13'!B:B,[1]Нэгтгэл!DW:DW)</f>
        <v>0</v>
      </c>
    </row>
    <row r="4" spans="1:19">
      <c r="A4" s="314">
        <f>A3+1</f>
        <v>2</v>
      </c>
      <c r="B4" s="385">
        <v>5097517</v>
      </c>
      <c r="C4" s="429" t="s">
        <v>126</v>
      </c>
      <c r="D4" s="429">
        <f>SUMIF([1]Нэгтгэл!B:B,'[1]13'!B:B,[1]Нэгтгэл!CD:CD)</f>
        <v>0</v>
      </c>
      <c r="E4" s="429">
        <f>SUMIF([1]Нэгтгэл!B:B,'[1]13'!B:B,[1]Нэгтгэл!CG:CG)</f>
        <v>0</v>
      </c>
      <c r="F4" s="429">
        <f>SUMIF([1]Нэгтгэл!B:B,'[1]13'!B:B,[1]Нэгтгэл!CJ:CJ)</f>
        <v>0</v>
      </c>
      <c r="G4" s="429">
        <f>SUMIF([1]Нэгтгэл!B:B,'[1]13'!B:B,[1]Нэгтгэл!CM:CM)</f>
        <v>0</v>
      </c>
      <c r="H4" s="429">
        <f>SUMIF([1]Нэгтгэл!B:B,'[1]13'!B:B,[1]Нэгтгэл!CP:CP)</f>
        <v>0</v>
      </c>
      <c r="I4" s="429">
        <f>SUMIF([1]Нэгтгэл!B:B,'[1]13'!B:B,[1]Нэгтгэл!CS:CS)</f>
        <v>0</v>
      </c>
      <c r="J4" s="429">
        <f>SUMIF([1]Нэгтгэл!B:B,'[1]13'!B:B,[1]Нэгтгэл!CV:CV)</f>
        <v>0</v>
      </c>
      <c r="K4" s="429">
        <f>SUMIF([1]Нэгтгэл!B:B,'[1]13'!B:B,[1]Нэгтгэл!CY:CY)</f>
        <v>0</v>
      </c>
      <c r="L4" s="427">
        <v>0</v>
      </c>
      <c r="M4" s="427">
        <v>0</v>
      </c>
      <c r="N4" s="427">
        <v>6789</v>
      </c>
      <c r="O4" s="429">
        <f>SUMIF([1]Нэгтгэл!B:B,'[1]13'!B:B,[1]Нэгтгэл!DK:DK)</f>
        <v>0</v>
      </c>
      <c r="P4" s="429">
        <f>SUMIF([1]Нэгтгэл!B:B,'[1]13'!B:B,[1]Нэгтгэл!DN:DN)</f>
        <v>0</v>
      </c>
      <c r="Q4" s="429">
        <f>SUMIF([1]Нэгтгэл!B:B,'[1]13'!B:B,[1]Нэгтгэл!DQ:DQ)</f>
        <v>0</v>
      </c>
      <c r="R4" s="429">
        <f>SUMIF([1]Нэгтгэл!B:B,'[1]13'!B:B,[1]Нэгтгэл!DT:DT)</f>
        <v>0</v>
      </c>
      <c r="S4" s="429">
        <f>SUMIF([1]Нэгтгэл!B:B,'[1]13'!B:B,[1]Нэгтгэл!DW:DW)</f>
        <v>0</v>
      </c>
    </row>
    <row r="5" spans="1:19">
      <c r="A5" s="314">
        <f t="shared" ref="A5:A68" si="0">A4+1</f>
        <v>3</v>
      </c>
      <c r="B5" s="385">
        <v>5809797</v>
      </c>
      <c r="C5" s="429" t="s">
        <v>131</v>
      </c>
      <c r="D5" s="429">
        <f>SUMIF([1]Нэгтгэл!B:B,'[1]13'!B:B,[1]Нэгтгэл!CD:CD)</f>
        <v>0</v>
      </c>
      <c r="E5" s="429">
        <f>SUMIF([1]Нэгтгэл!B:B,'[1]13'!B:B,[1]Нэгтгэл!CG:CG)</f>
        <v>0</v>
      </c>
      <c r="F5" s="429">
        <f>SUMIF([1]Нэгтгэл!B:B,'[1]13'!B:B,[1]Нэгтгэл!CJ:CJ)</f>
        <v>0</v>
      </c>
      <c r="G5" s="429">
        <f>SUMIF([1]Нэгтгэл!B:B,'[1]13'!B:B,[1]Нэгтгэл!CM:CM)</f>
        <v>0</v>
      </c>
      <c r="H5" s="429">
        <f>SUMIF([1]Нэгтгэл!B:B,'[1]13'!B:B,[1]Нэгтгэл!CP:CP)</f>
        <v>0</v>
      </c>
      <c r="I5" s="429">
        <f>SUMIF([1]Нэгтгэл!B:B,'[1]13'!B:B,[1]Нэгтгэл!CS:CS)</f>
        <v>0</v>
      </c>
      <c r="J5" s="429">
        <f>SUMIF([1]Нэгтгэл!B:B,'[1]13'!B:B,[1]Нэгтгэл!CV:CV)</f>
        <v>0</v>
      </c>
      <c r="K5" s="429">
        <f>SUMIF([1]Нэгтгэл!B:B,'[1]13'!B:B,[1]Нэгтгэл!CY:CY)</f>
        <v>0</v>
      </c>
      <c r="L5" s="427">
        <v>0</v>
      </c>
      <c r="M5" s="427">
        <v>0</v>
      </c>
      <c r="N5" s="427">
        <v>0</v>
      </c>
      <c r="O5" s="429">
        <f>SUMIF([1]Нэгтгэл!B:B,'[1]13'!B:B,[1]Нэгтгэл!DK:DK)</f>
        <v>0</v>
      </c>
      <c r="P5" s="429">
        <f>SUMIF([1]Нэгтгэл!B:B,'[1]13'!B:B,[1]Нэгтгэл!DN:DN)</f>
        <v>0</v>
      </c>
      <c r="Q5" s="429">
        <f>SUMIF([1]Нэгтгэл!B:B,'[1]13'!B:B,[1]Нэгтгэл!DQ:DQ)</f>
        <v>0</v>
      </c>
      <c r="R5" s="429">
        <f>SUMIF([1]Нэгтгэл!B:B,'[1]13'!B:B,[1]Нэгтгэл!DT:DT)</f>
        <v>0</v>
      </c>
      <c r="S5" s="429">
        <f>SUMIF([1]Нэгтгэл!B:B,'[1]13'!B:B,[1]Нэгтгэл!DW:DW)</f>
        <v>0</v>
      </c>
    </row>
    <row r="6" spans="1:19">
      <c r="A6" s="314">
        <f t="shared" si="0"/>
        <v>4</v>
      </c>
      <c r="B6" s="385">
        <v>5118344</v>
      </c>
      <c r="C6" s="429" t="s">
        <v>133</v>
      </c>
      <c r="D6" s="429">
        <f>SUMIF([1]Нэгтгэл!B:B,'[1]13'!B:B,[1]Нэгтгэл!CD:CD)</f>
        <v>0</v>
      </c>
      <c r="E6" s="429">
        <f>SUMIF([1]Нэгтгэл!B:B,'[1]13'!B:B,[1]Нэгтгэл!CG:CG)</f>
        <v>0</v>
      </c>
      <c r="F6" s="429">
        <f>SUMIF([1]Нэгтгэл!B:B,'[1]13'!B:B,[1]Нэгтгэл!CJ:CJ)</f>
        <v>0</v>
      </c>
      <c r="G6" s="429">
        <f>SUMIF([1]Нэгтгэл!B:B,'[1]13'!B:B,[1]Нэгтгэл!CM:CM)</f>
        <v>0</v>
      </c>
      <c r="H6" s="429">
        <f>SUMIF([1]Нэгтгэл!B:B,'[1]13'!B:B,[1]Нэгтгэл!CP:CP)</f>
        <v>0</v>
      </c>
      <c r="I6" s="429">
        <f>SUMIF([1]Нэгтгэл!B:B,'[1]13'!B:B,[1]Нэгтгэл!CS:CS)</f>
        <v>0</v>
      </c>
      <c r="J6" s="429">
        <f>SUMIF([1]Нэгтгэл!B:B,'[1]13'!B:B,[1]Нэгтгэл!CV:CV)</f>
        <v>0</v>
      </c>
      <c r="K6" s="429">
        <f>SUMIF([1]Нэгтгэл!B:B,'[1]13'!B:B,[1]Нэгтгэл!CY:CY)</f>
        <v>0</v>
      </c>
      <c r="L6" s="427">
        <v>0</v>
      </c>
      <c r="M6" s="427">
        <v>0</v>
      </c>
      <c r="N6" s="427">
        <v>0</v>
      </c>
      <c r="O6" s="429">
        <f>SUMIF([1]Нэгтгэл!B:B,'[1]13'!B:B,[1]Нэгтгэл!DK:DK)</f>
        <v>0</v>
      </c>
      <c r="P6" s="429">
        <f>SUMIF([1]Нэгтгэл!B:B,'[1]13'!B:B,[1]Нэгтгэл!DN:DN)</f>
        <v>0</v>
      </c>
      <c r="Q6" s="429">
        <f>SUMIF([1]Нэгтгэл!B:B,'[1]13'!B:B,[1]Нэгтгэл!DQ:DQ)</f>
        <v>0</v>
      </c>
      <c r="R6" s="429">
        <f>SUMIF([1]Нэгтгэл!B:B,'[1]13'!B:B,[1]Нэгтгэл!DT:DT)</f>
        <v>0</v>
      </c>
      <c r="S6" s="429">
        <f>SUMIF([1]Нэгтгэл!B:B,'[1]13'!B:B,[1]Нэгтгэл!DW:DW)</f>
        <v>0</v>
      </c>
    </row>
    <row r="7" spans="1:19">
      <c r="A7" s="314">
        <f t="shared" si="0"/>
        <v>5</v>
      </c>
      <c r="B7" s="385">
        <v>5095549</v>
      </c>
      <c r="C7" s="429" t="s">
        <v>136</v>
      </c>
      <c r="D7" s="429">
        <f>SUMIF([1]Нэгтгэл!B:B,'[1]13'!B:B,[1]Нэгтгэл!CD:CD)</f>
        <v>0</v>
      </c>
      <c r="E7" s="429">
        <f>SUMIF([1]Нэгтгэл!B:B,'[1]13'!B:B,[1]Нэгтгэл!CG:CG)</f>
        <v>0</v>
      </c>
      <c r="F7" s="429">
        <f>SUMIF([1]Нэгтгэл!B:B,'[1]13'!B:B,[1]Нэгтгэл!CJ:CJ)</f>
        <v>0</v>
      </c>
      <c r="G7" s="429">
        <f>SUMIF([1]Нэгтгэл!B:B,'[1]13'!B:B,[1]Нэгтгэл!CM:CM)</f>
        <v>0</v>
      </c>
      <c r="H7" s="429">
        <f>SUMIF([1]Нэгтгэл!B:B,'[1]13'!B:B,[1]Нэгтгэл!CP:CP)</f>
        <v>0</v>
      </c>
      <c r="I7" s="429">
        <f>SUMIF([1]Нэгтгэл!B:B,'[1]13'!B:B,[1]Нэгтгэл!CS:CS)</f>
        <v>0</v>
      </c>
      <c r="J7" s="429">
        <f>SUMIF([1]Нэгтгэл!B:B,'[1]13'!B:B,[1]Нэгтгэл!CV:CV)</f>
        <v>0</v>
      </c>
      <c r="K7" s="429">
        <f>SUMIF([1]Нэгтгэл!B:B,'[1]13'!B:B,[1]Нэгтгэл!CY:CY)</f>
        <v>0</v>
      </c>
      <c r="L7" s="427">
        <v>0</v>
      </c>
      <c r="M7" s="427">
        <v>0</v>
      </c>
      <c r="N7" s="427">
        <v>0</v>
      </c>
      <c r="O7" s="429">
        <f>SUMIF([1]Нэгтгэл!B:B,'[1]13'!B:B,[1]Нэгтгэл!DK:DK)</f>
        <v>0</v>
      </c>
      <c r="P7" s="429">
        <f>SUMIF([1]Нэгтгэл!B:B,'[1]13'!B:B,[1]Нэгтгэл!DN:DN)</f>
        <v>0</v>
      </c>
      <c r="Q7" s="429">
        <f>SUMIF([1]Нэгтгэл!B:B,'[1]13'!B:B,[1]Нэгтгэл!DQ:DQ)</f>
        <v>0</v>
      </c>
      <c r="R7" s="429">
        <f>SUMIF([1]Нэгтгэл!B:B,'[1]13'!B:B,[1]Нэгтгэл!DT:DT)</f>
        <v>0</v>
      </c>
      <c r="S7" s="429">
        <f>SUMIF([1]Нэгтгэл!B:B,'[1]13'!B:B,[1]Нэгтгэл!DW:DW)</f>
        <v>0</v>
      </c>
    </row>
    <row r="8" spans="1:19">
      <c r="A8" s="314">
        <f t="shared" si="0"/>
        <v>6</v>
      </c>
      <c r="B8" s="385">
        <v>2784165</v>
      </c>
      <c r="C8" s="429" t="s">
        <v>140</v>
      </c>
      <c r="D8" s="429">
        <f>SUMIF([1]Нэгтгэл!B:B,'[1]13'!B:B,[1]Нэгтгэл!CD:CD)</f>
        <v>0</v>
      </c>
      <c r="E8" s="429">
        <f>SUMIF([1]Нэгтгэл!B:B,'[1]13'!B:B,[1]Нэгтгэл!CG:CG)</f>
        <v>0</v>
      </c>
      <c r="F8" s="429">
        <f>SUMIF([1]Нэгтгэл!B:B,'[1]13'!B:B,[1]Нэгтгэл!CJ:CJ)</f>
        <v>103656.6</v>
      </c>
      <c r="G8" s="429">
        <f>SUMIF([1]Нэгтгэл!B:B,'[1]13'!B:B,[1]Нэгтгэл!CM:CM)</f>
        <v>17.04</v>
      </c>
      <c r="H8" s="429">
        <f>SUMIF([1]Нэгтгэл!B:B,'[1]13'!B:B,[1]Нэгтгэл!CP:CP)</f>
        <v>20003.599999999999</v>
      </c>
      <c r="I8" s="429">
        <f>SUMIF([1]Нэгтгэл!B:B,'[1]13'!B:B,[1]Нэгтгэл!CS:CS)</f>
        <v>0</v>
      </c>
      <c r="J8" s="429">
        <f>SUMIF([1]Нэгтгэл!B:B,'[1]13'!B:B,[1]Нэгтгэл!CV:CV)</f>
        <v>0</v>
      </c>
      <c r="K8" s="429">
        <f>SUMIF([1]Нэгтгэл!B:B,'[1]13'!B:B,[1]Нэгтгэл!CY:CY)</f>
        <v>0</v>
      </c>
      <c r="L8" s="427">
        <v>0</v>
      </c>
      <c r="M8" s="427">
        <v>0</v>
      </c>
      <c r="N8" s="427">
        <v>0</v>
      </c>
      <c r="O8" s="429">
        <f>SUMIF([1]Нэгтгэл!B:B,'[1]13'!B:B,[1]Нэгтгэл!DK:DK)</f>
        <v>0</v>
      </c>
      <c r="P8" s="429">
        <f>SUMIF([1]Нэгтгэл!B:B,'[1]13'!B:B,[1]Нэгтгэл!DN:DN)</f>
        <v>0</v>
      </c>
      <c r="Q8" s="429">
        <f>SUMIF([1]Нэгтгэл!B:B,'[1]13'!B:B,[1]Нэгтгэл!DQ:DQ)</f>
        <v>0</v>
      </c>
      <c r="R8" s="429">
        <f>SUMIF([1]Нэгтгэл!B:B,'[1]13'!B:B,[1]Нэгтгэл!DT:DT)</f>
        <v>0</v>
      </c>
      <c r="S8" s="429">
        <f>SUMIF([1]Нэгтгэл!B:B,'[1]13'!B:B,[1]Нэгтгэл!DW:DW)</f>
        <v>0</v>
      </c>
    </row>
    <row r="9" spans="1:19">
      <c r="A9" s="314">
        <f t="shared" si="0"/>
        <v>7</v>
      </c>
      <c r="B9" s="385">
        <v>5133351</v>
      </c>
      <c r="C9" s="429" t="s">
        <v>143</v>
      </c>
      <c r="D9" s="429">
        <f>SUMIF([1]Нэгтгэл!B:B,'[1]13'!B:B,[1]Нэгтгэл!CD:CD)</f>
        <v>0</v>
      </c>
      <c r="E9" s="429">
        <f>SUMIF([1]Нэгтгэл!B:B,'[1]13'!B:B,[1]Нэгтгэл!CG:CG)</f>
        <v>0</v>
      </c>
      <c r="F9" s="429">
        <f>SUMIF([1]Нэгтгэл!B:B,'[1]13'!B:B,[1]Нэгтгэл!CJ:CJ)</f>
        <v>0</v>
      </c>
      <c r="G9" s="429">
        <f>SUMIF([1]Нэгтгэл!B:B,'[1]13'!B:B,[1]Нэгтгэл!CM:CM)</f>
        <v>0</v>
      </c>
      <c r="H9" s="429">
        <f>SUMIF([1]Нэгтгэл!B:B,'[1]13'!B:B,[1]Нэгтгэл!CP:CP)</f>
        <v>0</v>
      </c>
      <c r="I9" s="429">
        <f>SUMIF([1]Нэгтгэл!B:B,'[1]13'!B:B,[1]Нэгтгэл!CS:CS)</f>
        <v>0</v>
      </c>
      <c r="J9" s="429">
        <f>SUMIF([1]Нэгтгэл!B:B,'[1]13'!B:B,[1]Нэгтгэл!CV:CV)</f>
        <v>0</v>
      </c>
      <c r="K9" s="429">
        <f>SUMIF([1]Нэгтгэл!B:B,'[1]13'!B:B,[1]Нэгтгэл!CY:CY)</f>
        <v>0</v>
      </c>
      <c r="L9" s="427">
        <v>0</v>
      </c>
      <c r="M9" s="427">
        <v>0</v>
      </c>
      <c r="N9" s="427">
        <v>0</v>
      </c>
      <c r="O9" s="429">
        <f>SUMIF([1]Нэгтгэл!B:B,'[1]13'!B:B,[1]Нэгтгэл!DK:DK)</f>
        <v>0</v>
      </c>
      <c r="P9" s="429">
        <f>SUMIF([1]Нэгтгэл!B:B,'[1]13'!B:B,[1]Нэгтгэл!DN:DN)</f>
        <v>0</v>
      </c>
      <c r="Q9" s="429">
        <f>SUMIF([1]Нэгтгэл!B:B,'[1]13'!B:B,[1]Нэгтгэл!DQ:DQ)</f>
        <v>0</v>
      </c>
      <c r="R9" s="429">
        <f>SUMIF([1]Нэгтгэл!B:B,'[1]13'!B:B,[1]Нэгтгэл!DT:DT)</f>
        <v>0</v>
      </c>
      <c r="S9" s="429">
        <f>SUMIF([1]Нэгтгэл!B:B,'[1]13'!B:B,[1]Нэгтгэл!DW:DW)</f>
        <v>0</v>
      </c>
    </row>
    <row r="10" spans="1:19">
      <c r="A10" s="314">
        <f t="shared" si="0"/>
        <v>8</v>
      </c>
      <c r="B10" s="385">
        <v>6172768</v>
      </c>
      <c r="C10" s="429" t="s">
        <v>144</v>
      </c>
      <c r="D10" s="429">
        <f>SUMIF([1]Нэгтгэл!B:B,'[1]13'!B:B,[1]Нэгтгэл!CD:CD)</f>
        <v>0</v>
      </c>
      <c r="E10" s="429">
        <f>SUMIF([1]Нэгтгэл!B:B,'[1]13'!B:B,[1]Нэгтгэл!CG:CG)</f>
        <v>0</v>
      </c>
      <c r="F10" s="429">
        <f>SUMIF([1]Нэгтгэл!B:B,'[1]13'!B:B,[1]Нэгтгэл!CJ:CJ)</f>
        <v>0</v>
      </c>
      <c r="G10" s="429">
        <f>SUMIF([1]Нэгтгэл!B:B,'[1]13'!B:B,[1]Нэгтгэл!CM:CM)</f>
        <v>0</v>
      </c>
      <c r="H10" s="429">
        <f>SUMIF([1]Нэгтгэл!B:B,'[1]13'!B:B,[1]Нэгтгэл!CP:CP)</f>
        <v>0</v>
      </c>
      <c r="I10" s="429">
        <f>SUMIF([1]Нэгтгэл!B:B,'[1]13'!B:B,[1]Нэгтгэл!CS:CS)</f>
        <v>0</v>
      </c>
      <c r="J10" s="429">
        <f>SUMIF([1]Нэгтгэл!B:B,'[1]13'!B:B,[1]Нэгтгэл!CV:CV)</f>
        <v>0</v>
      </c>
      <c r="K10" s="429">
        <f>SUMIF([1]Нэгтгэл!B:B,'[1]13'!B:B,[1]Нэгтгэл!CY:CY)</f>
        <v>0</v>
      </c>
      <c r="L10" s="427">
        <v>0</v>
      </c>
      <c r="M10" s="427">
        <v>0</v>
      </c>
      <c r="N10" s="427">
        <v>0</v>
      </c>
      <c r="O10" s="429">
        <f>SUMIF([1]Нэгтгэл!B:B,'[1]13'!B:B,[1]Нэгтгэл!DK:DK)</f>
        <v>0</v>
      </c>
      <c r="P10" s="429">
        <f>SUMIF([1]Нэгтгэл!B:B,'[1]13'!B:B,[1]Нэгтгэл!DN:DN)</f>
        <v>0</v>
      </c>
      <c r="Q10" s="429">
        <f>SUMIF([1]Нэгтгэл!B:B,'[1]13'!B:B,[1]Нэгтгэл!DQ:DQ)</f>
        <v>0</v>
      </c>
      <c r="R10" s="429">
        <f>SUMIF([1]Нэгтгэл!B:B,'[1]13'!B:B,[1]Нэгтгэл!DT:DT)</f>
        <v>0</v>
      </c>
      <c r="S10" s="429">
        <f>SUMIF([1]Нэгтгэл!B:B,'[1]13'!B:B,[1]Нэгтгэл!DW:DW)</f>
        <v>0</v>
      </c>
    </row>
    <row r="11" spans="1:19">
      <c r="A11" s="314">
        <f t="shared" si="0"/>
        <v>9</v>
      </c>
      <c r="B11" s="385">
        <v>2788705</v>
      </c>
      <c r="C11" s="429" t="s">
        <v>146</v>
      </c>
      <c r="D11" s="429">
        <f>SUMIF([1]Нэгтгэл!B:B,'[1]13'!B:B,[1]Нэгтгэл!CD:CD)</f>
        <v>0</v>
      </c>
      <c r="E11" s="429">
        <f>SUMIF([1]Нэгтгэл!B:B,'[1]13'!B:B,[1]Нэгтгэл!CG:CG)</f>
        <v>0</v>
      </c>
      <c r="F11" s="429">
        <f>SUMIF([1]Нэгтгэл!B:B,'[1]13'!B:B,[1]Нэгтгэл!CJ:CJ)</f>
        <v>0</v>
      </c>
      <c r="G11" s="429">
        <f>SUMIF([1]Нэгтгэл!B:B,'[1]13'!B:B,[1]Нэгтгэл!CM:CM)</f>
        <v>0</v>
      </c>
      <c r="H11" s="429">
        <f>SUMIF([1]Нэгтгэл!B:B,'[1]13'!B:B,[1]Нэгтгэл!CP:CP)</f>
        <v>0</v>
      </c>
      <c r="I11" s="429">
        <f>SUMIF([1]Нэгтгэл!B:B,'[1]13'!B:B,[1]Нэгтгэл!CS:CS)</f>
        <v>0</v>
      </c>
      <c r="J11" s="429">
        <f>SUMIF([1]Нэгтгэл!B:B,'[1]13'!B:B,[1]Нэгтгэл!CV:CV)</f>
        <v>0</v>
      </c>
      <c r="K11" s="429">
        <f>SUMIF([1]Нэгтгэл!B:B,'[1]13'!B:B,[1]Нэгтгэл!CY:CY)</f>
        <v>0</v>
      </c>
      <c r="L11" s="427">
        <v>0</v>
      </c>
      <c r="M11" s="427">
        <v>0</v>
      </c>
      <c r="N11" s="427">
        <v>0</v>
      </c>
      <c r="O11" s="429">
        <f>SUMIF([1]Нэгтгэл!B:B,'[1]13'!B:B,[1]Нэгтгэл!DK:DK)</f>
        <v>0</v>
      </c>
      <c r="P11" s="429">
        <f>SUMIF([1]Нэгтгэл!B:B,'[1]13'!B:B,[1]Нэгтгэл!DN:DN)</f>
        <v>0</v>
      </c>
      <c r="Q11" s="429">
        <f>SUMIF([1]Нэгтгэл!B:B,'[1]13'!B:B,[1]Нэгтгэл!DQ:DQ)</f>
        <v>0</v>
      </c>
      <c r="R11" s="429">
        <f>SUMIF([1]Нэгтгэл!B:B,'[1]13'!B:B,[1]Нэгтгэл!DT:DT)</f>
        <v>0</v>
      </c>
      <c r="S11" s="429">
        <f>SUMIF([1]Нэгтгэл!B:B,'[1]13'!B:B,[1]Нэгтгэл!DW:DW)</f>
        <v>0</v>
      </c>
    </row>
    <row r="12" spans="1:19">
      <c r="A12" s="314">
        <f t="shared" si="0"/>
        <v>10</v>
      </c>
      <c r="B12" s="385">
        <v>5439183</v>
      </c>
      <c r="C12" s="429" t="s">
        <v>629</v>
      </c>
      <c r="D12" s="429">
        <f>SUMIF([1]Нэгтгэл!B:B,'[1]13'!B:B,[1]Нэгтгэл!CD:CD)</f>
        <v>0</v>
      </c>
      <c r="E12" s="429">
        <f>SUMIF([1]Нэгтгэл!B:B,'[1]13'!B:B,[1]Нэгтгэл!CG:CG)</f>
        <v>0</v>
      </c>
      <c r="F12" s="429">
        <f>SUMIF([1]Нэгтгэл!B:B,'[1]13'!B:B,[1]Нэгтгэл!CJ:CJ)</f>
        <v>0</v>
      </c>
      <c r="G12" s="429">
        <f>SUMIF([1]Нэгтгэл!B:B,'[1]13'!B:B,[1]Нэгтгэл!CM:CM)</f>
        <v>0</v>
      </c>
      <c r="H12" s="429">
        <f>SUMIF([1]Нэгтгэл!B:B,'[1]13'!B:B,[1]Нэгтгэл!CP:CP)</f>
        <v>0</v>
      </c>
      <c r="I12" s="429">
        <f>SUMIF([1]Нэгтгэл!B:B,'[1]13'!B:B,[1]Нэгтгэл!CS:CS)</f>
        <v>0</v>
      </c>
      <c r="J12" s="429">
        <f>SUMIF([1]Нэгтгэл!B:B,'[1]13'!B:B,[1]Нэгтгэл!CV:CV)</f>
        <v>0</v>
      </c>
      <c r="K12" s="429">
        <f>SUMIF([1]Нэгтгэл!B:B,'[1]13'!B:B,[1]Нэгтгэл!CY:CY)</f>
        <v>0</v>
      </c>
      <c r="L12" s="427">
        <v>0</v>
      </c>
      <c r="M12" s="427">
        <v>0</v>
      </c>
      <c r="N12" s="427">
        <v>0</v>
      </c>
      <c r="O12" s="429">
        <f>SUMIF([1]Нэгтгэл!B:B,'[1]13'!B:B,[1]Нэгтгэл!DK:DK)</f>
        <v>0</v>
      </c>
      <c r="P12" s="429">
        <f>SUMIF([1]Нэгтгэл!B:B,'[1]13'!B:B,[1]Нэгтгэл!DN:DN)</f>
        <v>0</v>
      </c>
      <c r="Q12" s="429">
        <f>SUMIF([1]Нэгтгэл!B:B,'[1]13'!B:B,[1]Нэгтгэл!DQ:DQ)</f>
        <v>0</v>
      </c>
      <c r="R12" s="429">
        <f>SUMIF([1]Нэгтгэл!B:B,'[1]13'!B:B,[1]Нэгтгэл!DT:DT)</f>
        <v>0</v>
      </c>
      <c r="S12" s="429">
        <f>SUMIF([1]Нэгтгэл!B:B,'[1]13'!B:B,[1]Нэгтгэл!DW:DW)</f>
        <v>0</v>
      </c>
    </row>
    <row r="13" spans="1:19">
      <c r="A13" s="314">
        <f t="shared" si="0"/>
        <v>11</v>
      </c>
      <c r="B13" s="385">
        <v>2008572</v>
      </c>
      <c r="C13" s="429" t="s">
        <v>152</v>
      </c>
      <c r="D13" s="429">
        <f>SUMIF([1]Нэгтгэл!B:B,'[1]13'!B:B,[1]Нэгтгэл!CD:CD)</f>
        <v>222028</v>
      </c>
      <c r="E13" s="429">
        <f>SUMIF([1]Нэгтгэл!B:B,'[1]13'!B:B,[1]Нэгтгэл!CG:CG)</f>
        <v>21132</v>
      </c>
      <c r="F13" s="429">
        <f>SUMIF([1]Нэгтгэл!B:B,'[1]13'!B:B,[1]Нэгтгэл!CJ:CJ)</f>
        <v>1159200</v>
      </c>
      <c r="G13" s="429">
        <f>SUMIF([1]Нэгтгэл!B:B,'[1]13'!B:B,[1]Нэгтгэл!CM:CM)</f>
        <v>0</v>
      </c>
      <c r="H13" s="429">
        <f>SUMIF([1]Нэгтгэл!B:B,'[1]13'!B:B,[1]Нэгтгэл!CP:CP)</f>
        <v>0</v>
      </c>
      <c r="I13" s="429">
        <f>SUMIF([1]Нэгтгэл!B:B,'[1]13'!B:B,[1]Нэгтгэл!CS:CS)</f>
        <v>0</v>
      </c>
      <c r="J13" s="429">
        <f>SUMIF([1]Нэгтгэл!B:B,'[1]13'!B:B,[1]Нэгтгэл!CV:CV)</f>
        <v>0</v>
      </c>
      <c r="K13" s="429">
        <f>SUMIF([1]Нэгтгэл!B:B,'[1]13'!B:B,[1]Нэгтгэл!CY:CY)</f>
        <v>0</v>
      </c>
      <c r="L13" s="427">
        <v>0</v>
      </c>
      <c r="M13" s="427">
        <v>0</v>
      </c>
      <c r="N13" s="427">
        <v>0</v>
      </c>
      <c r="O13" s="429">
        <f>SUMIF([1]Нэгтгэл!B:B,'[1]13'!B:B,[1]Нэгтгэл!DK:DK)</f>
        <v>0</v>
      </c>
      <c r="P13" s="429">
        <f>SUMIF([1]Нэгтгэл!B:B,'[1]13'!B:B,[1]Нэгтгэл!DN:DN)</f>
        <v>0</v>
      </c>
      <c r="Q13" s="429">
        <f>SUMIF([1]Нэгтгэл!B:B,'[1]13'!B:B,[1]Нэгтгэл!DQ:DQ)</f>
        <v>0</v>
      </c>
      <c r="R13" s="429">
        <f>SUMIF([1]Нэгтгэл!B:B,'[1]13'!B:B,[1]Нэгтгэл!DT:DT)</f>
        <v>0</v>
      </c>
      <c r="S13" s="429">
        <f>SUMIF([1]Нэгтгэл!B:B,'[1]13'!B:B,[1]Нэгтгэл!DW:DW)</f>
        <v>0</v>
      </c>
    </row>
    <row r="14" spans="1:19">
      <c r="A14" s="314">
        <f t="shared" si="0"/>
        <v>12</v>
      </c>
      <c r="B14" s="385">
        <v>5215919</v>
      </c>
      <c r="C14" s="429" t="s">
        <v>155</v>
      </c>
      <c r="D14" s="429">
        <f>SUMIF([1]Нэгтгэл!B:B,'[1]13'!B:B,[1]Нэгтгэл!CD:CD)</f>
        <v>0</v>
      </c>
      <c r="E14" s="429">
        <f>SUMIF([1]Нэгтгэл!B:B,'[1]13'!B:B,[1]Нэгтгэл!CG:CG)</f>
        <v>0</v>
      </c>
      <c r="F14" s="429">
        <f>SUMIF([1]Нэгтгэл!B:B,'[1]13'!B:B,[1]Нэгтгэл!CJ:CJ)</f>
        <v>1200</v>
      </c>
      <c r="G14" s="429">
        <f>SUMIF([1]Нэгтгэл!B:B,'[1]13'!B:B,[1]Нэгтгэл!CM:CM)</f>
        <v>5710.5</v>
      </c>
      <c r="H14" s="429">
        <f>SUMIF([1]Нэгтгэл!B:B,'[1]13'!B:B,[1]Нэгтгэл!CP:CP)</f>
        <v>0</v>
      </c>
      <c r="I14" s="429">
        <f>SUMIF([1]Нэгтгэл!B:B,'[1]13'!B:B,[1]Нэгтгэл!CS:CS)</f>
        <v>0</v>
      </c>
      <c r="J14" s="429">
        <f>SUMIF([1]Нэгтгэл!B:B,'[1]13'!B:B,[1]Нэгтгэл!CV:CV)</f>
        <v>0</v>
      </c>
      <c r="K14" s="429">
        <f>SUMIF([1]Нэгтгэл!B:B,'[1]13'!B:B,[1]Нэгтгэл!CY:CY)</f>
        <v>0</v>
      </c>
      <c r="L14" s="427">
        <v>0</v>
      </c>
      <c r="M14" s="427">
        <v>0</v>
      </c>
      <c r="N14" s="427">
        <v>0</v>
      </c>
      <c r="O14" s="429">
        <f>SUMIF([1]Нэгтгэл!B:B,'[1]13'!B:B,[1]Нэгтгэл!DK:DK)</f>
        <v>0</v>
      </c>
      <c r="P14" s="429">
        <f>SUMIF([1]Нэгтгэл!B:B,'[1]13'!B:B,[1]Нэгтгэл!DN:DN)</f>
        <v>0</v>
      </c>
      <c r="Q14" s="429">
        <f>SUMIF([1]Нэгтгэл!B:B,'[1]13'!B:B,[1]Нэгтгэл!DQ:DQ)</f>
        <v>0</v>
      </c>
      <c r="R14" s="429">
        <f>SUMIF([1]Нэгтгэл!B:B,'[1]13'!B:B,[1]Нэгтгэл!DT:DT)</f>
        <v>0</v>
      </c>
      <c r="S14" s="429">
        <f>SUMIF([1]Нэгтгэл!B:B,'[1]13'!B:B,[1]Нэгтгэл!DW:DW)</f>
        <v>100000000</v>
      </c>
    </row>
    <row r="15" spans="1:19">
      <c r="A15" s="314">
        <f t="shared" si="0"/>
        <v>13</v>
      </c>
      <c r="B15" s="385">
        <v>5502977</v>
      </c>
      <c r="C15" s="429" t="s">
        <v>157</v>
      </c>
      <c r="D15" s="429">
        <f>SUMIF([1]Нэгтгэл!B:B,'[1]13'!B:B,[1]Нэгтгэл!CD:CD)</f>
        <v>0</v>
      </c>
      <c r="E15" s="429">
        <f>SUMIF([1]Нэгтгэл!B:B,'[1]13'!B:B,[1]Нэгтгэл!CG:CG)</f>
        <v>0</v>
      </c>
      <c r="F15" s="429">
        <f>SUMIF([1]Нэгтгэл!B:B,'[1]13'!B:B,[1]Нэгтгэл!CJ:CJ)</f>
        <v>0</v>
      </c>
      <c r="G15" s="429">
        <f>SUMIF([1]Нэгтгэл!B:B,'[1]13'!B:B,[1]Нэгтгэл!CM:CM)</f>
        <v>0</v>
      </c>
      <c r="H15" s="429">
        <f>SUMIF([1]Нэгтгэл!B:B,'[1]13'!B:B,[1]Нэгтгэл!CP:CP)</f>
        <v>0</v>
      </c>
      <c r="I15" s="429">
        <f>SUMIF([1]Нэгтгэл!B:B,'[1]13'!B:B,[1]Нэгтгэл!CS:CS)</f>
        <v>0</v>
      </c>
      <c r="J15" s="429">
        <f>SUMIF([1]Нэгтгэл!B:B,'[1]13'!B:B,[1]Нэгтгэл!CV:CV)</f>
        <v>0</v>
      </c>
      <c r="K15" s="429">
        <f>SUMIF([1]Нэгтгэл!B:B,'[1]13'!B:B,[1]Нэгтгэл!CY:CY)</f>
        <v>0</v>
      </c>
      <c r="L15" s="427">
        <v>0</v>
      </c>
      <c r="M15" s="427">
        <v>0</v>
      </c>
      <c r="N15" s="427">
        <v>0</v>
      </c>
      <c r="O15" s="429">
        <f>SUMIF([1]Нэгтгэл!B:B,'[1]13'!B:B,[1]Нэгтгэл!DK:DK)</f>
        <v>0</v>
      </c>
      <c r="P15" s="429">
        <f>SUMIF([1]Нэгтгэл!B:B,'[1]13'!B:B,[1]Нэгтгэл!DN:DN)</f>
        <v>0</v>
      </c>
      <c r="Q15" s="429">
        <f>SUMIF([1]Нэгтгэл!B:B,'[1]13'!B:B,[1]Нэгтгэл!DQ:DQ)</f>
        <v>0</v>
      </c>
      <c r="R15" s="429">
        <f>SUMIF([1]Нэгтгэл!B:B,'[1]13'!B:B,[1]Нэгтгэл!DT:DT)</f>
        <v>0</v>
      </c>
      <c r="S15" s="429">
        <f>SUMIF([1]Нэгтгэл!B:B,'[1]13'!B:B,[1]Нэгтгэл!DW:DW)</f>
        <v>0</v>
      </c>
    </row>
    <row r="16" spans="1:19">
      <c r="A16" s="314">
        <f t="shared" si="0"/>
        <v>14</v>
      </c>
      <c r="B16" s="385">
        <v>2708701</v>
      </c>
      <c r="C16" s="429" t="s">
        <v>159</v>
      </c>
      <c r="D16" s="429">
        <f>SUMIF([1]Нэгтгэл!B:B,'[1]13'!B:B,[1]Нэгтгэл!CD:CD)</f>
        <v>525564.30000000005</v>
      </c>
      <c r="E16" s="429">
        <f>SUMIF([1]Нэгтгэл!B:B,'[1]13'!B:B,[1]Нэгтгэл!CG:CG)</f>
        <v>6181.2</v>
      </c>
      <c r="F16" s="429">
        <f>SUMIF([1]Нэгтгэл!B:B,'[1]13'!B:B,[1]Нэгтгэл!CJ:CJ)</f>
        <v>580869.80000000005</v>
      </c>
      <c r="G16" s="429">
        <f>SUMIF([1]Нэгтгэл!B:B,'[1]13'!B:B,[1]Нэгтгэл!CM:CM)</f>
        <v>146569.29999999999</v>
      </c>
      <c r="H16" s="429">
        <f>SUMIF([1]Нэгтгэл!B:B,'[1]13'!B:B,[1]Нэгтгэл!CP:CP)</f>
        <v>0</v>
      </c>
      <c r="I16" s="429">
        <f>SUMIF([1]Нэгтгэл!B:B,'[1]13'!B:B,[1]Нэгтгэл!CS:CS)</f>
        <v>0</v>
      </c>
      <c r="J16" s="429">
        <f>SUMIF([1]Нэгтгэл!B:B,'[1]13'!B:B,[1]Нэгтгэл!CV:CV)</f>
        <v>0</v>
      </c>
      <c r="K16" s="429">
        <f>SUMIF([1]Нэгтгэл!B:B,'[1]13'!B:B,[1]Нэгтгэл!CY:CY)</f>
        <v>0</v>
      </c>
      <c r="L16" s="427">
        <v>0</v>
      </c>
      <c r="M16" s="427">
        <v>0</v>
      </c>
      <c r="N16" s="427">
        <v>0</v>
      </c>
      <c r="O16" s="429">
        <f>SUMIF([1]Нэгтгэл!B:B,'[1]13'!B:B,[1]Нэгтгэл!DK:DK)</f>
        <v>0</v>
      </c>
      <c r="P16" s="429">
        <f>SUMIF([1]Нэгтгэл!B:B,'[1]13'!B:B,[1]Нэгтгэл!DN:DN)</f>
        <v>0</v>
      </c>
      <c r="Q16" s="429">
        <f>SUMIF([1]Нэгтгэл!B:B,'[1]13'!B:B,[1]Нэгтгэл!DQ:DQ)</f>
        <v>0</v>
      </c>
      <c r="R16" s="429">
        <f>SUMIF([1]Нэгтгэл!B:B,'[1]13'!B:B,[1]Нэгтгэл!DT:DT)</f>
        <v>0</v>
      </c>
      <c r="S16" s="429">
        <f>SUMIF([1]Нэгтгэл!B:B,'[1]13'!B:B,[1]Нэгтгэл!DW:DW)</f>
        <v>190000</v>
      </c>
    </row>
    <row r="17" spans="1:19">
      <c r="A17" s="314">
        <f t="shared" si="0"/>
        <v>15</v>
      </c>
      <c r="B17" s="385">
        <v>2014491</v>
      </c>
      <c r="C17" s="429" t="s">
        <v>161</v>
      </c>
      <c r="D17" s="429">
        <f>SUMIF([1]Нэгтгэл!B:B,'[1]13'!B:B,[1]Нэгтгэл!CD:CD)</f>
        <v>0</v>
      </c>
      <c r="E17" s="429">
        <f>SUMIF([1]Нэгтгэл!B:B,'[1]13'!B:B,[1]Нэгтгэл!CG:CG)</f>
        <v>0</v>
      </c>
      <c r="F17" s="429">
        <f>SUMIF([1]Нэгтгэл!B:B,'[1]13'!B:B,[1]Нэгтгэл!CJ:CJ)</f>
        <v>0</v>
      </c>
      <c r="G17" s="429">
        <f>SUMIF([1]Нэгтгэл!B:B,'[1]13'!B:B,[1]Нэгтгэл!CM:CM)</f>
        <v>0</v>
      </c>
      <c r="H17" s="429">
        <f>SUMIF([1]Нэгтгэл!B:B,'[1]13'!B:B,[1]Нэгтгэл!CP:CP)</f>
        <v>0</v>
      </c>
      <c r="I17" s="429">
        <f>SUMIF([1]Нэгтгэл!B:B,'[1]13'!B:B,[1]Нэгтгэл!CS:CS)</f>
        <v>0</v>
      </c>
      <c r="J17" s="429">
        <f>SUMIF([1]Нэгтгэл!B:B,'[1]13'!B:B,[1]Нэгтгэл!CV:CV)</f>
        <v>0</v>
      </c>
      <c r="K17" s="429">
        <f>SUMIF([1]Нэгтгэл!B:B,'[1]13'!B:B,[1]Нэгтгэл!CY:CY)</f>
        <v>0</v>
      </c>
      <c r="L17" s="427">
        <v>0</v>
      </c>
      <c r="M17" s="427">
        <v>0</v>
      </c>
      <c r="N17" s="427">
        <v>0</v>
      </c>
      <c r="O17" s="429">
        <f>SUMIF([1]Нэгтгэл!B:B,'[1]13'!B:B,[1]Нэгтгэл!DK:DK)</f>
        <v>0</v>
      </c>
      <c r="P17" s="429">
        <f>SUMIF([1]Нэгтгэл!B:B,'[1]13'!B:B,[1]Нэгтгэл!DN:DN)</f>
        <v>0</v>
      </c>
      <c r="Q17" s="429">
        <f>SUMIF([1]Нэгтгэл!B:B,'[1]13'!B:B,[1]Нэгтгэл!DQ:DQ)</f>
        <v>0</v>
      </c>
      <c r="R17" s="429">
        <f>SUMIF([1]Нэгтгэл!B:B,'[1]13'!B:B,[1]Нэгтгэл!DT:DT)</f>
        <v>0</v>
      </c>
      <c r="S17" s="429">
        <f>SUMIF([1]Нэгтгэл!B:B,'[1]13'!B:B,[1]Нэгтгэл!DW:DW)</f>
        <v>0</v>
      </c>
    </row>
    <row r="18" spans="1:19">
      <c r="A18" s="314">
        <f t="shared" si="0"/>
        <v>16</v>
      </c>
      <c r="B18" s="385">
        <v>6414877</v>
      </c>
      <c r="C18" s="429" t="s">
        <v>165</v>
      </c>
      <c r="D18" s="429">
        <f>SUMIF([1]Нэгтгэл!B:B,'[1]13'!B:B,[1]Нэгтгэл!CD:CD)</f>
        <v>0</v>
      </c>
      <c r="E18" s="429">
        <f>SUMIF([1]Нэгтгэл!B:B,'[1]13'!B:B,[1]Нэгтгэл!CG:CG)</f>
        <v>0</v>
      </c>
      <c r="F18" s="429">
        <f>SUMIF([1]Нэгтгэл!B:B,'[1]13'!B:B,[1]Нэгтгэл!CJ:CJ)</f>
        <v>0</v>
      </c>
      <c r="G18" s="429">
        <f>SUMIF([1]Нэгтгэл!B:B,'[1]13'!B:B,[1]Нэгтгэл!CM:CM)</f>
        <v>0</v>
      </c>
      <c r="H18" s="429">
        <f>SUMIF([1]Нэгтгэл!B:B,'[1]13'!B:B,[1]Нэгтгэл!CP:CP)</f>
        <v>0</v>
      </c>
      <c r="I18" s="429">
        <f>SUMIF([1]Нэгтгэл!B:B,'[1]13'!B:B,[1]Нэгтгэл!CS:CS)</f>
        <v>0</v>
      </c>
      <c r="J18" s="429">
        <f>SUMIF([1]Нэгтгэл!B:B,'[1]13'!B:B,[1]Нэгтгэл!CV:CV)</f>
        <v>0</v>
      </c>
      <c r="K18" s="429">
        <f>SUMIF([1]Нэгтгэл!B:B,'[1]13'!B:B,[1]Нэгтгэл!CY:CY)</f>
        <v>0</v>
      </c>
      <c r="L18" s="427">
        <v>0</v>
      </c>
      <c r="M18" s="427">
        <v>0</v>
      </c>
      <c r="N18" s="427">
        <v>0</v>
      </c>
      <c r="O18" s="429">
        <f>SUMIF([1]Нэгтгэл!B:B,'[1]13'!B:B,[1]Нэгтгэл!DK:DK)</f>
        <v>0</v>
      </c>
      <c r="P18" s="429">
        <f>SUMIF([1]Нэгтгэл!B:B,'[1]13'!B:B,[1]Нэгтгэл!DN:DN)</f>
        <v>0</v>
      </c>
      <c r="Q18" s="429">
        <f>SUMIF([1]Нэгтгэл!B:B,'[1]13'!B:B,[1]Нэгтгэл!DQ:DQ)</f>
        <v>0</v>
      </c>
      <c r="R18" s="429">
        <f>SUMIF([1]Нэгтгэл!B:B,'[1]13'!B:B,[1]Нэгтгэл!DT:DT)</f>
        <v>0</v>
      </c>
      <c r="S18" s="429">
        <f>SUMIF([1]Нэгтгэл!B:B,'[1]13'!B:B,[1]Нэгтгэл!DW:DW)</f>
        <v>0</v>
      </c>
    </row>
    <row r="19" spans="1:19">
      <c r="A19" s="314">
        <f t="shared" si="0"/>
        <v>17</v>
      </c>
      <c r="B19" s="385">
        <v>5369223</v>
      </c>
      <c r="C19" s="429" t="s">
        <v>168</v>
      </c>
      <c r="D19" s="429">
        <f>SUMIF([1]Нэгтгэл!B:B,'[1]13'!B:B,[1]Нэгтгэл!CD:CD)</f>
        <v>0</v>
      </c>
      <c r="E19" s="429">
        <f>SUMIF([1]Нэгтгэл!B:B,'[1]13'!B:B,[1]Нэгтгэл!CG:CG)</f>
        <v>0</v>
      </c>
      <c r="F19" s="429">
        <f>SUMIF([1]Нэгтгэл!B:B,'[1]13'!B:B,[1]Нэгтгэл!CJ:CJ)</f>
        <v>0</v>
      </c>
      <c r="G19" s="429">
        <f>SUMIF([1]Нэгтгэл!B:B,'[1]13'!B:B,[1]Нэгтгэл!CM:CM)</f>
        <v>0</v>
      </c>
      <c r="H19" s="429">
        <f>SUMIF([1]Нэгтгэл!B:B,'[1]13'!B:B,[1]Нэгтгэл!CP:CP)</f>
        <v>0</v>
      </c>
      <c r="I19" s="429">
        <f>SUMIF([1]Нэгтгэл!B:B,'[1]13'!B:B,[1]Нэгтгэл!CS:CS)</f>
        <v>0</v>
      </c>
      <c r="J19" s="429">
        <f>SUMIF([1]Нэгтгэл!B:B,'[1]13'!B:B,[1]Нэгтгэл!CV:CV)</f>
        <v>0</v>
      </c>
      <c r="K19" s="429">
        <f>SUMIF([1]Нэгтгэл!B:B,'[1]13'!B:B,[1]Нэгтгэл!CY:CY)</f>
        <v>0</v>
      </c>
      <c r="L19" s="427">
        <v>0</v>
      </c>
      <c r="M19" s="427">
        <v>0</v>
      </c>
      <c r="N19" s="427">
        <v>0</v>
      </c>
      <c r="O19" s="429">
        <f>SUMIF([1]Нэгтгэл!B:B,'[1]13'!B:B,[1]Нэгтгэл!DK:DK)</f>
        <v>0</v>
      </c>
      <c r="P19" s="429">
        <f>SUMIF([1]Нэгтгэл!B:B,'[1]13'!B:B,[1]Нэгтгэл!DN:DN)</f>
        <v>0</v>
      </c>
      <c r="Q19" s="429">
        <f>SUMIF([1]Нэгтгэл!B:B,'[1]13'!B:B,[1]Нэгтгэл!DQ:DQ)</f>
        <v>0</v>
      </c>
      <c r="R19" s="429">
        <f>SUMIF([1]Нэгтгэл!B:B,'[1]13'!B:B,[1]Нэгтгэл!DT:DT)</f>
        <v>0</v>
      </c>
      <c r="S19" s="429">
        <f>SUMIF([1]Нэгтгэл!B:B,'[1]13'!B:B,[1]Нэгтгэл!DW:DW)</f>
        <v>0</v>
      </c>
    </row>
    <row r="20" spans="1:19">
      <c r="A20" s="314">
        <f t="shared" si="0"/>
        <v>18</v>
      </c>
      <c r="B20" s="385">
        <v>5294088</v>
      </c>
      <c r="C20" s="429" t="s">
        <v>169</v>
      </c>
      <c r="D20" s="429">
        <f>SUMIF([1]Нэгтгэл!B:B,'[1]13'!B:B,[1]Нэгтгэл!CD:CD)</f>
        <v>0</v>
      </c>
      <c r="E20" s="429">
        <f>SUMIF([1]Нэгтгэл!B:B,'[1]13'!B:B,[1]Нэгтгэл!CG:CG)</f>
        <v>0</v>
      </c>
      <c r="F20" s="429">
        <f>SUMIF([1]Нэгтгэл!B:B,'[1]13'!B:B,[1]Нэгтгэл!CJ:CJ)</f>
        <v>0</v>
      </c>
      <c r="G20" s="429">
        <f>SUMIF([1]Нэгтгэл!B:B,'[1]13'!B:B,[1]Нэгтгэл!CM:CM)</f>
        <v>0</v>
      </c>
      <c r="H20" s="429">
        <f>SUMIF([1]Нэгтгэл!B:B,'[1]13'!B:B,[1]Нэгтгэл!CP:CP)</f>
        <v>0</v>
      </c>
      <c r="I20" s="429">
        <f>SUMIF([1]Нэгтгэл!B:B,'[1]13'!B:B,[1]Нэгтгэл!CS:CS)</f>
        <v>0</v>
      </c>
      <c r="J20" s="429">
        <f>SUMIF([1]Нэгтгэл!B:B,'[1]13'!B:B,[1]Нэгтгэл!CV:CV)</f>
        <v>0</v>
      </c>
      <c r="K20" s="429">
        <f>SUMIF([1]Нэгтгэл!B:B,'[1]13'!B:B,[1]Нэгтгэл!CY:CY)</f>
        <v>0</v>
      </c>
      <c r="L20" s="427">
        <v>0</v>
      </c>
      <c r="M20" s="427">
        <v>0</v>
      </c>
      <c r="N20" s="427">
        <v>0</v>
      </c>
      <c r="O20" s="429">
        <f>SUMIF([1]Нэгтгэл!B:B,'[1]13'!B:B,[1]Нэгтгэл!DK:DK)</f>
        <v>0</v>
      </c>
      <c r="P20" s="429">
        <f>SUMIF([1]Нэгтгэл!B:B,'[1]13'!B:B,[1]Нэгтгэл!DN:DN)</f>
        <v>0</v>
      </c>
      <c r="Q20" s="429">
        <f>SUMIF([1]Нэгтгэл!B:B,'[1]13'!B:B,[1]Нэгтгэл!DQ:DQ)</f>
        <v>0</v>
      </c>
      <c r="R20" s="429">
        <f>SUMIF([1]Нэгтгэл!B:B,'[1]13'!B:B,[1]Нэгтгэл!DT:DT)</f>
        <v>0</v>
      </c>
      <c r="S20" s="429">
        <f>SUMIF([1]Нэгтгэл!B:B,'[1]13'!B:B,[1]Нэгтгэл!DW:DW)</f>
        <v>0</v>
      </c>
    </row>
    <row r="21" spans="1:19">
      <c r="A21" s="314">
        <f t="shared" si="0"/>
        <v>19</v>
      </c>
      <c r="B21" s="385">
        <v>2855119</v>
      </c>
      <c r="C21" s="429" t="s">
        <v>173</v>
      </c>
      <c r="D21" s="429">
        <f>SUMIF([1]Нэгтгэл!B:B,'[1]13'!B:B,[1]Нэгтгэл!CD:CD)</f>
        <v>0</v>
      </c>
      <c r="E21" s="429">
        <f>SUMIF([1]Нэгтгэл!B:B,'[1]13'!B:B,[1]Нэгтгэл!CG:CG)</f>
        <v>0</v>
      </c>
      <c r="F21" s="429">
        <f>SUMIF([1]Нэгтгэл!B:B,'[1]13'!B:B,[1]Нэгтгэл!CJ:CJ)</f>
        <v>0</v>
      </c>
      <c r="G21" s="429">
        <f>SUMIF([1]Нэгтгэл!B:B,'[1]13'!B:B,[1]Нэгтгэл!CM:CM)</f>
        <v>0</v>
      </c>
      <c r="H21" s="429">
        <f>SUMIF([1]Нэгтгэл!B:B,'[1]13'!B:B,[1]Нэгтгэл!CP:CP)</f>
        <v>0</v>
      </c>
      <c r="I21" s="429">
        <f>SUMIF([1]Нэгтгэл!B:B,'[1]13'!B:B,[1]Нэгтгэл!CS:CS)</f>
        <v>0</v>
      </c>
      <c r="J21" s="429">
        <f>SUMIF([1]Нэгтгэл!B:B,'[1]13'!B:B,[1]Нэгтгэл!CV:CV)</f>
        <v>0</v>
      </c>
      <c r="K21" s="429">
        <f>SUMIF([1]Нэгтгэл!B:B,'[1]13'!B:B,[1]Нэгтгэл!CY:CY)</f>
        <v>0</v>
      </c>
      <c r="L21" s="427">
        <v>0</v>
      </c>
      <c r="M21" s="427">
        <v>0</v>
      </c>
      <c r="N21" s="427">
        <v>0</v>
      </c>
      <c r="O21" s="429">
        <f>SUMIF([1]Нэгтгэл!B:B,'[1]13'!B:B,[1]Нэгтгэл!DK:DK)</f>
        <v>0</v>
      </c>
      <c r="P21" s="429">
        <f>SUMIF([1]Нэгтгэл!B:B,'[1]13'!B:B,[1]Нэгтгэл!DN:DN)</f>
        <v>0</v>
      </c>
      <c r="Q21" s="429">
        <f>SUMIF([1]Нэгтгэл!B:B,'[1]13'!B:B,[1]Нэгтгэл!DQ:DQ)</f>
        <v>0</v>
      </c>
      <c r="R21" s="429">
        <f>SUMIF([1]Нэгтгэл!B:B,'[1]13'!B:B,[1]Нэгтгэл!DT:DT)</f>
        <v>0</v>
      </c>
      <c r="S21" s="429">
        <f>SUMIF([1]Нэгтгэл!B:B,'[1]13'!B:B,[1]Нэгтгэл!DW:DW)</f>
        <v>0</v>
      </c>
    </row>
    <row r="22" spans="1:19">
      <c r="A22" s="314">
        <f t="shared" si="0"/>
        <v>20</v>
      </c>
      <c r="B22" s="385">
        <v>2094533</v>
      </c>
      <c r="C22" s="429" t="s">
        <v>174</v>
      </c>
      <c r="D22" s="429">
        <f>SUMIF([1]Нэгтгэл!B:B,'[1]13'!B:B,[1]Нэгтгэл!CD:CD)</f>
        <v>0</v>
      </c>
      <c r="E22" s="429">
        <f>SUMIF([1]Нэгтгэл!B:B,'[1]13'!B:B,[1]Нэгтгэл!CG:CG)</f>
        <v>0</v>
      </c>
      <c r="F22" s="429">
        <f>SUMIF([1]Нэгтгэл!B:B,'[1]13'!B:B,[1]Нэгтгэл!CJ:CJ)</f>
        <v>0</v>
      </c>
      <c r="G22" s="429">
        <f>SUMIF([1]Нэгтгэл!B:B,'[1]13'!B:B,[1]Нэгтгэл!CM:CM)</f>
        <v>0</v>
      </c>
      <c r="H22" s="429">
        <f>SUMIF([1]Нэгтгэл!B:B,'[1]13'!B:B,[1]Нэгтгэл!CP:CP)</f>
        <v>0</v>
      </c>
      <c r="I22" s="429">
        <f>SUMIF([1]Нэгтгэл!B:B,'[1]13'!B:B,[1]Нэгтгэл!CS:CS)</f>
        <v>0</v>
      </c>
      <c r="J22" s="429">
        <f>SUMIF([1]Нэгтгэл!B:B,'[1]13'!B:B,[1]Нэгтгэл!CV:CV)</f>
        <v>0</v>
      </c>
      <c r="K22" s="429">
        <f>SUMIF([1]Нэгтгэл!B:B,'[1]13'!B:B,[1]Нэгтгэл!CY:CY)</f>
        <v>0</v>
      </c>
      <c r="L22" s="427">
        <v>0</v>
      </c>
      <c r="M22" s="427">
        <v>0</v>
      </c>
      <c r="N22" s="427">
        <v>0</v>
      </c>
      <c r="O22" s="429">
        <f>SUMIF([1]Нэгтгэл!B:B,'[1]13'!B:B,[1]Нэгтгэл!DK:DK)</f>
        <v>0</v>
      </c>
      <c r="P22" s="429">
        <f>SUMIF([1]Нэгтгэл!B:B,'[1]13'!B:B,[1]Нэгтгэл!DN:DN)</f>
        <v>0</v>
      </c>
      <c r="Q22" s="429">
        <f>SUMIF([1]Нэгтгэл!B:B,'[1]13'!B:B,[1]Нэгтгэл!DQ:DQ)</f>
        <v>0</v>
      </c>
      <c r="R22" s="429">
        <f>SUMIF([1]Нэгтгэл!B:B,'[1]13'!B:B,[1]Нэгтгэл!DT:DT)</f>
        <v>0</v>
      </c>
      <c r="S22" s="429">
        <f>SUMIF([1]Нэгтгэл!B:B,'[1]13'!B:B,[1]Нэгтгэл!DW:DW)</f>
        <v>0</v>
      </c>
    </row>
    <row r="23" spans="1:19">
      <c r="A23" s="314">
        <f t="shared" si="0"/>
        <v>21</v>
      </c>
      <c r="B23" s="385">
        <v>5722942</v>
      </c>
      <c r="C23" s="429" t="s">
        <v>175</v>
      </c>
      <c r="D23" s="429">
        <f>SUMIF([1]Нэгтгэл!B:B,'[1]13'!B:B,[1]Нэгтгэл!CD:CD)</f>
        <v>0</v>
      </c>
      <c r="E23" s="429">
        <f>SUMIF([1]Нэгтгэл!B:B,'[1]13'!B:B,[1]Нэгтгэл!CG:CG)</f>
        <v>0</v>
      </c>
      <c r="F23" s="429">
        <f>SUMIF([1]Нэгтгэл!B:B,'[1]13'!B:B,[1]Нэгтгэл!CJ:CJ)</f>
        <v>0</v>
      </c>
      <c r="G23" s="429">
        <f>SUMIF([1]Нэгтгэл!B:B,'[1]13'!B:B,[1]Нэгтгэл!CM:CM)</f>
        <v>0</v>
      </c>
      <c r="H23" s="429">
        <f>SUMIF([1]Нэгтгэл!B:B,'[1]13'!B:B,[1]Нэгтгэл!CP:CP)</f>
        <v>0</v>
      </c>
      <c r="I23" s="429">
        <f>SUMIF([1]Нэгтгэл!B:B,'[1]13'!B:B,[1]Нэгтгэл!CS:CS)</f>
        <v>0</v>
      </c>
      <c r="J23" s="429">
        <f>SUMIF([1]Нэгтгэл!B:B,'[1]13'!B:B,[1]Нэгтгэл!CV:CV)</f>
        <v>0</v>
      </c>
      <c r="K23" s="429">
        <f>SUMIF([1]Нэгтгэл!B:B,'[1]13'!B:B,[1]Нэгтгэл!CY:CY)</f>
        <v>0</v>
      </c>
      <c r="L23" s="427">
        <v>0</v>
      </c>
      <c r="M23" s="427">
        <v>0</v>
      </c>
      <c r="N23" s="427">
        <v>0</v>
      </c>
      <c r="O23" s="429">
        <f>SUMIF([1]Нэгтгэл!B:B,'[1]13'!B:B,[1]Нэгтгэл!DK:DK)</f>
        <v>0</v>
      </c>
      <c r="P23" s="429">
        <f>SUMIF([1]Нэгтгэл!B:B,'[1]13'!B:B,[1]Нэгтгэл!DN:DN)</f>
        <v>0</v>
      </c>
      <c r="Q23" s="429">
        <f>SUMIF([1]Нэгтгэл!B:B,'[1]13'!B:B,[1]Нэгтгэл!DQ:DQ)</f>
        <v>0</v>
      </c>
      <c r="R23" s="429">
        <f>SUMIF([1]Нэгтгэл!B:B,'[1]13'!B:B,[1]Нэгтгэл!DT:DT)</f>
        <v>0</v>
      </c>
      <c r="S23" s="429">
        <f>SUMIF([1]Нэгтгэл!B:B,'[1]13'!B:B,[1]Нэгтгэл!DW:DW)</f>
        <v>0</v>
      </c>
    </row>
    <row r="24" spans="1:19">
      <c r="A24" s="314">
        <f t="shared" si="0"/>
        <v>22</v>
      </c>
      <c r="B24" s="385">
        <v>2867494</v>
      </c>
      <c r="C24" s="429" t="s">
        <v>176</v>
      </c>
      <c r="D24" s="429">
        <f>SUMIF([1]Нэгтгэл!B:B,'[1]13'!B:B,[1]Нэгтгэл!CD:CD)</f>
        <v>0</v>
      </c>
      <c r="E24" s="429">
        <f>SUMIF([1]Нэгтгэл!B:B,'[1]13'!B:B,[1]Нэгтгэл!CG:CG)</f>
        <v>0</v>
      </c>
      <c r="F24" s="429">
        <f>SUMIF([1]Нэгтгэл!B:B,'[1]13'!B:B,[1]Нэгтгэл!CJ:CJ)</f>
        <v>0</v>
      </c>
      <c r="G24" s="429">
        <f>SUMIF([1]Нэгтгэл!B:B,'[1]13'!B:B,[1]Нэгтгэл!CM:CM)</f>
        <v>0</v>
      </c>
      <c r="H24" s="429">
        <f>SUMIF([1]Нэгтгэл!B:B,'[1]13'!B:B,[1]Нэгтгэл!CP:CP)</f>
        <v>0</v>
      </c>
      <c r="I24" s="429">
        <f>SUMIF([1]Нэгтгэл!B:B,'[1]13'!B:B,[1]Нэгтгэл!CS:CS)</f>
        <v>0</v>
      </c>
      <c r="J24" s="429">
        <f>SUMIF([1]Нэгтгэл!B:B,'[1]13'!B:B,[1]Нэгтгэл!CV:CV)</f>
        <v>0</v>
      </c>
      <c r="K24" s="429">
        <f>SUMIF([1]Нэгтгэл!B:B,'[1]13'!B:B,[1]Нэгтгэл!CY:CY)</f>
        <v>0</v>
      </c>
      <c r="L24" s="427">
        <v>0</v>
      </c>
      <c r="M24" s="427">
        <v>0</v>
      </c>
      <c r="N24" s="427">
        <v>0</v>
      </c>
      <c r="O24" s="429">
        <f>SUMIF([1]Нэгтгэл!B:B,'[1]13'!B:B,[1]Нэгтгэл!DK:DK)</f>
        <v>0</v>
      </c>
      <c r="P24" s="429">
        <f>SUMIF([1]Нэгтгэл!B:B,'[1]13'!B:B,[1]Нэгтгэл!DN:DN)</f>
        <v>0</v>
      </c>
      <c r="Q24" s="429">
        <f>SUMIF([1]Нэгтгэл!B:B,'[1]13'!B:B,[1]Нэгтгэл!DQ:DQ)</f>
        <v>0</v>
      </c>
      <c r="R24" s="429">
        <f>SUMIF([1]Нэгтгэл!B:B,'[1]13'!B:B,[1]Нэгтгэл!DT:DT)</f>
        <v>0</v>
      </c>
      <c r="S24" s="429">
        <f>SUMIF([1]Нэгтгэл!B:B,'[1]13'!B:B,[1]Нэгтгэл!DW:DW)</f>
        <v>0</v>
      </c>
    </row>
    <row r="25" spans="1:19">
      <c r="A25" s="314">
        <f t="shared" si="0"/>
        <v>23</v>
      </c>
      <c r="B25" s="385">
        <v>6463932</v>
      </c>
      <c r="C25" s="429" t="s">
        <v>177</v>
      </c>
      <c r="D25" s="429">
        <f>SUMIF([1]Нэгтгэл!B:B,'[1]13'!B:B,[1]Нэгтгэл!CD:CD)</f>
        <v>0</v>
      </c>
      <c r="E25" s="429">
        <f>SUMIF([1]Нэгтгэл!B:B,'[1]13'!B:B,[1]Нэгтгэл!CG:CG)</f>
        <v>0</v>
      </c>
      <c r="F25" s="429">
        <f>SUMIF([1]Нэгтгэл!B:B,'[1]13'!B:B,[1]Нэгтгэл!CJ:CJ)</f>
        <v>0</v>
      </c>
      <c r="G25" s="429">
        <f>SUMIF([1]Нэгтгэл!B:B,'[1]13'!B:B,[1]Нэгтгэл!CM:CM)</f>
        <v>0</v>
      </c>
      <c r="H25" s="429">
        <f>SUMIF([1]Нэгтгэл!B:B,'[1]13'!B:B,[1]Нэгтгэл!CP:CP)</f>
        <v>0</v>
      </c>
      <c r="I25" s="429">
        <f>SUMIF([1]Нэгтгэл!B:B,'[1]13'!B:B,[1]Нэгтгэл!CS:CS)</f>
        <v>0</v>
      </c>
      <c r="J25" s="429">
        <f>SUMIF([1]Нэгтгэл!B:B,'[1]13'!B:B,[1]Нэгтгэл!CV:CV)</f>
        <v>0</v>
      </c>
      <c r="K25" s="429">
        <f>SUMIF([1]Нэгтгэл!B:B,'[1]13'!B:B,[1]Нэгтгэл!CY:CY)</f>
        <v>0</v>
      </c>
      <c r="L25" s="427">
        <v>0</v>
      </c>
      <c r="M25" s="427">
        <v>0</v>
      </c>
      <c r="N25" s="427">
        <v>0</v>
      </c>
      <c r="O25" s="429">
        <f>SUMIF([1]Нэгтгэл!B:B,'[1]13'!B:B,[1]Нэгтгэл!DK:DK)</f>
        <v>0</v>
      </c>
      <c r="P25" s="429">
        <f>SUMIF([1]Нэгтгэл!B:B,'[1]13'!B:B,[1]Нэгтгэл!DN:DN)</f>
        <v>0</v>
      </c>
      <c r="Q25" s="429">
        <f>SUMIF([1]Нэгтгэл!B:B,'[1]13'!B:B,[1]Нэгтгэл!DQ:DQ)</f>
        <v>0</v>
      </c>
      <c r="R25" s="429">
        <f>SUMIF([1]Нэгтгэл!B:B,'[1]13'!B:B,[1]Нэгтгэл!DT:DT)</f>
        <v>0</v>
      </c>
      <c r="S25" s="429">
        <f>SUMIF([1]Нэгтгэл!B:B,'[1]13'!B:B,[1]Нэгтгэл!DW:DW)</f>
        <v>0</v>
      </c>
    </row>
    <row r="26" spans="1:19">
      <c r="A26" s="314">
        <f t="shared" si="0"/>
        <v>24</v>
      </c>
      <c r="B26" s="385">
        <v>5260833</v>
      </c>
      <c r="C26" s="429" t="s">
        <v>178</v>
      </c>
      <c r="D26" s="429">
        <f>SUMIF([1]Нэгтгэл!B:B,'[1]13'!B:B,[1]Нэгтгэл!CD:CD)</f>
        <v>0</v>
      </c>
      <c r="E26" s="429">
        <f>SUMIF([1]Нэгтгэл!B:B,'[1]13'!B:B,[1]Нэгтгэл!CG:CG)</f>
        <v>0</v>
      </c>
      <c r="F26" s="429">
        <f>SUMIF([1]Нэгтгэл!B:B,'[1]13'!B:B,[1]Нэгтгэл!CJ:CJ)</f>
        <v>0</v>
      </c>
      <c r="G26" s="429">
        <f>SUMIF([1]Нэгтгэл!B:B,'[1]13'!B:B,[1]Нэгтгэл!CM:CM)</f>
        <v>0</v>
      </c>
      <c r="H26" s="429">
        <f>SUMIF([1]Нэгтгэл!B:B,'[1]13'!B:B,[1]Нэгтгэл!CP:CP)</f>
        <v>0</v>
      </c>
      <c r="I26" s="429">
        <f>SUMIF([1]Нэгтгэл!B:B,'[1]13'!B:B,[1]Нэгтгэл!CS:CS)</f>
        <v>0</v>
      </c>
      <c r="J26" s="429">
        <f>SUMIF([1]Нэгтгэл!B:B,'[1]13'!B:B,[1]Нэгтгэл!CV:CV)</f>
        <v>0</v>
      </c>
      <c r="K26" s="429">
        <f>SUMIF([1]Нэгтгэл!B:B,'[1]13'!B:B,[1]Нэгтгэл!CY:CY)</f>
        <v>0</v>
      </c>
      <c r="L26" s="427">
        <v>0</v>
      </c>
      <c r="M26" s="427">
        <v>0</v>
      </c>
      <c r="N26" s="427">
        <v>0</v>
      </c>
      <c r="O26" s="429">
        <f>SUMIF([1]Нэгтгэл!B:B,'[1]13'!B:B,[1]Нэгтгэл!DK:DK)</f>
        <v>0</v>
      </c>
      <c r="P26" s="429">
        <f>SUMIF([1]Нэгтгэл!B:B,'[1]13'!B:B,[1]Нэгтгэл!DN:DN)</f>
        <v>0</v>
      </c>
      <c r="Q26" s="429">
        <f>SUMIF([1]Нэгтгэл!B:B,'[1]13'!B:B,[1]Нэгтгэл!DQ:DQ)</f>
        <v>0</v>
      </c>
      <c r="R26" s="429">
        <f>SUMIF([1]Нэгтгэл!B:B,'[1]13'!B:B,[1]Нэгтгэл!DT:DT)</f>
        <v>0</v>
      </c>
      <c r="S26" s="429">
        <f>SUMIF([1]Нэгтгэл!B:B,'[1]13'!B:B,[1]Нэгтгэл!DW:DW)</f>
        <v>0</v>
      </c>
    </row>
    <row r="27" spans="1:19">
      <c r="A27" s="314">
        <f t="shared" si="0"/>
        <v>25</v>
      </c>
      <c r="B27" s="385">
        <v>2051303</v>
      </c>
      <c r="C27" s="429" t="s">
        <v>179</v>
      </c>
      <c r="D27" s="429">
        <f>SUMIF([1]Нэгтгэл!B:B,'[1]13'!B:B,[1]Нэгтгэл!CD:CD)</f>
        <v>556249829.29999995</v>
      </c>
      <c r="E27" s="429">
        <f>SUMIF([1]Нэгтгэл!B:B,'[1]13'!B:B,[1]Нэгтгэл!CG:CG)</f>
        <v>3354505501.9400001</v>
      </c>
      <c r="F27" s="429">
        <f>SUMIF([1]Нэгтгэл!B:B,'[1]13'!B:B,[1]Нэгтгэл!CJ:CJ)</f>
        <v>407635765</v>
      </c>
      <c r="G27" s="429">
        <f>SUMIF([1]Нэгтгэл!B:B,'[1]13'!B:B,[1]Нэгтгэл!CM:CM)</f>
        <v>44713565</v>
      </c>
      <c r="H27" s="429">
        <f>SUMIF([1]Нэгтгэл!B:B,'[1]13'!B:B,[1]Нэгтгэл!CP:CP)</f>
        <v>2405100.6</v>
      </c>
      <c r="I27" s="429">
        <f>SUMIF([1]Нэгтгэл!B:B,'[1]13'!B:B,[1]Нэгтгэл!CS:CS)</f>
        <v>0</v>
      </c>
      <c r="J27" s="429">
        <f>SUMIF([1]Нэгтгэл!B:B,'[1]13'!B:B,[1]Нэгтгэл!CV:CV)</f>
        <v>0</v>
      </c>
      <c r="K27" s="429">
        <f>SUMIF([1]Нэгтгэл!B:B,'[1]13'!B:B,[1]Нэгтгэл!CY:CY)</f>
        <v>0</v>
      </c>
      <c r="L27" s="427">
        <v>0</v>
      </c>
      <c r="M27" s="427">
        <v>0</v>
      </c>
      <c r="N27" s="427">
        <v>0</v>
      </c>
      <c r="O27" s="429">
        <f>SUMIF([1]Нэгтгэл!B:B,'[1]13'!B:B,[1]Нэгтгэл!DK:DK)</f>
        <v>0</v>
      </c>
      <c r="P27" s="429">
        <f>SUMIF([1]Нэгтгэл!B:B,'[1]13'!B:B,[1]Нэгтгэл!DN:DN)</f>
        <v>18243900</v>
      </c>
      <c r="Q27" s="429">
        <f>SUMIF([1]Нэгтгэл!B:B,'[1]13'!B:B,[1]Нэгтгэл!DQ:DQ)</f>
        <v>0</v>
      </c>
      <c r="R27" s="429">
        <f>SUMIF([1]Нэгтгэл!B:B,'[1]13'!B:B,[1]Нэгтгэл!DT:DT)</f>
        <v>0</v>
      </c>
      <c r="S27" s="429">
        <f>SUMIF([1]Нэгтгэл!B:B,'[1]13'!B:B,[1]Нэгтгэл!DW:DW)</f>
        <v>0</v>
      </c>
    </row>
    <row r="28" spans="1:19">
      <c r="A28" s="314">
        <f t="shared" si="0"/>
        <v>26</v>
      </c>
      <c r="B28" s="385">
        <v>2061848</v>
      </c>
      <c r="C28" s="429" t="s">
        <v>183</v>
      </c>
      <c r="D28" s="429">
        <f>SUMIF([1]Нэгтгэл!B:B,'[1]13'!B:B,[1]Нэгтгэл!CD:CD)</f>
        <v>0</v>
      </c>
      <c r="E28" s="429">
        <f>SUMIF([1]Нэгтгэл!B:B,'[1]13'!B:B,[1]Нэгтгэл!CG:CG)</f>
        <v>0</v>
      </c>
      <c r="F28" s="429">
        <f>SUMIF([1]Нэгтгэл!B:B,'[1]13'!B:B,[1]Нэгтгэл!CJ:CJ)</f>
        <v>13437.8</v>
      </c>
      <c r="G28" s="429">
        <f>SUMIF([1]Нэгтгэл!B:B,'[1]13'!B:B,[1]Нэгтгэл!CM:CM)</f>
        <v>35060.699999999997</v>
      </c>
      <c r="H28" s="429">
        <f>SUMIF([1]Нэгтгэл!B:B,'[1]13'!B:B,[1]Нэгтгэл!CP:CP)</f>
        <v>0</v>
      </c>
      <c r="I28" s="429">
        <f>SUMIF([1]Нэгтгэл!B:B,'[1]13'!B:B,[1]Нэгтгэл!CS:CS)</f>
        <v>0</v>
      </c>
      <c r="J28" s="429">
        <f>SUMIF([1]Нэгтгэл!B:B,'[1]13'!B:B,[1]Нэгтгэл!CV:CV)</f>
        <v>0</v>
      </c>
      <c r="K28" s="429">
        <f>SUMIF([1]Нэгтгэл!B:B,'[1]13'!B:B,[1]Нэгтгэл!CY:CY)</f>
        <v>0</v>
      </c>
      <c r="L28" s="427">
        <v>0</v>
      </c>
      <c r="M28" s="427">
        <v>0</v>
      </c>
      <c r="N28" s="427">
        <v>0</v>
      </c>
      <c r="O28" s="429">
        <f>SUMIF([1]Нэгтгэл!B:B,'[1]13'!B:B,[1]Нэгтгэл!DK:DK)</f>
        <v>0</v>
      </c>
      <c r="P28" s="429">
        <f>SUMIF([1]Нэгтгэл!B:B,'[1]13'!B:B,[1]Нэгтгэл!DN:DN)</f>
        <v>0</v>
      </c>
      <c r="Q28" s="429">
        <f>SUMIF([1]Нэгтгэл!B:B,'[1]13'!B:B,[1]Нэгтгэл!DQ:DQ)</f>
        <v>0</v>
      </c>
      <c r="R28" s="429">
        <f>SUMIF([1]Нэгтгэл!B:B,'[1]13'!B:B,[1]Нэгтгэл!DT:DT)</f>
        <v>0</v>
      </c>
      <c r="S28" s="429">
        <f>SUMIF([1]Нэгтгэл!B:B,'[1]13'!B:B,[1]Нэгтгэл!DW:DW)</f>
        <v>73000</v>
      </c>
    </row>
    <row r="29" spans="1:19">
      <c r="A29" s="314">
        <f t="shared" si="0"/>
        <v>27</v>
      </c>
      <c r="B29" s="385">
        <v>2766337</v>
      </c>
      <c r="C29" s="429" t="s">
        <v>185</v>
      </c>
      <c r="D29" s="429">
        <f>SUMIF([1]Нэгтгэл!B:B,'[1]13'!B:B,[1]Нэгтгэл!CD:CD)</f>
        <v>0</v>
      </c>
      <c r="E29" s="429">
        <f>SUMIF([1]Нэгтгэл!B:B,'[1]13'!B:B,[1]Нэгтгэл!CG:CG)</f>
        <v>0</v>
      </c>
      <c r="F29" s="429">
        <f>SUMIF([1]Нэгтгэл!B:B,'[1]13'!B:B,[1]Нэгтгэл!CJ:CJ)</f>
        <v>0</v>
      </c>
      <c r="G29" s="429">
        <f>SUMIF([1]Нэгтгэл!B:B,'[1]13'!B:B,[1]Нэгтгэл!CM:CM)</f>
        <v>0</v>
      </c>
      <c r="H29" s="429">
        <f>SUMIF([1]Нэгтгэл!B:B,'[1]13'!B:B,[1]Нэгтгэл!CP:CP)</f>
        <v>0</v>
      </c>
      <c r="I29" s="429">
        <f>SUMIF([1]Нэгтгэл!B:B,'[1]13'!B:B,[1]Нэгтгэл!CS:CS)</f>
        <v>0</v>
      </c>
      <c r="J29" s="429">
        <f>SUMIF([1]Нэгтгэл!B:B,'[1]13'!B:B,[1]Нэгтгэл!CV:CV)</f>
        <v>0</v>
      </c>
      <c r="K29" s="429">
        <f>SUMIF([1]Нэгтгэл!B:B,'[1]13'!B:B,[1]Нэгтгэл!CY:CY)</f>
        <v>0</v>
      </c>
      <c r="L29" s="427">
        <v>0</v>
      </c>
      <c r="M29" s="427">
        <v>0</v>
      </c>
      <c r="N29" s="427">
        <v>0</v>
      </c>
      <c r="O29" s="429">
        <f>SUMIF([1]Нэгтгэл!B:B,'[1]13'!B:B,[1]Нэгтгэл!DK:DK)</f>
        <v>0</v>
      </c>
      <c r="P29" s="429">
        <f>SUMIF([1]Нэгтгэл!B:B,'[1]13'!B:B,[1]Нэгтгэл!DN:DN)</f>
        <v>0</v>
      </c>
      <c r="Q29" s="429">
        <f>SUMIF([1]Нэгтгэл!B:B,'[1]13'!B:B,[1]Нэгтгэл!DQ:DQ)</f>
        <v>0</v>
      </c>
      <c r="R29" s="429">
        <f>SUMIF([1]Нэгтгэл!B:B,'[1]13'!B:B,[1]Нэгтгэл!DT:DT)</f>
        <v>0</v>
      </c>
      <c r="S29" s="429">
        <f>SUMIF([1]Нэгтгэл!B:B,'[1]13'!B:B,[1]Нэгтгэл!DW:DW)</f>
        <v>0</v>
      </c>
    </row>
    <row r="30" spans="1:19">
      <c r="A30" s="314">
        <f t="shared" si="0"/>
        <v>28</v>
      </c>
      <c r="B30" s="385">
        <v>5810086</v>
      </c>
      <c r="C30" s="429" t="s">
        <v>187</v>
      </c>
      <c r="D30" s="429">
        <f>SUMIF([1]Нэгтгэл!B:B,'[1]13'!B:B,[1]Нэгтгэл!CD:CD)</f>
        <v>0</v>
      </c>
      <c r="E30" s="429">
        <f>SUMIF([1]Нэгтгэл!B:B,'[1]13'!B:B,[1]Нэгтгэл!CG:CG)</f>
        <v>0</v>
      </c>
      <c r="F30" s="429">
        <f>SUMIF([1]Нэгтгэл!B:B,'[1]13'!B:B,[1]Нэгтгэл!CJ:CJ)</f>
        <v>0</v>
      </c>
      <c r="G30" s="429">
        <f>SUMIF([1]Нэгтгэл!B:B,'[1]13'!B:B,[1]Нэгтгэл!CM:CM)</f>
        <v>0</v>
      </c>
      <c r="H30" s="429">
        <f>SUMIF([1]Нэгтгэл!B:B,'[1]13'!B:B,[1]Нэгтгэл!CP:CP)</f>
        <v>0</v>
      </c>
      <c r="I30" s="429">
        <f>SUMIF([1]Нэгтгэл!B:B,'[1]13'!B:B,[1]Нэгтгэл!CS:CS)</f>
        <v>0</v>
      </c>
      <c r="J30" s="429">
        <f>SUMIF([1]Нэгтгэл!B:B,'[1]13'!B:B,[1]Нэгтгэл!CV:CV)</f>
        <v>0</v>
      </c>
      <c r="K30" s="429">
        <f>SUMIF([1]Нэгтгэл!B:B,'[1]13'!B:B,[1]Нэгтгэл!CY:CY)</f>
        <v>0</v>
      </c>
      <c r="L30" s="427">
        <v>0</v>
      </c>
      <c r="M30" s="427">
        <v>0</v>
      </c>
      <c r="N30" s="427">
        <v>0</v>
      </c>
      <c r="O30" s="429">
        <f>SUMIF([1]Нэгтгэл!B:B,'[1]13'!B:B,[1]Нэгтгэл!DK:DK)</f>
        <v>0</v>
      </c>
      <c r="P30" s="429">
        <f>SUMIF([1]Нэгтгэл!B:B,'[1]13'!B:B,[1]Нэгтгэл!DN:DN)</f>
        <v>0</v>
      </c>
      <c r="Q30" s="429">
        <f>SUMIF([1]Нэгтгэл!B:B,'[1]13'!B:B,[1]Нэгтгэл!DQ:DQ)</f>
        <v>0</v>
      </c>
      <c r="R30" s="429">
        <f>SUMIF([1]Нэгтгэл!B:B,'[1]13'!B:B,[1]Нэгтгэл!DT:DT)</f>
        <v>0</v>
      </c>
      <c r="S30" s="429">
        <f>SUMIF([1]Нэгтгэл!B:B,'[1]13'!B:B,[1]Нэгтгэл!DW:DW)</f>
        <v>0</v>
      </c>
    </row>
    <row r="31" spans="1:19">
      <c r="A31" s="314">
        <f t="shared" si="0"/>
        <v>29</v>
      </c>
      <c r="B31" s="385">
        <v>5217652</v>
      </c>
      <c r="C31" s="429" t="s">
        <v>188</v>
      </c>
      <c r="D31" s="429">
        <f>SUMIF([1]Нэгтгэл!B:B,'[1]13'!B:B,[1]Нэгтгэл!CD:CD)</f>
        <v>0</v>
      </c>
      <c r="E31" s="429">
        <f>SUMIF([1]Нэгтгэл!B:B,'[1]13'!B:B,[1]Нэгтгэл!CG:CG)</f>
        <v>0</v>
      </c>
      <c r="F31" s="429">
        <f>SUMIF([1]Нэгтгэл!B:B,'[1]13'!B:B,[1]Нэгтгэл!CJ:CJ)</f>
        <v>0</v>
      </c>
      <c r="G31" s="429">
        <f>SUMIF([1]Нэгтгэл!B:B,'[1]13'!B:B,[1]Нэгтгэл!CM:CM)</f>
        <v>0</v>
      </c>
      <c r="H31" s="429">
        <f>SUMIF([1]Нэгтгэл!B:B,'[1]13'!B:B,[1]Нэгтгэл!CP:CP)</f>
        <v>0</v>
      </c>
      <c r="I31" s="429">
        <f>SUMIF([1]Нэгтгэл!B:B,'[1]13'!B:B,[1]Нэгтгэл!CS:CS)</f>
        <v>0</v>
      </c>
      <c r="J31" s="429">
        <f>SUMIF([1]Нэгтгэл!B:B,'[1]13'!B:B,[1]Нэгтгэл!CV:CV)</f>
        <v>0</v>
      </c>
      <c r="K31" s="429">
        <f>SUMIF([1]Нэгтгэл!B:B,'[1]13'!B:B,[1]Нэгтгэл!CY:CY)</f>
        <v>0</v>
      </c>
      <c r="L31" s="427">
        <v>0</v>
      </c>
      <c r="M31" s="427">
        <v>0</v>
      </c>
      <c r="N31" s="427">
        <v>0</v>
      </c>
      <c r="O31" s="429">
        <f>SUMIF([1]Нэгтгэл!B:B,'[1]13'!B:B,[1]Нэгтгэл!DK:DK)</f>
        <v>0</v>
      </c>
      <c r="P31" s="429">
        <f>SUMIF([1]Нэгтгэл!B:B,'[1]13'!B:B,[1]Нэгтгэл!DN:DN)</f>
        <v>0</v>
      </c>
      <c r="Q31" s="429">
        <f>SUMIF([1]Нэгтгэл!B:B,'[1]13'!B:B,[1]Нэгтгэл!DQ:DQ)</f>
        <v>0</v>
      </c>
      <c r="R31" s="429">
        <f>SUMIF([1]Нэгтгэл!B:B,'[1]13'!B:B,[1]Нэгтгэл!DT:DT)</f>
        <v>0</v>
      </c>
      <c r="S31" s="429">
        <f>SUMIF([1]Нэгтгэл!B:B,'[1]13'!B:B,[1]Нэгтгэл!DW:DW)</f>
        <v>0</v>
      </c>
    </row>
    <row r="32" spans="1:19">
      <c r="A32" s="314">
        <f t="shared" si="0"/>
        <v>30</v>
      </c>
      <c r="B32" s="385">
        <v>2780518</v>
      </c>
      <c r="C32" s="429" t="s">
        <v>189</v>
      </c>
      <c r="D32" s="429">
        <f>SUMIF([1]Нэгтгэл!B:B,'[1]13'!B:B,[1]Нэгтгэл!CD:CD)</f>
        <v>0</v>
      </c>
      <c r="E32" s="429">
        <f>SUMIF([1]Нэгтгэл!B:B,'[1]13'!B:B,[1]Нэгтгэл!CG:CG)</f>
        <v>0</v>
      </c>
      <c r="F32" s="429">
        <f>SUMIF([1]Нэгтгэл!B:B,'[1]13'!B:B,[1]Нэгтгэл!CJ:CJ)</f>
        <v>0</v>
      </c>
      <c r="G32" s="429">
        <f>SUMIF([1]Нэгтгэл!B:B,'[1]13'!B:B,[1]Нэгтгэл!CM:CM)</f>
        <v>0</v>
      </c>
      <c r="H32" s="429">
        <f>SUMIF([1]Нэгтгэл!B:B,'[1]13'!B:B,[1]Нэгтгэл!CP:CP)</f>
        <v>0</v>
      </c>
      <c r="I32" s="429">
        <f>SUMIF([1]Нэгтгэл!B:B,'[1]13'!B:B,[1]Нэгтгэл!CS:CS)</f>
        <v>0</v>
      </c>
      <c r="J32" s="429">
        <f>SUMIF([1]Нэгтгэл!B:B,'[1]13'!B:B,[1]Нэгтгэл!CV:CV)</f>
        <v>0</v>
      </c>
      <c r="K32" s="429">
        <f>SUMIF([1]Нэгтгэл!B:B,'[1]13'!B:B,[1]Нэгтгэл!CY:CY)</f>
        <v>0</v>
      </c>
      <c r="L32" s="427">
        <v>0</v>
      </c>
      <c r="M32" s="427">
        <v>0</v>
      </c>
      <c r="N32" s="427">
        <v>0</v>
      </c>
      <c r="O32" s="429">
        <f>SUMIF([1]Нэгтгэл!B:B,'[1]13'!B:B,[1]Нэгтгэл!DK:DK)</f>
        <v>0</v>
      </c>
      <c r="P32" s="429">
        <f>SUMIF([1]Нэгтгэл!B:B,'[1]13'!B:B,[1]Нэгтгэл!DN:DN)</f>
        <v>0</v>
      </c>
      <c r="Q32" s="429">
        <f>SUMIF([1]Нэгтгэл!B:B,'[1]13'!B:B,[1]Нэгтгэл!DQ:DQ)</f>
        <v>0</v>
      </c>
      <c r="R32" s="429">
        <f>SUMIF([1]Нэгтгэл!B:B,'[1]13'!B:B,[1]Нэгтгэл!DT:DT)</f>
        <v>0</v>
      </c>
      <c r="S32" s="429">
        <f>SUMIF([1]Нэгтгэл!B:B,'[1]13'!B:B,[1]Нэгтгэл!DW:DW)</f>
        <v>0</v>
      </c>
    </row>
    <row r="33" spans="1:19">
      <c r="A33" s="314">
        <f t="shared" si="0"/>
        <v>31</v>
      </c>
      <c r="B33" s="385">
        <v>5272378</v>
      </c>
      <c r="C33" s="429" t="s">
        <v>193</v>
      </c>
      <c r="D33" s="429">
        <f>SUMIF([1]Нэгтгэл!B:B,'[1]13'!B:B,[1]Нэгтгэл!CD:CD)</f>
        <v>0</v>
      </c>
      <c r="E33" s="429">
        <f>SUMIF([1]Нэгтгэл!B:B,'[1]13'!B:B,[1]Нэгтгэл!CG:CG)</f>
        <v>0</v>
      </c>
      <c r="F33" s="429">
        <f>SUMIF([1]Нэгтгэл!B:B,'[1]13'!B:B,[1]Нэгтгэл!CJ:CJ)</f>
        <v>0</v>
      </c>
      <c r="G33" s="429">
        <f>SUMIF([1]Нэгтгэл!B:B,'[1]13'!B:B,[1]Нэгтгэл!CM:CM)</f>
        <v>0</v>
      </c>
      <c r="H33" s="429">
        <f>SUMIF([1]Нэгтгэл!B:B,'[1]13'!B:B,[1]Нэгтгэл!CP:CP)</f>
        <v>0</v>
      </c>
      <c r="I33" s="429">
        <f>SUMIF([1]Нэгтгэл!B:B,'[1]13'!B:B,[1]Нэгтгэл!CS:CS)</f>
        <v>0</v>
      </c>
      <c r="J33" s="429">
        <f>SUMIF([1]Нэгтгэл!B:B,'[1]13'!B:B,[1]Нэгтгэл!CV:CV)</f>
        <v>0</v>
      </c>
      <c r="K33" s="429">
        <f>SUMIF([1]Нэгтгэл!B:B,'[1]13'!B:B,[1]Нэгтгэл!CY:CY)</f>
        <v>0</v>
      </c>
      <c r="L33" s="427">
        <v>0</v>
      </c>
      <c r="M33" s="427">
        <v>0</v>
      </c>
      <c r="N33" s="427">
        <v>0</v>
      </c>
      <c r="O33" s="429">
        <f>SUMIF([1]Нэгтгэл!B:B,'[1]13'!B:B,[1]Нэгтгэл!DK:DK)</f>
        <v>0</v>
      </c>
      <c r="P33" s="429">
        <f>SUMIF([1]Нэгтгэл!B:B,'[1]13'!B:B,[1]Нэгтгэл!DN:DN)</f>
        <v>0</v>
      </c>
      <c r="Q33" s="429">
        <f>SUMIF([1]Нэгтгэл!B:B,'[1]13'!B:B,[1]Нэгтгэл!DQ:DQ)</f>
        <v>0</v>
      </c>
      <c r="R33" s="429">
        <f>SUMIF([1]Нэгтгэл!B:B,'[1]13'!B:B,[1]Нэгтгэл!DT:DT)</f>
        <v>0</v>
      </c>
      <c r="S33" s="429">
        <f>SUMIF([1]Нэгтгэл!B:B,'[1]13'!B:B,[1]Нэгтгэл!DW:DW)</f>
        <v>0</v>
      </c>
    </row>
    <row r="34" spans="1:19">
      <c r="A34" s="314">
        <f t="shared" si="0"/>
        <v>32</v>
      </c>
      <c r="B34" s="385">
        <v>5467268</v>
      </c>
      <c r="C34" s="429" t="s">
        <v>194</v>
      </c>
      <c r="D34" s="429">
        <f>SUMIF([1]Нэгтгэл!B:B,'[1]13'!B:B,[1]Нэгтгэл!CD:CD)</f>
        <v>0</v>
      </c>
      <c r="E34" s="429">
        <f>SUMIF([1]Нэгтгэл!B:B,'[1]13'!B:B,[1]Нэгтгэл!CG:CG)</f>
        <v>0</v>
      </c>
      <c r="F34" s="429">
        <f>SUMIF([1]Нэгтгэл!B:B,'[1]13'!B:B,[1]Нэгтгэл!CJ:CJ)</f>
        <v>0</v>
      </c>
      <c r="G34" s="429">
        <f>SUMIF([1]Нэгтгэл!B:B,'[1]13'!B:B,[1]Нэгтгэл!CM:CM)</f>
        <v>0</v>
      </c>
      <c r="H34" s="429">
        <f>SUMIF([1]Нэгтгэл!B:B,'[1]13'!B:B,[1]Нэгтгэл!CP:CP)</f>
        <v>0</v>
      </c>
      <c r="I34" s="429">
        <f>SUMIF([1]Нэгтгэл!B:B,'[1]13'!B:B,[1]Нэгтгэл!CS:CS)</f>
        <v>0</v>
      </c>
      <c r="J34" s="429">
        <f>SUMIF([1]Нэгтгэл!B:B,'[1]13'!B:B,[1]Нэгтгэл!CV:CV)</f>
        <v>0</v>
      </c>
      <c r="K34" s="429">
        <f>SUMIF([1]Нэгтгэл!B:B,'[1]13'!B:B,[1]Нэгтгэл!CY:CY)</f>
        <v>0</v>
      </c>
      <c r="L34" s="427">
        <v>0</v>
      </c>
      <c r="M34" s="427">
        <v>0</v>
      </c>
      <c r="N34" s="427">
        <v>0</v>
      </c>
      <c r="O34" s="429">
        <f>SUMIF([1]Нэгтгэл!B:B,'[1]13'!B:B,[1]Нэгтгэл!DK:DK)</f>
        <v>0</v>
      </c>
      <c r="P34" s="429">
        <f>SUMIF([1]Нэгтгэл!B:B,'[1]13'!B:B,[1]Нэгтгэл!DN:DN)</f>
        <v>0</v>
      </c>
      <c r="Q34" s="429">
        <f>SUMIF([1]Нэгтгэл!B:B,'[1]13'!B:B,[1]Нэгтгэл!DQ:DQ)</f>
        <v>0</v>
      </c>
      <c r="R34" s="429">
        <f>SUMIF([1]Нэгтгэл!B:B,'[1]13'!B:B,[1]Нэгтгэл!DT:DT)</f>
        <v>0</v>
      </c>
      <c r="S34" s="429">
        <f>SUMIF([1]Нэгтгэл!B:B,'[1]13'!B:B,[1]Нэгтгэл!DW:DW)</f>
        <v>0</v>
      </c>
    </row>
    <row r="35" spans="1:19">
      <c r="A35" s="314">
        <f t="shared" si="0"/>
        <v>33</v>
      </c>
      <c r="B35" s="385">
        <v>5522935</v>
      </c>
      <c r="C35" s="429" t="s">
        <v>196</v>
      </c>
      <c r="D35" s="429">
        <f>SUMIF([1]Нэгтгэл!B:B,'[1]13'!B:B,[1]Нэгтгэл!CD:CD)</f>
        <v>0</v>
      </c>
      <c r="E35" s="429">
        <f>SUMIF([1]Нэгтгэл!B:B,'[1]13'!B:B,[1]Нэгтгэл!CG:CG)</f>
        <v>0</v>
      </c>
      <c r="F35" s="429">
        <f>SUMIF([1]Нэгтгэл!B:B,'[1]13'!B:B,[1]Нэгтгэл!CJ:CJ)</f>
        <v>0</v>
      </c>
      <c r="G35" s="429">
        <f>SUMIF([1]Нэгтгэл!B:B,'[1]13'!B:B,[1]Нэгтгэл!CM:CM)</f>
        <v>0</v>
      </c>
      <c r="H35" s="429">
        <f>SUMIF([1]Нэгтгэл!B:B,'[1]13'!B:B,[1]Нэгтгэл!CP:CP)</f>
        <v>0</v>
      </c>
      <c r="I35" s="429">
        <f>SUMIF([1]Нэгтгэл!B:B,'[1]13'!B:B,[1]Нэгтгэл!CS:CS)</f>
        <v>0</v>
      </c>
      <c r="J35" s="429">
        <f>SUMIF([1]Нэгтгэл!B:B,'[1]13'!B:B,[1]Нэгтгэл!CV:CV)</f>
        <v>0</v>
      </c>
      <c r="K35" s="429">
        <f>SUMIF([1]Нэгтгэл!B:B,'[1]13'!B:B,[1]Нэгтгэл!CY:CY)</f>
        <v>0</v>
      </c>
      <c r="L35" s="427">
        <v>0</v>
      </c>
      <c r="M35" s="427">
        <v>0</v>
      </c>
      <c r="N35" s="427">
        <v>0</v>
      </c>
      <c r="O35" s="429">
        <f>SUMIF([1]Нэгтгэл!B:B,'[1]13'!B:B,[1]Нэгтгэл!DK:DK)</f>
        <v>0</v>
      </c>
      <c r="P35" s="429">
        <f>SUMIF([1]Нэгтгэл!B:B,'[1]13'!B:B,[1]Нэгтгэл!DN:DN)</f>
        <v>0</v>
      </c>
      <c r="Q35" s="429">
        <f>SUMIF([1]Нэгтгэл!B:B,'[1]13'!B:B,[1]Нэгтгэл!DQ:DQ)</f>
        <v>0</v>
      </c>
      <c r="R35" s="429">
        <f>SUMIF([1]Нэгтгэл!B:B,'[1]13'!B:B,[1]Нэгтгэл!DT:DT)</f>
        <v>0</v>
      </c>
      <c r="S35" s="429">
        <f>SUMIF([1]Нэгтгэл!B:B,'[1]13'!B:B,[1]Нэгтгэл!DW:DW)</f>
        <v>0</v>
      </c>
    </row>
    <row r="36" spans="1:19">
      <c r="A36" s="314">
        <f t="shared" si="0"/>
        <v>34</v>
      </c>
      <c r="B36" s="385">
        <v>5528089</v>
      </c>
      <c r="C36" s="429" t="s">
        <v>197</v>
      </c>
      <c r="D36" s="429">
        <f>SUMIF([1]Нэгтгэл!B:B,'[1]13'!B:B,[1]Нэгтгэл!CD:CD)</f>
        <v>0</v>
      </c>
      <c r="E36" s="429">
        <f>SUMIF([1]Нэгтгэл!B:B,'[1]13'!B:B,[1]Нэгтгэл!CG:CG)</f>
        <v>0</v>
      </c>
      <c r="F36" s="429">
        <f>SUMIF([1]Нэгтгэл!B:B,'[1]13'!B:B,[1]Нэгтгэл!CJ:CJ)</f>
        <v>0</v>
      </c>
      <c r="G36" s="429">
        <f>SUMIF([1]Нэгтгэл!B:B,'[1]13'!B:B,[1]Нэгтгэл!CM:CM)</f>
        <v>0</v>
      </c>
      <c r="H36" s="429">
        <f>SUMIF([1]Нэгтгэл!B:B,'[1]13'!B:B,[1]Нэгтгэл!CP:CP)</f>
        <v>0</v>
      </c>
      <c r="I36" s="429">
        <f>SUMIF([1]Нэгтгэл!B:B,'[1]13'!B:B,[1]Нэгтгэл!CS:CS)</f>
        <v>0</v>
      </c>
      <c r="J36" s="429">
        <f>SUMIF([1]Нэгтгэл!B:B,'[1]13'!B:B,[1]Нэгтгэл!CV:CV)</f>
        <v>0</v>
      </c>
      <c r="K36" s="429">
        <f>SUMIF([1]Нэгтгэл!B:B,'[1]13'!B:B,[1]Нэгтгэл!CY:CY)</f>
        <v>0</v>
      </c>
      <c r="L36" s="427">
        <v>0</v>
      </c>
      <c r="M36" s="427">
        <v>0</v>
      </c>
      <c r="N36" s="427">
        <v>0</v>
      </c>
      <c r="O36" s="429">
        <f>SUMIF([1]Нэгтгэл!B:B,'[1]13'!B:B,[1]Нэгтгэл!DK:DK)</f>
        <v>0</v>
      </c>
      <c r="P36" s="429">
        <f>SUMIF([1]Нэгтгэл!B:B,'[1]13'!B:B,[1]Нэгтгэл!DN:DN)</f>
        <v>0</v>
      </c>
      <c r="Q36" s="429">
        <f>SUMIF([1]Нэгтгэл!B:B,'[1]13'!B:B,[1]Нэгтгэл!DQ:DQ)</f>
        <v>0</v>
      </c>
      <c r="R36" s="429">
        <f>SUMIF([1]Нэгтгэл!B:B,'[1]13'!B:B,[1]Нэгтгэл!DT:DT)</f>
        <v>0</v>
      </c>
      <c r="S36" s="429">
        <f>SUMIF([1]Нэгтгэл!B:B,'[1]13'!B:B,[1]Нэгтгэл!DW:DW)</f>
        <v>0</v>
      </c>
    </row>
    <row r="37" spans="1:19">
      <c r="A37" s="314">
        <f t="shared" si="0"/>
        <v>35</v>
      </c>
      <c r="B37" s="385">
        <v>5396662</v>
      </c>
      <c r="C37" s="429" t="s">
        <v>198</v>
      </c>
      <c r="D37" s="429">
        <f>SUMIF([1]Нэгтгэл!B:B,'[1]13'!B:B,[1]Нэгтгэл!CD:CD)</f>
        <v>4999.6000000000004</v>
      </c>
      <c r="E37" s="429">
        <f>SUMIF([1]Нэгтгэл!B:B,'[1]13'!B:B,[1]Нэгтгэл!CG:CG)</f>
        <v>0</v>
      </c>
      <c r="F37" s="429">
        <f>SUMIF([1]Нэгтгэл!B:B,'[1]13'!B:B,[1]Нэгтгэл!CJ:CJ)</f>
        <v>31752.6</v>
      </c>
      <c r="G37" s="429">
        <f>SUMIF([1]Нэгтгэл!B:B,'[1]13'!B:B,[1]Нэгтгэл!CM:CM)</f>
        <v>34242</v>
      </c>
      <c r="H37" s="429">
        <f>SUMIF([1]Нэгтгэл!B:B,'[1]13'!B:B,[1]Нэгтгэл!CP:CP)</f>
        <v>0</v>
      </c>
      <c r="I37" s="429">
        <f>SUMIF([1]Нэгтгэл!B:B,'[1]13'!B:B,[1]Нэгтгэл!CS:CS)</f>
        <v>0</v>
      </c>
      <c r="J37" s="429">
        <f>SUMIF([1]Нэгтгэл!B:B,'[1]13'!B:B,[1]Нэгтгэл!CV:CV)</f>
        <v>0</v>
      </c>
      <c r="K37" s="429">
        <f>SUMIF([1]Нэгтгэл!B:B,'[1]13'!B:B,[1]Нэгтгэл!CY:CY)</f>
        <v>0</v>
      </c>
      <c r="L37" s="427">
        <v>0</v>
      </c>
      <c r="M37" s="427">
        <v>0</v>
      </c>
      <c r="N37" s="427">
        <v>0</v>
      </c>
      <c r="O37" s="429">
        <f>SUMIF([1]Нэгтгэл!B:B,'[1]13'!B:B,[1]Нэгтгэл!DK:DK)</f>
        <v>0</v>
      </c>
      <c r="P37" s="429">
        <f>SUMIF([1]Нэгтгэл!B:B,'[1]13'!B:B,[1]Нэгтгэл!DN:DN)</f>
        <v>0</v>
      </c>
      <c r="Q37" s="429">
        <f>SUMIF([1]Нэгтгэл!B:B,'[1]13'!B:B,[1]Нэгтгэл!DQ:DQ)</f>
        <v>0</v>
      </c>
      <c r="R37" s="429">
        <f>SUMIF([1]Нэгтгэл!B:B,'[1]13'!B:B,[1]Нэгтгэл!DT:DT)</f>
        <v>0</v>
      </c>
      <c r="S37" s="429">
        <f>SUMIF([1]Нэгтгэл!B:B,'[1]13'!B:B,[1]Нэгтгэл!DW:DW)</f>
        <v>80000</v>
      </c>
    </row>
    <row r="38" spans="1:19">
      <c r="A38" s="314">
        <f t="shared" si="0"/>
        <v>36</v>
      </c>
      <c r="B38" s="385">
        <v>5830974</v>
      </c>
      <c r="C38" s="429" t="s">
        <v>199</v>
      </c>
      <c r="D38" s="429">
        <f>SUMIF([1]Нэгтгэл!B:B,'[1]13'!B:B,[1]Нэгтгэл!CD:CD)</f>
        <v>0</v>
      </c>
      <c r="E38" s="429">
        <f>SUMIF([1]Нэгтгэл!B:B,'[1]13'!B:B,[1]Нэгтгэл!CG:CG)</f>
        <v>0</v>
      </c>
      <c r="F38" s="429">
        <f>SUMIF([1]Нэгтгэл!B:B,'[1]13'!B:B,[1]Нэгтгэл!CJ:CJ)</f>
        <v>0</v>
      </c>
      <c r="G38" s="429">
        <f>SUMIF([1]Нэгтгэл!B:B,'[1]13'!B:B,[1]Нэгтгэл!CM:CM)</f>
        <v>0</v>
      </c>
      <c r="H38" s="429">
        <f>SUMIF([1]Нэгтгэл!B:B,'[1]13'!B:B,[1]Нэгтгэл!CP:CP)</f>
        <v>0</v>
      </c>
      <c r="I38" s="429">
        <f>SUMIF([1]Нэгтгэл!B:B,'[1]13'!B:B,[1]Нэгтгэл!CS:CS)</f>
        <v>0</v>
      </c>
      <c r="J38" s="429">
        <f>SUMIF([1]Нэгтгэл!B:B,'[1]13'!B:B,[1]Нэгтгэл!CV:CV)</f>
        <v>0</v>
      </c>
      <c r="K38" s="429">
        <f>SUMIF([1]Нэгтгэл!B:B,'[1]13'!B:B,[1]Нэгтгэл!CY:CY)</f>
        <v>0</v>
      </c>
      <c r="L38" s="427">
        <v>0</v>
      </c>
      <c r="M38" s="427">
        <v>0</v>
      </c>
      <c r="N38" s="427">
        <v>0</v>
      </c>
      <c r="O38" s="429">
        <f>SUMIF([1]Нэгтгэл!B:B,'[1]13'!B:B,[1]Нэгтгэл!DK:DK)</f>
        <v>0</v>
      </c>
      <c r="P38" s="429">
        <f>SUMIF([1]Нэгтгэл!B:B,'[1]13'!B:B,[1]Нэгтгэл!DN:DN)</f>
        <v>0</v>
      </c>
      <c r="Q38" s="429">
        <f>SUMIF([1]Нэгтгэл!B:B,'[1]13'!B:B,[1]Нэгтгэл!DQ:DQ)</f>
        <v>0</v>
      </c>
      <c r="R38" s="429">
        <f>SUMIF([1]Нэгтгэл!B:B,'[1]13'!B:B,[1]Нэгтгэл!DT:DT)</f>
        <v>0</v>
      </c>
      <c r="S38" s="429">
        <f>SUMIF([1]Нэгтгэл!B:B,'[1]13'!B:B,[1]Нэгтгэл!DW:DW)</f>
        <v>0</v>
      </c>
    </row>
    <row r="39" spans="1:19">
      <c r="A39" s="314">
        <f t="shared" si="0"/>
        <v>37</v>
      </c>
      <c r="B39" s="385">
        <v>2057573</v>
      </c>
      <c r="C39" s="429" t="s">
        <v>201</v>
      </c>
      <c r="D39" s="429">
        <f>SUMIF([1]Нэгтгэл!B:B,'[1]13'!B:B,[1]Нэгтгэл!CD:CD)</f>
        <v>0</v>
      </c>
      <c r="E39" s="429">
        <f>SUMIF([1]Нэгтгэл!B:B,'[1]13'!B:B,[1]Нэгтгэл!CG:CG)</f>
        <v>0</v>
      </c>
      <c r="F39" s="429">
        <f>SUMIF([1]Нэгтгэл!B:B,'[1]13'!B:B,[1]Нэгтгэл!CJ:CJ)</f>
        <v>0</v>
      </c>
      <c r="G39" s="429">
        <f>SUMIF([1]Нэгтгэл!B:B,'[1]13'!B:B,[1]Нэгтгэл!CM:CM)</f>
        <v>0</v>
      </c>
      <c r="H39" s="429">
        <f>SUMIF([1]Нэгтгэл!B:B,'[1]13'!B:B,[1]Нэгтгэл!CP:CP)</f>
        <v>0</v>
      </c>
      <c r="I39" s="429">
        <f>SUMIF([1]Нэгтгэл!B:B,'[1]13'!B:B,[1]Нэгтгэл!CS:CS)</f>
        <v>0</v>
      </c>
      <c r="J39" s="429">
        <f>SUMIF([1]Нэгтгэл!B:B,'[1]13'!B:B,[1]Нэгтгэл!CV:CV)</f>
        <v>0</v>
      </c>
      <c r="K39" s="429">
        <f>SUMIF([1]Нэгтгэл!B:B,'[1]13'!B:B,[1]Нэгтгэл!CY:CY)</f>
        <v>0</v>
      </c>
      <c r="L39" s="427">
        <v>0</v>
      </c>
      <c r="M39" s="427">
        <v>0</v>
      </c>
      <c r="N39" s="427">
        <v>0</v>
      </c>
      <c r="O39" s="429">
        <f>SUMIF([1]Нэгтгэл!B:B,'[1]13'!B:B,[1]Нэгтгэл!DK:DK)</f>
        <v>0</v>
      </c>
      <c r="P39" s="429">
        <f>SUMIF([1]Нэгтгэл!B:B,'[1]13'!B:B,[1]Нэгтгэл!DN:DN)</f>
        <v>0</v>
      </c>
      <c r="Q39" s="429">
        <f>SUMIF([1]Нэгтгэл!B:B,'[1]13'!B:B,[1]Нэгтгэл!DQ:DQ)</f>
        <v>0</v>
      </c>
      <c r="R39" s="429">
        <f>SUMIF([1]Нэгтгэл!B:B,'[1]13'!B:B,[1]Нэгтгэл!DT:DT)</f>
        <v>0</v>
      </c>
      <c r="S39" s="429">
        <f>SUMIF([1]Нэгтгэл!B:B,'[1]13'!B:B,[1]Нэгтгэл!DW:DW)</f>
        <v>0</v>
      </c>
    </row>
    <row r="40" spans="1:19">
      <c r="A40" s="314">
        <f t="shared" si="0"/>
        <v>38</v>
      </c>
      <c r="B40" s="385">
        <v>5699134</v>
      </c>
      <c r="C40" s="429" t="s">
        <v>202</v>
      </c>
      <c r="D40" s="429">
        <f>SUMIF([1]Нэгтгэл!B:B,'[1]13'!B:B,[1]Нэгтгэл!CD:CD)</f>
        <v>0</v>
      </c>
      <c r="E40" s="429">
        <f>SUMIF([1]Нэгтгэл!B:B,'[1]13'!B:B,[1]Нэгтгэл!CG:CG)</f>
        <v>0</v>
      </c>
      <c r="F40" s="429">
        <f>SUMIF([1]Нэгтгэл!B:B,'[1]13'!B:B,[1]Нэгтгэл!CJ:CJ)</f>
        <v>0</v>
      </c>
      <c r="G40" s="429">
        <f>SUMIF([1]Нэгтгэл!B:B,'[1]13'!B:B,[1]Нэгтгэл!CM:CM)</f>
        <v>0</v>
      </c>
      <c r="H40" s="429">
        <f>SUMIF([1]Нэгтгэл!B:B,'[1]13'!B:B,[1]Нэгтгэл!CP:CP)</f>
        <v>0</v>
      </c>
      <c r="I40" s="429">
        <f>SUMIF([1]Нэгтгэл!B:B,'[1]13'!B:B,[1]Нэгтгэл!CS:CS)</f>
        <v>0</v>
      </c>
      <c r="J40" s="429">
        <f>SUMIF([1]Нэгтгэл!B:B,'[1]13'!B:B,[1]Нэгтгэл!CV:CV)</f>
        <v>0</v>
      </c>
      <c r="K40" s="429">
        <f>SUMIF([1]Нэгтгэл!B:B,'[1]13'!B:B,[1]Нэгтгэл!CY:CY)</f>
        <v>0</v>
      </c>
      <c r="L40" s="427">
        <v>0</v>
      </c>
      <c r="M40" s="427">
        <v>0</v>
      </c>
      <c r="N40" s="427">
        <v>16665720</v>
      </c>
      <c r="O40" s="429">
        <f>SUMIF([1]Нэгтгэл!B:B,'[1]13'!B:B,[1]Нэгтгэл!DK:DK)</f>
        <v>0</v>
      </c>
      <c r="P40" s="429">
        <f>SUMIF([1]Нэгтгэл!B:B,'[1]13'!B:B,[1]Нэгтгэл!DN:DN)</f>
        <v>0</v>
      </c>
      <c r="Q40" s="429">
        <f>SUMIF([1]Нэгтгэл!B:B,'[1]13'!B:B,[1]Нэгтгэл!DQ:DQ)</f>
        <v>0</v>
      </c>
      <c r="R40" s="429">
        <f>SUMIF([1]Нэгтгэл!B:B,'[1]13'!B:B,[1]Нэгтгэл!DT:DT)</f>
        <v>0</v>
      </c>
      <c r="S40" s="429">
        <f>SUMIF([1]Нэгтгэл!B:B,'[1]13'!B:B,[1]Нэгтгэл!DW:DW)</f>
        <v>0</v>
      </c>
    </row>
    <row r="41" spans="1:19">
      <c r="A41" s="314">
        <f t="shared" si="0"/>
        <v>39</v>
      </c>
      <c r="B41" s="385">
        <v>5412153</v>
      </c>
      <c r="C41" s="429" t="s">
        <v>203</v>
      </c>
      <c r="D41" s="429">
        <f>SUMIF([1]Нэгтгэл!B:B,'[1]13'!B:B,[1]Нэгтгэл!CD:CD)</f>
        <v>0</v>
      </c>
      <c r="E41" s="429">
        <f>SUMIF([1]Нэгтгэл!B:B,'[1]13'!B:B,[1]Нэгтгэл!CG:CG)</f>
        <v>0</v>
      </c>
      <c r="F41" s="429">
        <f>SUMIF([1]Нэгтгэл!B:B,'[1]13'!B:B,[1]Нэгтгэл!CJ:CJ)</f>
        <v>0</v>
      </c>
      <c r="G41" s="429">
        <f>SUMIF([1]Нэгтгэл!B:B,'[1]13'!B:B,[1]Нэгтгэл!CM:CM)</f>
        <v>0</v>
      </c>
      <c r="H41" s="429">
        <f>SUMIF([1]Нэгтгэл!B:B,'[1]13'!B:B,[1]Нэгтгэл!CP:CP)</f>
        <v>0</v>
      </c>
      <c r="I41" s="429">
        <f>SUMIF([1]Нэгтгэл!B:B,'[1]13'!B:B,[1]Нэгтгэл!CS:CS)</f>
        <v>0</v>
      </c>
      <c r="J41" s="429">
        <f>SUMIF([1]Нэгтгэл!B:B,'[1]13'!B:B,[1]Нэгтгэл!CV:CV)</f>
        <v>0</v>
      </c>
      <c r="K41" s="429">
        <f>SUMIF([1]Нэгтгэл!B:B,'[1]13'!B:B,[1]Нэгтгэл!CY:CY)</f>
        <v>0</v>
      </c>
      <c r="L41" s="427">
        <v>0</v>
      </c>
      <c r="M41" s="427">
        <v>0</v>
      </c>
      <c r="N41" s="427">
        <v>0</v>
      </c>
      <c r="O41" s="429">
        <f>SUMIF([1]Нэгтгэл!B:B,'[1]13'!B:B,[1]Нэгтгэл!DK:DK)</f>
        <v>0</v>
      </c>
      <c r="P41" s="429">
        <f>SUMIF([1]Нэгтгэл!B:B,'[1]13'!B:B,[1]Нэгтгэл!DN:DN)</f>
        <v>0</v>
      </c>
      <c r="Q41" s="429">
        <f>SUMIF([1]Нэгтгэл!B:B,'[1]13'!B:B,[1]Нэгтгэл!DQ:DQ)</f>
        <v>0</v>
      </c>
      <c r="R41" s="429">
        <f>SUMIF([1]Нэгтгэл!B:B,'[1]13'!B:B,[1]Нэгтгэл!DT:DT)</f>
        <v>0</v>
      </c>
      <c r="S41" s="429">
        <f>SUMIF([1]Нэгтгэл!B:B,'[1]13'!B:B,[1]Нэгтгэл!DW:DW)</f>
        <v>0</v>
      </c>
    </row>
    <row r="42" spans="1:19">
      <c r="A42" s="314">
        <f t="shared" si="0"/>
        <v>40</v>
      </c>
      <c r="B42" s="385">
        <v>2034859</v>
      </c>
      <c r="C42" s="429" t="s">
        <v>204</v>
      </c>
      <c r="D42" s="429">
        <f>SUMIF([1]Нэгтгэл!B:B,'[1]13'!B:B,[1]Нэгтгэл!CD:CD)</f>
        <v>0</v>
      </c>
      <c r="E42" s="429">
        <f>SUMIF([1]Нэгтгэл!B:B,'[1]13'!B:B,[1]Нэгтгэл!CG:CG)</f>
        <v>0</v>
      </c>
      <c r="F42" s="429">
        <f>SUMIF([1]Нэгтгэл!B:B,'[1]13'!B:B,[1]Нэгтгэл!CJ:CJ)</f>
        <v>0</v>
      </c>
      <c r="G42" s="429">
        <f>SUMIF([1]Нэгтгэл!B:B,'[1]13'!B:B,[1]Нэгтгэл!CM:CM)</f>
        <v>0</v>
      </c>
      <c r="H42" s="429">
        <f>SUMIF([1]Нэгтгэл!B:B,'[1]13'!B:B,[1]Нэгтгэл!CP:CP)</f>
        <v>0</v>
      </c>
      <c r="I42" s="429">
        <f>SUMIF([1]Нэгтгэл!B:B,'[1]13'!B:B,[1]Нэгтгэл!CS:CS)</f>
        <v>0</v>
      </c>
      <c r="J42" s="429">
        <f>SUMIF([1]Нэгтгэл!B:B,'[1]13'!B:B,[1]Нэгтгэл!CV:CV)</f>
        <v>0</v>
      </c>
      <c r="K42" s="429">
        <f>SUMIF([1]Нэгтгэл!B:B,'[1]13'!B:B,[1]Нэгтгэл!CY:CY)</f>
        <v>0</v>
      </c>
      <c r="L42" s="427">
        <v>0</v>
      </c>
      <c r="M42" s="427">
        <v>0</v>
      </c>
      <c r="N42" s="427">
        <v>0</v>
      </c>
      <c r="O42" s="429">
        <f>SUMIF([1]Нэгтгэл!B:B,'[1]13'!B:B,[1]Нэгтгэл!DK:DK)</f>
        <v>0</v>
      </c>
      <c r="P42" s="429">
        <f>SUMIF([1]Нэгтгэл!B:B,'[1]13'!B:B,[1]Нэгтгэл!DN:DN)</f>
        <v>0</v>
      </c>
      <c r="Q42" s="429">
        <f>SUMIF([1]Нэгтгэл!B:B,'[1]13'!B:B,[1]Нэгтгэл!DQ:DQ)</f>
        <v>0</v>
      </c>
      <c r="R42" s="429">
        <f>SUMIF([1]Нэгтгэл!B:B,'[1]13'!B:B,[1]Нэгтгэл!DT:DT)</f>
        <v>0</v>
      </c>
      <c r="S42" s="429">
        <f>SUMIF([1]Нэгтгэл!B:B,'[1]13'!B:B,[1]Нэгтгэл!DW:DW)</f>
        <v>0</v>
      </c>
    </row>
    <row r="43" spans="1:19">
      <c r="A43" s="314">
        <f t="shared" si="0"/>
        <v>41</v>
      </c>
      <c r="B43" s="385">
        <v>5253535</v>
      </c>
      <c r="C43" s="429" t="s">
        <v>208</v>
      </c>
      <c r="D43" s="429">
        <f>SUMIF([1]Нэгтгэл!B:B,'[1]13'!B:B,[1]Нэгтгэл!CD:CD)</f>
        <v>0</v>
      </c>
      <c r="E43" s="429">
        <f>SUMIF([1]Нэгтгэл!B:B,'[1]13'!B:B,[1]Нэгтгэл!CG:CG)</f>
        <v>0</v>
      </c>
      <c r="F43" s="429">
        <f>SUMIF([1]Нэгтгэл!B:B,'[1]13'!B:B,[1]Нэгтгэл!CJ:CJ)</f>
        <v>0</v>
      </c>
      <c r="G43" s="429">
        <f>SUMIF([1]Нэгтгэл!B:B,'[1]13'!B:B,[1]Нэгтгэл!CM:CM)</f>
        <v>0</v>
      </c>
      <c r="H43" s="429">
        <f>SUMIF([1]Нэгтгэл!B:B,'[1]13'!B:B,[1]Нэгтгэл!CP:CP)</f>
        <v>0</v>
      </c>
      <c r="I43" s="429">
        <f>SUMIF([1]Нэгтгэл!B:B,'[1]13'!B:B,[1]Нэгтгэл!CS:CS)</f>
        <v>0</v>
      </c>
      <c r="J43" s="429">
        <f>SUMIF([1]Нэгтгэл!B:B,'[1]13'!B:B,[1]Нэгтгэл!CV:CV)</f>
        <v>0</v>
      </c>
      <c r="K43" s="429">
        <f>SUMIF([1]Нэгтгэл!B:B,'[1]13'!B:B,[1]Нэгтгэл!CY:CY)</f>
        <v>0</v>
      </c>
      <c r="L43" s="427">
        <v>0</v>
      </c>
      <c r="M43" s="427">
        <v>0</v>
      </c>
      <c r="N43" s="427">
        <v>0</v>
      </c>
      <c r="O43" s="429">
        <f>SUMIF([1]Нэгтгэл!B:B,'[1]13'!B:B,[1]Нэгтгэл!DK:DK)</f>
        <v>0</v>
      </c>
      <c r="P43" s="429">
        <f>SUMIF([1]Нэгтгэл!B:B,'[1]13'!B:B,[1]Нэгтгэл!DN:DN)</f>
        <v>0</v>
      </c>
      <c r="Q43" s="429">
        <f>SUMIF([1]Нэгтгэл!B:B,'[1]13'!B:B,[1]Нэгтгэл!DQ:DQ)</f>
        <v>0</v>
      </c>
      <c r="R43" s="429">
        <f>SUMIF([1]Нэгтгэл!B:B,'[1]13'!B:B,[1]Нэгтгэл!DT:DT)</f>
        <v>0</v>
      </c>
      <c r="S43" s="429">
        <f>SUMIF([1]Нэгтгэл!B:B,'[1]13'!B:B,[1]Нэгтгэл!DW:DW)</f>
        <v>0</v>
      </c>
    </row>
    <row r="44" spans="1:19">
      <c r="A44" s="314">
        <f t="shared" si="0"/>
        <v>42</v>
      </c>
      <c r="B44" s="385">
        <v>5150884</v>
      </c>
      <c r="C44" s="429" t="s">
        <v>210</v>
      </c>
      <c r="D44" s="429">
        <f>SUMIF([1]Нэгтгэл!B:B,'[1]13'!B:B,[1]Нэгтгэл!CD:CD)</f>
        <v>0</v>
      </c>
      <c r="E44" s="429">
        <f>SUMIF([1]Нэгтгэл!B:B,'[1]13'!B:B,[1]Нэгтгэл!CG:CG)</f>
        <v>0</v>
      </c>
      <c r="F44" s="429">
        <f>SUMIF([1]Нэгтгэл!B:B,'[1]13'!B:B,[1]Нэгтгэл!CJ:CJ)</f>
        <v>0</v>
      </c>
      <c r="G44" s="429">
        <f>SUMIF([1]Нэгтгэл!B:B,'[1]13'!B:B,[1]Нэгтгэл!CM:CM)</f>
        <v>0</v>
      </c>
      <c r="H44" s="429">
        <f>SUMIF([1]Нэгтгэл!B:B,'[1]13'!B:B,[1]Нэгтгэл!CP:CP)</f>
        <v>0</v>
      </c>
      <c r="I44" s="429">
        <f>SUMIF([1]Нэгтгэл!B:B,'[1]13'!B:B,[1]Нэгтгэл!CS:CS)</f>
        <v>0</v>
      </c>
      <c r="J44" s="429">
        <f>SUMIF([1]Нэгтгэл!B:B,'[1]13'!B:B,[1]Нэгтгэл!CV:CV)</f>
        <v>0</v>
      </c>
      <c r="K44" s="429">
        <f>SUMIF([1]Нэгтгэл!B:B,'[1]13'!B:B,[1]Нэгтгэл!CY:CY)</f>
        <v>0</v>
      </c>
      <c r="L44" s="427">
        <v>0</v>
      </c>
      <c r="M44" s="427">
        <v>0</v>
      </c>
      <c r="N44" s="427">
        <v>0</v>
      </c>
      <c r="O44" s="429">
        <f>SUMIF([1]Нэгтгэл!B:B,'[1]13'!B:B,[1]Нэгтгэл!DK:DK)</f>
        <v>0</v>
      </c>
      <c r="P44" s="429">
        <f>SUMIF([1]Нэгтгэл!B:B,'[1]13'!B:B,[1]Нэгтгэл!DN:DN)</f>
        <v>0</v>
      </c>
      <c r="Q44" s="429">
        <f>SUMIF([1]Нэгтгэл!B:B,'[1]13'!B:B,[1]Нэгтгэл!DQ:DQ)</f>
        <v>0</v>
      </c>
      <c r="R44" s="429">
        <f>SUMIF([1]Нэгтгэл!B:B,'[1]13'!B:B,[1]Нэгтгэл!DT:DT)</f>
        <v>0</v>
      </c>
      <c r="S44" s="429">
        <f>SUMIF([1]Нэгтгэл!B:B,'[1]13'!B:B,[1]Нэгтгэл!DW:DW)</f>
        <v>0</v>
      </c>
    </row>
    <row r="45" spans="1:19">
      <c r="A45" s="314">
        <f t="shared" si="0"/>
        <v>43</v>
      </c>
      <c r="B45" s="385">
        <v>5051304</v>
      </c>
      <c r="C45" s="429" t="s">
        <v>211</v>
      </c>
      <c r="D45" s="429">
        <f>SUMIF([1]Нэгтгэл!B:B,'[1]13'!B:B,[1]Нэгтгэл!CD:CD)</f>
        <v>24519.5</v>
      </c>
      <c r="E45" s="429">
        <f>SUMIF([1]Нэгтгэл!B:B,'[1]13'!B:B,[1]Нэгтгэл!CG:CG)</f>
        <v>147.4</v>
      </c>
      <c r="F45" s="429">
        <f>SUMIF([1]Нэгтгэл!B:B,'[1]13'!B:B,[1]Нэгтгэл!CJ:CJ)</f>
        <v>147.80000000000001</v>
      </c>
      <c r="G45" s="429">
        <f>SUMIF([1]Нэгтгэл!B:B,'[1]13'!B:B,[1]Нэгтгэл!CM:CM)</f>
        <v>10000</v>
      </c>
      <c r="H45" s="429">
        <f>SUMIF([1]Нэгтгэл!B:B,'[1]13'!B:B,[1]Нэгтгэл!CP:CP)</f>
        <v>0</v>
      </c>
      <c r="I45" s="429">
        <f>SUMIF([1]Нэгтгэл!B:B,'[1]13'!B:B,[1]Нэгтгэл!CS:CS)</f>
        <v>0</v>
      </c>
      <c r="J45" s="429">
        <f>SUMIF([1]Нэгтгэл!B:B,'[1]13'!B:B,[1]Нэгтгэл!CV:CV)</f>
        <v>0</v>
      </c>
      <c r="K45" s="429">
        <f>SUMIF([1]Нэгтгэл!B:B,'[1]13'!B:B,[1]Нэгтгэл!CY:CY)</f>
        <v>0</v>
      </c>
      <c r="L45" s="427">
        <v>0</v>
      </c>
      <c r="M45" s="427">
        <v>0</v>
      </c>
      <c r="N45" s="427">
        <v>0</v>
      </c>
      <c r="O45" s="429">
        <f>SUMIF([1]Нэгтгэл!B:B,'[1]13'!B:B,[1]Нэгтгэл!DK:DK)</f>
        <v>0</v>
      </c>
      <c r="P45" s="429">
        <f>SUMIF([1]Нэгтгэл!B:B,'[1]13'!B:B,[1]Нэгтгэл!DN:DN)</f>
        <v>0</v>
      </c>
      <c r="Q45" s="429">
        <f>SUMIF([1]Нэгтгэл!B:B,'[1]13'!B:B,[1]Нэгтгэл!DQ:DQ)</f>
        <v>0</v>
      </c>
      <c r="R45" s="429">
        <f>SUMIF([1]Нэгтгэл!B:B,'[1]13'!B:B,[1]Нэгтгэл!DT:DT)</f>
        <v>0</v>
      </c>
      <c r="S45" s="429">
        <f>SUMIF([1]Нэгтгэл!B:B,'[1]13'!B:B,[1]Нэгтгэл!DW:DW)</f>
        <v>80000000</v>
      </c>
    </row>
    <row r="46" spans="1:19">
      <c r="A46" s="314">
        <f t="shared" si="0"/>
        <v>44</v>
      </c>
      <c r="B46" s="385">
        <v>5401801</v>
      </c>
      <c r="C46" s="429" t="s">
        <v>213</v>
      </c>
      <c r="D46" s="429">
        <f>SUMIF([1]Нэгтгэл!B:B,'[1]13'!B:B,[1]Нэгтгэл!CD:CD)</f>
        <v>0</v>
      </c>
      <c r="E46" s="429">
        <f>SUMIF([1]Нэгтгэл!B:B,'[1]13'!B:B,[1]Нэгтгэл!CG:CG)</f>
        <v>0</v>
      </c>
      <c r="F46" s="429">
        <f>SUMIF([1]Нэгтгэл!B:B,'[1]13'!B:B,[1]Нэгтгэл!CJ:CJ)</f>
        <v>0</v>
      </c>
      <c r="G46" s="429">
        <f>SUMIF([1]Нэгтгэл!B:B,'[1]13'!B:B,[1]Нэгтгэл!CM:CM)</f>
        <v>0</v>
      </c>
      <c r="H46" s="429">
        <f>SUMIF([1]Нэгтгэл!B:B,'[1]13'!B:B,[1]Нэгтгэл!CP:CP)</f>
        <v>0</v>
      </c>
      <c r="I46" s="429">
        <f>SUMIF([1]Нэгтгэл!B:B,'[1]13'!B:B,[1]Нэгтгэл!CS:CS)</f>
        <v>0</v>
      </c>
      <c r="J46" s="429">
        <f>SUMIF([1]Нэгтгэл!B:B,'[1]13'!B:B,[1]Нэгтгэл!CV:CV)</f>
        <v>0</v>
      </c>
      <c r="K46" s="429">
        <f>SUMIF([1]Нэгтгэл!B:B,'[1]13'!B:B,[1]Нэгтгэл!CY:CY)</f>
        <v>0</v>
      </c>
      <c r="L46" s="427">
        <v>0</v>
      </c>
      <c r="M46" s="427">
        <v>0</v>
      </c>
      <c r="N46" s="427">
        <v>0</v>
      </c>
      <c r="O46" s="429">
        <f>SUMIF([1]Нэгтгэл!B:B,'[1]13'!B:B,[1]Нэгтгэл!DK:DK)</f>
        <v>0</v>
      </c>
      <c r="P46" s="429">
        <f>SUMIF([1]Нэгтгэл!B:B,'[1]13'!B:B,[1]Нэгтгэл!DN:DN)</f>
        <v>0</v>
      </c>
      <c r="Q46" s="429">
        <f>SUMIF([1]Нэгтгэл!B:B,'[1]13'!B:B,[1]Нэгтгэл!DQ:DQ)</f>
        <v>0</v>
      </c>
      <c r="R46" s="429">
        <f>SUMIF([1]Нэгтгэл!B:B,'[1]13'!B:B,[1]Нэгтгэл!DT:DT)</f>
        <v>0</v>
      </c>
      <c r="S46" s="429">
        <f>SUMIF([1]Нэгтгэл!B:B,'[1]13'!B:B,[1]Нэгтгэл!DW:DW)</f>
        <v>0</v>
      </c>
    </row>
    <row r="47" spans="1:19">
      <c r="A47" s="314">
        <f t="shared" si="0"/>
        <v>45</v>
      </c>
      <c r="B47" s="385">
        <v>2550466</v>
      </c>
      <c r="C47" s="429" t="s">
        <v>214</v>
      </c>
      <c r="D47" s="429">
        <f>SUMIF([1]Нэгтгэл!B:B,'[1]13'!B:B,[1]Нэгтгэл!CD:CD)</f>
        <v>174943.8</v>
      </c>
      <c r="E47" s="429">
        <f>SUMIF([1]Нэгтгэл!B:B,'[1]13'!B:B,[1]Нэгтгэл!CG:CG)</f>
        <v>6999.1</v>
      </c>
      <c r="F47" s="429">
        <f>SUMIF([1]Нэгтгэл!B:B,'[1]13'!B:B,[1]Нэгтгэл!CJ:CJ)</f>
        <v>147278.6</v>
      </c>
      <c r="G47" s="429">
        <f>SUMIF([1]Нэгтгэл!B:B,'[1]13'!B:B,[1]Нэгтгэл!CM:CM)</f>
        <v>605608.9</v>
      </c>
      <c r="H47" s="429">
        <f>SUMIF([1]Нэгтгэл!B:B,'[1]13'!B:B,[1]Нэгтгэл!CP:CP)</f>
        <v>0</v>
      </c>
      <c r="I47" s="429">
        <f>SUMIF([1]Нэгтгэл!B:B,'[1]13'!B:B,[1]Нэгтгэл!CS:CS)</f>
        <v>0</v>
      </c>
      <c r="J47" s="429">
        <f>SUMIF([1]Нэгтгэл!B:B,'[1]13'!B:B,[1]Нэгтгэл!CV:CV)</f>
        <v>0</v>
      </c>
      <c r="K47" s="429">
        <f>SUMIF([1]Нэгтгэл!B:B,'[1]13'!B:B,[1]Нэгтгэл!CY:CY)</f>
        <v>0</v>
      </c>
      <c r="L47" s="427">
        <v>0</v>
      </c>
      <c r="M47" s="427">
        <v>0</v>
      </c>
      <c r="N47" s="427">
        <v>0</v>
      </c>
      <c r="O47" s="429">
        <f>SUMIF([1]Нэгтгэл!B:B,'[1]13'!B:B,[1]Нэгтгэл!DK:DK)</f>
        <v>0</v>
      </c>
      <c r="P47" s="429">
        <f>SUMIF([1]Нэгтгэл!B:B,'[1]13'!B:B,[1]Нэгтгэл!DN:DN)</f>
        <v>0</v>
      </c>
      <c r="Q47" s="429">
        <f>SUMIF([1]Нэгтгэл!B:B,'[1]13'!B:B,[1]Нэгтгэл!DQ:DQ)</f>
        <v>0</v>
      </c>
      <c r="R47" s="429">
        <f>SUMIF([1]Нэгтгэл!B:B,'[1]13'!B:B,[1]Нэгтгэл!DT:DT)</f>
        <v>0</v>
      </c>
      <c r="S47" s="429">
        <f>SUMIF([1]Нэгтгэл!B:B,'[1]13'!B:B,[1]Нэгтгэл!DW:DW)</f>
        <v>100000</v>
      </c>
    </row>
    <row r="48" spans="1:19">
      <c r="A48" s="314">
        <f t="shared" si="0"/>
        <v>46</v>
      </c>
      <c r="B48" s="385">
        <v>5051134</v>
      </c>
      <c r="C48" s="429" t="s">
        <v>216</v>
      </c>
      <c r="D48" s="429">
        <f>SUMIF([1]Нэгтгэл!B:B,'[1]13'!B:B,[1]Нэгтгэл!CD:CD)</f>
        <v>0</v>
      </c>
      <c r="E48" s="429">
        <f>SUMIF([1]Нэгтгэл!B:B,'[1]13'!B:B,[1]Нэгтгэл!CG:CG)</f>
        <v>0</v>
      </c>
      <c r="F48" s="429">
        <f>SUMIF([1]Нэгтгэл!B:B,'[1]13'!B:B,[1]Нэгтгэл!CJ:CJ)</f>
        <v>0</v>
      </c>
      <c r="G48" s="429">
        <f>SUMIF([1]Нэгтгэл!B:B,'[1]13'!B:B,[1]Нэгтгэл!CM:CM)</f>
        <v>0</v>
      </c>
      <c r="H48" s="429">
        <f>SUMIF([1]Нэгтгэл!B:B,'[1]13'!B:B,[1]Нэгтгэл!CP:CP)</f>
        <v>0</v>
      </c>
      <c r="I48" s="429">
        <f>SUMIF([1]Нэгтгэл!B:B,'[1]13'!B:B,[1]Нэгтгэл!CS:CS)</f>
        <v>0</v>
      </c>
      <c r="J48" s="429">
        <f>SUMIF([1]Нэгтгэл!B:B,'[1]13'!B:B,[1]Нэгтгэл!CV:CV)</f>
        <v>0</v>
      </c>
      <c r="K48" s="429">
        <f>SUMIF([1]Нэгтгэл!B:B,'[1]13'!B:B,[1]Нэгтгэл!CY:CY)</f>
        <v>0</v>
      </c>
      <c r="L48" s="427">
        <v>0</v>
      </c>
      <c r="M48" s="427">
        <v>0</v>
      </c>
      <c r="N48" s="427">
        <v>0</v>
      </c>
      <c r="O48" s="429">
        <f>SUMIF([1]Нэгтгэл!B:B,'[1]13'!B:B,[1]Нэгтгэл!DK:DK)</f>
        <v>0</v>
      </c>
      <c r="P48" s="429">
        <f>SUMIF([1]Нэгтгэл!B:B,'[1]13'!B:B,[1]Нэгтгэл!DN:DN)</f>
        <v>0</v>
      </c>
      <c r="Q48" s="429">
        <f>SUMIF([1]Нэгтгэл!B:B,'[1]13'!B:B,[1]Нэгтгэл!DQ:DQ)</f>
        <v>0</v>
      </c>
      <c r="R48" s="429">
        <f>SUMIF([1]Нэгтгэл!B:B,'[1]13'!B:B,[1]Нэгтгэл!DT:DT)</f>
        <v>0</v>
      </c>
      <c r="S48" s="429">
        <f>SUMIF([1]Нэгтгэл!B:B,'[1]13'!B:B,[1]Нэгтгэл!DW:DW)</f>
        <v>0</v>
      </c>
    </row>
    <row r="49" spans="1:19">
      <c r="A49" s="314">
        <f t="shared" si="0"/>
        <v>47</v>
      </c>
      <c r="B49" s="385">
        <v>2095025</v>
      </c>
      <c r="C49" s="429" t="s">
        <v>217</v>
      </c>
      <c r="D49" s="429">
        <f>SUMIF([1]Нэгтгэл!B:B,'[1]13'!B:B,[1]Нэгтгэл!CD:CD)</f>
        <v>0</v>
      </c>
      <c r="E49" s="429">
        <f>SUMIF([1]Нэгтгэл!B:B,'[1]13'!B:B,[1]Нэгтгэл!CG:CG)</f>
        <v>0</v>
      </c>
      <c r="F49" s="429">
        <f>SUMIF([1]Нэгтгэл!B:B,'[1]13'!B:B,[1]Нэгтгэл!CJ:CJ)</f>
        <v>0</v>
      </c>
      <c r="G49" s="429">
        <f>SUMIF([1]Нэгтгэл!B:B,'[1]13'!B:B,[1]Нэгтгэл!CM:CM)</f>
        <v>0</v>
      </c>
      <c r="H49" s="429">
        <f>SUMIF([1]Нэгтгэл!B:B,'[1]13'!B:B,[1]Нэгтгэл!CP:CP)</f>
        <v>0</v>
      </c>
      <c r="I49" s="429">
        <f>SUMIF([1]Нэгтгэл!B:B,'[1]13'!B:B,[1]Нэгтгэл!CS:CS)</f>
        <v>0</v>
      </c>
      <c r="J49" s="429">
        <f>SUMIF([1]Нэгтгэл!B:B,'[1]13'!B:B,[1]Нэгтгэл!CV:CV)</f>
        <v>0</v>
      </c>
      <c r="K49" s="429">
        <f>SUMIF([1]Нэгтгэл!B:B,'[1]13'!B:B,[1]Нэгтгэл!CY:CY)</f>
        <v>0</v>
      </c>
      <c r="L49" s="427">
        <v>0</v>
      </c>
      <c r="M49" s="427">
        <v>0</v>
      </c>
      <c r="N49" s="427">
        <v>0</v>
      </c>
      <c r="O49" s="429">
        <f>SUMIF([1]Нэгтгэл!B:B,'[1]13'!B:B,[1]Нэгтгэл!DK:DK)</f>
        <v>0</v>
      </c>
      <c r="P49" s="429">
        <f>SUMIF([1]Нэгтгэл!B:B,'[1]13'!B:B,[1]Нэгтгэл!DN:DN)</f>
        <v>0</v>
      </c>
      <c r="Q49" s="429">
        <f>SUMIF([1]Нэгтгэл!B:B,'[1]13'!B:B,[1]Нэгтгэл!DQ:DQ)</f>
        <v>0</v>
      </c>
      <c r="R49" s="429">
        <f>SUMIF([1]Нэгтгэл!B:B,'[1]13'!B:B,[1]Нэгтгэл!DT:DT)</f>
        <v>0</v>
      </c>
      <c r="S49" s="429">
        <f>SUMIF([1]Нэгтгэл!B:B,'[1]13'!B:B,[1]Нэгтгэл!DW:DW)</f>
        <v>0</v>
      </c>
    </row>
    <row r="50" spans="1:19">
      <c r="A50" s="314">
        <f t="shared" si="0"/>
        <v>48</v>
      </c>
      <c r="B50" s="385">
        <v>2045931</v>
      </c>
      <c r="C50" s="429" t="s">
        <v>218</v>
      </c>
      <c r="D50" s="429">
        <f>SUMIF([1]Нэгтгэл!B:B,'[1]13'!B:B,[1]Нэгтгэл!CD:CD)</f>
        <v>0</v>
      </c>
      <c r="E50" s="429">
        <f>SUMIF([1]Нэгтгэл!B:B,'[1]13'!B:B,[1]Нэгтгэл!CG:CG)</f>
        <v>0</v>
      </c>
      <c r="F50" s="429">
        <f>SUMIF([1]Нэгтгэл!B:B,'[1]13'!B:B,[1]Нэгтгэл!CJ:CJ)</f>
        <v>0</v>
      </c>
      <c r="G50" s="429">
        <f>SUMIF([1]Нэгтгэл!B:B,'[1]13'!B:B,[1]Нэгтгэл!CM:CM)</f>
        <v>0</v>
      </c>
      <c r="H50" s="429">
        <f>SUMIF([1]Нэгтгэл!B:B,'[1]13'!B:B,[1]Нэгтгэл!CP:CP)</f>
        <v>0</v>
      </c>
      <c r="I50" s="429">
        <f>SUMIF([1]Нэгтгэл!B:B,'[1]13'!B:B,[1]Нэгтгэл!CS:CS)</f>
        <v>0</v>
      </c>
      <c r="J50" s="429">
        <f>SUMIF([1]Нэгтгэл!B:B,'[1]13'!B:B,[1]Нэгтгэл!CV:CV)</f>
        <v>0</v>
      </c>
      <c r="K50" s="429">
        <f>SUMIF([1]Нэгтгэл!B:B,'[1]13'!B:B,[1]Нэгтгэл!CY:CY)</f>
        <v>0</v>
      </c>
      <c r="L50" s="427">
        <v>0</v>
      </c>
      <c r="M50" s="427">
        <v>0</v>
      </c>
      <c r="N50" s="427">
        <v>0</v>
      </c>
      <c r="O50" s="429">
        <f>SUMIF([1]Нэгтгэл!B:B,'[1]13'!B:B,[1]Нэгтгэл!DK:DK)</f>
        <v>0</v>
      </c>
      <c r="P50" s="429">
        <f>SUMIF([1]Нэгтгэл!B:B,'[1]13'!B:B,[1]Нэгтгэл!DN:DN)</f>
        <v>0</v>
      </c>
      <c r="Q50" s="429">
        <f>SUMIF([1]Нэгтгэл!B:B,'[1]13'!B:B,[1]Нэгтгэл!DQ:DQ)</f>
        <v>0</v>
      </c>
      <c r="R50" s="429">
        <f>SUMIF([1]Нэгтгэл!B:B,'[1]13'!B:B,[1]Нэгтгэл!DT:DT)</f>
        <v>0</v>
      </c>
      <c r="S50" s="429">
        <f>SUMIF([1]Нэгтгэл!B:B,'[1]13'!B:B,[1]Нэгтгэл!DW:DW)</f>
        <v>0</v>
      </c>
    </row>
    <row r="51" spans="1:19">
      <c r="A51" s="314">
        <f t="shared" si="0"/>
        <v>49</v>
      </c>
      <c r="B51" s="385">
        <v>2029278</v>
      </c>
      <c r="C51" s="429" t="s">
        <v>219</v>
      </c>
      <c r="D51" s="429">
        <f>SUMIF([1]Нэгтгэл!B:B,'[1]13'!B:B,[1]Нэгтгэл!CD:CD)</f>
        <v>0</v>
      </c>
      <c r="E51" s="429">
        <f>SUMIF([1]Нэгтгэл!B:B,'[1]13'!B:B,[1]Нэгтгэл!CG:CG)</f>
        <v>0</v>
      </c>
      <c r="F51" s="429">
        <f>SUMIF([1]Нэгтгэл!B:B,'[1]13'!B:B,[1]Нэгтгэл!CJ:CJ)</f>
        <v>0</v>
      </c>
      <c r="G51" s="429">
        <f>SUMIF([1]Нэгтгэл!B:B,'[1]13'!B:B,[1]Нэгтгэл!CM:CM)</f>
        <v>0</v>
      </c>
      <c r="H51" s="429">
        <f>SUMIF([1]Нэгтгэл!B:B,'[1]13'!B:B,[1]Нэгтгэл!CP:CP)</f>
        <v>0</v>
      </c>
      <c r="I51" s="429">
        <f>SUMIF([1]Нэгтгэл!B:B,'[1]13'!B:B,[1]Нэгтгэл!CS:CS)</f>
        <v>0</v>
      </c>
      <c r="J51" s="429">
        <f>SUMIF([1]Нэгтгэл!B:B,'[1]13'!B:B,[1]Нэгтгэл!CV:CV)</f>
        <v>0</v>
      </c>
      <c r="K51" s="429">
        <f>SUMIF([1]Нэгтгэл!B:B,'[1]13'!B:B,[1]Нэгтгэл!CY:CY)</f>
        <v>0</v>
      </c>
      <c r="L51" s="427">
        <v>0</v>
      </c>
      <c r="M51" s="427">
        <v>0</v>
      </c>
      <c r="N51" s="427">
        <v>0</v>
      </c>
      <c r="O51" s="429">
        <f>SUMIF([1]Нэгтгэл!B:B,'[1]13'!B:B,[1]Нэгтгэл!DK:DK)</f>
        <v>0</v>
      </c>
      <c r="P51" s="429">
        <f>SUMIF([1]Нэгтгэл!B:B,'[1]13'!B:B,[1]Нэгтгэл!DN:DN)</f>
        <v>0</v>
      </c>
      <c r="Q51" s="429">
        <f>SUMIF([1]Нэгтгэл!B:B,'[1]13'!B:B,[1]Нэгтгэл!DQ:DQ)</f>
        <v>0</v>
      </c>
      <c r="R51" s="429">
        <f>SUMIF([1]Нэгтгэл!B:B,'[1]13'!B:B,[1]Нэгтгэл!DT:DT)</f>
        <v>0</v>
      </c>
      <c r="S51" s="429">
        <f>SUMIF([1]Нэгтгэл!B:B,'[1]13'!B:B,[1]Нэгтгэл!DW:DW)</f>
        <v>0</v>
      </c>
    </row>
    <row r="52" spans="1:19">
      <c r="A52" s="314">
        <f t="shared" si="0"/>
        <v>50</v>
      </c>
      <c r="B52" s="385">
        <v>5106567</v>
      </c>
      <c r="C52" s="429" t="s">
        <v>220</v>
      </c>
      <c r="D52" s="429">
        <f>SUMIF([1]Нэгтгэл!B:B,'[1]13'!B:B,[1]Нэгтгэл!CD:CD)</f>
        <v>0</v>
      </c>
      <c r="E52" s="429">
        <f>SUMIF([1]Нэгтгэл!B:B,'[1]13'!B:B,[1]Нэгтгэл!CG:CG)</f>
        <v>0</v>
      </c>
      <c r="F52" s="429">
        <f>SUMIF([1]Нэгтгэл!B:B,'[1]13'!B:B,[1]Нэгтгэл!CJ:CJ)</f>
        <v>0</v>
      </c>
      <c r="G52" s="429">
        <f>SUMIF([1]Нэгтгэл!B:B,'[1]13'!B:B,[1]Нэгтгэл!CM:CM)</f>
        <v>0</v>
      </c>
      <c r="H52" s="429">
        <f>SUMIF([1]Нэгтгэл!B:B,'[1]13'!B:B,[1]Нэгтгэл!CP:CP)</f>
        <v>0</v>
      </c>
      <c r="I52" s="429">
        <f>SUMIF([1]Нэгтгэл!B:B,'[1]13'!B:B,[1]Нэгтгэл!CS:CS)</f>
        <v>0</v>
      </c>
      <c r="J52" s="429">
        <f>SUMIF([1]Нэгтгэл!B:B,'[1]13'!B:B,[1]Нэгтгэл!CV:CV)</f>
        <v>0</v>
      </c>
      <c r="K52" s="429">
        <f>SUMIF([1]Нэгтгэл!B:B,'[1]13'!B:B,[1]Нэгтгэл!CY:CY)</f>
        <v>0</v>
      </c>
      <c r="L52" s="427">
        <v>0</v>
      </c>
      <c r="M52" s="427">
        <v>0</v>
      </c>
      <c r="N52" s="427">
        <v>0</v>
      </c>
      <c r="O52" s="429">
        <f>SUMIF([1]Нэгтгэл!B:B,'[1]13'!B:B,[1]Нэгтгэл!DK:DK)</f>
        <v>0</v>
      </c>
      <c r="P52" s="429">
        <f>SUMIF([1]Нэгтгэл!B:B,'[1]13'!B:B,[1]Нэгтгэл!DN:DN)</f>
        <v>0</v>
      </c>
      <c r="Q52" s="429">
        <f>SUMIF([1]Нэгтгэл!B:B,'[1]13'!B:B,[1]Нэгтгэл!DQ:DQ)</f>
        <v>0</v>
      </c>
      <c r="R52" s="429">
        <f>SUMIF([1]Нэгтгэл!B:B,'[1]13'!B:B,[1]Нэгтгэл!DT:DT)</f>
        <v>0</v>
      </c>
      <c r="S52" s="429">
        <f>SUMIF([1]Нэгтгэл!B:B,'[1]13'!B:B,[1]Нэгтгэл!DW:DW)</f>
        <v>0</v>
      </c>
    </row>
    <row r="53" spans="1:19">
      <c r="A53" s="314">
        <f t="shared" si="0"/>
        <v>51</v>
      </c>
      <c r="B53" s="385">
        <v>5141583</v>
      </c>
      <c r="C53" s="429" t="s">
        <v>222</v>
      </c>
      <c r="D53" s="429">
        <f>SUMIF([1]Нэгтгэл!B:B,'[1]13'!B:B,[1]Нэгтгэл!CD:CD)</f>
        <v>77058995.780000001</v>
      </c>
      <c r="E53" s="429">
        <f>SUMIF([1]Нэгтгэл!B:B,'[1]13'!B:B,[1]Нэгтгэл!CG:CG)</f>
        <v>36392074.140000001</v>
      </c>
      <c r="F53" s="429">
        <f>SUMIF([1]Нэгтгэл!B:B,'[1]13'!B:B,[1]Нэгтгэл!CJ:CJ)</f>
        <v>249578832.88</v>
      </c>
      <c r="G53" s="429">
        <f>SUMIF([1]Нэгтгэл!B:B,'[1]13'!B:B,[1]Нэгтгэл!CM:CM)</f>
        <v>0</v>
      </c>
      <c r="H53" s="429">
        <f>SUMIF([1]Нэгтгэл!B:B,'[1]13'!B:B,[1]Нэгтгэл!CP:CP)</f>
        <v>51662231.710000001</v>
      </c>
      <c r="I53" s="429">
        <f>SUMIF([1]Нэгтгэл!B:B,'[1]13'!B:B,[1]Нэгтгэл!CS:CS)</f>
        <v>0</v>
      </c>
      <c r="J53" s="429">
        <f>SUMIF([1]Нэгтгэл!B:B,'[1]13'!B:B,[1]Нэгтгэл!CV:CV)</f>
        <v>0</v>
      </c>
      <c r="K53" s="429">
        <f>SUMIF([1]Нэгтгэл!B:B,'[1]13'!B:B,[1]Нэгтгэл!CY:CY)</f>
        <v>0</v>
      </c>
      <c r="L53" s="427">
        <v>0</v>
      </c>
      <c r="M53" s="427">
        <v>0</v>
      </c>
      <c r="N53" s="427">
        <v>0</v>
      </c>
      <c r="O53" s="429">
        <f>SUMIF([1]Нэгтгэл!B:B,'[1]13'!B:B,[1]Нэгтгэл!DK:DK)</f>
        <v>0</v>
      </c>
      <c r="P53" s="429">
        <f>SUMIF([1]Нэгтгэл!B:B,'[1]13'!B:B,[1]Нэгтгэл!DN:DN)</f>
        <v>0</v>
      </c>
      <c r="Q53" s="429">
        <f>SUMIF([1]Нэгтгэл!B:B,'[1]13'!B:B,[1]Нэгтгэл!DQ:DQ)</f>
        <v>0</v>
      </c>
      <c r="R53" s="429">
        <f>SUMIF([1]Нэгтгэл!B:B,'[1]13'!B:B,[1]Нэгтгэл!DT:DT)</f>
        <v>0</v>
      </c>
      <c r="S53" s="429">
        <f>SUMIF([1]Нэгтгэл!B:B,'[1]13'!B:B,[1]Нэгтгэл!DW:DW)</f>
        <v>20000000</v>
      </c>
    </row>
    <row r="54" spans="1:19">
      <c r="A54" s="314">
        <f t="shared" si="0"/>
        <v>52</v>
      </c>
      <c r="B54" s="385">
        <v>5118115</v>
      </c>
      <c r="C54" s="429" t="s">
        <v>223</v>
      </c>
      <c r="D54" s="429">
        <f>SUMIF([1]Нэгтгэл!B:B,'[1]13'!B:B,[1]Нэгтгэл!CD:CD)</f>
        <v>0</v>
      </c>
      <c r="E54" s="429">
        <f>SUMIF([1]Нэгтгэл!B:B,'[1]13'!B:B,[1]Нэгтгэл!CG:CG)</f>
        <v>0</v>
      </c>
      <c r="F54" s="429">
        <f>SUMIF([1]Нэгтгэл!B:B,'[1]13'!B:B,[1]Нэгтгэл!CJ:CJ)</f>
        <v>0</v>
      </c>
      <c r="G54" s="429">
        <f>SUMIF([1]Нэгтгэл!B:B,'[1]13'!B:B,[1]Нэгтгэл!CM:CM)</f>
        <v>0</v>
      </c>
      <c r="H54" s="429">
        <f>SUMIF([1]Нэгтгэл!B:B,'[1]13'!B:B,[1]Нэгтгэл!CP:CP)</f>
        <v>0</v>
      </c>
      <c r="I54" s="429">
        <f>SUMIF([1]Нэгтгэл!B:B,'[1]13'!B:B,[1]Нэгтгэл!CS:CS)</f>
        <v>0</v>
      </c>
      <c r="J54" s="429">
        <f>SUMIF([1]Нэгтгэл!B:B,'[1]13'!B:B,[1]Нэгтгэл!CV:CV)</f>
        <v>0</v>
      </c>
      <c r="K54" s="429">
        <f>SUMIF([1]Нэгтгэл!B:B,'[1]13'!B:B,[1]Нэгтгэл!CY:CY)</f>
        <v>0</v>
      </c>
      <c r="L54" s="427">
        <v>0</v>
      </c>
      <c r="M54" s="427">
        <v>0</v>
      </c>
      <c r="N54" s="427">
        <v>0</v>
      </c>
      <c r="O54" s="429">
        <f>SUMIF([1]Нэгтгэл!B:B,'[1]13'!B:B,[1]Нэгтгэл!DK:DK)</f>
        <v>0</v>
      </c>
      <c r="P54" s="429">
        <f>SUMIF([1]Нэгтгэл!B:B,'[1]13'!B:B,[1]Нэгтгэл!DN:DN)</f>
        <v>0</v>
      </c>
      <c r="Q54" s="429">
        <f>SUMIF([1]Нэгтгэл!B:B,'[1]13'!B:B,[1]Нэгтгэл!DQ:DQ)</f>
        <v>0</v>
      </c>
      <c r="R54" s="429">
        <f>SUMIF([1]Нэгтгэл!B:B,'[1]13'!B:B,[1]Нэгтгэл!DT:DT)</f>
        <v>0</v>
      </c>
      <c r="S54" s="429">
        <f>SUMIF([1]Нэгтгэл!B:B,'[1]13'!B:B,[1]Нэгтгэл!DW:DW)</f>
        <v>0</v>
      </c>
    </row>
    <row r="55" spans="1:19">
      <c r="A55" s="314">
        <f t="shared" si="0"/>
        <v>53</v>
      </c>
      <c r="B55" s="385">
        <v>5106656</v>
      </c>
      <c r="C55" s="429" t="s">
        <v>224</v>
      </c>
      <c r="D55" s="429">
        <f>SUMIF([1]Нэгтгэл!B:B,'[1]13'!B:B,[1]Нэгтгэл!CD:CD)</f>
        <v>0</v>
      </c>
      <c r="E55" s="429">
        <f>SUMIF([1]Нэгтгэл!B:B,'[1]13'!B:B,[1]Нэгтгэл!CG:CG)</f>
        <v>0</v>
      </c>
      <c r="F55" s="429">
        <f>SUMIF([1]Нэгтгэл!B:B,'[1]13'!B:B,[1]Нэгтгэл!CJ:CJ)</f>
        <v>0</v>
      </c>
      <c r="G55" s="429">
        <f>SUMIF([1]Нэгтгэл!B:B,'[1]13'!B:B,[1]Нэгтгэл!CM:CM)</f>
        <v>0</v>
      </c>
      <c r="H55" s="429">
        <f>SUMIF([1]Нэгтгэл!B:B,'[1]13'!B:B,[1]Нэгтгэл!CP:CP)</f>
        <v>0</v>
      </c>
      <c r="I55" s="429">
        <f>SUMIF([1]Нэгтгэл!B:B,'[1]13'!B:B,[1]Нэгтгэл!CS:CS)</f>
        <v>0</v>
      </c>
      <c r="J55" s="429">
        <f>SUMIF([1]Нэгтгэл!B:B,'[1]13'!B:B,[1]Нэгтгэл!CV:CV)</f>
        <v>0</v>
      </c>
      <c r="K55" s="429">
        <f>SUMIF([1]Нэгтгэл!B:B,'[1]13'!B:B,[1]Нэгтгэл!CY:CY)</f>
        <v>0</v>
      </c>
      <c r="L55" s="427">
        <v>0</v>
      </c>
      <c r="M55" s="427">
        <v>0</v>
      </c>
      <c r="N55" s="427">
        <v>0</v>
      </c>
      <c r="O55" s="429">
        <f>SUMIF([1]Нэгтгэл!B:B,'[1]13'!B:B,[1]Нэгтгэл!DK:DK)</f>
        <v>0</v>
      </c>
      <c r="P55" s="429">
        <f>SUMIF([1]Нэгтгэл!B:B,'[1]13'!B:B,[1]Нэгтгэл!DN:DN)</f>
        <v>0</v>
      </c>
      <c r="Q55" s="429">
        <f>SUMIF([1]Нэгтгэл!B:B,'[1]13'!B:B,[1]Нэгтгэл!DQ:DQ)</f>
        <v>0</v>
      </c>
      <c r="R55" s="429">
        <f>SUMIF([1]Нэгтгэл!B:B,'[1]13'!B:B,[1]Нэгтгэл!DT:DT)</f>
        <v>0</v>
      </c>
      <c r="S55" s="429">
        <f>SUMIF([1]Нэгтгэл!B:B,'[1]13'!B:B,[1]Нэгтгэл!DW:DW)</f>
        <v>0</v>
      </c>
    </row>
    <row r="56" spans="1:19">
      <c r="A56" s="314">
        <f t="shared" si="0"/>
        <v>54</v>
      </c>
      <c r="B56" s="385">
        <v>2010895</v>
      </c>
      <c r="C56" s="429" t="s">
        <v>225</v>
      </c>
      <c r="D56" s="429">
        <f>SUMIF([1]Нэгтгэл!B:B,'[1]13'!B:B,[1]Нэгтгэл!CD:CD)</f>
        <v>0</v>
      </c>
      <c r="E56" s="429">
        <f>SUMIF([1]Нэгтгэл!B:B,'[1]13'!B:B,[1]Нэгтгэл!CG:CG)</f>
        <v>0</v>
      </c>
      <c r="F56" s="429">
        <f>SUMIF([1]Нэгтгэл!B:B,'[1]13'!B:B,[1]Нэгтгэл!CJ:CJ)</f>
        <v>0</v>
      </c>
      <c r="G56" s="429">
        <f>SUMIF([1]Нэгтгэл!B:B,'[1]13'!B:B,[1]Нэгтгэл!CM:CM)</f>
        <v>0</v>
      </c>
      <c r="H56" s="429">
        <f>SUMIF([1]Нэгтгэл!B:B,'[1]13'!B:B,[1]Нэгтгэл!CP:CP)</f>
        <v>0</v>
      </c>
      <c r="I56" s="429">
        <f>SUMIF([1]Нэгтгэл!B:B,'[1]13'!B:B,[1]Нэгтгэл!CS:CS)</f>
        <v>0</v>
      </c>
      <c r="J56" s="429">
        <f>SUMIF([1]Нэгтгэл!B:B,'[1]13'!B:B,[1]Нэгтгэл!CV:CV)</f>
        <v>0</v>
      </c>
      <c r="K56" s="429">
        <f>SUMIF([1]Нэгтгэл!B:B,'[1]13'!B:B,[1]Нэгтгэл!CY:CY)</f>
        <v>0</v>
      </c>
      <c r="L56" s="427">
        <v>0</v>
      </c>
      <c r="M56" s="427">
        <v>0</v>
      </c>
      <c r="N56" s="427">
        <v>3500</v>
      </c>
      <c r="O56" s="429">
        <f>SUMIF([1]Нэгтгэл!B:B,'[1]13'!B:B,[1]Нэгтгэл!DK:DK)</f>
        <v>0</v>
      </c>
      <c r="P56" s="429">
        <f>SUMIF([1]Нэгтгэл!B:B,'[1]13'!B:B,[1]Нэгтгэл!DN:DN)</f>
        <v>0</v>
      </c>
      <c r="Q56" s="429">
        <f>SUMIF([1]Нэгтгэл!B:B,'[1]13'!B:B,[1]Нэгтгэл!DQ:DQ)</f>
        <v>0</v>
      </c>
      <c r="R56" s="429">
        <f>SUMIF([1]Нэгтгэл!B:B,'[1]13'!B:B,[1]Нэгтгэл!DT:DT)</f>
        <v>0</v>
      </c>
      <c r="S56" s="429">
        <f>SUMIF([1]Нэгтгэл!B:B,'[1]13'!B:B,[1]Нэгтгэл!DW:DW)</f>
        <v>0</v>
      </c>
    </row>
    <row r="57" spans="1:19">
      <c r="A57" s="314">
        <f t="shared" si="0"/>
        <v>55</v>
      </c>
      <c r="B57" s="385">
        <v>5295858</v>
      </c>
      <c r="C57" s="429" t="s">
        <v>227</v>
      </c>
      <c r="D57" s="429">
        <f>SUMIF([1]Нэгтгэл!B:B,'[1]13'!B:B,[1]Нэгтгэл!CD:CD)</f>
        <v>0</v>
      </c>
      <c r="E57" s="429">
        <f>SUMIF([1]Нэгтгэл!B:B,'[1]13'!B:B,[1]Нэгтгэл!CG:CG)</f>
        <v>0</v>
      </c>
      <c r="F57" s="429">
        <f>SUMIF([1]Нэгтгэл!B:B,'[1]13'!B:B,[1]Нэгтгэл!CJ:CJ)</f>
        <v>0</v>
      </c>
      <c r="G57" s="429">
        <f>SUMIF([1]Нэгтгэл!B:B,'[1]13'!B:B,[1]Нэгтгэл!CM:CM)</f>
        <v>0</v>
      </c>
      <c r="H57" s="429">
        <f>SUMIF([1]Нэгтгэл!B:B,'[1]13'!B:B,[1]Нэгтгэл!CP:CP)</f>
        <v>0</v>
      </c>
      <c r="I57" s="429">
        <f>SUMIF([1]Нэгтгэл!B:B,'[1]13'!B:B,[1]Нэгтгэл!CS:CS)</f>
        <v>0</v>
      </c>
      <c r="J57" s="429">
        <f>SUMIF([1]Нэгтгэл!B:B,'[1]13'!B:B,[1]Нэгтгэл!CV:CV)</f>
        <v>0</v>
      </c>
      <c r="K57" s="429">
        <f>SUMIF([1]Нэгтгэл!B:B,'[1]13'!B:B,[1]Нэгтгэл!CY:CY)</f>
        <v>0</v>
      </c>
      <c r="L57" s="427">
        <v>0</v>
      </c>
      <c r="M57" s="427">
        <v>0</v>
      </c>
      <c r="N57" s="427">
        <v>0</v>
      </c>
      <c r="O57" s="429">
        <f>SUMIF([1]Нэгтгэл!B:B,'[1]13'!B:B,[1]Нэгтгэл!DK:DK)</f>
        <v>0</v>
      </c>
      <c r="P57" s="429">
        <f>SUMIF([1]Нэгтгэл!B:B,'[1]13'!B:B,[1]Нэгтгэл!DN:DN)</f>
        <v>0</v>
      </c>
      <c r="Q57" s="429">
        <f>SUMIF([1]Нэгтгэл!B:B,'[1]13'!B:B,[1]Нэгтгэл!DQ:DQ)</f>
        <v>0</v>
      </c>
      <c r="R57" s="429">
        <f>SUMIF([1]Нэгтгэл!B:B,'[1]13'!B:B,[1]Нэгтгэл!DT:DT)</f>
        <v>0</v>
      </c>
      <c r="S57" s="429">
        <f>SUMIF([1]Нэгтгэл!B:B,'[1]13'!B:B,[1]Нэгтгэл!DW:DW)</f>
        <v>0</v>
      </c>
    </row>
    <row r="58" spans="1:19">
      <c r="A58" s="314">
        <f t="shared" si="0"/>
        <v>56</v>
      </c>
      <c r="B58" s="385">
        <v>6287727</v>
      </c>
      <c r="C58" s="429" t="s">
        <v>228</v>
      </c>
      <c r="D58" s="429">
        <f>SUMIF([1]Нэгтгэл!B:B,'[1]13'!B:B,[1]Нэгтгэл!CD:CD)</f>
        <v>0</v>
      </c>
      <c r="E58" s="429">
        <f>SUMIF([1]Нэгтгэл!B:B,'[1]13'!B:B,[1]Нэгтгэл!CG:CG)</f>
        <v>0</v>
      </c>
      <c r="F58" s="429">
        <f>SUMIF([1]Нэгтгэл!B:B,'[1]13'!B:B,[1]Нэгтгэл!CJ:CJ)</f>
        <v>0</v>
      </c>
      <c r="G58" s="429">
        <f>SUMIF([1]Нэгтгэл!B:B,'[1]13'!B:B,[1]Нэгтгэл!CM:CM)</f>
        <v>0</v>
      </c>
      <c r="H58" s="429">
        <f>SUMIF([1]Нэгтгэл!B:B,'[1]13'!B:B,[1]Нэгтгэл!CP:CP)</f>
        <v>0</v>
      </c>
      <c r="I58" s="429">
        <f>SUMIF([1]Нэгтгэл!B:B,'[1]13'!B:B,[1]Нэгтгэл!CS:CS)</f>
        <v>0</v>
      </c>
      <c r="J58" s="429">
        <f>SUMIF([1]Нэгтгэл!B:B,'[1]13'!B:B,[1]Нэгтгэл!CV:CV)</f>
        <v>0</v>
      </c>
      <c r="K58" s="429">
        <f>SUMIF([1]Нэгтгэл!B:B,'[1]13'!B:B,[1]Нэгтгэл!CY:CY)</f>
        <v>0</v>
      </c>
      <c r="L58" s="427">
        <v>0</v>
      </c>
      <c r="M58" s="427">
        <v>0</v>
      </c>
      <c r="N58" s="427">
        <v>13371682</v>
      </c>
      <c r="O58" s="429">
        <f>SUMIF([1]Нэгтгэл!B:B,'[1]13'!B:B,[1]Нэгтгэл!DK:DK)</f>
        <v>0</v>
      </c>
      <c r="P58" s="429">
        <f>SUMIF([1]Нэгтгэл!B:B,'[1]13'!B:B,[1]Нэгтгэл!DN:DN)</f>
        <v>0</v>
      </c>
      <c r="Q58" s="429">
        <f>SUMIF([1]Нэгтгэл!B:B,'[1]13'!B:B,[1]Нэгтгэл!DQ:DQ)</f>
        <v>0</v>
      </c>
      <c r="R58" s="429">
        <f>SUMIF([1]Нэгтгэл!B:B,'[1]13'!B:B,[1]Нэгтгэл!DT:DT)</f>
        <v>0</v>
      </c>
      <c r="S58" s="429">
        <f>SUMIF([1]Нэгтгэл!B:B,'[1]13'!B:B,[1]Нэгтгэл!DW:DW)</f>
        <v>0</v>
      </c>
    </row>
    <row r="59" spans="1:19">
      <c r="A59" s="314">
        <f t="shared" si="0"/>
        <v>57</v>
      </c>
      <c r="B59" s="385">
        <v>2659603</v>
      </c>
      <c r="C59" s="429" t="s">
        <v>229</v>
      </c>
      <c r="D59" s="429">
        <f>SUMIF([1]Нэгтгэл!B:B,'[1]13'!B:B,[1]Нэгтгэл!CD:CD)</f>
        <v>0</v>
      </c>
      <c r="E59" s="429">
        <f>SUMIF([1]Нэгтгэл!B:B,'[1]13'!B:B,[1]Нэгтгэл!CG:CG)</f>
        <v>0</v>
      </c>
      <c r="F59" s="429">
        <f>SUMIF([1]Нэгтгэл!B:B,'[1]13'!B:B,[1]Нэгтгэл!CJ:CJ)</f>
        <v>15223608</v>
      </c>
      <c r="G59" s="429">
        <f>SUMIF([1]Нэгтгэл!B:B,'[1]13'!B:B,[1]Нэгтгэл!CM:CM)</f>
        <v>65580601.600000001</v>
      </c>
      <c r="H59" s="429">
        <f>SUMIF([1]Нэгтгэл!B:B,'[1]13'!B:B,[1]Нэгтгэл!CP:CP)</f>
        <v>0</v>
      </c>
      <c r="I59" s="429">
        <f>SUMIF([1]Нэгтгэл!B:B,'[1]13'!B:B,[1]Нэгтгэл!CS:CS)</f>
        <v>919504943.54999995</v>
      </c>
      <c r="J59" s="429">
        <f>SUMIF([1]Нэгтгэл!B:B,'[1]13'!B:B,[1]Нэгтгэл!CV:CV)</f>
        <v>0</v>
      </c>
      <c r="K59" s="429">
        <f>SUMIF([1]Нэгтгэл!B:B,'[1]13'!B:B,[1]Нэгтгэл!CY:CY)</f>
        <v>0</v>
      </c>
      <c r="L59" s="427">
        <v>0</v>
      </c>
      <c r="M59" s="427">
        <v>0</v>
      </c>
      <c r="N59" s="427">
        <v>0</v>
      </c>
      <c r="O59" s="429">
        <f>SUMIF([1]Нэгтгэл!B:B,'[1]13'!B:B,[1]Нэгтгэл!DK:DK)</f>
        <v>0</v>
      </c>
      <c r="P59" s="429">
        <f>SUMIF([1]Нэгтгэл!B:B,'[1]13'!B:B,[1]Нэгтгэл!DN:DN)</f>
        <v>0</v>
      </c>
      <c r="Q59" s="429">
        <f>SUMIF([1]Нэгтгэл!B:B,'[1]13'!B:B,[1]Нэгтгэл!DQ:DQ)</f>
        <v>0</v>
      </c>
      <c r="R59" s="429">
        <f>SUMIF([1]Нэгтгэл!B:B,'[1]13'!B:B,[1]Нэгтгэл!DT:DT)</f>
        <v>0</v>
      </c>
      <c r="S59" s="429">
        <f>SUMIF([1]Нэгтгэл!B:B,'[1]13'!B:B,[1]Нэгтгэл!DW:DW)</f>
        <v>0</v>
      </c>
    </row>
    <row r="60" spans="1:19">
      <c r="A60" s="314">
        <f t="shared" si="0"/>
        <v>58</v>
      </c>
      <c r="B60" s="385">
        <v>2678187</v>
      </c>
      <c r="C60" s="429" t="s">
        <v>230</v>
      </c>
      <c r="D60" s="429">
        <f>SUMIF([1]Нэгтгэл!B:B,'[1]13'!B:B,[1]Нэгтгэл!CD:CD)</f>
        <v>0</v>
      </c>
      <c r="E60" s="429">
        <f>SUMIF([1]Нэгтгэл!B:B,'[1]13'!B:B,[1]Нэгтгэл!CG:CG)</f>
        <v>0</v>
      </c>
      <c r="F60" s="429">
        <f>SUMIF([1]Нэгтгэл!B:B,'[1]13'!B:B,[1]Нэгтгэл!CJ:CJ)</f>
        <v>0</v>
      </c>
      <c r="G60" s="429">
        <f>SUMIF([1]Нэгтгэл!B:B,'[1]13'!B:B,[1]Нэгтгэл!CM:CM)</f>
        <v>0</v>
      </c>
      <c r="H60" s="429">
        <f>SUMIF([1]Нэгтгэл!B:B,'[1]13'!B:B,[1]Нэгтгэл!CP:CP)</f>
        <v>0</v>
      </c>
      <c r="I60" s="429">
        <f>SUMIF([1]Нэгтгэл!B:B,'[1]13'!B:B,[1]Нэгтгэл!CS:CS)</f>
        <v>0</v>
      </c>
      <c r="J60" s="429">
        <f>SUMIF([1]Нэгтгэл!B:B,'[1]13'!B:B,[1]Нэгтгэл!CV:CV)</f>
        <v>0</v>
      </c>
      <c r="K60" s="429">
        <f>SUMIF([1]Нэгтгэл!B:B,'[1]13'!B:B,[1]Нэгтгэл!CY:CY)</f>
        <v>0</v>
      </c>
      <c r="L60" s="427">
        <v>0</v>
      </c>
      <c r="M60" s="427">
        <v>0</v>
      </c>
      <c r="N60" s="427">
        <v>0</v>
      </c>
      <c r="O60" s="429">
        <f>SUMIF([1]Нэгтгэл!B:B,'[1]13'!B:B,[1]Нэгтгэл!DK:DK)</f>
        <v>0</v>
      </c>
      <c r="P60" s="429">
        <f>SUMIF([1]Нэгтгэл!B:B,'[1]13'!B:B,[1]Нэгтгэл!DN:DN)</f>
        <v>0</v>
      </c>
      <c r="Q60" s="429">
        <f>SUMIF([1]Нэгтгэл!B:B,'[1]13'!B:B,[1]Нэгтгэл!DQ:DQ)</f>
        <v>0</v>
      </c>
      <c r="R60" s="429">
        <f>SUMIF([1]Нэгтгэл!B:B,'[1]13'!B:B,[1]Нэгтгэл!DT:DT)</f>
        <v>0</v>
      </c>
      <c r="S60" s="429">
        <f>SUMIF([1]Нэгтгэл!B:B,'[1]13'!B:B,[1]Нэгтгэл!DW:DW)</f>
        <v>0</v>
      </c>
    </row>
    <row r="61" spans="1:19">
      <c r="A61" s="314">
        <f t="shared" si="0"/>
        <v>59</v>
      </c>
      <c r="B61" s="385">
        <v>2657457</v>
      </c>
      <c r="C61" s="429" t="s">
        <v>231</v>
      </c>
      <c r="D61" s="429">
        <f>SUMIF([1]Нэгтгэл!B:B,'[1]13'!B:B,[1]Нэгтгэл!CD:CD)</f>
        <v>0</v>
      </c>
      <c r="E61" s="429">
        <f>SUMIF([1]Нэгтгэл!B:B,'[1]13'!B:B,[1]Нэгтгэл!CG:CG)</f>
        <v>0</v>
      </c>
      <c r="F61" s="429">
        <f>SUMIF([1]Нэгтгэл!B:B,'[1]13'!B:B,[1]Нэгтгэл!CJ:CJ)</f>
        <v>0</v>
      </c>
      <c r="G61" s="429">
        <f>SUMIF([1]Нэгтгэл!B:B,'[1]13'!B:B,[1]Нэгтгэл!CM:CM)</f>
        <v>0</v>
      </c>
      <c r="H61" s="429">
        <f>SUMIF([1]Нэгтгэл!B:B,'[1]13'!B:B,[1]Нэгтгэл!CP:CP)</f>
        <v>0</v>
      </c>
      <c r="I61" s="429">
        <f>SUMIF([1]Нэгтгэл!B:B,'[1]13'!B:B,[1]Нэгтгэл!CS:CS)</f>
        <v>0</v>
      </c>
      <c r="J61" s="429">
        <f>SUMIF([1]Нэгтгэл!B:B,'[1]13'!B:B,[1]Нэгтгэл!CV:CV)</f>
        <v>0</v>
      </c>
      <c r="K61" s="429">
        <f>SUMIF([1]Нэгтгэл!B:B,'[1]13'!B:B,[1]Нэгтгэл!CY:CY)</f>
        <v>0</v>
      </c>
      <c r="L61" s="427">
        <v>0</v>
      </c>
      <c r="M61" s="427">
        <v>0</v>
      </c>
      <c r="N61" s="427">
        <v>0</v>
      </c>
      <c r="O61" s="429">
        <f>SUMIF([1]Нэгтгэл!B:B,'[1]13'!B:B,[1]Нэгтгэл!DK:DK)</f>
        <v>0</v>
      </c>
      <c r="P61" s="429">
        <f>SUMIF([1]Нэгтгэл!B:B,'[1]13'!B:B,[1]Нэгтгэл!DN:DN)</f>
        <v>0</v>
      </c>
      <c r="Q61" s="429">
        <f>SUMIF([1]Нэгтгэл!B:B,'[1]13'!B:B,[1]Нэгтгэл!DQ:DQ)</f>
        <v>0</v>
      </c>
      <c r="R61" s="429">
        <f>SUMIF([1]Нэгтгэл!B:B,'[1]13'!B:B,[1]Нэгтгэл!DT:DT)</f>
        <v>0</v>
      </c>
      <c r="S61" s="429">
        <f>SUMIF([1]Нэгтгэл!B:B,'[1]13'!B:B,[1]Нэгтгэл!DW:DW)</f>
        <v>0</v>
      </c>
    </row>
    <row r="62" spans="1:19">
      <c r="A62" s="314">
        <f t="shared" si="0"/>
        <v>60</v>
      </c>
      <c r="B62" s="385">
        <v>3615243</v>
      </c>
      <c r="C62" s="429" t="s">
        <v>232</v>
      </c>
      <c r="D62" s="429">
        <f>SUMIF([1]Нэгтгэл!B:B,'[1]13'!B:B,[1]Нэгтгэл!CD:CD)</f>
        <v>0</v>
      </c>
      <c r="E62" s="429">
        <f>SUMIF([1]Нэгтгэл!B:B,'[1]13'!B:B,[1]Нэгтгэл!CG:CG)</f>
        <v>0</v>
      </c>
      <c r="F62" s="429">
        <f>SUMIF([1]Нэгтгэл!B:B,'[1]13'!B:B,[1]Нэгтгэл!CJ:CJ)</f>
        <v>0</v>
      </c>
      <c r="G62" s="429">
        <f>SUMIF([1]Нэгтгэл!B:B,'[1]13'!B:B,[1]Нэгтгэл!CM:CM)</f>
        <v>0</v>
      </c>
      <c r="H62" s="429">
        <f>SUMIF([1]Нэгтгэл!B:B,'[1]13'!B:B,[1]Нэгтгэл!CP:CP)</f>
        <v>0</v>
      </c>
      <c r="I62" s="429">
        <f>SUMIF([1]Нэгтгэл!B:B,'[1]13'!B:B,[1]Нэгтгэл!CS:CS)</f>
        <v>0</v>
      </c>
      <c r="J62" s="429">
        <f>SUMIF([1]Нэгтгэл!B:B,'[1]13'!B:B,[1]Нэгтгэл!CV:CV)</f>
        <v>0</v>
      </c>
      <c r="K62" s="429">
        <f>SUMIF([1]Нэгтгэл!B:B,'[1]13'!B:B,[1]Нэгтгэл!CY:CY)</f>
        <v>0</v>
      </c>
      <c r="L62" s="427">
        <v>0</v>
      </c>
      <c r="M62" s="427">
        <v>0</v>
      </c>
      <c r="N62" s="427">
        <v>0</v>
      </c>
      <c r="O62" s="429">
        <f>SUMIF([1]Нэгтгэл!B:B,'[1]13'!B:B,[1]Нэгтгэл!DK:DK)</f>
        <v>0</v>
      </c>
      <c r="P62" s="429">
        <f>SUMIF([1]Нэгтгэл!B:B,'[1]13'!B:B,[1]Нэгтгэл!DN:DN)</f>
        <v>0</v>
      </c>
      <c r="Q62" s="429">
        <f>SUMIF([1]Нэгтгэл!B:B,'[1]13'!B:B,[1]Нэгтгэл!DQ:DQ)</f>
        <v>0</v>
      </c>
      <c r="R62" s="429">
        <f>SUMIF([1]Нэгтгэл!B:B,'[1]13'!B:B,[1]Нэгтгэл!DT:DT)</f>
        <v>0</v>
      </c>
      <c r="S62" s="429">
        <f>SUMIF([1]Нэгтгэл!B:B,'[1]13'!B:B,[1]Нэгтгэл!DW:DW)</f>
        <v>0</v>
      </c>
    </row>
    <row r="63" spans="1:19">
      <c r="A63" s="314">
        <f t="shared" si="0"/>
        <v>61</v>
      </c>
      <c r="B63" s="385">
        <v>3623955</v>
      </c>
      <c r="C63" s="429" t="s">
        <v>236</v>
      </c>
      <c r="D63" s="429">
        <f>SUMIF([1]Нэгтгэл!B:B,'[1]13'!B:B,[1]Нэгтгэл!CD:CD)</f>
        <v>0</v>
      </c>
      <c r="E63" s="429">
        <f>SUMIF([1]Нэгтгэл!B:B,'[1]13'!B:B,[1]Нэгтгэл!CG:CG)</f>
        <v>0</v>
      </c>
      <c r="F63" s="429">
        <f>SUMIF([1]Нэгтгэл!B:B,'[1]13'!B:B,[1]Нэгтгэл!CJ:CJ)</f>
        <v>0</v>
      </c>
      <c r="G63" s="429">
        <f>SUMIF([1]Нэгтгэл!B:B,'[1]13'!B:B,[1]Нэгтгэл!CM:CM)</f>
        <v>0</v>
      </c>
      <c r="H63" s="429">
        <f>SUMIF([1]Нэгтгэл!B:B,'[1]13'!B:B,[1]Нэгтгэл!CP:CP)</f>
        <v>0</v>
      </c>
      <c r="I63" s="429">
        <f>SUMIF([1]Нэгтгэл!B:B,'[1]13'!B:B,[1]Нэгтгэл!CS:CS)</f>
        <v>0</v>
      </c>
      <c r="J63" s="429">
        <f>SUMIF([1]Нэгтгэл!B:B,'[1]13'!B:B,[1]Нэгтгэл!CV:CV)</f>
        <v>0</v>
      </c>
      <c r="K63" s="429">
        <f>SUMIF([1]Нэгтгэл!B:B,'[1]13'!B:B,[1]Нэгтгэл!CY:CY)</f>
        <v>0</v>
      </c>
      <c r="L63" s="427">
        <v>0</v>
      </c>
      <c r="M63" s="427">
        <v>0</v>
      </c>
      <c r="N63" s="427">
        <v>0</v>
      </c>
      <c r="O63" s="429">
        <f>SUMIF([1]Нэгтгэл!B:B,'[1]13'!B:B,[1]Нэгтгэл!DK:DK)</f>
        <v>0</v>
      </c>
      <c r="P63" s="429">
        <f>SUMIF([1]Нэгтгэл!B:B,'[1]13'!B:B,[1]Нэгтгэл!DN:DN)</f>
        <v>0</v>
      </c>
      <c r="Q63" s="429">
        <f>SUMIF([1]Нэгтгэл!B:B,'[1]13'!B:B,[1]Нэгтгэл!DQ:DQ)</f>
        <v>0</v>
      </c>
      <c r="R63" s="429">
        <f>SUMIF([1]Нэгтгэл!B:B,'[1]13'!B:B,[1]Нэгтгэл!DT:DT)</f>
        <v>0</v>
      </c>
      <c r="S63" s="429">
        <f>SUMIF([1]Нэгтгэл!B:B,'[1]13'!B:B,[1]Нэгтгэл!DW:DW)</f>
        <v>0</v>
      </c>
    </row>
    <row r="64" spans="1:19">
      <c r="A64" s="314">
        <f t="shared" si="0"/>
        <v>62</v>
      </c>
      <c r="B64" s="385">
        <v>5199077</v>
      </c>
      <c r="C64" s="429" t="s">
        <v>239</v>
      </c>
      <c r="D64" s="429">
        <f>SUMIF([1]Нэгтгэл!B:B,'[1]13'!B:B,[1]Нэгтгэл!CD:CD)</f>
        <v>0</v>
      </c>
      <c r="E64" s="429">
        <f>SUMIF([1]Нэгтгэл!B:B,'[1]13'!B:B,[1]Нэгтгэл!CG:CG)</f>
        <v>0</v>
      </c>
      <c r="F64" s="429">
        <f>SUMIF([1]Нэгтгэл!B:B,'[1]13'!B:B,[1]Нэгтгэл!CJ:CJ)</f>
        <v>0</v>
      </c>
      <c r="G64" s="429">
        <f>SUMIF([1]Нэгтгэл!B:B,'[1]13'!B:B,[1]Нэгтгэл!CM:CM)</f>
        <v>0</v>
      </c>
      <c r="H64" s="429">
        <f>SUMIF([1]Нэгтгэл!B:B,'[1]13'!B:B,[1]Нэгтгэл!CP:CP)</f>
        <v>0</v>
      </c>
      <c r="I64" s="429">
        <f>SUMIF([1]Нэгтгэл!B:B,'[1]13'!B:B,[1]Нэгтгэл!CS:CS)</f>
        <v>0</v>
      </c>
      <c r="J64" s="429">
        <f>SUMIF([1]Нэгтгэл!B:B,'[1]13'!B:B,[1]Нэгтгэл!CV:CV)</f>
        <v>0</v>
      </c>
      <c r="K64" s="429">
        <f>SUMIF([1]Нэгтгэл!B:B,'[1]13'!B:B,[1]Нэгтгэл!CY:CY)</f>
        <v>0</v>
      </c>
      <c r="L64" s="427">
        <v>0</v>
      </c>
      <c r="M64" s="427">
        <v>0</v>
      </c>
      <c r="N64" s="427">
        <v>600000</v>
      </c>
      <c r="O64" s="429">
        <f>SUMIF([1]Нэгтгэл!B:B,'[1]13'!B:B,[1]Нэгтгэл!DK:DK)</f>
        <v>0</v>
      </c>
      <c r="P64" s="429">
        <f>SUMIF([1]Нэгтгэл!B:B,'[1]13'!B:B,[1]Нэгтгэл!DN:DN)</f>
        <v>0</v>
      </c>
      <c r="Q64" s="429">
        <f>SUMIF([1]Нэгтгэл!B:B,'[1]13'!B:B,[1]Нэгтгэл!DQ:DQ)</f>
        <v>0</v>
      </c>
      <c r="R64" s="429">
        <f>SUMIF([1]Нэгтгэл!B:B,'[1]13'!B:B,[1]Нэгтгэл!DT:DT)</f>
        <v>0</v>
      </c>
      <c r="S64" s="429">
        <f>SUMIF([1]Нэгтгэл!B:B,'[1]13'!B:B,[1]Нэгтгэл!DW:DW)</f>
        <v>0</v>
      </c>
    </row>
    <row r="65" spans="1:19">
      <c r="A65" s="314">
        <f t="shared" si="0"/>
        <v>63</v>
      </c>
      <c r="B65" s="385">
        <v>2075385</v>
      </c>
      <c r="C65" s="429" t="s">
        <v>240</v>
      </c>
      <c r="D65" s="429">
        <f>SUMIF([1]Нэгтгэл!B:B,'[1]13'!B:B,[1]Нэгтгэл!CD:CD)</f>
        <v>0</v>
      </c>
      <c r="E65" s="429">
        <f>SUMIF([1]Нэгтгэл!B:B,'[1]13'!B:B,[1]Нэгтгэл!CG:CG)</f>
        <v>0</v>
      </c>
      <c r="F65" s="429">
        <f>SUMIF([1]Нэгтгэл!B:B,'[1]13'!B:B,[1]Нэгтгэл!CJ:CJ)</f>
        <v>0</v>
      </c>
      <c r="G65" s="429">
        <f>SUMIF([1]Нэгтгэл!B:B,'[1]13'!B:B,[1]Нэгтгэл!CM:CM)</f>
        <v>0</v>
      </c>
      <c r="H65" s="429">
        <f>SUMIF([1]Нэгтгэл!B:B,'[1]13'!B:B,[1]Нэгтгэл!CP:CP)</f>
        <v>0</v>
      </c>
      <c r="I65" s="429">
        <f>SUMIF([1]Нэгтгэл!B:B,'[1]13'!B:B,[1]Нэгтгэл!CS:CS)</f>
        <v>0</v>
      </c>
      <c r="J65" s="429">
        <f>SUMIF([1]Нэгтгэл!B:B,'[1]13'!B:B,[1]Нэгтгэл!CV:CV)</f>
        <v>0</v>
      </c>
      <c r="K65" s="429">
        <f>SUMIF([1]Нэгтгэл!B:B,'[1]13'!B:B,[1]Нэгтгэл!CY:CY)</f>
        <v>0</v>
      </c>
      <c r="L65" s="427">
        <v>0</v>
      </c>
      <c r="M65" s="427">
        <v>0</v>
      </c>
      <c r="N65" s="427">
        <v>0</v>
      </c>
      <c r="O65" s="429">
        <f>SUMIF([1]Нэгтгэл!B:B,'[1]13'!B:B,[1]Нэгтгэл!DK:DK)</f>
        <v>0</v>
      </c>
      <c r="P65" s="429">
        <f>SUMIF([1]Нэгтгэл!B:B,'[1]13'!B:B,[1]Нэгтгэл!DN:DN)</f>
        <v>0</v>
      </c>
      <c r="Q65" s="429">
        <f>SUMIF([1]Нэгтгэл!B:B,'[1]13'!B:B,[1]Нэгтгэл!DQ:DQ)</f>
        <v>0</v>
      </c>
      <c r="R65" s="429">
        <f>SUMIF([1]Нэгтгэл!B:B,'[1]13'!B:B,[1]Нэгтгэл!DT:DT)</f>
        <v>0</v>
      </c>
      <c r="S65" s="429">
        <f>SUMIF([1]Нэгтгэл!B:B,'[1]13'!B:B,[1]Нэгтгэл!DW:DW)</f>
        <v>0</v>
      </c>
    </row>
    <row r="66" spans="1:19">
      <c r="A66" s="314">
        <f t="shared" si="0"/>
        <v>64</v>
      </c>
      <c r="B66" s="385">
        <v>2867095</v>
      </c>
      <c r="C66" s="429" t="s">
        <v>241</v>
      </c>
      <c r="D66" s="429">
        <f>SUMIF([1]Нэгтгэл!B:B,'[1]13'!B:B,[1]Нэгтгэл!CD:CD)</f>
        <v>0</v>
      </c>
      <c r="E66" s="429">
        <f>SUMIF([1]Нэгтгэл!B:B,'[1]13'!B:B,[1]Нэгтгэл!CG:CG)</f>
        <v>0</v>
      </c>
      <c r="F66" s="429">
        <f>SUMIF([1]Нэгтгэл!B:B,'[1]13'!B:B,[1]Нэгтгэл!CJ:CJ)</f>
        <v>0</v>
      </c>
      <c r="G66" s="429">
        <f>SUMIF([1]Нэгтгэл!B:B,'[1]13'!B:B,[1]Нэгтгэл!CM:CM)</f>
        <v>0</v>
      </c>
      <c r="H66" s="429">
        <f>SUMIF([1]Нэгтгэл!B:B,'[1]13'!B:B,[1]Нэгтгэл!CP:CP)</f>
        <v>0</v>
      </c>
      <c r="I66" s="429">
        <f>SUMIF([1]Нэгтгэл!B:B,'[1]13'!B:B,[1]Нэгтгэл!CS:CS)</f>
        <v>0</v>
      </c>
      <c r="J66" s="429">
        <f>SUMIF([1]Нэгтгэл!B:B,'[1]13'!B:B,[1]Нэгтгэл!CV:CV)</f>
        <v>0</v>
      </c>
      <c r="K66" s="429">
        <f>SUMIF([1]Нэгтгэл!B:B,'[1]13'!B:B,[1]Нэгтгэл!CY:CY)</f>
        <v>0</v>
      </c>
      <c r="L66" s="427">
        <v>0</v>
      </c>
      <c r="M66" s="427">
        <v>0</v>
      </c>
      <c r="N66" s="427">
        <v>0</v>
      </c>
      <c r="O66" s="429">
        <f>SUMIF([1]Нэгтгэл!B:B,'[1]13'!B:B,[1]Нэгтгэл!DK:DK)</f>
        <v>0</v>
      </c>
      <c r="P66" s="429">
        <f>SUMIF([1]Нэгтгэл!B:B,'[1]13'!B:B,[1]Нэгтгэл!DN:DN)</f>
        <v>0</v>
      </c>
      <c r="Q66" s="429">
        <f>SUMIF([1]Нэгтгэл!B:B,'[1]13'!B:B,[1]Нэгтгэл!DQ:DQ)</f>
        <v>0</v>
      </c>
      <c r="R66" s="429">
        <f>SUMIF([1]Нэгтгэл!B:B,'[1]13'!B:B,[1]Нэгтгэл!DT:DT)</f>
        <v>0</v>
      </c>
      <c r="S66" s="429">
        <f>SUMIF([1]Нэгтгэл!B:B,'[1]13'!B:B,[1]Нэгтгэл!DW:DW)</f>
        <v>0</v>
      </c>
    </row>
    <row r="67" spans="1:19">
      <c r="A67" s="314">
        <f t="shared" si="0"/>
        <v>65</v>
      </c>
      <c r="B67" s="385">
        <v>5076285</v>
      </c>
      <c r="C67" s="429" t="s">
        <v>242</v>
      </c>
      <c r="D67" s="429">
        <f>SUMIF([1]Нэгтгэл!B:B,'[1]13'!B:B,[1]Нэгтгэл!CD:CD)</f>
        <v>0</v>
      </c>
      <c r="E67" s="429">
        <f>SUMIF([1]Нэгтгэл!B:B,'[1]13'!B:B,[1]Нэгтгэл!CG:CG)</f>
        <v>0</v>
      </c>
      <c r="F67" s="429">
        <f>SUMIF([1]Нэгтгэл!B:B,'[1]13'!B:B,[1]Нэгтгэл!CJ:CJ)</f>
        <v>13589.5</v>
      </c>
      <c r="G67" s="429">
        <f>SUMIF([1]Нэгтгэл!B:B,'[1]13'!B:B,[1]Нэгтгэл!CM:CM)</f>
        <v>71135.399999999994</v>
      </c>
      <c r="H67" s="429">
        <f>SUMIF([1]Нэгтгэл!B:B,'[1]13'!B:B,[1]Нэгтгэл!CP:CP)</f>
        <v>0</v>
      </c>
      <c r="I67" s="429">
        <f>SUMIF([1]Нэгтгэл!B:B,'[1]13'!B:B,[1]Нэгтгэл!CS:CS)</f>
        <v>0</v>
      </c>
      <c r="J67" s="429">
        <f>SUMIF([1]Нэгтгэл!B:B,'[1]13'!B:B,[1]Нэгтгэл!CV:CV)</f>
        <v>0</v>
      </c>
      <c r="K67" s="429">
        <f>SUMIF([1]Нэгтгэл!B:B,'[1]13'!B:B,[1]Нэгтгэл!CY:CY)</f>
        <v>0</v>
      </c>
      <c r="L67" s="427">
        <v>0</v>
      </c>
      <c r="M67" s="427">
        <v>0</v>
      </c>
      <c r="N67" s="427">
        <v>0</v>
      </c>
      <c r="O67" s="429">
        <f>SUMIF([1]Нэгтгэл!B:B,'[1]13'!B:B,[1]Нэгтгэл!DK:DK)</f>
        <v>0</v>
      </c>
      <c r="P67" s="429">
        <f>SUMIF([1]Нэгтгэл!B:B,'[1]13'!B:B,[1]Нэгтгэл!DN:DN)</f>
        <v>0</v>
      </c>
      <c r="Q67" s="429">
        <f>SUMIF([1]Нэгтгэл!B:B,'[1]13'!B:B,[1]Нэгтгэл!DQ:DQ)</f>
        <v>0</v>
      </c>
      <c r="R67" s="429">
        <f>SUMIF([1]Нэгтгэл!B:B,'[1]13'!B:B,[1]Нэгтгэл!DT:DT)</f>
        <v>0</v>
      </c>
      <c r="S67" s="429">
        <f>SUMIF([1]Нэгтгэл!B:B,'[1]13'!B:B,[1]Нэгтгэл!DW:DW)</f>
        <v>122250</v>
      </c>
    </row>
    <row r="68" spans="1:19">
      <c r="A68" s="314">
        <f t="shared" si="0"/>
        <v>66</v>
      </c>
      <c r="B68" s="385">
        <v>5084555</v>
      </c>
      <c r="C68" s="429" t="s">
        <v>243</v>
      </c>
      <c r="D68" s="429">
        <f>SUMIF([1]Нэгтгэл!B:B,'[1]13'!B:B,[1]Нэгтгэл!CD:CD)</f>
        <v>0</v>
      </c>
      <c r="E68" s="429">
        <f>SUMIF([1]Нэгтгэл!B:B,'[1]13'!B:B,[1]Нэгтгэл!CG:CG)</f>
        <v>0</v>
      </c>
      <c r="F68" s="429">
        <f>SUMIF([1]Нэгтгэл!B:B,'[1]13'!B:B,[1]Нэгтгэл!CJ:CJ)</f>
        <v>0</v>
      </c>
      <c r="G68" s="429">
        <f>SUMIF([1]Нэгтгэл!B:B,'[1]13'!B:B,[1]Нэгтгэл!CM:CM)</f>
        <v>0</v>
      </c>
      <c r="H68" s="429">
        <f>SUMIF([1]Нэгтгэл!B:B,'[1]13'!B:B,[1]Нэгтгэл!CP:CP)</f>
        <v>0</v>
      </c>
      <c r="I68" s="429">
        <f>SUMIF([1]Нэгтгэл!B:B,'[1]13'!B:B,[1]Нэгтгэл!CS:CS)</f>
        <v>0</v>
      </c>
      <c r="J68" s="429">
        <f>SUMIF([1]Нэгтгэл!B:B,'[1]13'!B:B,[1]Нэгтгэл!CV:CV)</f>
        <v>0</v>
      </c>
      <c r="K68" s="429">
        <f>SUMIF([1]Нэгтгэл!B:B,'[1]13'!B:B,[1]Нэгтгэл!CY:CY)</f>
        <v>0</v>
      </c>
      <c r="L68" s="427">
        <v>0</v>
      </c>
      <c r="M68" s="427">
        <v>0</v>
      </c>
      <c r="N68" s="427">
        <v>0</v>
      </c>
      <c r="O68" s="429">
        <f>SUMIF([1]Нэгтгэл!B:B,'[1]13'!B:B,[1]Нэгтгэл!DK:DK)</f>
        <v>0</v>
      </c>
      <c r="P68" s="429">
        <f>SUMIF([1]Нэгтгэл!B:B,'[1]13'!B:B,[1]Нэгтгэл!DN:DN)</f>
        <v>0</v>
      </c>
      <c r="Q68" s="429">
        <f>SUMIF([1]Нэгтгэл!B:B,'[1]13'!B:B,[1]Нэгтгэл!DQ:DQ)</f>
        <v>0</v>
      </c>
      <c r="R68" s="429">
        <f>SUMIF([1]Нэгтгэл!B:B,'[1]13'!B:B,[1]Нэгтгэл!DT:DT)</f>
        <v>0</v>
      </c>
      <c r="S68" s="429">
        <f>SUMIF([1]Нэгтгэл!B:B,'[1]13'!B:B,[1]Нэгтгэл!DW:DW)</f>
        <v>0</v>
      </c>
    </row>
    <row r="69" spans="1:19">
      <c r="A69" s="314">
        <f t="shared" ref="A69:A127" si="1">A68+1</f>
        <v>67</v>
      </c>
      <c r="B69" s="385">
        <v>5261198</v>
      </c>
      <c r="C69" s="429" t="s">
        <v>244</v>
      </c>
      <c r="D69" s="429">
        <f>SUMIF([1]Нэгтгэл!B:B,'[1]13'!B:B,[1]Нэгтгэл!CD:CD)</f>
        <v>0</v>
      </c>
      <c r="E69" s="429">
        <f>SUMIF([1]Нэгтгэл!B:B,'[1]13'!B:B,[1]Нэгтгэл!CG:CG)</f>
        <v>0</v>
      </c>
      <c r="F69" s="429">
        <f>SUMIF([1]Нэгтгэл!B:B,'[1]13'!B:B,[1]Нэгтгэл!CJ:CJ)</f>
        <v>0</v>
      </c>
      <c r="G69" s="429">
        <f>SUMIF([1]Нэгтгэл!B:B,'[1]13'!B:B,[1]Нэгтгэл!CM:CM)</f>
        <v>0</v>
      </c>
      <c r="H69" s="429">
        <f>SUMIF([1]Нэгтгэл!B:B,'[1]13'!B:B,[1]Нэгтгэл!CP:CP)</f>
        <v>0</v>
      </c>
      <c r="I69" s="429">
        <f>SUMIF([1]Нэгтгэл!B:B,'[1]13'!B:B,[1]Нэгтгэл!CS:CS)</f>
        <v>0</v>
      </c>
      <c r="J69" s="429">
        <f>SUMIF([1]Нэгтгэл!B:B,'[1]13'!B:B,[1]Нэгтгэл!CV:CV)</f>
        <v>0</v>
      </c>
      <c r="K69" s="429">
        <f>SUMIF([1]Нэгтгэл!B:B,'[1]13'!B:B,[1]Нэгтгэл!CY:CY)</f>
        <v>0</v>
      </c>
      <c r="L69" s="427">
        <v>0</v>
      </c>
      <c r="M69" s="427">
        <v>0</v>
      </c>
      <c r="N69" s="427">
        <v>0</v>
      </c>
      <c r="O69" s="429">
        <f>SUMIF([1]Нэгтгэл!B:B,'[1]13'!B:B,[1]Нэгтгэл!DK:DK)</f>
        <v>0</v>
      </c>
      <c r="P69" s="429">
        <f>SUMIF([1]Нэгтгэл!B:B,'[1]13'!B:B,[1]Нэгтгэл!DN:DN)</f>
        <v>0</v>
      </c>
      <c r="Q69" s="429">
        <f>SUMIF([1]Нэгтгэл!B:B,'[1]13'!B:B,[1]Нэгтгэл!DQ:DQ)</f>
        <v>0</v>
      </c>
      <c r="R69" s="429">
        <f>SUMIF([1]Нэгтгэл!B:B,'[1]13'!B:B,[1]Нэгтгэл!DT:DT)</f>
        <v>0</v>
      </c>
      <c r="S69" s="429">
        <f>SUMIF([1]Нэгтгэл!B:B,'[1]13'!B:B,[1]Нэгтгэл!DW:DW)</f>
        <v>0</v>
      </c>
    </row>
    <row r="70" spans="1:19">
      <c r="A70" s="314">
        <f t="shared" si="1"/>
        <v>68</v>
      </c>
      <c r="B70" s="385">
        <v>5288703</v>
      </c>
      <c r="C70" s="429" t="s">
        <v>246</v>
      </c>
      <c r="D70" s="429">
        <f>SUMIF([1]Нэгтгэл!B:B,'[1]13'!B:B,[1]Нэгтгэл!CD:CD)</f>
        <v>33843.1</v>
      </c>
      <c r="E70" s="429">
        <f>SUMIF([1]Нэгтгэл!B:B,'[1]13'!B:B,[1]Нэгтгэл!CG:CG)</f>
        <v>0</v>
      </c>
      <c r="F70" s="429">
        <f>SUMIF([1]Нэгтгэл!B:B,'[1]13'!B:B,[1]Нэгтгэл!CJ:CJ)</f>
        <v>20064.3</v>
      </c>
      <c r="G70" s="429">
        <f>SUMIF([1]Нэгтгэл!B:B,'[1]13'!B:B,[1]Нэгтгэл!CM:CM)</f>
        <v>171103.6</v>
      </c>
      <c r="H70" s="429">
        <f>SUMIF([1]Нэгтгэл!B:B,'[1]13'!B:B,[1]Нэгтгэл!CP:CP)</f>
        <v>0</v>
      </c>
      <c r="I70" s="429">
        <f>SUMIF([1]Нэгтгэл!B:B,'[1]13'!B:B,[1]Нэгтгэл!CS:CS)</f>
        <v>0</v>
      </c>
      <c r="J70" s="429">
        <f>SUMIF([1]Нэгтгэл!B:B,'[1]13'!B:B,[1]Нэгтгэл!CV:CV)</f>
        <v>0</v>
      </c>
      <c r="K70" s="429">
        <f>SUMIF([1]Нэгтгэл!B:B,'[1]13'!B:B,[1]Нэгтгэл!CY:CY)</f>
        <v>0</v>
      </c>
      <c r="L70" s="427">
        <v>0</v>
      </c>
      <c r="M70" s="427">
        <v>0</v>
      </c>
      <c r="N70" s="427">
        <v>0</v>
      </c>
      <c r="O70" s="429">
        <f>SUMIF([1]Нэгтгэл!B:B,'[1]13'!B:B,[1]Нэгтгэл!DK:DK)</f>
        <v>0</v>
      </c>
      <c r="P70" s="429">
        <f>SUMIF([1]Нэгтгэл!B:B,'[1]13'!B:B,[1]Нэгтгэл!DN:DN)</f>
        <v>0</v>
      </c>
      <c r="Q70" s="429">
        <f>SUMIF([1]Нэгтгэл!B:B,'[1]13'!B:B,[1]Нэгтгэл!DQ:DQ)</f>
        <v>0</v>
      </c>
      <c r="R70" s="429">
        <f>SUMIF([1]Нэгтгэл!B:B,'[1]13'!B:B,[1]Нэгтгэл!DT:DT)</f>
        <v>0</v>
      </c>
      <c r="S70" s="429">
        <f>SUMIF([1]Нэгтгэл!B:B,'[1]13'!B:B,[1]Нэгтгэл!DW:DW)</f>
        <v>15000</v>
      </c>
    </row>
    <row r="71" spans="1:19">
      <c r="A71" s="314">
        <f t="shared" si="1"/>
        <v>69</v>
      </c>
      <c r="B71" s="385">
        <v>6232485</v>
      </c>
      <c r="C71" s="429" t="s">
        <v>248</v>
      </c>
      <c r="D71" s="429">
        <f>SUMIF([1]Нэгтгэл!B:B,'[1]13'!B:B,[1]Нэгтгэл!CD:CD)</f>
        <v>0</v>
      </c>
      <c r="E71" s="429">
        <f>SUMIF([1]Нэгтгэл!B:B,'[1]13'!B:B,[1]Нэгтгэл!CG:CG)</f>
        <v>0</v>
      </c>
      <c r="F71" s="429">
        <f>SUMIF([1]Нэгтгэл!B:B,'[1]13'!B:B,[1]Нэгтгэл!CJ:CJ)</f>
        <v>0</v>
      </c>
      <c r="G71" s="429">
        <f>SUMIF([1]Нэгтгэл!B:B,'[1]13'!B:B,[1]Нэгтгэл!CM:CM)</f>
        <v>0</v>
      </c>
      <c r="H71" s="429">
        <f>SUMIF([1]Нэгтгэл!B:B,'[1]13'!B:B,[1]Нэгтгэл!CP:CP)</f>
        <v>0</v>
      </c>
      <c r="I71" s="429">
        <f>SUMIF([1]Нэгтгэл!B:B,'[1]13'!B:B,[1]Нэгтгэл!CS:CS)</f>
        <v>0</v>
      </c>
      <c r="J71" s="429">
        <f>SUMIF([1]Нэгтгэл!B:B,'[1]13'!B:B,[1]Нэгтгэл!CV:CV)</f>
        <v>0</v>
      </c>
      <c r="K71" s="429">
        <f>SUMIF([1]Нэгтгэл!B:B,'[1]13'!B:B,[1]Нэгтгэл!CY:CY)</f>
        <v>0</v>
      </c>
      <c r="L71" s="427">
        <v>0</v>
      </c>
      <c r="M71" s="427">
        <v>0</v>
      </c>
      <c r="N71" s="427">
        <v>0</v>
      </c>
      <c r="O71" s="429">
        <f>SUMIF([1]Нэгтгэл!B:B,'[1]13'!B:B,[1]Нэгтгэл!DK:DK)</f>
        <v>0</v>
      </c>
      <c r="P71" s="429">
        <f>SUMIF([1]Нэгтгэл!B:B,'[1]13'!B:B,[1]Нэгтгэл!DN:DN)</f>
        <v>0</v>
      </c>
      <c r="Q71" s="429">
        <f>SUMIF([1]Нэгтгэл!B:B,'[1]13'!B:B,[1]Нэгтгэл!DQ:DQ)</f>
        <v>0</v>
      </c>
      <c r="R71" s="429">
        <f>SUMIF([1]Нэгтгэл!B:B,'[1]13'!B:B,[1]Нэгтгэл!DT:DT)</f>
        <v>0</v>
      </c>
      <c r="S71" s="429">
        <f>SUMIF([1]Нэгтгэл!B:B,'[1]13'!B:B,[1]Нэгтгэл!DW:DW)</f>
        <v>0</v>
      </c>
    </row>
    <row r="72" spans="1:19">
      <c r="A72" s="314">
        <f t="shared" si="1"/>
        <v>70</v>
      </c>
      <c r="B72" s="385">
        <v>6101615</v>
      </c>
      <c r="C72" s="429" t="s">
        <v>249</v>
      </c>
      <c r="D72" s="429">
        <f>SUMIF([1]Нэгтгэл!B:B,'[1]13'!B:B,[1]Нэгтгэл!CD:CD)</f>
        <v>0</v>
      </c>
      <c r="E72" s="429">
        <f>SUMIF([1]Нэгтгэл!B:B,'[1]13'!B:B,[1]Нэгтгэл!CG:CG)</f>
        <v>0</v>
      </c>
      <c r="F72" s="429">
        <f>SUMIF([1]Нэгтгэл!B:B,'[1]13'!B:B,[1]Нэгтгэл!CJ:CJ)</f>
        <v>0</v>
      </c>
      <c r="G72" s="429">
        <f>SUMIF([1]Нэгтгэл!B:B,'[1]13'!B:B,[1]Нэгтгэл!CM:CM)</f>
        <v>0</v>
      </c>
      <c r="H72" s="429">
        <f>SUMIF([1]Нэгтгэл!B:B,'[1]13'!B:B,[1]Нэгтгэл!CP:CP)</f>
        <v>0</v>
      </c>
      <c r="I72" s="429">
        <f>SUMIF([1]Нэгтгэл!B:B,'[1]13'!B:B,[1]Нэгтгэл!CS:CS)</f>
        <v>0</v>
      </c>
      <c r="J72" s="429">
        <f>SUMIF([1]Нэгтгэл!B:B,'[1]13'!B:B,[1]Нэгтгэл!CV:CV)</f>
        <v>0</v>
      </c>
      <c r="K72" s="429">
        <f>SUMIF([1]Нэгтгэл!B:B,'[1]13'!B:B,[1]Нэгтгэл!CY:CY)</f>
        <v>0</v>
      </c>
      <c r="L72" s="427">
        <v>0</v>
      </c>
      <c r="M72" s="427">
        <v>0</v>
      </c>
      <c r="N72" s="427">
        <v>0</v>
      </c>
      <c r="O72" s="429">
        <f>SUMIF([1]Нэгтгэл!B:B,'[1]13'!B:B,[1]Нэгтгэл!DK:DK)</f>
        <v>0</v>
      </c>
      <c r="P72" s="429">
        <f>SUMIF([1]Нэгтгэл!B:B,'[1]13'!B:B,[1]Нэгтгэл!DN:DN)</f>
        <v>0</v>
      </c>
      <c r="Q72" s="429">
        <f>SUMIF([1]Нэгтгэл!B:B,'[1]13'!B:B,[1]Нэгтгэл!DQ:DQ)</f>
        <v>0</v>
      </c>
      <c r="R72" s="429">
        <f>SUMIF([1]Нэгтгэл!B:B,'[1]13'!B:B,[1]Нэгтгэл!DT:DT)</f>
        <v>0</v>
      </c>
      <c r="S72" s="429">
        <f>SUMIF([1]Нэгтгэл!B:B,'[1]13'!B:B,[1]Нэгтгэл!DW:DW)</f>
        <v>0</v>
      </c>
    </row>
    <row r="73" spans="1:19">
      <c r="A73" s="314">
        <f t="shared" si="1"/>
        <v>71</v>
      </c>
      <c r="B73" s="385">
        <v>5120365</v>
      </c>
      <c r="C73" s="429" t="s">
        <v>250</v>
      </c>
      <c r="D73" s="429">
        <f>SUMIF([1]Нэгтгэл!B:B,'[1]13'!B:B,[1]Нэгтгэл!CD:CD)</f>
        <v>0</v>
      </c>
      <c r="E73" s="429">
        <f>SUMIF([1]Нэгтгэл!B:B,'[1]13'!B:B,[1]Нэгтгэл!CG:CG)</f>
        <v>0</v>
      </c>
      <c r="F73" s="429">
        <f>SUMIF([1]Нэгтгэл!B:B,'[1]13'!B:B,[1]Нэгтгэл!CJ:CJ)</f>
        <v>0</v>
      </c>
      <c r="G73" s="429">
        <f>SUMIF([1]Нэгтгэл!B:B,'[1]13'!B:B,[1]Нэгтгэл!CM:CM)</f>
        <v>0</v>
      </c>
      <c r="H73" s="429">
        <f>SUMIF([1]Нэгтгэл!B:B,'[1]13'!B:B,[1]Нэгтгэл!CP:CP)</f>
        <v>0</v>
      </c>
      <c r="I73" s="429">
        <f>SUMIF([1]Нэгтгэл!B:B,'[1]13'!B:B,[1]Нэгтгэл!CS:CS)</f>
        <v>0</v>
      </c>
      <c r="J73" s="429">
        <f>SUMIF([1]Нэгтгэл!B:B,'[1]13'!B:B,[1]Нэгтгэл!CV:CV)</f>
        <v>0</v>
      </c>
      <c r="K73" s="429">
        <f>SUMIF([1]Нэгтгэл!B:B,'[1]13'!B:B,[1]Нэгтгэл!CY:CY)</f>
        <v>0</v>
      </c>
      <c r="L73" s="427">
        <v>0</v>
      </c>
      <c r="M73" s="427">
        <v>0</v>
      </c>
      <c r="N73" s="427">
        <v>0</v>
      </c>
      <c r="O73" s="429">
        <f>SUMIF([1]Нэгтгэл!B:B,'[1]13'!B:B,[1]Нэгтгэл!DK:DK)</f>
        <v>0</v>
      </c>
      <c r="P73" s="429">
        <f>SUMIF([1]Нэгтгэл!B:B,'[1]13'!B:B,[1]Нэгтгэл!DN:DN)</f>
        <v>0</v>
      </c>
      <c r="Q73" s="429">
        <f>SUMIF([1]Нэгтгэл!B:B,'[1]13'!B:B,[1]Нэгтгэл!DQ:DQ)</f>
        <v>0</v>
      </c>
      <c r="R73" s="429">
        <f>SUMIF([1]Нэгтгэл!B:B,'[1]13'!B:B,[1]Нэгтгэл!DT:DT)</f>
        <v>0</v>
      </c>
      <c r="S73" s="429">
        <f>SUMIF([1]Нэгтгэл!B:B,'[1]13'!B:B,[1]Нэгтгэл!DW:DW)</f>
        <v>0</v>
      </c>
    </row>
    <row r="74" spans="1:19">
      <c r="A74" s="314">
        <f t="shared" si="1"/>
        <v>72</v>
      </c>
      <c r="B74" s="385">
        <v>2016656</v>
      </c>
      <c r="C74" s="429" t="s">
        <v>251</v>
      </c>
      <c r="D74" s="429">
        <f>SUMIF([1]Нэгтгэл!B:B,'[1]13'!B:B,[1]Нэгтгэл!CD:CD)</f>
        <v>0</v>
      </c>
      <c r="E74" s="429">
        <f>SUMIF([1]Нэгтгэл!B:B,'[1]13'!B:B,[1]Нэгтгэл!CG:CG)</f>
        <v>0</v>
      </c>
      <c r="F74" s="429">
        <f>SUMIF([1]Нэгтгэл!B:B,'[1]13'!B:B,[1]Нэгтгэл!CJ:CJ)</f>
        <v>0</v>
      </c>
      <c r="G74" s="429">
        <f>SUMIF([1]Нэгтгэл!B:B,'[1]13'!B:B,[1]Нэгтгэл!CM:CM)</f>
        <v>0</v>
      </c>
      <c r="H74" s="429">
        <f>SUMIF([1]Нэгтгэл!B:B,'[1]13'!B:B,[1]Нэгтгэл!CP:CP)</f>
        <v>0</v>
      </c>
      <c r="I74" s="429">
        <f>SUMIF([1]Нэгтгэл!B:B,'[1]13'!B:B,[1]Нэгтгэл!CS:CS)</f>
        <v>0</v>
      </c>
      <c r="J74" s="429">
        <f>SUMIF([1]Нэгтгэл!B:B,'[1]13'!B:B,[1]Нэгтгэл!CV:CV)</f>
        <v>0</v>
      </c>
      <c r="K74" s="429">
        <f>SUMIF([1]Нэгтгэл!B:B,'[1]13'!B:B,[1]Нэгтгэл!CY:CY)</f>
        <v>0</v>
      </c>
      <c r="L74" s="427">
        <v>0</v>
      </c>
      <c r="M74" s="427">
        <v>0</v>
      </c>
      <c r="N74" s="427">
        <v>0</v>
      </c>
      <c r="O74" s="429">
        <f>SUMIF([1]Нэгтгэл!B:B,'[1]13'!B:B,[1]Нэгтгэл!DK:DK)</f>
        <v>0</v>
      </c>
      <c r="P74" s="429">
        <f>SUMIF([1]Нэгтгэл!B:B,'[1]13'!B:B,[1]Нэгтгэл!DN:DN)</f>
        <v>0</v>
      </c>
      <c r="Q74" s="429">
        <f>SUMIF([1]Нэгтгэл!B:B,'[1]13'!B:B,[1]Нэгтгэл!DQ:DQ)</f>
        <v>0</v>
      </c>
      <c r="R74" s="429">
        <f>SUMIF([1]Нэгтгэл!B:B,'[1]13'!B:B,[1]Нэгтгэл!DT:DT)</f>
        <v>0</v>
      </c>
      <c r="S74" s="429">
        <f>SUMIF([1]Нэгтгэл!B:B,'[1]13'!B:B,[1]Нэгтгэл!DW:DW)</f>
        <v>0</v>
      </c>
    </row>
    <row r="75" spans="1:19">
      <c r="A75" s="314">
        <f t="shared" si="1"/>
        <v>73</v>
      </c>
      <c r="B75" s="385">
        <v>5872006</v>
      </c>
      <c r="C75" s="429" t="s">
        <v>253</v>
      </c>
      <c r="D75" s="429">
        <f>SUMIF([1]Нэгтгэл!B:B,'[1]13'!B:B,[1]Нэгтгэл!CD:CD)</f>
        <v>0</v>
      </c>
      <c r="E75" s="429">
        <f>SUMIF([1]Нэгтгэл!B:B,'[1]13'!B:B,[1]Нэгтгэл!CG:CG)</f>
        <v>0</v>
      </c>
      <c r="F75" s="429">
        <f>SUMIF([1]Нэгтгэл!B:B,'[1]13'!B:B,[1]Нэгтгэл!CJ:CJ)</f>
        <v>0</v>
      </c>
      <c r="G75" s="429">
        <f>SUMIF([1]Нэгтгэл!B:B,'[1]13'!B:B,[1]Нэгтгэл!CM:CM)</f>
        <v>0</v>
      </c>
      <c r="H75" s="429">
        <f>SUMIF([1]Нэгтгэл!B:B,'[1]13'!B:B,[1]Нэгтгэл!CP:CP)</f>
        <v>0</v>
      </c>
      <c r="I75" s="429">
        <f>SUMIF([1]Нэгтгэл!B:B,'[1]13'!B:B,[1]Нэгтгэл!CS:CS)</f>
        <v>0</v>
      </c>
      <c r="J75" s="429">
        <f>SUMIF([1]Нэгтгэл!B:B,'[1]13'!B:B,[1]Нэгтгэл!CV:CV)</f>
        <v>0</v>
      </c>
      <c r="K75" s="429">
        <f>SUMIF([1]Нэгтгэл!B:B,'[1]13'!B:B,[1]Нэгтгэл!CY:CY)</f>
        <v>0</v>
      </c>
      <c r="L75" s="427">
        <v>0</v>
      </c>
      <c r="M75" s="427">
        <v>0</v>
      </c>
      <c r="N75" s="427">
        <v>0</v>
      </c>
      <c r="O75" s="429">
        <f>SUMIF([1]Нэгтгэл!B:B,'[1]13'!B:B,[1]Нэгтгэл!DK:DK)</f>
        <v>0</v>
      </c>
      <c r="P75" s="429">
        <f>SUMIF([1]Нэгтгэл!B:B,'[1]13'!B:B,[1]Нэгтгэл!DN:DN)</f>
        <v>0</v>
      </c>
      <c r="Q75" s="429">
        <f>SUMIF([1]Нэгтгэл!B:B,'[1]13'!B:B,[1]Нэгтгэл!DQ:DQ)</f>
        <v>0</v>
      </c>
      <c r="R75" s="429">
        <f>SUMIF([1]Нэгтгэл!B:B,'[1]13'!B:B,[1]Нэгтгэл!DT:DT)</f>
        <v>0</v>
      </c>
      <c r="S75" s="429">
        <f>SUMIF([1]Нэгтгэл!B:B,'[1]13'!B:B,[1]Нэгтгэл!DW:DW)</f>
        <v>0</v>
      </c>
    </row>
    <row r="76" spans="1:19">
      <c r="A76" s="314">
        <f t="shared" si="1"/>
        <v>74</v>
      </c>
      <c r="B76" s="385">
        <v>5774047</v>
      </c>
      <c r="C76" s="429" t="s">
        <v>254</v>
      </c>
      <c r="D76" s="429">
        <f>SUMIF([1]Нэгтгэл!B:B,'[1]13'!B:B,[1]Нэгтгэл!CD:CD)</f>
        <v>0</v>
      </c>
      <c r="E76" s="429">
        <f>SUMIF([1]Нэгтгэл!B:B,'[1]13'!B:B,[1]Нэгтгэл!CG:CG)</f>
        <v>0</v>
      </c>
      <c r="F76" s="429">
        <f>SUMIF([1]Нэгтгэл!B:B,'[1]13'!B:B,[1]Нэгтгэл!CJ:CJ)</f>
        <v>0</v>
      </c>
      <c r="G76" s="429">
        <f>SUMIF([1]Нэгтгэл!B:B,'[1]13'!B:B,[1]Нэгтгэл!CM:CM)</f>
        <v>0</v>
      </c>
      <c r="H76" s="429">
        <f>SUMIF([1]Нэгтгэл!B:B,'[1]13'!B:B,[1]Нэгтгэл!CP:CP)</f>
        <v>0</v>
      </c>
      <c r="I76" s="429">
        <f>SUMIF([1]Нэгтгэл!B:B,'[1]13'!B:B,[1]Нэгтгэл!CS:CS)</f>
        <v>0</v>
      </c>
      <c r="J76" s="429">
        <f>SUMIF([1]Нэгтгэл!B:B,'[1]13'!B:B,[1]Нэгтгэл!CV:CV)</f>
        <v>0</v>
      </c>
      <c r="K76" s="429">
        <f>SUMIF([1]Нэгтгэл!B:B,'[1]13'!B:B,[1]Нэгтгэл!CY:CY)</f>
        <v>0</v>
      </c>
      <c r="L76" s="427">
        <v>0</v>
      </c>
      <c r="M76" s="427">
        <v>0</v>
      </c>
      <c r="N76" s="427">
        <v>0</v>
      </c>
      <c r="O76" s="429">
        <f>SUMIF([1]Нэгтгэл!B:B,'[1]13'!B:B,[1]Нэгтгэл!DK:DK)</f>
        <v>0</v>
      </c>
      <c r="P76" s="429">
        <f>SUMIF([1]Нэгтгэл!B:B,'[1]13'!B:B,[1]Нэгтгэл!DN:DN)</f>
        <v>0</v>
      </c>
      <c r="Q76" s="429">
        <f>SUMIF([1]Нэгтгэл!B:B,'[1]13'!B:B,[1]Нэгтгэл!DQ:DQ)</f>
        <v>0</v>
      </c>
      <c r="R76" s="429">
        <f>SUMIF([1]Нэгтгэл!B:B,'[1]13'!B:B,[1]Нэгтгэл!DT:DT)</f>
        <v>0</v>
      </c>
      <c r="S76" s="429">
        <f>SUMIF([1]Нэгтгэл!B:B,'[1]13'!B:B,[1]Нэгтгэл!DW:DW)</f>
        <v>0</v>
      </c>
    </row>
    <row r="77" spans="1:19">
      <c r="A77" s="314">
        <f t="shared" si="1"/>
        <v>75</v>
      </c>
      <c r="B77" s="385">
        <v>5105439</v>
      </c>
      <c r="C77" s="429" t="s">
        <v>257</v>
      </c>
      <c r="D77" s="429">
        <f>SUMIF([1]Нэгтгэл!B:B,'[1]13'!B:B,[1]Нэгтгэл!CD:CD)</f>
        <v>0</v>
      </c>
      <c r="E77" s="429">
        <f>SUMIF([1]Нэгтгэл!B:B,'[1]13'!B:B,[1]Нэгтгэл!CG:CG)</f>
        <v>0</v>
      </c>
      <c r="F77" s="429">
        <f>SUMIF([1]Нэгтгэл!B:B,'[1]13'!B:B,[1]Нэгтгэл!CJ:CJ)</f>
        <v>0</v>
      </c>
      <c r="G77" s="429">
        <f>SUMIF([1]Нэгтгэл!B:B,'[1]13'!B:B,[1]Нэгтгэл!CM:CM)</f>
        <v>0</v>
      </c>
      <c r="H77" s="429">
        <f>SUMIF([1]Нэгтгэл!B:B,'[1]13'!B:B,[1]Нэгтгэл!CP:CP)</f>
        <v>0</v>
      </c>
      <c r="I77" s="429">
        <f>SUMIF([1]Нэгтгэл!B:B,'[1]13'!B:B,[1]Нэгтгэл!CS:CS)</f>
        <v>0</v>
      </c>
      <c r="J77" s="429">
        <f>SUMIF([1]Нэгтгэл!B:B,'[1]13'!B:B,[1]Нэгтгэл!CV:CV)</f>
        <v>0</v>
      </c>
      <c r="K77" s="429">
        <f>SUMIF([1]Нэгтгэл!B:B,'[1]13'!B:B,[1]Нэгтгэл!CY:CY)</f>
        <v>0</v>
      </c>
      <c r="L77" s="427">
        <v>0</v>
      </c>
      <c r="M77" s="427">
        <v>0</v>
      </c>
      <c r="N77" s="427">
        <v>0</v>
      </c>
      <c r="O77" s="429">
        <f>SUMIF([1]Нэгтгэл!B:B,'[1]13'!B:B,[1]Нэгтгэл!DK:DK)</f>
        <v>0</v>
      </c>
      <c r="P77" s="429">
        <f>SUMIF([1]Нэгтгэл!B:B,'[1]13'!B:B,[1]Нэгтгэл!DN:DN)</f>
        <v>0</v>
      </c>
      <c r="Q77" s="429">
        <f>SUMIF([1]Нэгтгэл!B:B,'[1]13'!B:B,[1]Нэгтгэл!DQ:DQ)</f>
        <v>0</v>
      </c>
      <c r="R77" s="429">
        <f>SUMIF([1]Нэгтгэл!B:B,'[1]13'!B:B,[1]Нэгтгэл!DT:DT)</f>
        <v>0</v>
      </c>
      <c r="S77" s="429">
        <f>SUMIF([1]Нэгтгэл!B:B,'[1]13'!B:B,[1]Нэгтгэл!DW:DW)</f>
        <v>0</v>
      </c>
    </row>
    <row r="78" spans="1:19">
      <c r="A78" s="314">
        <f t="shared" si="1"/>
        <v>76</v>
      </c>
      <c r="B78" s="385">
        <v>2663813</v>
      </c>
      <c r="C78" s="429" t="s">
        <v>258</v>
      </c>
      <c r="D78" s="429">
        <f>SUMIF([1]Нэгтгэл!B:B,'[1]13'!B:B,[1]Нэгтгэл!CD:CD)</f>
        <v>0</v>
      </c>
      <c r="E78" s="429">
        <f>SUMIF([1]Нэгтгэл!B:B,'[1]13'!B:B,[1]Нэгтгэл!CG:CG)</f>
        <v>0</v>
      </c>
      <c r="F78" s="429">
        <f>SUMIF([1]Нэгтгэл!B:B,'[1]13'!B:B,[1]Нэгтгэл!CJ:CJ)</f>
        <v>0</v>
      </c>
      <c r="G78" s="429">
        <f>SUMIF([1]Нэгтгэл!B:B,'[1]13'!B:B,[1]Нэгтгэл!CM:CM)</f>
        <v>0</v>
      </c>
      <c r="H78" s="429">
        <f>SUMIF([1]Нэгтгэл!B:B,'[1]13'!B:B,[1]Нэгтгэл!CP:CP)</f>
        <v>0</v>
      </c>
      <c r="I78" s="429">
        <f>SUMIF([1]Нэгтгэл!B:B,'[1]13'!B:B,[1]Нэгтгэл!CS:CS)</f>
        <v>0</v>
      </c>
      <c r="J78" s="429">
        <f>SUMIF([1]Нэгтгэл!B:B,'[1]13'!B:B,[1]Нэгтгэл!CV:CV)</f>
        <v>0</v>
      </c>
      <c r="K78" s="429">
        <f>SUMIF([1]Нэгтгэл!B:B,'[1]13'!B:B,[1]Нэгтгэл!CY:CY)</f>
        <v>0</v>
      </c>
      <c r="L78" s="427">
        <v>0</v>
      </c>
      <c r="M78" s="427">
        <v>0</v>
      </c>
      <c r="N78" s="427">
        <v>0</v>
      </c>
      <c r="O78" s="429">
        <f>SUMIF([1]Нэгтгэл!B:B,'[1]13'!B:B,[1]Нэгтгэл!DK:DK)</f>
        <v>0</v>
      </c>
      <c r="P78" s="429">
        <f>SUMIF([1]Нэгтгэл!B:B,'[1]13'!B:B,[1]Нэгтгэл!DN:DN)</f>
        <v>0</v>
      </c>
      <c r="Q78" s="429">
        <f>SUMIF([1]Нэгтгэл!B:B,'[1]13'!B:B,[1]Нэгтгэл!DQ:DQ)</f>
        <v>0</v>
      </c>
      <c r="R78" s="429">
        <f>SUMIF([1]Нэгтгэл!B:B,'[1]13'!B:B,[1]Нэгтгэл!DT:DT)</f>
        <v>0</v>
      </c>
      <c r="S78" s="429">
        <f>SUMIF([1]Нэгтгэл!B:B,'[1]13'!B:B,[1]Нэгтгэл!DW:DW)</f>
        <v>0</v>
      </c>
    </row>
    <row r="79" spans="1:19">
      <c r="A79" s="314">
        <f t="shared" si="1"/>
        <v>77</v>
      </c>
      <c r="B79" s="385">
        <v>2016931</v>
      </c>
      <c r="C79" s="429" t="s">
        <v>260</v>
      </c>
      <c r="D79" s="429">
        <f>SUMIF([1]Нэгтгэл!B:B,'[1]13'!B:B,[1]Нэгтгэл!CD:CD)</f>
        <v>1089.7</v>
      </c>
      <c r="E79" s="429">
        <f>SUMIF([1]Нэгтгэл!B:B,'[1]13'!B:B,[1]Нэгтгэл!CG:CG)</f>
        <v>0</v>
      </c>
      <c r="F79" s="429">
        <f>SUMIF([1]Нэгтгэл!B:B,'[1]13'!B:B,[1]Нэгтгэл!CJ:CJ)</f>
        <v>1588.1</v>
      </c>
      <c r="G79" s="429">
        <f>SUMIF([1]Нэгтгэл!B:B,'[1]13'!B:B,[1]Нэгтгэл!CM:CM)</f>
        <v>0</v>
      </c>
      <c r="H79" s="429">
        <f>SUMIF([1]Нэгтгэл!B:B,'[1]13'!B:B,[1]Нэгтгэл!CP:CP)</f>
        <v>0</v>
      </c>
      <c r="I79" s="429">
        <f>SUMIF([1]Нэгтгэл!B:B,'[1]13'!B:B,[1]Нэгтгэл!CS:CS)</f>
        <v>0</v>
      </c>
      <c r="J79" s="429">
        <f>SUMIF([1]Нэгтгэл!B:B,'[1]13'!B:B,[1]Нэгтгэл!CV:CV)</f>
        <v>0</v>
      </c>
      <c r="K79" s="429">
        <f>SUMIF([1]Нэгтгэл!B:B,'[1]13'!B:B,[1]Нэгтгэл!CY:CY)</f>
        <v>0</v>
      </c>
      <c r="L79" s="427">
        <v>0</v>
      </c>
      <c r="M79" s="427">
        <v>0</v>
      </c>
      <c r="N79" s="427">
        <v>0</v>
      </c>
      <c r="O79" s="429">
        <f>SUMIF([1]Нэгтгэл!B:B,'[1]13'!B:B,[1]Нэгтгэл!DK:DK)</f>
        <v>0</v>
      </c>
      <c r="P79" s="429">
        <f>SUMIF([1]Нэгтгэл!B:B,'[1]13'!B:B,[1]Нэгтгэл!DN:DN)</f>
        <v>0</v>
      </c>
      <c r="Q79" s="429">
        <f>SUMIF([1]Нэгтгэл!B:B,'[1]13'!B:B,[1]Нэгтгэл!DQ:DQ)</f>
        <v>0</v>
      </c>
      <c r="R79" s="429">
        <f>SUMIF([1]Нэгтгэл!B:B,'[1]13'!B:B,[1]Нэгтгэл!DT:DT)</f>
        <v>0</v>
      </c>
      <c r="S79" s="429">
        <f>SUMIF([1]Нэгтгэл!B:B,'[1]13'!B:B,[1]Нэгтгэл!DW:DW)</f>
        <v>0</v>
      </c>
    </row>
    <row r="80" spans="1:19">
      <c r="A80" s="314">
        <f t="shared" si="1"/>
        <v>78</v>
      </c>
      <c r="B80" s="385">
        <v>5513618</v>
      </c>
      <c r="C80" s="429" t="s">
        <v>263</v>
      </c>
      <c r="D80" s="429">
        <f>SUMIF([1]Нэгтгэл!B:B,'[1]13'!B:B,[1]Нэгтгэл!CD:CD)</f>
        <v>0</v>
      </c>
      <c r="E80" s="429">
        <f>SUMIF([1]Нэгтгэл!B:B,'[1]13'!B:B,[1]Нэгтгэл!CG:CG)</f>
        <v>0</v>
      </c>
      <c r="F80" s="429">
        <f>SUMIF([1]Нэгтгэл!B:B,'[1]13'!B:B,[1]Нэгтгэл!CJ:CJ)</f>
        <v>0</v>
      </c>
      <c r="G80" s="429">
        <f>SUMIF([1]Нэгтгэл!B:B,'[1]13'!B:B,[1]Нэгтгэл!CM:CM)</f>
        <v>0</v>
      </c>
      <c r="H80" s="429">
        <f>SUMIF([1]Нэгтгэл!B:B,'[1]13'!B:B,[1]Нэгтгэл!CP:CP)</f>
        <v>0</v>
      </c>
      <c r="I80" s="429">
        <f>SUMIF([1]Нэгтгэл!B:B,'[1]13'!B:B,[1]Нэгтгэл!CS:CS)</f>
        <v>0</v>
      </c>
      <c r="J80" s="429">
        <f>SUMIF([1]Нэгтгэл!B:B,'[1]13'!B:B,[1]Нэгтгэл!CV:CV)</f>
        <v>0</v>
      </c>
      <c r="K80" s="429">
        <f>SUMIF([1]Нэгтгэл!B:B,'[1]13'!B:B,[1]Нэгтгэл!CY:CY)</f>
        <v>0</v>
      </c>
      <c r="L80" s="427">
        <v>0</v>
      </c>
      <c r="M80" s="427">
        <v>0</v>
      </c>
      <c r="N80" s="427">
        <v>0</v>
      </c>
      <c r="O80" s="429">
        <f>SUMIF([1]Нэгтгэл!B:B,'[1]13'!B:B,[1]Нэгтгэл!DK:DK)</f>
        <v>0</v>
      </c>
      <c r="P80" s="429">
        <f>SUMIF([1]Нэгтгэл!B:B,'[1]13'!B:B,[1]Нэгтгэл!DN:DN)</f>
        <v>0</v>
      </c>
      <c r="Q80" s="429">
        <f>SUMIF([1]Нэгтгэл!B:B,'[1]13'!B:B,[1]Нэгтгэл!DQ:DQ)</f>
        <v>0</v>
      </c>
      <c r="R80" s="429">
        <f>SUMIF([1]Нэгтгэл!B:B,'[1]13'!B:B,[1]Нэгтгэл!DT:DT)</f>
        <v>0</v>
      </c>
      <c r="S80" s="429">
        <f>SUMIF([1]Нэгтгэл!B:B,'[1]13'!B:B,[1]Нэгтгэл!DW:DW)</f>
        <v>0</v>
      </c>
    </row>
    <row r="81" spans="1:19">
      <c r="A81" s="314">
        <f t="shared" si="1"/>
        <v>79</v>
      </c>
      <c r="B81" s="385">
        <v>2807459</v>
      </c>
      <c r="C81" s="429" t="s">
        <v>264</v>
      </c>
      <c r="D81" s="429">
        <f>SUMIF([1]Нэгтгэл!B:B,'[1]13'!B:B,[1]Нэгтгэл!CD:CD)</f>
        <v>0</v>
      </c>
      <c r="E81" s="429">
        <f>SUMIF([1]Нэгтгэл!B:B,'[1]13'!B:B,[1]Нэгтгэл!CG:CG)</f>
        <v>0</v>
      </c>
      <c r="F81" s="429">
        <f>SUMIF([1]Нэгтгэл!B:B,'[1]13'!B:B,[1]Нэгтгэл!CJ:CJ)</f>
        <v>0</v>
      </c>
      <c r="G81" s="429">
        <f>SUMIF([1]Нэгтгэл!B:B,'[1]13'!B:B,[1]Нэгтгэл!CM:CM)</f>
        <v>0</v>
      </c>
      <c r="H81" s="429">
        <f>SUMIF([1]Нэгтгэл!B:B,'[1]13'!B:B,[1]Нэгтгэл!CP:CP)</f>
        <v>0</v>
      </c>
      <c r="I81" s="429">
        <f>SUMIF([1]Нэгтгэл!B:B,'[1]13'!B:B,[1]Нэгтгэл!CS:CS)</f>
        <v>0</v>
      </c>
      <c r="J81" s="429">
        <f>SUMIF([1]Нэгтгэл!B:B,'[1]13'!B:B,[1]Нэгтгэл!CV:CV)</f>
        <v>0</v>
      </c>
      <c r="K81" s="429">
        <f>SUMIF([1]Нэгтгэл!B:B,'[1]13'!B:B,[1]Нэгтгэл!CY:CY)</f>
        <v>0</v>
      </c>
      <c r="L81" s="427">
        <v>0</v>
      </c>
      <c r="M81" s="427">
        <v>0</v>
      </c>
      <c r="N81" s="427">
        <v>0</v>
      </c>
      <c r="O81" s="429">
        <f>SUMIF([1]Нэгтгэл!B:B,'[1]13'!B:B,[1]Нэгтгэл!DK:DK)</f>
        <v>0</v>
      </c>
      <c r="P81" s="429">
        <f>SUMIF([1]Нэгтгэл!B:B,'[1]13'!B:B,[1]Нэгтгэл!DN:DN)</f>
        <v>0</v>
      </c>
      <c r="Q81" s="429">
        <f>SUMIF([1]Нэгтгэл!B:B,'[1]13'!B:B,[1]Нэгтгэл!DQ:DQ)</f>
        <v>0</v>
      </c>
      <c r="R81" s="429">
        <f>SUMIF([1]Нэгтгэл!B:B,'[1]13'!B:B,[1]Нэгтгэл!DT:DT)</f>
        <v>0</v>
      </c>
      <c r="S81" s="429">
        <f>SUMIF([1]Нэгтгэл!B:B,'[1]13'!B:B,[1]Нэгтгэл!DW:DW)</f>
        <v>0</v>
      </c>
    </row>
    <row r="82" spans="1:19">
      <c r="A82" s="314">
        <f t="shared" si="1"/>
        <v>80</v>
      </c>
      <c r="B82" s="385">
        <v>2872943</v>
      </c>
      <c r="C82" s="429" t="s">
        <v>265</v>
      </c>
      <c r="D82" s="429">
        <f>SUMIF([1]Нэгтгэл!B:B,'[1]13'!B:B,[1]Нэгтгэл!CD:CD)</f>
        <v>0</v>
      </c>
      <c r="E82" s="429">
        <f>SUMIF([1]Нэгтгэл!B:B,'[1]13'!B:B,[1]Нэгтгэл!CG:CG)</f>
        <v>0</v>
      </c>
      <c r="F82" s="429">
        <f>SUMIF([1]Нэгтгэл!B:B,'[1]13'!B:B,[1]Нэгтгэл!CJ:CJ)</f>
        <v>0</v>
      </c>
      <c r="G82" s="429">
        <f>SUMIF([1]Нэгтгэл!B:B,'[1]13'!B:B,[1]Нэгтгэл!CM:CM)</f>
        <v>0</v>
      </c>
      <c r="H82" s="429">
        <f>SUMIF([1]Нэгтгэл!B:B,'[1]13'!B:B,[1]Нэгтгэл!CP:CP)</f>
        <v>0</v>
      </c>
      <c r="I82" s="429">
        <f>SUMIF([1]Нэгтгэл!B:B,'[1]13'!B:B,[1]Нэгтгэл!CS:CS)</f>
        <v>0</v>
      </c>
      <c r="J82" s="429">
        <f>SUMIF([1]Нэгтгэл!B:B,'[1]13'!B:B,[1]Нэгтгэл!CV:CV)</f>
        <v>0</v>
      </c>
      <c r="K82" s="429">
        <f>SUMIF([1]Нэгтгэл!B:B,'[1]13'!B:B,[1]Нэгтгэл!CY:CY)</f>
        <v>0</v>
      </c>
      <c r="L82" s="427">
        <v>0</v>
      </c>
      <c r="M82" s="427">
        <v>0</v>
      </c>
      <c r="N82" s="427">
        <v>0</v>
      </c>
      <c r="O82" s="429">
        <f>SUMIF([1]Нэгтгэл!B:B,'[1]13'!B:B,[1]Нэгтгэл!DK:DK)</f>
        <v>0</v>
      </c>
      <c r="P82" s="429">
        <f>SUMIF([1]Нэгтгэл!B:B,'[1]13'!B:B,[1]Нэгтгэл!DN:DN)</f>
        <v>0</v>
      </c>
      <c r="Q82" s="429">
        <f>SUMIF([1]Нэгтгэл!B:B,'[1]13'!B:B,[1]Нэгтгэл!DQ:DQ)</f>
        <v>0</v>
      </c>
      <c r="R82" s="429">
        <f>SUMIF([1]Нэгтгэл!B:B,'[1]13'!B:B,[1]Нэгтгэл!DT:DT)</f>
        <v>0</v>
      </c>
      <c r="S82" s="429">
        <f>SUMIF([1]Нэгтгэл!B:B,'[1]13'!B:B,[1]Нэгтгэл!DW:DW)</f>
        <v>0</v>
      </c>
    </row>
    <row r="83" spans="1:19">
      <c r="A83" s="314">
        <f t="shared" si="1"/>
        <v>81</v>
      </c>
      <c r="B83" s="385">
        <v>6268048</v>
      </c>
      <c r="C83" s="429" t="s">
        <v>266</v>
      </c>
      <c r="D83" s="429">
        <f>SUMIF([1]Нэгтгэл!B:B,'[1]13'!B:B,[1]Нэгтгэл!CD:CD)</f>
        <v>0</v>
      </c>
      <c r="E83" s="429">
        <f>SUMIF([1]Нэгтгэл!B:B,'[1]13'!B:B,[1]Нэгтгэл!CG:CG)</f>
        <v>0</v>
      </c>
      <c r="F83" s="429">
        <f>SUMIF([1]Нэгтгэл!B:B,'[1]13'!B:B,[1]Нэгтгэл!CJ:CJ)</f>
        <v>0</v>
      </c>
      <c r="G83" s="429">
        <f>SUMIF([1]Нэгтгэл!B:B,'[1]13'!B:B,[1]Нэгтгэл!CM:CM)</f>
        <v>0</v>
      </c>
      <c r="H83" s="429">
        <f>SUMIF([1]Нэгтгэл!B:B,'[1]13'!B:B,[1]Нэгтгэл!CP:CP)</f>
        <v>0</v>
      </c>
      <c r="I83" s="429">
        <f>SUMIF([1]Нэгтгэл!B:B,'[1]13'!B:B,[1]Нэгтгэл!CS:CS)</f>
        <v>0</v>
      </c>
      <c r="J83" s="429">
        <f>SUMIF([1]Нэгтгэл!B:B,'[1]13'!B:B,[1]Нэгтгэл!CV:CV)</f>
        <v>0</v>
      </c>
      <c r="K83" s="429">
        <f>SUMIF([1]Нэгтгэл!B:B,'[1]13'!B:B,[1]Нэгтгэл!CY:CY)</f>
        <v>0</v>
      </c>
      <c r="L83" s="427">
        <v>0</v>
      </c>
      <c r="M83" s="427">
        <v>0</v>
      </c>
      <c r="N83" s="427">
        <v>0</v>
      </c>
      <c r="O83" s="429">
        <f>SUMIF([1]Нэгтгэл!B:B,'[1]13'!B:B,[1]Нэгтгэл!DK:DK)</f>
        <v>0</v>
      </c>
      <c r="P83" s="429">
        <f>SUMIF([1]Нэгтгэл!B:B,'[1]13'!B:B,[1]Нэгтгэл!DN:DN)</f>
        <v>0</v>
      </c>
      <c r="Q83" s="429">
        <f>SUMIF([1]Нэгтгэл!B:B,'[1]13'!B:B,[1]Нэгтгэл!DQ:DQ)</f>
        <v>0</v>
      </c>
      <c r="R83" s="429">
        <f>SUMIF([1]Нэгтгэл!B:B,'[1]13'!B:B,[1]Нэгтгэл!DT:DT)</f>
        <v>0</v>
      </c>
      <c r="S83" s="429">
        <f>SUMIF([1]Нэгтгэл!B:B,'[1]13'!B:B,[1]Нэгтгэл!DW:DW)</f>
        <v>0</v>
      </c>
    </row>
    <row r="84" spans="1:19">
      <c r="A84" s="314">
        <f t="shared" si="1"/>
        <v>82</v>
      </c>
      <c r="B84" s="385">
        <v>5874963</v>
      </c>
      <c r="C84" s="429" t="s">
        <v>268</v>
      </c>
      <c r="D84" s="429">
        <f>SUMIF([1]Нэгтгэл!B:B,'[1]13'!B:B,[1]Нэгтгэл!CD:CD)</f>
        <v>0</v>
      </c>
      <c r="E84" s="429">
        <f>SUMIF([1]Нэгтгэл!B:B,'[1]13'!B:B,[1]Нэгтгэл!CG:CG)</f>
        <v>0</v>
      </c>
      <c r="F84" s="429">
        <f>SUMIF([1]Нэгтгэл!B:B,'[1]13'!B:B,[1]Нэгтгэл!CJ:CJ)</f>
        <v>0</v>
      </c>
      <c r="G84" s="429">
        <f>SUMIF([1]Нэгтгэл!B:B,'[1]13'!B:B,[1]Нэгтгэл!CM:CM)</f>
        <v>0</v>
      </c>
      <c r="H84" s="429">
        <f>SUMIF([1]Нэгтгэл!B:B,'[1]13'!B:B,[1]Нэгтгэл!CP:CP)</f>
        <v>0</v>
      </c>
      <c r="I84" s="429">
        <f>SUMIF([1]Нэгтгэл!B:B,'[1]13'!B:B,[1]Нэгтгэл!CS:CS)</f>
        <v>0</v>
      </c>
      <c r="J84" s="429">
        <f>SUMIF([1]Нэгтгэл!B:B,'[1]13'!B:B,[1]Нэгтгэл!CV:CV)</f>
        <v>0</v>
      </c>
      <c r="K84" s="429">
        <f>SUMIF([1]Нэгтгэл!B:B,'[1]13'!B:B,[1]Нэгтгэл!CY:CY)</f>
        <v>0</v>
      </c>
      <c r="L84" s="427">
        <v>0</v>
      </c>
      <c r="M84" s="427">
        <v>0</v>
      </c>
      <c r="N84" s="427">
        <v>0</v>
      </c>
      <c r="O84" s="429">
        <f>SUMIF([1]Нэгтгэл!B:B,'[1]13'!B:B,[1]Нэгтгэл!DK:DK)</f>
        <v>0</v>
      </c>
      <c r="P84" s="429">
        <f>SUMIF([1]Нэгтгэл!B:B,'[1]13'!B:B,[1]Нэгтгэл!DN:DN)</f>
        <v>0</v>
      </c>
      <c r="Q84" s="429">
        <f>SUMIF([1]Нэгтгэл!B:B,'[1]13'!B:B,[1]Нэгтгэл!DQ:DQ)</f>
        <v>0</v>
      </c>
      <c r="R84" s="429">
        <f>SUMIF([1]Нэгтгэл!B:B,'[1]13'!B:B,[1]Нэгтгэл!DT:DT)</f>
        <v>0</v>
      </c>
      <c r="S84" s="429">
        <f>SUMIF([1]Нэгтгэл!B:B,'[1]13'!B:B,[1]Нэгтгэл!DW:DW)</f>
        <v>0</v>
      </c>
    </row>
    <row r="85" spans="1:19">
      <c r="A85" s="314">
        <f t="shared" si="1"/>
        <v>83</v>
      </c>
      <c r="B85" s="385">
        <v>6636624</v>
      </c>
      <c r="C85" s="429" t="s">
        <v>269</v>
      </c>
      <c r="D85" s="429">
        <f>SUMIF([1]Нэгтгэл!B:B,'[1]13'!B:B,[1]Нэгтгэл!CD:CD)</f>
        <v>0</v>
      </c>
      <c r="E85" s="429">
        <f>SUMIF([1]Нэгтгэл!B:B,'[1]13'!B:B,[1]Нэгтгэл!CG:CG)</f>
        <v>0</v>
      </c>
      <c r="F85" s="429">
        <f>SUMIF([1]Нэгтгэл!B:B,'[1]13'!B:B,[1]Нэгтгэл!CJ:CJ)</f>
        <v>0</v>
      </c>
      <c r="G85" s="429">
        <f>SUMIF([1]Нэгтгэл!B:B,'[1]13'!B:B,[1]Нэгтгэл!CM:CM)</f>
        <v>0</v>
      </c>
      <c r="H85" s="429">
        <f>SUMIF([1]Нэгтгэл!B:B,'[1]13'!B:B,[1]Нэгтгэл!CP:CP)</f>
        <v>0</v>
      </c>
      <c r="I85" s="429">
        <f>SUMIF([1]Нэгтгэл!B:B,'[1]13'!B:B,[1]Нэгтгэл!CS:CS)</f>
        <v>0</v>
      </c>
      <c r="J85" s="429">
        <f>SUMIF([1]Нэгтгэл!B:B,'[1]13'!B:B,[1]Нэгтгэл!CV:CV)</f>
        <v>0</v>
      </c>
      <c r="K85" s="429">
        <f>SUMIF([1]Нэгтгэл!B:B,'[1]13'!B:B,[1]Нэгтгэл!CY:CY)</f>
        <v>0</v>
      </c>
      <c r="L85" s="427">
        <v>0</v>
      </c>
      <c r="M85" s="427">
        <v>0</v>
      </c>
      <c r="N85" s="427">
        <v>26113050</v>
      </c>
      <c r="O85" s="429">
        <f>SUMIF([1]Нэгтгэл!B:B,'[1]13'!B:B,[1]Нэгтгэл!DK:DK)</f>
        <v>0</v>
      </c>
      <c r="P85" s="429">
        <f>SUMIF([1]Нэгтгэл!B:B,'[1]13'!B:B,[1]Нэгтгэл!DN:DN)</f>
        <v>0</v>
      </c>
      <c r="Q85" s="429">
        <f>SUMIF([1]Нэгтгэл!B:B,'[1]13'!B:B,[1]Нэгтгэл!DQ:DQ)</f>
        <v>0</v>
      </c>
      <c r="R85" s="429">
        <f>SUMIF([1]Нэгтгэл!B:B,'[1]13'!B:B,[1]Нэгтгэл!DT:DT)</f>
        <v>0</v>
      </c>
      <c r="S85" s="429">
        <f>SUMIF([1]Нэгтгэл!B:B,'[1]13'!B:B,[1]Нэгтгэл!DW:DW)</f>
        <v>0</v>
      </c>
    </row>
    <row r="86" spans="1:19">
      <c r="A86" s="314">
        <f t="shared" si="1"/>
        <v>84</v>
      </c>
      <c r="B86" s="385">
        <v>2839717</v>
      </c>
      <c r="C86" s="429" t="s">
        <v>270</v>
      </c>
      <c r="D86" s="429">
        <f>SUMIF([1]Нэгтгэл!B:B,'[1]13'!B:B,[1]Нэгтгэл!CD:CD)</f>
        <v>0</v>
      </c>
      <c r="E86" s="429">
        <f>SUMIF([1]Нэгтгэл!B:B,'[1]13'!B:B,[1]Нэгтгэл!CG:CG)</f>
        <v>0</v>
      </c>
      <c r="F86" s="429">
        <f>SUMIF([1]Нэгтгэл!B:B,'[1]13'!B:B,[1]Нэгтгэл!CJ:CJ)</f>
        <v>0</v>
      </c>
      <c r="G86" s="429">
        <f>SUMIF([1]Нэгтгэл!B:B,'[1]13'!B:B,[1]Нэгтгэл!CM:CM)</f>
        <v>0</v>
      </c>
      <c r="H86" s="429">
        <f>SUMIF([1]Нэгтгэл!B:B,'[1]13'!B:B,[1]Нэгтгэл!CP:CP)</f>
        <v>0</v>
      </c>
      <c r="I86" s="429">
        <f>SUMIF([1]Нэгтгэл!B:B,'[1]13'!B:B,[1]Нэгтгэл!CS:CS)</f>
        <v>0</v>
      </c>
      <c r="J86" s="429">
        <f>SUMIF([1]Нэгтгэл!B:B,'[1]13'!B:B,[1]Нэгтгэл!CV:CV)</f>
        <v>0</v>
      </c>
      <c r="K86" s="429">
        <f>SUMIF([1]Нэгтгэл!B:B,'[1]13'!B:B,[1]Нэгтгэл!CY:CY)</f>
        <v>0</v>
      </c>
      <c r="L86" s="427">
        <v>0</v>
      </c>
      <c r="M86" s="427">
        <v>0</v>
      </c>
      <c r="N86" s="427">
        <v>0</v>
      </c>
      <c r="O86" s="429">
        <f>SUMIF([1]Нэгтгэл!B:B,'[1]13'!B:B,[1]Нэгтгэл!DK:DK)</f>
        <v>0</v>
      </c>
      <c r="P86" s="429">
        <f>SUMIF([1]Нэгтгэл!B:B,'[1]13'!B:B,[1]Нэгтгэл!DN:DN)</f>
        <v>0</v>
      </c>
      <c r="Q86" s="429">
        <f>SUMIF([1]Нэгтгэл!B:B,'[1]13'!B:B,[1]Нэгтгэл!DQ:DQ)</f>
        <v>0</v>
      </c>
      <c r="R86" s="429">
        <f>SUMIF([1]Нэгтгэл!B:B,'[1]13'!B:B,[1]Нэгтгэл!DT:DT)</f>
        <v>0</v>
      </c>
      <c r="S86" s="429">
        <f>SUMIF([1]Нэгтгэл!B:B,'[1]13'!B:B,[1]Нэгтгэл!DW:DW)</f>
        <v>0</v>
      </c>
    </row>
    <row r="87" spans="1:19">
      <c r="A87" s="314">
        <f t="shared" si="1"/>
        <v>85</v>
      </c>
      <c r="B87" s="385">
        <v>2344343</v>
      </c>
      <c r="C87" s="429" t="s">
        <v>271</v>
      </c>
      <c r="D87" s="429">
        <f>SUMIF([1]Нэгтгэл!B:B,'[1]13'!B:B,[1]Нэгтгэл!CD:CD)</f>
        <v>0</v>
      </c>
      <c r="E87" s="429">
        <f>SUMIF([1]Нэгтгэл!B:B,'[1]13'!B:B,[1]Нэгтгэл!CG:CG)</f>
        <v>0</v>
      </c>
      <c r="F87" s="429">
        <f>SUMIF([1]Нэгтгэл!B:B,'[1]13'!B:B,[1]Нэгтгэл!CJ:CJ)</f>
        <v>0</v>
      </c>
      <c r="G87" s="429">
        <f>SUMIF([1]Нэгтгэл!B:B,'[1]13'!B:B,[1]Нэгтгэл!CM:CM)</f>
        <v>0</v>
      </c>
      <c r="H87" s="429">
        <f>SUMIF([1]Нэгтгэл!B:B,'[1]13'!B:B,[1]Нэгтгэл!CP:CP)</f>
        <v>0</v>
      </c>
      <c r="I87" s="429">
        <f>SUMIF([1]Нэгтгэл!B:B,'[1]13'!B:B,[1]Нэгтгэл!CS:CS)</f>
        <v>0</v>
      </c>
      <c r="J87" s="429">
        <f>SUMIF([1]Нэгтгэл!B:B,'[1]13'!B:B,[1]Нэгтгэл!CV:CV)</f>
        <v>0</v>
      </c>
      <c r="K87" s="429">
        <f>SUMIF([1]Нэгтгэл!B:B,'[1]13'!B:B,[1]Нэгтгэл!CY:CY)</f>
        <v>0</v>
      </c>
      <c r="L87" s="427">
        <v>0</v>
      </c>
      <c r="M87" s="427">
        <v>0</v>
      </c>
      <c r="N87" s="427">
        <v>0</v>
      </c>
      <c r="O87" s="429">
        <f>SUMIF([1]Нэгтгэл!B:B,'[1]13'!B:B,[1]Нэгтгэл!DK:DK)</f>
        <v>0</v>
      </c>
      <c r="P87" s="429">
        <f>SUMIF([1]Нэгтгэл!B:B,'[1]13'!B:B,[1]Нэгтгэл!DN:DN)</f>
        <v>0</v>
      </c>
      <c r="Q87" s="429">
        <f>SUMIF([1]Нэгтгэл!B:B,'[1]13'!B:B,[1]Нэгтгэл!DQ:DQ)</f>
        <v>0</v>
      </c>
      <c r="R87" s="429">
        <f>SUMIF([1]Нэгтгэл!B:B,'[1]13'!B:B,[1]Нэгтгэл!DT:DT)</f>
        <v>0</v>
      </c>
      <c r="S87" s="429">
        <f>SUMIF([1]Нэгтгэл!B:B,'[1]13'!B:B,[1]Нэгтгэл!DW:DW)</f>
        <v>0</v>
      </c>
    </row>
    <row r="88" spans="1:19">
      <c r="A88" s="314">
        <f t="shared" si="1"/>
        <v>86</v>
      </c>
      <c r="B88" s="385">
        <v>2819996</v>
      </c>
      <c r="C88" s="429" t="s">
        <v>273</v>
      </c>
      <c r="D88" s="429">
        <f>SUMIF([1]Нэгтгэл!B:B,'[1]13'!B:B,[1]Нэгтгэл!CD:CD)</f>
        <v>0</v>
      </c>
      <c r="E88" s="429">
        <f>SUMIF([1]Нэгтгэл!B:B,'[1]13'!B:B,[1]Нэгтгэл!CG:CG)</f>
        <v>0</v>
      </c>
      <c r="F88" s="429">
        <f>SUMIF([1]Нэгтгэл!B:B,'[1]13'!B:B,[1]Нэгтгэл!CJ:CJ)</f>
        <v>0</v>
      </c>
      <c r="G88" s="429">
        <f>SUMIF([1]Нэгтгэл!B:B,'[1]13'!B:B,[1]Нэгтгэл!CM:CM)</f>
        <v>0</v>
      </c>
      <c r="H88" s="429">
        <f>SUMIF([1]Нэгтгэл!B:B,'[1]13'!B:B,[1]Нэгтгэл!CP:CP)</f>
        <v>0</v>
      </c>
      <c r="I88" s="429">
        <f>SUMIF([1]Нэгтгэл!B:B,'[1]13'!B:B,[1]Нэгтгэл!CS:CS)</f>
        <v>0</v>
      </c>
      <c r="J88" s="429">
        <f>SUMIF([1]Нэгтгэл!B:B,'[1]13'!B:B,[1]Нэгтгэл!CV:CV)</f>
        <v>0</v>
      </c>
      <c r="K88" s="429">
        <f>SUMIF([1]Нэгтгэл!B:B,'[1]13'!B:B,[1]Нэгтгэл!CY:CY)</f>
        <v>0</v>
      </c>
      <c r="L88" s="427">
        <v>0</v>
      </c>
      <c r="M88" s="427">
        <v>0</v>
      </c>
      <c r="N88" s="427">
        <v>0</v>
      </c>
      <c r="O88" s="429">
        <f>SUMIF([1]Нэгтгэл!B:B,'[1]13'!B:B,[1]Нэгтгэл!DK:DK)</f>
        <v>0</v>
      </c>
      <c r="P88" s="429">
        <f>SUMIF([1]Нэгтгэл!B:B,'[1]13'!B:B,[1]Нэгтгэл!DN:DN)</f>
        <v>0</v>
      </c>
      <c r="Q88" s="429">
        <f>SUMIF([1]Нэгтгэл!B:B,'[1]13'!B:B,[1]Нэгтгэл!DQ:DQ)</f>
        <v>0</v>
      </c>
      <c r="R88" s="429">
        <f>SUMIF([1]Нэгтгэл!B:B,'[1]13'!B:B,[1]Нэгтгэл!DT:DT)</f>
        <v>0</v>
      </c>
      <c r="S88" s="429">
        <f>SUMIF([1]Нэгтгэл!B:B,'[1]13'!B:B,[1]Нэгтгэл!DW:DW)</f>
        <v>0</v>
      </c>
    </row>
    <row r="89" spans="1:19">
      <c r="A89" s="314">
        <f t="shared" si="1"/>
        <v>87</v>
      </c>
      <c r="B89" s="385">
        <v>2868687</v>
      </c>
      <c r="C89" s="429" t="s">
        <v>277</v>
      </c>
      <c r="D89" s="429">
        <f>SUMIF([1]Нэгтгэл!B:B,'[1]13'!B:B,[1]Нэгтгэл!CD:CD)</f>
        <v>8273135.5</v>
      </c>
      <c r="E89" s="429">
        <f>SUMIF([1]Нэгтгэл!B:B,'[1]13'!B:B,[1]Нэгтгэл!CG:CG)</f>
        <v>0</v>
      </c>
      <c r="F89" s="429">
        <f>SUMIF([1]Нэгтгэл!B:B,'[1]13'!B:B,[1]Нэгтгэл!CJ:CJ)</f>
        <v>10650431</v>
      </c>
      <c r="G89" s="429">
        <f>SUMIF([1]Нэгтгэл!B:B,'[1]13'!B:B,[1]Нэгтгэл!CM:CM)</f>
        <v>0</v>
      </c>
      <c r="H89" s="429">
        <f>SUMIF([1]Нэгтгэл!B:B,'[1]13'!B:B,[1]Нэгтгэл!CP:CP)</f>
        <v>0</v>
      </c>
      <c r="I89" s="429">
        <f>SUMIF([1]Нэгтгэл!B:B,'[1]13'!B:B,[1]Нэгтгэл!CS:CS)</f>
        <v>2519666.23</v>
      </c>
      <c r="J89" s="429">
        <f>SUMIF([1]Нэгтгэл!B:B,'[1]13'!B:B,[1]Нэгтгэл!CV:CV)</f>
        <v>0</v>
      </c>
      <c r="K89" s="429">
        <f>SUMIF([1]Нэгтгэл!B:B,'[1]13'!B:B,[1]Нэгтгэл!CY:CY)</f>
        <v>0</v>
      </c>
      <c r="L89" s="427">
        <v>0</v>
      </c>
      <c r="M89" s="427">
        <v>0</v>
      </c>
      <c r="N89" s="427">
        <v>0</v>
      </c>
      <c r="O89" s="429">
        <f>SUMIF([1]Нэгтгэл!B:B,'[1]13'!B:B,[1]Нэгтгэл!DK:DK)</f>
        <v>0</v>
      </c>
      <c r="P89" s="429">
        <f>SUMIF([1]Нэгтгэл!B:B,'[1]13'!B:B,[1]Нэгтгэл!DN:DN)</f>
        <v>0</v>
      </c>
      <c r="Q89" s="429">
        <f>SUMIF([1]Нэгтгэл!B:B,'[1]13'!B:B,[1]Нэгтгэл!DQ:DQ)</f>
        <v>0</v>
      </c>
      <c r="R89" s="429">
        <f>SUMIF([1]Нэгтгэл!B:B,'[1]13'!B:B,[1]Нэгтгэл!DT:DT)</f>
        <v>0</v>
      </c>
      <c r="S89" s="429">
        <f>SUMIF([1]Нэгтгэл!B:B,'[1]13'!B:B,[1]Нэгтгэл!DW:DW)</f>
        <v>0</v>
      </c>
    </row>
    <row r="90" spans="1:19">
      <c r="A90" s="314">
        <f t="shared" si="1"/>
        <v>88</v>
      </c>
      <c r="B90" s="385">
        <v>5877288</v>
      </c>
      <c r="C90" s="429" t="s">
        <v>279</v>
      </c>
      <c r="D90" s="429">
        <f>SUMIF([1]Нэгтгэл!B:B,'[1]13'!B:B,[1]Нэгтгэл!CD:CD)</f>
        <v>0</v>
      </c>
      <c r="E90" s="429">
        <f>SUMIF([1]Нэгтгэл!B:B,'[1]13'!B:B,[1]Нэгтгэл!CG:CG)</f>
        <v>0</v>
      </c>
      <c r="F90" s="429">
        <f>SUMIF([1]Нэгтгэл!B:B,'[1]13'!B:B,[1]Нэгтгэл!CJ:CJ)</f>
        <v>0</v>
      </c>
      <c r="G90" s="429">
        <f>SUMIF([1]Нэгтгэл!B:B,'[1]13'!B:B,[1]Нэгтгэл!CM:CM)</f>
        <v>0</v>
      </c>
      <c r="H90" s="429">
        <f>SUMIF([1]Нэгтгэл!B:B,'[1]13'!B:B,[1]Нэгтгэл!CP:CP)</f>
        <v>0</v>
      </c>
      <c r="I90" s="429">
        <f>SUMIF([1]Нэгтгэл!B:B,'[1]13'!B:B,[1]Нэгтгэл!CS:CS)</f>
        <v>0</v>
      </c>
      <c r="J90" s="429">
        <f>SUMIF([1]Нэгтгэл!B:B,'[1]13'!B:B,[1]Нэгтгэл!CV:CV)</f>
        <v>0</v>
      </c>
      <c r="K90" s="429">
        <f>SUMIF([1]Нэгтгэл!B:B,'[1]13'!B:B,[1]Нэгтгэл!CY:CY)</f>
        <v>0</v>
      </c>
      <c r="L90" s="427">
        <v>0</v>
      </c>
      <c r="M90" s="427">
        <v>0</v>
      </c>
      <c r="N90" s="427">
        <v>0</v>
      </c>
      <c r="O90" s="429">
        <f>SUMIF([1]Нэгтгэл!B:B,'[1]13'!B:B,[1]Нэгтгэл!DK:DK)</f>
        <v>0</v>
      </c>
      <c r="P90" s="429">
        <f>SUMIF([1]Нэгтгэл!B:B,'[1]13'!B:B,[1]Нэгтгэл!DN:DN)</f>
        <v>0</v>
      </c>
      <c r="Q90" s="429">
        <f>SUMIF([1]Нэгтгэл!B:B,'[1]13'!B:B,[1]Нэгтгэл!DQ:DQ)</f>
        <v>0</v>
      </c>
      <c r="R90" s="429">
        <f>SUMIF([1]Нэгтгэл!B:B,'[1]13'!B:B,[1]Нэгтгэл!DT:DT)</f>
        <v>0</v>
      </c>
      <c r="S90" s="429">
        <f>SUMIF([1]Нэгтгэл!B:B,'[1]13'!B:B,[1]Нэгтгэл!DW:DW)</f>
        <v>0</v>
      </c>
    </row>
    <row r="91" spans="1:19">
      <c r="A91" s="314">
        <f t="shared" si="1"/>
        <v>89</v>
      </c>
      <c r="B91" s="385">
        <v>6195598</v>
      </c>
      <c r="C91" s="429" t="s">
        <v>281</v>
      </c>
      <c r="D91" s="429">
        <f>SUMIF([1]Нэгтгэл!B:B,'[1]13'!B:B,[1]Нэгтгэл!CD:CD)</f>
        <v>0</v>
      </c>
      <c r="E91" s="429">
        <f>SUMIF([1]Нэгтгэл!B:B,'[1]13'!B:B,[1]Нэгтгэл!CG:CG)</f>
        <v>0</v>
      </c>
      <c r="F91" s="429">
        <f>SUMIF([1]Нэгтгэл!B:B,'[1]13'!B:B,[1]Нэгтгэл!CJ:CJ)</f>
        <v>0</v>
      </c>
      <c r="G91" s="429">
        <f>SUMIF([1]Нэгтгэл!B:B,'[1]13'!B:B,[1]Нэгтгэл!CM:CM)</f>
        <v>0</v>
      </c>
      <c r="H91" s="429">
        <f>SUMIF([1]Нэгтгэл!B:B,'[1]13'!B:B,[1]Нэгтгэл!CP:CP)</f>
        <v>0</v>
      </c>
      <c r="I91" s="429">
        <f>SUMIF([1]Нэгтгэл!B:B,'[1]13'!B:B,[1]Нэгтгэл!CS:CS)</f>
        <v>0</v>
      </c>
      <c r="J91" s="429">
        <f>SUMIF([1]Нэгтгэл!B:B,'[1]13'!B:B,[1]Нэгтгэл!CV:CV)</f>
        <v>0</v>
      </c>
      <c r="K91" s="429">
        <f>SUMIF([1]Нэгтгэл!B:B,'[1]13'!B:B,[1]Нэгтгэл!CY:CY)</f>
        <v>0</v>
      </c>
      <c r="L91" s="427">
        <v>0</v>
      </c>
      <c r="M91" s="427">
        <v>0</v>
      </c>
      <c r="N91" s="427">
        <v>11548780</v>
      </c>
      <c r="O91" s="429">
        <f>SUMIF([1]Нэгтгэл!B:B,'[1]13'!B:B,[1]Нэгтгэл!DK:DK)</f>
        <v>0</v>
      </c>
      <c r="P91" s="429">
        <f>SUMIF([1]Нэгтгэл!B:B,'[1]13'!B:B,[1]Нэгтгэл!DN:DN)</f>
        <v>0</v>
      </c>
      <c r="Q91" s="429">
        <f>SUMIF([1]Нэгтгэл!B:B,'[1]13'!B:B,[1]Нэгтгэл!DQ:DQ)</f>
        <v>0</v>
      </c>
      <c r="R91" s="429">
        <f>SUMIF([1]Нэгтгэл!B:B,'[1]13'!B:B,[1]Нэгтгэл!DT:DT)</f>
        <v>0</v>
      </c>
      <c r="S91" s="429">
        <f>SUMIF([1]Нэгтгэл!B:B,'[1]13'!B:B,[1]Нэгтгэл!DW:DW)</f>
        <v>0</v>
      </c>
    </row>
    <row r="92" spans="1:19">
      <c r="A92" s="314">
        <f t="shared" si="1"/>
        <v>90</v>
      </c>
      <c r="B92" s="385">
        <v>6413811</v>
      </c>
      <c r="C92" s="429" t="s">
        <v>282</v>
      </c>
      <c r="D92" s="429">
        <f>SUMIF([1]Нэгтгэл!B:B,'[1]13'!B:B,[1]Нэгтгэл!CD:CD)</f>
        <v>6597900</v>
      </c>
      <c r="E92" s="429">
        <f>SUMIF([1]Нэгтгэл!B:B,'[1]13'!B:B,[1]Нэгтгэл!CG:CG)</f>
        <v>0</v>
      </c>
      <c r="F92" s="429">
        <f>SUMIF([1]Нэгтгэл!B:B,'[1]13'!B:B,[1]Нэгтгэл!CJ:CJ)</f>
        <v>55219552</v>
      </c>
      <c r="G92" s="429">
        <f>SUMIF([1]Нэгтгэл!B:B,'[1]13'!B:B,[1]Нэгтгэл!CM:CM)</f>
        <v>330803883</v>
      </c>
      <c r="H92" s="429">
        <f>SUMIF([1]Нэгтгэл!B:B,'[1]13'!B:B,[1]Нэгтгэл!CP:CP)</f>
        <v>330728</v>
      </c>
      <c r="I92" s="429">
        <f>SUMIF([1]Нэгтгэл!B:B,'[1]13'!B:B,[1]Нэгтгэл!CS:CS)</f>
        <v>64718300</v>
      </c>
      <c r="J92" s="429">
        <f>SUMIF([1]Нэгтгэл!B:B,'[1]13'!B:B,[1]Нэгтгэл!CV:CV)</f>
        <v>0</v>
      </c>
      <c r="K92" s="429">
        <f>SUMIF([1]Нэгтгэл!B:B,'[1]13'!B:B,[1]Нэгтгэл!CY:CY)</f>
        <v>0</v>
      </c>
      <c r="L92" s="427">
        <v>0</v>
      </c>
      <c r="M92" s="427">
        <v>0</v>
      </c>
      <c r="N92" s="427">
        <v>2774285</v>
      </c>
      <c r="O92" s="429">
        <f>SUMIF([1]Нэгтгэл!B:B,'[1]13'!B:B,[1]Нэгтгэл!DK:DK)</f>
        <v>0</v>
      </c>
      <c r="P92" s="429">
        <f>SUMIF([1]Нэгтгэл!B:B,'[1]13'!B:B,[1]Нэгтгэл!DN:DN)</f>
        <v>0</v>
      </c>
      <c r="Q92" s="429">
        <f>SUMIF([1]Нэгтгэл!B:B,'[1]13'!B:B,[1]Нэгтгэл!DQ:DQ)</f>
        <v>0</v>
      </c>
      <c r="R92" s="429">
        <f>SUMIF([1]Нэгтгэл!B:B,'[1]13'!B:B,[1]Нэгтгэл!DT:DT)</f>
        <v>0</v>
      </c>
      <c r="S92" s="429">
        <f>SUMIF([1]Нэгтгэл!B:B,'[1]13'!B:B,[1]Нэгтгэл!DW:DW)</f>
        <v>0</v>
      </c>
    </row>
    <row r="93" spans="1:19">
      <c r="A93" s="314">
        <f t="shared" si="1"/>
        <v>91</v>
      </c>
      <c r="B93" s="385">
        <v>2887134</v>
      </c>
      <c r="C93" s="429" t="s">
        <v>283</v>
      </c>
      <c r="D93" s="429">
        <f>SUMIF([1]Нэгтгэл!B:B,'[1]13'!B:B,[1]Нэгтгэл!CD:CD)</f>
        <v>0</v>
      </c>
      <c r="E93" s="429">
        <f>SUMIF([1]Нэгтгэл!B:B,'[1]13'!B:B,[1]Нэгтгэл!CG:CG)</f>
        <v>0</v>
      </c>
      <c r="F93" s="429">
        <f>SUMIF([1]Нэгтгэл!B:B,'[1]13'!B:B,[1]Нэгтгэл!CJ:CJ)</f>
        <v>0</v>
      </c>
      <c r="G93" s="429">
        <f>SUMIF([1]Нэгтгэл!B:B,'[1]13'!B:B,[1]Нэгтгэл!CM:CM)</f>
        <v>0</v>
      </c>
      <c r="H93" s="429">
        <f>SUMIF([1]Нэгтгэл!B:B,'[1]13'!B:B,[1]Нэгтгэл!CP:CP)</f>
        <v>0</v>
      </c>
      <c r="I93" s="429">
        <f>SUMIF([1]Нэгтгэл!B:B,'[1]13'!B:B,[1]Нэгтгэл!CS:CS)</f>
        <v>0</v>
      </c>
      <c r="J93" s="429">
        <f>SUMIF([1]Нэгтгэл!B:B,'[1]13'!B:B,[1]Нэгтгэл!CV:CV)</f>
        <v>0</v>
      </c>
      <c r="K93" s="429">
        <f>SUMIF([1]Нэгтгэл!B:B,'[1]13'!B:B,[1]Нэгтгэл!CY:CY)</f>
        <v>0</v>
      </c>
      <c r="L93" s="427">
        <v>0</v>
      </c>
      <c r="M93" s="427">
        <v>0</v>
      </c>
      <c r="N93" s="427">
        <v>0</v>
      </c>
      <c r="O93" s="429">
        <f>SUMIF([1]Нэгтгэл!B:B,'[1]13'!B:B,[1]Нэгтгэл!DK:DK)</f>
        <v>0</v>
      </c>
      <c r="P93" s="429">
        <f>SUMIF([1]Нэгтгэл!B:B,'[1]13'!B:B,[1]Нэгтгэл!DN:DN)</f>
        <v>0</v>
      </c>
      <c r="Q93" s="429">
        <f>SUMIF([1]Нэгтгэл!B:B,'[1]13'!B:B,[1]Нэгтгэл!DQ:DQ)</f>
        <v>0</v>
      </c>
      <c r="R93" s="429">
        <f>SUMIF([1]Нэгтгэл!B:B,'[1]13'!B:B,[1]Нэгтгэл!DT:DT)</f>
        <v>0</v>
      </c>
      <c r="S93" s="429">
        <f>SUMIF([1]Нэгтгэл!B:B,'[1]13'!B:B,[1]Нэгтгэл!DW:DW)</f>
        <v>0</v>
      </c>
    </row>
    <row r="94" spans="1:19">
      <c r="A94" s="314">
        <f t="shared" si="1"/>
        <v>92</v>
      </c>
      <c r="B94" s="385">
        <v>2618176</v>
      </c>
      <c r="C94" s="429" t="s">
        <v>284</v>
      </c>
      <c r="D94" s="429">
        <f>SUMIF([1]Нэгтгэл!B:B,'[1]13'!B:B,[1]Нэгтгэл!CD:CD)</f>
        <v>2719.1</v>
      </c>
      <c r="E94" s="429">
        <f>SUMIF([1]Нэгтгэл!B:B,'[1]13'!B:B,[1]Нэгтгэл!CG:CG)</f>
        <v>0</v>
      </c>
      <c r="F94" s="429">
        <f>SUMIF([1]Нэгтгэл!B:B,'[1]13'!B:B,[1]Нэгтгэл!CJ:CJ)</f>
        <v>51902.8</v>
      </c>
      <c r="G94" s="429">
        <f>SUMIF([1]Нэгтгэл!B:B,'[1]13'!B:B,[1]Нэгтгэл!CM:CM)</f>
        <v>29060.799999999999</v>
      </c>
      <c r="H94" s="429">
        <f>SUMIF([1]Нэгтгэл!B:B,'[1]13'!B:B,[1]Нэгтгэл!CP:CP)</f>
        <v>0</v>
      </c>
      <c r="I94" s="429">
        <f>SUMIF([1]Нэгтгэл!B:B,'[1]13'!B:B,[1]Нэгтгэл!CS:CS)</f>
        <v>0</v>
      </c>
      <c r="J94" s="429">
        <f>SUMIF([1]Нэгтгэл!B:B,'[1]13'!B:B,[1]Нэгтгэл!CV:CV)</f>
        <v>0</v>
      </c>
      <c r="K94" s="429">
        <f>SUMIF([1]Нэгтгэл!B:B,'[1]13'!B:B,[1]Нэгтгэл!CY:CY)</f>
        <v>0</v>
      </c>
      <c r="L94" s="427">
        <v>0</v>
      </c>
      <c r="M94" s="427">
        <v>0</v>
      </c>
      <c r="N94" s="427">
        <v>0</v>
      </c>
      <c r="O94" s="429">
        <f>SUMIF([1]Нэгтгэл!B:B,'[1]13'!B:B,[1]Нэгтгэл!DK:DK)</f>
        <v>0</v>
      </c>
      <c r="P94" s="429">
        <f>SUMIF([1]Нэгтгэл!B:B,'[1]13'!B:B,[1]Нэгтгэл!DN:DN)</f>
        <v>0</v>
      </c>
      <c r="Q94" s="429">
        <f>SUMIF([1]Нэгтгэл!B:B,'[1]13'!B:B,[1]Нэгтгэл!DQ:DQ)</f>
        <v>0</v>
      </c>
      <c r="R94" s="429">
        <f>SUMIF([1]Нэгтгэл!B:B,'[1]13'!B:B,[1]Нэгтгэл!DT:DT)</f>
        <v>0</v>
      </c>
      <c r="S94" s="429">
        <f>SUMIF([1]Нэгтгэл!B:B,'[1]13'!B:B,[1]Нэгтгэл!DW:DW)</f>
        <v>83000</v>
      </c>
    </row>
    <row r="95" spans="1:19">
      <c r="A95" s="314">
        <f t="shared" si="1"/>
        <v>93</v>
      </c>
      <c r="B95" s="385">
        <v>5364884</v>
      </c>
      <c r="C95" s="429" t="s">
        <v>285</v>
      </c>
      <c r="D95" s="429">
        <f>SUMIF([1]Нэгтгэл!B:B,'[1]13'!B:B,[1]Нэгтгэл!CD:CD)</f>
        <v>0</v>
      </c>
      <c r="E95" s="429">
        <f>SUMIF([1]Нэгтгэл!B:B,'[1]13'!B:B,[1]Нэгтгэл!CG:CG)</f>
        <v>0</v>
      </c>
      <c r="F95" s="429">
        <f>SUMIF([1]Нэгтгэл!B:B,'[1]13'!B:B,[1]Нэгтгэл!CJ:CJ)</f>
        <v>0</v>
      </c>
      <c r="G95" s="429">
        <f>SUMIF([1]Нэгтгэл!B:B,'[1]13'!B:B,[1]Нэгтгэл!CM:CM)</f>
        <v>0</v>
      </c>
      <c r="H95" s="429">
        <f>SUMIF([1]Нэгтгэл!B:B,'[1]13'!B:B,[1]Нэгтгэл!CP:CP)</f>
        <v>0</v>
      </c>
      <c r="I95" s="429">
        <f>SUMIF([1]Нэгтгэл!B:B,'[1]13'!B:B,[1]Нэгтгэл!CS:CS)</f>
        <v>0</v>
      </c>
      <c r="J95" s="429">
        <f>SUMIF([1]Нэгтгэл!B:B,'[1]13'!B:B,[1]Нэгтгэл!CV:CV)</f>
        <v>0</v>
      </c>
      <c r="K95" s="429">
        <f>SUMIF([1]Нэгтгэл!B:B,'[1]13'!B:B,[1]Нэгтгэл!CY:CY)</f>
        <v>0</v>
      </c>
      <c r="L95" s="427">
        <v>0</v>
      </c>
      <c r="M95" s="427">
        <v>0</v>
      </c>
      <c r="N95" s="427">
        <v>0</v>
      </c>
      <c r="O95" s="429">
        <f>SUMIF([1]Нэгтгэл!B:B,'[1]13'!B:B,[1]Нэгтгэл!DK:DK)</f>
        <v>0</v>
      </c>
      <c r="P95" s="429">
        <f>SUMIF([1]Нэгтгэл!B:B,'[1]13'!B:B,[1]Нэгтгэл!DN:DN)</f>
        <v>0</v>
      </c>
      <c r="Q95" s="429">
        <f>SUMIF([1]Нэгтгэл!B:B,'[1]13'!B:B,[1]Нэгтгэл!DQ:DQ)</f>
        <v>0</v>
      </c>
      <c r="R95" s="429">
        <f>SUMIF([1]Нэгтгэл!B:B,'[1]13'!B:B,[1]Нэгтгэл!DT:DT)</f>
        <v>0</v>
      </c>
      <c r="S95" s="429">
        <f>SUMIF([1]Нэгтгэл!B:B,'[1]13'!B:B,[1]Нэгтгэл!DW:DW)</f>
        <v>0</v>
      </c>
    </row>
    <row r="96" spans="1:19">
      <c r="A96" s="314">
        <f t="shared" si="1"/>
        <v>94</v>
      </c>
      <c r="B96" s="385">
        <v>2100231</v>
      </c>
      <c r="C96" s="429" t="s">
        <v>286</v>
      </c>
      <c r="D96" s="429">
        <f>SUMIF([1]Нэгтгэл!B:B,'[1]13'!B:B,[1]Нэгтгэл!CD:CD)</f>
        <v>126</v>
      </c>
      <c r="E96" s="429">
        <f>SUMIF([1]Нэгтгэл!B:B,'[1]13'!B:B,[1]Нэгтгэл!CG:CG)</f>
        <v>0</v>
      </c>
      <c r="F96" s="429">
        <f>SUMIF([1]Нэгтгэл!B:B,'[1]13'!B:B,[1]Нэгтгэл!CJ:CJ)</f>
        <v>27020.400000000001</v>
      </c>
      <c r="G96" s="429">
        <f>SUMIF([1]Нэгтгэл!B:B,'[1]13'!B:B,[1]Нэгтгэл!CM:CM)</f>
        <v>226963.20000000001</v>
      </c>
      <c r="H96" s="429">
        <f>SUMIF([1]Нэгтгэл!B:B,'[1]13'!B:B,[1]Нэгтгэл!CP:CP)</f>
        <v>0</v>
      </c>
      <c r="I96" s="429">
        <f>SUMIF([1]Нэгтгэл!B:B,'[1]13'!B:B,[1]Нэгтгэл!CS:CS)</f>
        <v>0</v>
      </c>
      <c r="J96" s="429">
        <f>SUMIF([1]Нэгтгэл!B:B,'[1]13'!B:B,[1]Нэгтгэл!CV:CV)</f>
        <v>0</v>
      </c>
      <c r="K96" s="429">
        <f>SUMIF([1]Нэгтгэл!B:B,'[1]13'!B:B,[1]Нэгтгэл!CY:CY)</f>
        <v>0</v>
      </c>
      <c r="L96" s="427">
        <v>0</v>
      </c>
      <c r="M96" s="427">
        <v>0</v>
      </c>
      <c r="N96" s="427">
        <v>15</v>
      </c>
      <c r="O96" s="429">
        <f>SUMIF([1]Нэгтгэл!B:B,'[1]13'!B:B,[1]Нэгтгэл!DK:DK)</f>
        <v>0</v>
      </c>
      <c r="P96" s="429">
        <f>SUMIF([1]Нэгтгэл!B:B,'[1]13'!B:B,[1]Нэгтгэл!DN:DN)</f>
        <v>0</v>
      </c>
      <c r="Q96" s="429">
        <f>SUMIF([1]Нэгтгэл!B:B,'[1]13'!B:B,[1]Нэгтгэл!DQ:DQ)</f>
        <v>0</v>
      </c>
      <c r="R96" s="429">
        <f>SUMIF([1]Нэгтгэл!B:B,'[1]13'!B:B,[1]Нэгтгэл!DT:DT)</f>
        <v>0</v>
      </c>
      <c r="S96" s="429">
        <f>SUMIF([1]Нэгтгэл!B:B,'[1]13'!B:B,[1]Нэгтгэл!DW:DW)</f>
        <v>0</v>
      </c>
    </row>
    <row r="97" spans="1:19">
      <c r="A97" s="314">
        <f t="shared" si="1"/>
        <v>95</v>
      </c>
      <c r="B97" s="385">
        <v>2661128</v>
      </c>
      <c r="C97" s="429" t="s">
        <v>287</v>
      </c>
      <c r="D97" s="429">
        <f>SUMIF([1]Нэгтгэл!B:B,'[1]13'!B:B,[1]Нэгтгэл!CD:CD)</f>
        <v>0</v>
      </c>
      <c r="E97" s="429">
        <f>SUMIF([1]Нэгтгэл!B:B,'[1]13'!B:B,[1]Нэгтгэл!CG:CG)</f>
        <v>0</v>
      </c>
      <c r="F97" s="429">
        <f>SUMIF([1]Нэгтгэл!B:B,'[1]13'!B:B,[1]Нэгтгэл!CJ:CJ)</f>
        <v>0</v>
      </c>
      <c r="G97" s="429">
        <f>SUMIF([1]Нэгтгэл!B:B,'[1]13'!B:B,[1]Нэгтгэл!CM:CM)</f>
        <v>0</v>
      </c>
      <c r="H97" s="429">
        <f>SUMIF([1]Нэгтгэл!B:B,'[1]13'!B:B,[1]Нэгтгэл!CP:CP)</f>
        <v>0</v>
      </c>
      <c r="I97" s="429">
        <f>SUMIF([1]Нэгтгэл!B:B,'[1]13'!B:B,[1]Нэгтгэл!CS:CS)</f>
        <v>0</v>
      </c>
      <c r="J97" s="429">
        <f>SUMIF([1]Нэгтгэл!B:B,'[1]13'!B:B,[1]Нэгтгэл!CV:CV)</f>
        <v>0</v>
      </c>
      <c r="K97" s="429">
        <f>SUMIF([1]Нэгтгэл!B:B,'[1]13'!B:B,[1]Нэгтгэл!CY:CY)</f>
        <v>0</v>
      </c>
      <c r="L97" s="427">
        <v>0</v>
      </c>
      <c r="M97" s="427">
        <v>0</v>
      </c>
      <c r="N97" s="427">
        <v>0</v>
      </c>
      <c r="O97" s="429">
        <f>SUMIF([1]Нэгтгэл!B:B,'[1]13'!B:B,[1]Нэгтгэл!DK:DK)</f>
        <v>0</v>
      </c>
      <c r="P97" s="429">
        <f>SUMIF([1]Нэгтгэл!B:B,'[1]13'!B:B,[1]Нэгтгэл!DN:DN)</f>
        <v>0</v>
      </c>
      <c r="Q97" s="429">
        <f>SUMIF([1]Нэгтгэл!B:B,'[1]13'!B:B,[1]Нэгтгэл!DQ:DQ)</f>
        <v>0</v>
      </c>
      <c r="R97" s="429">
        <f>SUMIF([1]Нэгтгэл!B:B,'[1]13'!B:B,[1]Нэгтгэл!DT:DT)</f>
        <v>0</v>
      </c>
      <c r="S97" s="429">
        <f>SUMIF([1]Нэгтгэл!B:B,'[1]13'!B:B,[1]Нэгтгэл!DW:DW)</f>
        <v>0</v>
      </c>
    </row>
    <row r="98" spans="1:19">
      <c r="A98" s="314">
        <f t="shared" si="1"/>
        <v>96</v>
      </c>
      <c r="B98" s="385">
        <v>5878756</v>
      </c>
      <c r="C98" s="429" t="s">
        <v>290</v>
      </c>
      <c r="D98" s="429">
        <f>SUMIF([1]Нэгтгэл!B:B,'[1]13'!B:B,[1]Нэгтгэл!CD:CD)</f>
        <v>0</v>
      </c>
      <c r="E98" s="429">
        <f>SUMIF([1]Нэгтгэл!B:B,'[1]13'!B:B,[1]Нэгтгэл!CG:CG)</f>
        <v>0</v>
      </c>
      <c r="F98" s="429">
        <f>SUMIF([1]Нэгтгэл!B:B,'[1]13'!B:B,[1]Нэгтгэл!CJ:CJ)</f>
        <v>0</v>
      </c>
      <c r="G98" s="429">
        <f>SUMIF([1]Нэгтгэл!B:B,'[1]13'!B:B,[1]Нэгтгэл!CM:CM)</f>
        <v>0</v>
      </c>
      <c r="H98" s="429">
        <f>SUMIF([1]Нэгтгэл!B:B,'[1]13'!B:B,[1]Нэгтгэл!CP:CP)</f>
        <v>0</v>
      </c>
      <c r="I98" s="429">
        <f>SUMIF([1]Нэгтгэл!B:B,'[1]13'!B:B,[1]Нэгтгэл!CS:CS)</f>
        <v>0</v>
      </c>
      <c r="J98" s="429">
        <f>SUMIF([1]Нэгтгэл!B:B,'[1]13'!B:B,[1]Нэгтгэл!CV:CV)</f>
        <v>0</v>
      </c>
      <c r="K98" s="429">
        <f>SUMIF([1]Нэгтгэл!B:B,'[1]13'!B:B,[1]Нэгтгэл!CY:CY)</f>
        <v>0</v>
      </c>
      <c r="L98" s="427">
        <v>0</v>
      </c>
      <c r="M98" s="427">
        <v>0</v>
      </c>
      <c r="N98" s="427">
        <v>0</v>
      </c>
      <c r="O98" s="429">
        <f>SUMIF([1]Нэгтгэл!B:B,'[1]13'!B:B,[1]Нэгтгэл!DK:DK)</f>
        <v>0</v>
      </c>
      <c r="P98" s="429">
        <f>SUMIF([1]Нэгтгэл!B:B,'[1]13'!B:B,[1]Нэгтгэл!DN:DN)</f>
        <v>0</v>
      </c>
      <c r="Q98" s="429">
        <f>SUMIF([1]Нэгтгэл!B:B,'[1]13'!B:B,[1]Нэгтгэл!DQ:DQ)</f>
        <v>0</v>
      </c>
      <c r="R98" s="429">
        <f>SUMIF([1]Нэгтгэл!B:B,'[1]13'!B:B,[1]Нэгтгэл!DT:DT)</f>
        <v>0</v>
      </c>
      <c r="S98" s="429">
        <f>SUMIF([1]Нэгтгэл!B:B,'[1]13'!B:B,[1]Нэгтгэл!DW:DW)</f>
        <v>27200</v>
      </c>
    </row>
    <row r="99" spans="1:19">
      <c r="A99" s="314">
        <f t="shared" si="1"/>
        <v>97</v>
      </c>
      <c r="B99" s="385">
        <v>2166631</v>
      </c>
      <c r="C99" s="429" t="s">
        <v>292</v>
      </c>
      <c r="D99" s="429">
        <f>SUMIF([1]Нэгтгэл!B:B,'[1]13'!B:B,[1]Нэгтгэл!CD:CD)</f>
        <v>0</v>
      </c>
      <c r="E99" s="429">
        <f>SUMIF([1]Нэгтгэл!B:B,'[1]13'!B:B,[1]Нэгтгэл!CG:CG)</f>
        <v>679.1</v>
      </c>
      <c r="F99" s="429">
        <f>SUMIF([1]Нэгтгэл!B:B,'[1]13'!B:B,[1]Нэгтгэл!CJ:CJ)</f>
        <v>0</v>
      </c>
      <c r="G99" s="429">
        <f>SUMIF([1]Нэгтгэл!B:B,'[1]13'!B:B,[1]Нэгтгэл!CM:CM)</f>
        <v>0</v>
      </c>
      <c r="H99" s="429">
        <f>SUMIF([1]Нэгтгэл!B:B,'[1]13'!B:B,[1]Нэгтгэл!CP:CP)</f>
        <v>0</v>
      </c>
      <c r="I99" s="429">
        <f>SUMIF([1]Нэгтгэл!B:B,'[1]13'!B:B,[1]Нэгтгэл!CS:CS)</f>
        <v>0</v>
      </c>
      <c r="J99" s="429">
        <f>SUMIF([1]Нэгтгэл!B:B,'[1]13'!B:B,[1]Нэгтгэл!CV:CV)</f>
        <v>0</v>
      </c>
      <c r="K99" s="429">
        <f>SUMIF([1]Нэгтгэл!B:B,'[1]13'!B:B,[1]Нэгтгэл!CY:CY)</f>
        <v>0</v>
      </c>
      <c r="L99" s="427">
        <v>0</v>
      </c>
      <c r="M99" s="427">
        <v>0</v>
      </c>
      <c r="N99" s="427">
        <v>0</v>
      </c>
      <c r="O99" s="429">
        <f>SUMIF([1]Нэгтгэл!B:B,'[1]13'!B:B,[1]Нэгтгэл!DK:DK)</f>
        <v>0</v>
      </c>
      <c r="P99" s="429">
        <f>SUMIF([1]Нэгтгэл!B:B,'[1]13'!B:B,[1]Нэгтгэл!DN:DN)</f>
        <v>0</v>
      </c>
      <c r="Q99" s="429">
        <f>SUMIF([1]Нэгтгэл!B:B,'[1]13'!B:B,[1]Нэгтгэл!DQ:DQ)</f>
        <v>0</v>
      </c>
      <c r="R99" s="429">
        <f>SUMIF([1]Нэгтгэл!B:B,'[1]13'!B:B,[1]Нэгтгэл!DT:DT)</f>
        <v>0</v>
      </c>
      <c r="S99" s="429">
        <f>SUMIF([1]Нэгтгэл!B:B,'[1]13'!B:B,[1]Нэгтгэл!DW:DW)</f>
        <v>0</v>
      </c>
    </row>
    <row r="100" spans="1:19">
      <c r="A100" s="314">
        <f t="shared" si="1"/>
        <v>98</v>
      </c>
      <c r="B100" s="385">
        <v>5671833</v>
      </c>
      <c r="C100" s="429" t="s">
        <v>296</v>
      </c>
      <c r="D100" s="429">
        <f>SUMIF([1]Нэгтгэл!B:B,'[1]13'!B:B,[1]Нэгтгэл!CD:CD)</f>
        <v>0</v>
      </c>
      <c r="E100" s="429">
        <f>SUMIF([1]Нэгтгэл!B:B,'[1]13'!B:B,[1]Нэгтгэл!CG:CG)</f>
        <v>0</v>
      </c>
      <c r="F100" s="429">
        <f>SUMIF([1]Нэгтгэл!B:B,'[1]13'!B:B,[1]Нэгтгэл!CJ:CJ)</f>
        <v>0</v>
      </c>
      <c r="G100" s="429">
        <f>SUMIF([1]Нэгтгэл!B:B,'[1]13'!B:B,[1]Нэгтгэл!CM:CM)</f>
        <v>0</v>
      </c>
      <c r="H100" s="429">
        <f>SUMIF([1]Нэгтгэл!B:B,'[1]13'!B:B,[1]Нэгтгэл!CP:CP)</f>
        <v>0</v>
      </c>
      <c r="I100" s="429">
        <f>SUMIF([1]Нэгтгэл!B:B,'[1]13'!B:B,[1]Нэгтгэл!CS:CS)</f>
        <v>0</v>
      </c>
      <c r="J100" s="429">
        <f>SUMIF([1]Нэгтгэл!B:B,'[1]13'!B:B,[1]Нэгтгэл!CV:CV)</f>
        <v>0</v>
      </c>
      <c r="K100" s="429">
        <f>SUMIF([1]Нэгтгэл!B:B,'[1]13'!B:B,[1]Нэгтгэл!CY:CY)</f>
        <v>0</v>
      </c>
      <c r="L100" s="427">
        <v>0</v>
      </c>
      <c r="M100" s="427">
        <v>0</v>
      </c>
      <c r="N100" s="427">
        <v>0</v>
      </c>
      <c r="O100" s="429">
        <f>SUMIF([1]Нэгтгэл!B:B,'[1]13'!B:B,[1]Нэгтгэл!DK:DK)</f>
        <v>0</v>
      </c>
      <c r="P100" s="429">
        <f>SUMIF([1]Нэгтгэл!B:B,'[1]13'!B:B,[1]Нэгтгэл!DN:DN)</f>
        <v>0</v>
      </c>
      <c r="Q100" s="429">
        <f>SUMIF([1]Нэгтгэл!B:B,'[1]13'!B:B,[1]Нэгтгэл!DQ:DQ)</f>
        <v>0</v>
      </c>
      <c r="R100" s="429">
        <f>SUMIF([1]Нэгтгэл!B:B,'[1]13'!B:B,[1]Нэгтгэл!DT:DT)</f>
        <v>0</v>
      </c>
      <c r="S100" s="429">
        <f>SUMIF([1]Нэгтгэл!B:B,'[1]13'!B:B,[1]Нэгтгэл!DW:DW)</f>
        <v>0</v>
      </c>
    </row>
    <row r="101" spans="1:19">
      <c r="A101" s="314">
        <f t="shared" si="1"/>
        <v>99</v>
      </c>
      <c r="B101" s="385">
        <v>5104424</v>
      </c>
      <c r="C101" s="429" t="s">
        <v>297</v>
      </c>
      <c r="D101" s="429">
        <f>SUMIF([1]Нэгтгэл!B:B,'[1]13'!B:B,[1]Нэгтгэл!CD:CD)</f>
        <v>0</v>
      </c>
      <c r="E101" s="429">
        <f>SUMIF([1]Нэгтгэл!B:B,'[1]13'!B:B,[1]Нэгтгэл!CG:CG)</f>
        <v>0</v>
      </c>
      <c r="F101" s="429">
        <f>SUMIF([1]Нэгтгэл!B:B,'[1]13'!B:B,[1]Нэгтгэл!CJ:CJ)</f>
        <v>0</v>
      </c>
      <c r="G101" s="429">
        <f>SUMIF([1]Нэгтгэл!B:B,'[1]13'!B:B,[1]Нэгтгэл!CM:CM)</f>
        <v>0</v>
      </c>
      <c r="H101" s="429">
        <f>SUMIF([1]Нэгтгэл!B:B,'[1]13'!B:B,[1]Нэгтгэл!CP:CP)</f>
        <v>0</v>
      </c>
      <c r="I101" s="429">
        <f>SUMIF([1]Нэгтгэл!B:B,'[1]13'!B:B,[1]Нэгтгэл!CS:CS)</f>
        <v>0</v>
      </c>
      <c r="J101" s="429">
        <f>SUMIF([1]Нэгтгэл!B:B,'[1]13'!B:B,[1]Нэгтгэл!CV:CV)</f>
        <v>0</v>
      </c>
      <c r="K101" s="429">
        <f>SUMIF([1]Нэгтгэл!B:B,'[1]13'!B:B,[1]Нэгтгэл!CY:CY)</f>
        <v>0</v>
      </c>
      <c r="L101" s="427">
        <v>0</v>
      </c>
      <c r="M101" s="427">
        <v>0</v>
      </c>
      <c r="N101" s="427">
        <v>0</v>
      </c>
      <c r="O101" s="429">
        <f>SUMIF([1]Нэгтгэл!B:B,'[1]13'!B:B,[1]Нэгтгэл!DK:DK)</f>
        <v>0</v>
      </c>
      <c r="P101" s="429">
        <f>SUMIF([1]Нэгтгэл!B:B,'[1]13'!B:B,[1]Нэгтгэл!DN:DN)</f>
        <v>0</v>
      </c>
      <c r="Q101" s="429">
        <f>SUMIF([1]Нэгтгэл!B:B,'[1]13'!B:B,[1]Нэгтгэл!DQ:DQ)</f>
        <v>0</v>
      </c>
      <c r="R101" s="429">
        <f>SUMIF([1]Нэгтгэл!B:B,'[1]13'!B:B,[1]Нэгтгэл!DT:DT)</f>
        <v>0</v>
      </c>
      <c r="S101" s="429">
        <f>SUMIF([1]Нэгтгэл!B:B,'[1]13'!B:B,[1]Нэгтгэл!DW:DW)</f>
        <v>0</v>
      </c>
    </row>
    <row r="102" spans="1:19">
      <c r="A102" s="314">
        <f t="shared" si="1"/>
        <v>100</v>
      </c>
      <c r="B102" s="385">
        <v>2668505</v>
      </c>
      <c r="C102" s="429" t="s">
        <v>298</v>
      </c>
      <c r="D102" s="429">
        <f>SUMIF([1]Нэгтгэл!B:B,'[1]13'!B:B,[1]Нэгтгэл!CD:CD)</f>
        <v>0</v>
      </c>
      <c r="E102" s="429">
        <f>SUMIF([1]Нэгтгэл!B:B,'[1]13'!B:B,[1]Нэгтгэл!CG:CG)</f>
        <v>0</v>
      </c>
      <c r="F102" s="429">
        <f>SUMIF([1]Нэгтгэл!B:B,'[1]13'!B:B,[1]Нэгтгэл!CJ:CJ)</f>
        <v>0</v>
      </c>
      <c r="G102" s="429">
        <f>SUMIF([1]Нэгтгэл!B:B,'[1]13'!B:B,[1]Нэгтгэл!CM:CM)</f>
        <v>0</v>
      </c>
      <c r="H102" s="429">
        <f>SUMIF([1]Нэгтгэл!B:B,'[1]13'!B:B,[1]Нэгтгэл!CP:CP)</f>
        <v>0</v>
      </c>
      <c r="I102" s="429">
        <f>SUMIF([1]Нэгтгэл!B:B,'[1]13'!B:B,[1]Нэгтгэл!CS:CS)</f>
        <v>0</v>
      </c>
      <c r="J102" s="429">
        <f>SUMIF([1]Нэгтгэл!B:B,'[1]13'!B:B,[1]Нэгтгэл!CV:CV)</f>
        <v>0</v>
      </c>
      <c r="K102" s="429">
        <f>SUMIF([1]Нэгтгэл!B:B,'[1]13'!B:B,[1]Нэгтгэл!CY:CY)</f>
        <v>0</v>
      </c>
      <c r="L102" s="427">
        <v>0</v>
      </c>
      <c r="M102" s="427">
        <v>0</v>
      </c>
      <c r="N102" s="427">
        <v>0</v>
      </c>
      <c r="O102" s="429">
        <f>SUMIF([1]Нэгтгэл!B:B,'[1]13'!B:B,[1]Нэгтгэл!DK:DK)</f>
        <v>0</v>
      </c>
      <c r="P102" s="429">
        <f>SUMIF([1]Нэгтгэл!B:B,'[1]13'!B:B,[1]Нэгтгэл!DN:DN)</f>
        <v>0</v>
      </c>
      <c r="Q102" s="429">
        <f>SUMIF([1]Нэгтгэл!B:B,'[1]13'!B:B,[1]Нэгтгэл!DQ:DQ)</f>
        <v>0</v>
      </c>
      <c r="R102" s="429">
        <f>SUMIF([1]Нэгтгэл!B:B,'[1]13'!B:B,[1]Нэгтгэл!DT:DT)</f>
        <v>0</v>
      </c>
      <c r="S102" s="429">
        <f>SUMIF([1]Нэгтгэл!B:B,'[1]13'!B:B,[1]Нэгтгэл!DW:DW)</f>
        <v>0</v>
      </c>
    </row>
    <row r="103" spans="1:19">
      <c r="A103" s="314">
        <f t="shared" si="1"/>
        <v>101</v>
      </c>
      <c r="B103" s="385">
        <v>2697947</v>
      </c>
      <c r="C103" s="429" t="s">
        <v>299</v>
      </c>
      <c r="D103" s="429">
        <f>SUMIF([1]Нэгтгэл!B:B,'[1]13'!B:B,[1]Нэгтгэл!CD:CD)</f>
        <v>0</v>
      </c>
      <c r="E103" s="429">
        <f>SUMIF([1]Нэгтгэл!B:B,'[1]13'!B:B,[1]Нэгтгэл!CG:CG)</f>
        <v>0</v>
      </c>
      <c r="F103" s="429">
        <f>SUMIF([1]Нэгтгэл!B:B,'[1]13'!B:B,[1]Нэгтгэл!CJ:CJ)</f>
        <v>0</v>
      </c>
      <c r="G103" s="429">
        <f>SUMIF([1]Нэгтгэл!B:B,'[1]13'!B:B,[1]Нэгтгэл!CM:CM)</f>
        <v>0</v>
      </c>
      <c r="H103" s="429">
        <f>SUMIF([1]Нэгтгэл!B:B,'[1]13'!B:B,[1]Нэгтгэл!CP:CP)</f>
        <v>0</v>
      </c>
      <c r="I103" s="429">
        <f>SUMIF([1]Нэгтгэл!B:B,'[1]13'!B:B,[1]Нэгтгэл!CS:CS)</f>
        <v>0</v>
      </c>
      <c r="J103" s="429">
        <f>SUMIF([1]Нэгтгэл!B:B,'[1]13'!B:B,[1]Нэгтгэл!CV:CV)</f>
        <v>0</v>
      </c>
      <c r="K103" s="429">
        <f>SUMIF([1]Нэгтгэл!B:B,'[1]13'!B:B,[1]Нэгтгэл!CY:CY)</f>
        <v>0</v>
      </c>
      <c r="L103" s="427">
        <v>0</v>
      </c>
      <c r="M103" s="427">
        <v>0</v>
      </c>
      <c r="N103" s="427">
        <v>0</v>
      </c>
      <c r="O103" s="429">
        <f>SUMIF([1]Нэгтгэл!B:B,'[1]13'!B:B,[1]Нэгтгэл!DK:DK)</f>
        <v>0</v>
      </c>
      <c r="P103" s="429">
        <f>SUMIF([1]Нэгтгэл!B:B,'[1]13'!B:B,[1]Нэгтгэл!DN:DN)</f>
        <v>0</v>
      </c>
      <c r="Q103" s="429">
        <f>SUMIF([1]Нэгтгэл!B:B,'[1]13'!B:B,[1]Нэгтгэл!DQ:DQ)</f>
        <v>0</v>
      </c>
      <c r="R103" s="429">
        <f>SUMIF([1]Нэгтгэл!B:B,'[1]13'!B:B,[1]Нэгтгэл!DT:DT)</f>
        <v>0</v>
      </c>
      <c r="S103" s="429">
        <f>SUMIF([1]Нэгтгэл!B:B,'[1]13'!B:B,[1]Нэгтгэл!DW:DW)</f>
        <v>0</v>
      </c>
    </row>
    <row r="104" spans="1:19">
      <c r="A104" s="314">
        <f t="shared" si="1"/>
        <v>102</v>
      </c>
      <c r="B104" s="385">
        <v>5352827</v>
      </c>
      <c r="C104" s="429" t="s">
        <v>300</v>
      </c>
      <c r="D104" s="429">
        <f>SUMIF([1]Нэгтгэл!B:B,'[1]13'!B:B,[1]Нэгтгэл!CD:CD)</f>
        <v>0</v>
      </c>
      <c r="E104" s="429">
        <f>SUMIF([1]Нэгтгэл!B:B,'[1]13'!B:B,[1]Нэгтгэл!CG:CG)</f>
        <v>0</v>
      </c>
      <c r="F104" s="429">
        <f>SUMIF([1]Нэгтгэл!B:B,'[1]13'!B:B,[1]Нэгтгэл!CJ:CJ)</f>
        <v>0</v>
      </c>
      <c r="G104" s="429">
        <f>SUMIF([1]Нэгтгэл!B:B,'[1]13'!B:B,[1]Нэгтгэл!CM:CM)</f>
        <v>0</v>
      </c>
      <c r="H104" s="429">
        <f>SUMIF([1]Нэгтгэл!B:B,'[1]13'!B:B,[1]Нэгтгэл!CP:CP)</f>
        <v>0</v>
      </c>
      <c r="I104" s="429">
        <f>SUMIF([1]Нэгтгэл!B:B,'[1]13'!B:B,[1]Нэгтгэл!CS:CS)</f>
        <v>0</v>
      </c>
      <c r="J104" s="429">
        <f>SUMIF([1]Нэгтгэл!B:B,'[1]13'!B:B,[1]Нэгтгэл!CV:CV)</f>
        <v>0</v>
      </c>
      <c r="K104" s="429">
        <f>SUMIF([1]Нэгтгэл!B:B,'[1]13'!B:B,[1]Нэгтгэл!CY:CY)</f>
        <v>0</v>
      </c>
      <c r="L104" s="427">
        <v>0</v>
      </c>
      <c r="M104" s="427">
        <v>0</v>
      </c>
      <c r="N104" s="427">
        <v>0</v>
      </c>
      <c r="O104" s="429">
        <f>SUMIF([1]Нэгтгэл!B:B,'[1]13'!B:B,[1]Нэгтгэл!DK:DK)</f>
        <v>0</v>
      </c>
      <c r="P104" s="429">
        <f>SUMIF([1]Нэгтгэл!B:B,'[1]13'!B:B,[1]Нэгтгэл!DN:DN)</f>
        <v>0</v>
      </c>
      <c r="Q104" s="429">
        <f>SUMIF([1]Нэгтгэл!B:B,'[1]13'!B:B,[1]Нэгтгэл!DQ:DQ)</f>
        <v>0</v>
      </c>
      <c r="R104" s="429">
        <f>SUMIF([1]Нэгтгэл!B:B,'[1]13'!B:B,[1]Нэгтгэл!DT:DT)</f>
        <v>0</v>
      </c>
      <c r="S104" s="429">
        <f>SUMIF([1]Нэгтгэл!B:B,'[1]13'!B:B,[1]Нэгтгэл!DW:DW)</f>
        <v>0</v>
      </c>
    </row>
    <row r="105" spans="1:19">
      <c r="A105" s="314">
        <f t="shared" si="1"/>
        <v>103</v>
      </c>
      <c r="B105" s="385">
        <v>2548747</v>
      </c>
      <c r="C105" s="429" t="s">
        <v>301</v>
      </c>
      <c r="D105" s="429">
        <f>SUMIF([1]Нэгтгэл!B:B,'[1]13'!B:B,[1]Нэгтгэл!CD:CD)</f>
        <v>378466.8</v>
      </c>
      <c r="E105" s="429">
        <f>SUMIF([1]Нэгтгэл!B:B,'[1]13'!B:B,[1]Нэгтгэл!CG:CG)</f>
        <v>1378</v>
      </c>
      <c r="F105" s="429">
        <f>SUMIF([1]Нэгтгэл!B:B,'[1]13'!B:B,[1]Нэгтгэл!CJ:CJ)</f>
        <v>71014.5</v>
      </c>
      <c r="G105" s="429">
        <f>SUMIF([1]Нэгтгэл!B:B,'[1]13'!B:B,[1]Нэгтгэл!CM:CM)</f>
        <v>634567.69999999995</v>
      </c>
      <c r="H105" s="429">
        <f>SUMIF([1]Нэгтгэл!B:B,'[1]13'!B:B,[1]Нэгтгэл!CP:CP)</f>
        <v>0</v>
      </c>
      <c r="I105" s="429">
        <f>SUMIF([1]Нэгтгэл!B:B,'[1]13'!B:B,[1]Нэгтгэл!CS:CS)</f>
        <v>0</v>
      </c>
      <c r="J105" s="429">
        <f>SUMIF([1]Нэгтгэл!B:B,'[1]13'!B:B,[1]Нэгтгэл!CV:CV)</f>
        <v>0</v>
      </c>
      <c r="K105" s="429">
        <f>SUMIF([1]Нэгтгэл!B:B,'[1]13'!B:B,[1]Нэгтгэл!CY:CY)</f>
        <v>0</v>
      </c>
      <c r="L105" s="427">
        <v>0</v>
      </c>
      <c r="M105" s="427">
        <v>0</v>
      </c>
      <c r="N105" s="427">
        <v>0</v>
      </c>
      <c r="O105" s="429">
        <f>SUMIF([1]Нэгтгэл!B:B,'[1]13'!B:B,[1]Нэгтгэл!DK:DK)</f>
        <v>0</v>
      </c>
      <c r="P105" s="429">
        <f>SUMIF([1]Нэгтгэл!B:B,'[1]13'!B:B,[1]Нэгтгэл!DN:DN)</f>
        <v>0</v>
      </c>
      <c r="Q105" s="429">
        <f>SUMIF([1]Нэгтгэл!B:B,'[1]13'!B:B,[1]Нэгтгэл!DQ:DQ)</f>
        <v>0</v>
      </c>
      <c r="R105" s="429">
        <f>SUMIF([1]Нэгтгэл!B:B,'[1]13'!B:B,[1]Нэгтгэл!DT:DT)</f>
        <v>0</v>
      </c>
      <c r="S105" s="429">
        <f>SUMIF([1]Нэгтгэл!B:B,'[1]13'!B:B,[1]Нэгтгэл!DW:DW)</f>
        <v>1440000000</v>
      </c>
    </row>
    <row r="106" spans="1:19">
      <c r="A106" s="314">
        <f t="shared" si="1"/>
        <v>104</v>
      </c>
      <c r="B106" s="385">
        <v>2641984</v>
      </c>
      <c r="C106" s="429" t="s">
        <v>303</v>
      </c>
      <c r="D106" s="429">
        <f>SUMIF([1]Нэгтгэл!B:B,'[1]13'!B:B,[1]Нэгтгэл!CD:CD)</f>
        <v>0</v>
      </c>
      <c r="E106" s="429">
        <f>SUMIF([1]Нэгтгэл!B:B,'[1]13'!B:B,[1]Нэгтгэл!CG:CG)</f>
        <v>0</v>
      </c>
      <c r="F106" s="429">
        <f>SUMIF([1]Нэгтгэл!B:B,'[1]13'!B:B,[1]Нэгтгэл!CJ:CJ)</f>
        <v>0</v>
      </c>
      <c r="G106" s="429">
        <f>SUMIF([1]Нэгтгэл!B:B,'[1]13'!B:B,[1]Нэгтгэл!CM:CM)</f>
        <v>0</v>
      </c>
      <c r="H106" s="429">
        <f>SUMIF([1]Нэгтгэл!B:B,'[1]13'!B:B,[1]Нэгтгэл!CP:CP)</f>
        <v>0</v>
      </c>
      <c r="I106" s="429">
        <f>SUMIF([1]Нэгтгэл!B:B,'[1]13'!B:B,[1]Нэгтгэл!CS:CS)</f>
        <v>0</v>
      </c>
      <c r="J106" s="429">
        <f>SUMIF([1]Нэгтгэл!B:B,'[1]13'!B:B,[1]Нэгтгэл!CV:CV)</f>
        <v>0</v>
      </c>
      <c r="K106" s="429">
        <f>SUMIF([1]Нэгтгэл!B:B,'[1]13'!B:B,[1]Нэгтгэл!CY:CY)</f>
        <v>0</v>
      </c>
      <c r="L106" s="427">
        <v>0</v>
      </c>
      <c r="M106" s="427">
        <v>0</v>
      </c>
      <c r="N106" s="427">
        <v>0</v>
      </c>
      <c r="O106" s="429">
        <f>SUMIF([1]Нэгтгэл!B:B,'[1]13'!B:B,[1]Нэгтгэл!DK:DK)</f>
        <v>0</v>
      </c>
      <c r="P106" s="429">
        <f>SUMIF([1]Нэгтгэл!B:B,'[1]13'!B:B,[1]Нэгтгэл!DN:DN)</f>
        <v>0</v>
      </c>
      <c r="Q106" s="429">
        <f>SUMIF([1]Нэгтгэл!B:B,'[1]13'!B:B,[1]Нэгтгэл!DQ:DQ)</f>
        <v>0</v>
      </c>
      <c r="R106" s="429">
        <f>SUMIF([1]Нэгтгэл!B:B,'[1]13'!B:B,[1]Нэгтгэл!DT:DT)</f>
        <v>0</v>
      </c>
      <c r="S106" s="429">
        <f>SUMIF([1]Нэгтгэл!B:B,'[1]13'!B:B,[1]Нэгтгэл!DW:DW)</f>
        <v>0</v>
      </c>
    </row>
    <row r="107" spans="1:19">
      <c r="A107" s="314">
        <f t="shared" si="1"/>
        <v>105</v>
      </c>
      <c r="B107" s="385">
        <v>6342485</v>
      </c>
      <c r="C107" s="429" t="s">
        <v>306</v>
      </c>
      <c r="D107" s="429">
        <f>SUMIF([1]Нэгтгэл!B:B,'[1]13'!B:B,[1]Нэгтгэл!CD:CD)</f>
        <v>0</v>
      </c>
      <c r="E107" s="429">
        <f>SUMIF([1]Нэгтгэл!B:B,'[1]13'!B:B,[1]Нэгтгэл!CG:CG)</f>
        <v>0</v>
      </c>
      <c r="F107" s="429">
        <f>SUMIF([1]Нэгтгэл!B:B,'[1]13'!B:B,[1]Нэгтгэл!CJ:CJ)</f>
        <v>0</v>
      </c>
      <c r="G107" s="429">
        <f>SUMIF([1]Нэгтгэл!B:B,'[1]13'!B:B,[1]Нэгтгэл!CM:CM)</f>
        <v>0</v>
      </c>
      <c r="H107" s="429">
        <f>SUMIF([1]Нэгтгэл!B:B,'[1]13'!B:B,[1]Нэгтгэл!CP:CP)</f>
        <v>0</v>
      </c>
      <c r="I107" s="429">
        <f>SUMIF([1]Нэгтгэл!B:B,'[1]13'!B:B,[1]Нэгтгэл!CS:CS)</f>
        <v>0</v>
      </c>
      <c r="J107" s="429">
        <f>SUMIF([1]Нэгтгэл!B:B,'[1]13'!B:B,[1]Нэгтгэл!CV:CV)</f>
        <v>0</v>
      </c>
      <c r="K107" s="429">
        <f>SUMIF([1]Нэгтгэл!B:B,'[1]13'!B:B,[1]Нэгтгэл!CY:CY)</f>
        <v>0</v>
      </c>
      <c r="L107" s="427">
        <v>0</v>
      </c>
      <c r="M107" s="427">
        <v>0</v>
      </c>
      <c r="N107" s="427">
        <v>0</v>
      </c>
      <c r="O107" s="429">
        <f>SUMIF([1]Нэгтгэл!B:B,'[1]13'!B:B,[1]Нэгтгэл!DK:DK)</f>
        <v>0</v>
      </c>
      <c r="P107" s="429">
        <f>SUMIF([1]Нэгтгэл!B:B,'[1]13'!B:B,[1]Нэгтгэл!DN:DN)</f>
        <v>0</v>
      </c>
      <c r="Q107" s="429">
        <f>SUMIF([1]Нэгтгэл!B:B,'[1]13'!B:B,[1]Нэгтгэл!DQ:DQ)</f>
        <v>0</v>
      </c>
      <c r="R107" s="429">
        <f>SUMIF([1]Нэгтгэл!B:B,'[1]13'!B:B,[1]Нэгтгэл!DT:DT)</f>
        <v>0</v>
      </c>
      <c r="S107" s="429">
        <f>SUMIF([1]Нэгтгэл!B:B,'[1]13'!B:B,[1]Нэгтгэл!DW:DW)</f>
        <v>0</v>
      </c>
    </row>
    <row r="108" spans="1:19">
      <c r="A108" s="314">
        <f t="shared" si="1"/>
        <v>106</v>
      </c>
      <c r="B108" s="385">
        <v>5166667</v>
      </c>
      <c r="C108" s="429" t="s">
        <v>307</v>
      </c>
      <c r="D108" s="429">
        <f>SUMIF([1]Нэгтгэл!B:B,'[1]13'!B:B,[1]Нэгтгэл!CD:CD)</f>
        <v>0</v>
      </c>
      <c r="E108" s="429">
        <f>SUMIF([1]Нэгтгэл!B:B,'[1]13'!B:B,[1]Нэгтгэл!CG:CG)</f>
        <v>0</v>
      </c>
      <c r="F108" s="429">
        <f>SUMIF([1]Нэгтгэл!B:B,'[1]13'!B:B,[1]Нэгтгэл!CJ:CJ)</f>
        <v>0</v>
      </c>
      <c r="G108" s="429">
        <f>SUMIF([1]Нэгтгэл!B:B,'[1]13'!B:B,[1]Нэгтгэл!CM:CM)</f>
        <v>0</v>
      </c>
      <c r="H108" s="429">
        <f>SUMIF([1]Нэгтгэл!B:B,'[1]13'!B:B,[1]Нэгтгэл!CP:CP)</f>
        <v>0</v>
      </c>
      <c r="I108" s="429">
        <f>SUMIF([1]Нэгтгэл!B:B,'[1]13'!B:B,[1]Нэгтгэл!CS:CS)</f>
        <v>0</v>
      </c>
      <c r="J108" s="429">
        <f>SUMIF([1]Нэгтгэл!B:B,'[1]13'!B:B,[1]Нэгтгэл!CV:CV)</f>
        <v>0</v>
      </c>
      <c r="K108" s="429">
        <f>SUMIF([1]Нэгтгэл!B:B,'[1]13'!B:B,[1]Нэгтгэл!CY:CY)</f>
        <v>0</v>
      </c>
      <c r="L108" s="427">
        <v>0</v>
      </c>
      <c r="M108" s="427">
        <v>0</v>
      </c>
      <c r="N108" s="427">
        <v>0</v>
      </c>
      <c r="O108" s="429">
        <f>SUMIF([1]Нэгтгэл!B:B,'[1]13'!B:B,[1]Нэгтгэл!DK:DK)</f>
        <v>0</v>
      </c>
      <c r="P108" s="429">
        <f>SUMIF([1]Нэгтгэл!B:B,'[1]13'!B:B,[1]Нэгтгэл!DN:DN)</f>
        <v>0</v>
      </c>
      <c r="Q108" s="429">
        <f>SUMIF([1]Нэгтгэл!B:B,'[1]13'!B:B,[1]Нэгтгэл!DQ:DQ)</f>
        <v>0</v>
      </c>
      <c r="R108" s="429">
        <f>SUMIF([1]Нэгтгэл!B:B,'[1]13'!B:B,[1]Нэгтгэл!DT:DT)</f>
        <v>0</v>
      </c>
      <c r="S108" s="429">
        <f>SUMIF([1]Нэгтгэл!B:B,'[1]13'!B:B,[1]Нэгтгэл!DW:DW)</f>
        <v>0</v>
      </c>
    </row>
    <row r="109" spans="1:19">
      <c r="A109" s="314">
        <f t="shared" si="1"/>
        <v>107</v>
      </c>
      <c r="B109" s="385">
        <v>5482046</v>
      </c>
      <c r="C109" s="429" t="s">
        <v>308</v>
      </c>
      <c r="D109" s="429">
        <f>SUMIF([1]Нэгтгэл!B:B,'[1]13'!B:B,[1]Нэгтгэл!CD:CD)</f>
        <v>0</v>
      </c>
      <c r="E109" s="429">
        <f>SUMIF([1]Нэгтгэл!B:B,'[1]13'!B:B,[1]Нэгтгэл!CG:CG)</f>
        <v>0</v>
      </c>
      <c r="F109" s="429">
        <f>SUMIF([1]Нэгтгэл!B:B,'[1]13'!B:B,[1]Нэгтгэл!CJ:CJ)</f>
        <v>0</v>
      </c>
      <c r="G109" s="429">
        <f>SUMIF([1]Нэгтгэл!B:B,'[1]13'!B:B,[1]Нэгтгэл!CM:CM)</f>
        <v>0</v>
      </c>
      <c r="H109" s="429">
        <f>SUMIF([1]Нэгтгэл!B:B,'[1]13'!B:B,[1]Нэгтгэл!CP:CP)</f>
        <v>0</v>
      </c>
      <c r="I109" s="429">
        <f>SUMIF([1]Нэгтгэл!B:B,'[1]13'!B:B,[1]Нэгтгэл!CS:CS)</f>
        <v>0</v>
      </c>
      <c r="J109" s="429">
        <f>SUMIF([1]Нэгтгэл!B:B,'[1]13'!B:B,[1]Нэгтгэл!CV:CV)</f>
        <v>0</v>
      </c>
      <c r="K109" s="429">
        <f>SUMIF([1]Нэгтгэл!B:B,'[1]13'!B:B,[1]Нэгтгэл!CY:CY)</f>
        <v>0</v>
      </c>
      <c r="L109" s="427">
        <v>0</v>
      </c>
      <c r="M109" s="427">
        <v>0</v>
      </c>
      <c r="N109" s="427">
        <v>0</v>
      </c>
      <c r="O109" s="429">
        <f>SUMIF([1]Нэгтгэл!B:B,'[1]13'!B:B,[1]Нэгтгэл!DK:DK)</f>
        <v>0</v>
      </c>
      <c r="P109" s="429">
        <f>SUMIF([1]Нэгтгэл!B:B,'[1]13'!B:B,[1]Нэгтгэл!DN:DN)</f>
        <v>0</v>
      </c>
      <c r="Q109" s="429">
        <f>SUMIF([1]Нэгтгэл!B:B,'[1]13'!B:B,[1]Нэгтгэл!DQ:DQ)</f>
        <v>0</v>
      </c>
      <c r="R109" s="429">
        <f>SUMIF([1]Нэгтгэл!B:B,'[1]13'!B:B,[1]Нэгтгэл!DT:DT)</f>
        <v>0</v>
      </c>
      <c r="S109" s="429">
        <f>SUMIF([1]Нэгтгэл!B:B,'[1]13'!B:B,[1]Нэгтгэл!DW:DW)</f>
        <v>0</v>
      </c>
    </row>
    <row r="110" spans="1:19">
      <c r="A110" s="314">
        <f t="shared" si="1"/>
        <v>108</v>
      </c>
      <c r="B110" s="385">
        <v>2050374</v>
      </c>
      <c r="C110" s="429" t="s">
        <v>309</v>
      </c>
      <c r="D110" s="429">
        <f>SUMIF([1]Нэгтгэл!B:B,'[1]13'!B:B,[1]Нэгтгэл!CD:CD)</f>
        <v>35022736.689999998</v>
      </c>
      <c r="E110" s="429">
        <f>SUMIF([1]Нэгтгэл!B:B,'[1]13'!B:B,[1]Нэгтгэл!CG:CG)</f>
        <v>0</v>
      </c>
      <c r="F110" s="429">
        <f>SUMIF([1]Нэгтгэл!B:B,'[1]13'!B:B,[1]Нэгтгэл!CJ:CJ)</f>
        <v>142006136</v>
      </c>
      <c r="G110" s="429">
        <f>SUMIF([1]Нэгтгэл!B:B,'[1]13'!B:B,[1]Нэгтгэл!CM:CM)</f>
        <v>583645388.03999996</v>
      </c>
      <c r="H110" s="429">
        <f>SUMIF([1]Нэгтгэл!B:B,'[1]13'!B:B,[1]Нэгтгэл!CP:CP)</f>
        <v>0</v>
      </c>
      <c r="I110" s="429">
        <f>SUMIF([1]Нэгтгэл!B:B,'[1]13'!B:B,[1]Нэгтгэл!CS:CS)</f>
        <v>3400263711.5300002</v>
      </c>
      <c r="J110" s="429">
        <f>SUMIF([1]Нэгтгэл!B:B,'[1]13'!B:B,[1]Нэгтгэл!CV:CV)</f>
        <v>0</v>
      </c>
      <c r="K110" s="429">
        <f>SUMIF([1]Нэгтгэл!B:B,'[1]13'!B:B,[1]Нэгтгэл!CY:CY)</f>
        <v>0</v>
      </c>
      <c r="L110" s="427">
        <v>0</v>
      </c>
      <c r="M110" s="427">
        <v>0</v>
      </c>
      <c r="N110" s="427">
        <v>0</v>
      </c>
      <c r="O110" s="429">
        <f>SUMIF([1]Нэгтгэл!B:B,'[1]13'!B:B,[1]Нэгтгэл!DK:DK)</f>
        <v>0</v>
      </c>
      <c r="P110" s="429">
        <f>SUMIF([1]Нэгтгэл!B:B,'[1]13'!B:B,[1]Нэгтгэл!DN:DN)</f>
        <v>0</v>
      </c>
      <c r="Q110" s="429">
        <f>SUMIF([1]Нэгтгэл!B:B,'[1]13'!B:B,[1]Нэгтгэл!DQ:DQ)</f>
        <v>0</v>
      </c>
      <c r="R110" s="429">
        <f>SUMIF([1]Нэгтгэл!B:B,'[1]13'!B:B,[1]Нэгтгэл!DT:DT)</f>
        <v>0</v>
      </c>
      <c r="S110" s="429">
        <f>SUMIF([1]Нэгтгэл!B:B,'[1]13'!B:B,[1]Нэгтгэл!DW:DW)</f>
        <v>0</v>
      </c>
    </row>
    <row r="111" spans="1:19">
      <c r="A111" s="314">
        <f t="shared" si="1"/>
        <v>109</v>
      </c>
      <c r="B111" s="385">
        <v>2004879</v>
      </c>
      <c r="C111" s="429" t="s">
        <v>311</v>
      </c>
      <c r="D111" s="429">
        <f>SUMIF([1]Нэгтгэл!B:B,'[1]13'!B:B,[1]Нэгтгэл!CD:CD)</f>
        <v>0</v>
      </c>
      <c r="E111" s="429">
        <f>SUMIF([1]Нэгтгэл!B:B,'[1]13'!B:B,[1]Нэгтгэл!CG:CG)</f>
        <v>0</v>
      </c>
      <c r="F111" s="429">
        <f>SUMIF([1]Нэгтгэл!B:B,'[1]13'!B:B,[1]Нэгтгэл!CJ:CJ)</f>
        <v>0</v>
      </c>
      <c r="G111" s="429">
        <f>SUMIF([1]Нэгтгэл!B:B,'[1]13'!B:B,[1]Нэгтгэл!CM:CM)</f>
        <v>0</v>
      </c>
      <c r="H111" s="429">
        <f>SUMIF([1]Нэгтгэл!B:B,'[1]13'!B:B,[1]Нэгтгэл!CP:CP)</f>
        <v>0</v>
      </c>
      <c r="I111" s="429">
        <f>SUMIF([1]Нэгтгэл!B:B,'[1]13'!B:B,[1]Нэгтгэл!CS:CS)</f>
        <v>0</v>
      </c>
      <c r="J111" s="429">
        <f>SUMIF([1]Нэгтгэл!B:B,'[1]13'!B:B,[1]Нэгтгэл!CV:CV)</f>
        <v>0</v>
      </c>
      <c r="K111" s="429">
        <f>SUMIF([1]Нэгтгэл!B:B,'[1]13'!B:B,[1]Нэгтгэл!CY:CY)</f>
        <v>0</v>
      </c>
      <c r="L111" s="427">
        <v>0</v>
      </c>
      <c r="M111" s="427">
        <v>0</v>
      </c>
      <c r="N111" s="427">
        <v>0</v>
      </c>
      <c r="O111" s="429">
        <f>SUMIF([1]Нэгтгэл!B:B,'[1]13'!B:B,[1]Нэгтгэл!DK:DK)</f>
        <v>0</v>
      </c>
      <c r="P111" s="429">
        <f>SUMIF([1]Нэгтгэл!B:B,'[1]13'!B:B,[1]Нэгтгэл!DN:DN)</f>
        <v>0</v>
      </c>
      <c r="Q111" s="429">
        <f>SUMIF([1]Нэгтгэл!B:B,'[1]13'!B:B,[1]Нэгтгэл!DQ:DQ)</f>
        <v>0</v>
      </c>
      <c r="R111" s="429">
        <f>SUMIF([1]Нэгтгэл!B:B,'[1]13'!B:B,[1]Нэгтгэл!DT:DT)</f>
        <v>0</v>
      </c>
      <c r="S111" s="429">
        <f>SUMIF([1]Нэгтгэл!B:B,'[1]13'!B:B,[1]Нэгтгэл!DW:DW)</f>
        <v>0</v>
      </c>
    </row>
    <row r="112" spans="1:19">
      <c r="A112" s="314">
        <f t="shared" si="1"/>
        <v>110</v>
      </c>
      <c r="B112" s="385">
        <v>2830213</v>
      </c>
      <c r="C112" s="429" t="s">
        <v>314</v>
      </c>
      <c r="D112" s="429">
        <f>SUMIF([1]Нэгтгэл!B:B,'[1]13'!B:B,[1]Нэгтгэл!CD:CD)</f>
        <v>0</v>
      </c>
      <c r="E112" s="429">
        <f>SUMIF([1]Нэгтгэл!B:B,'[1]13'!B:B,[1]Нэгтгэл!CG:CG)</f>
        <v>0</v>
      </c>
      <c r="F112" s="429">
        <f>SUMIF([1]Нэгтгэл!B:B,'[1]13'!B:B,[1]Нэгтгэл!CJ:CJ)</f>
        <v>0</v>
      </c>
      <c r="G112" s="429">
        <f>SUMIF([1]Нэгтгэл!B:B,'[1]13'!B:B,[1]Нэгтгэл!CM:CM)</f>
        <v>0</v>
      </c>
      <c r="H112" s="429">
        <f>SUMIF([1]Нэгтгэл!B:B,'[1]13'!B:B,[1]Нэгтгэл!CP:CP)</f>
        <v>0</v>
      </c>
      <c r="I112" s="429">
        <f>SUMIF([1]Нэгтгэл!B:B,'[1]13'!B:B,[1]Нэгтгэл!CS:CS)</f>
        <v>0</v>
      </c>
      <c r="J112" s="429">
        <f>SUMIF([1]Нэгтгэл!B:B,'[1]13'!B:B,[1]Нэгтгэл!CV:CV)</f>
        <v>0</v>
      </c>
      <c r="K112" s="429">
        <f>SUMIF([1]Нэгтгэл!B:B,'[1]13'!B:B,[1]Нэгтгэл!CY:CY)</f>
        <v>0</v>
      </c>
      <c r="L112" s="427">
        <v>0</v>
      </c>
      <c r="M112" s="427">
        <v>0</v>
      </c>
      <c r="N112" s="427">
        <v>0</v>
      </c>
      <c r="O112" s="429">
        <f>SUMIF([1]Нэгтгэл!B:B,'[1]13'!B:B,[1]Нэгтгэл!DK:DK)</f>
        <v>0</v>
      </c>
      <c r="P112" s="429">
        <f>SUMIF([1]Нэгтгэл!B:B,'[1]13'!B:B,[1]Нэгтгэл!DN:DN)</f>
        <v>0</v>
      </c>
      <c r="Q112" s="429">
        <f>SUMIF([1]Нэгтгэл!B:B,'[1]13'!B:B,[1]Нэгтгэл!DQ:DQ)</f>
        <v>0</v>
      </c>
      <c r="R112" s="429">
        <f>SUMIF([1]Нэгтгэл!B:B,'[1]13'!B:B,[1]Нэгтгэл!DT:DT)</f>
        <v>0</v>
      </c>
      <c r="S112" s="429">
        <f>SUMIF([1]Нэгтгэл!B:B,'[1]13'!B:B,[1]Нэгтгэл!DW:DW)</f>
        <v>0</v>
      </c>
    </row>
    <row r="113" spans="1:19">
      <c r="A113" s="314">
        <f t="shared" si="1"/>
        <v>111</v>
      </c>
      <c r="B113" s="385">
        <v>5320607</v>
      </c>
      <c r="C113" s="429" t="s">
        <v>315</v>
      </c>
      <c r="D113" s="429">
        <f>SUMIF([1]Нэгтгэл!B:B,'[1]13'!B:B,[1]Нэгтгэл!CD:CD)</f>
        <v>6000</v>
      </c>
      <c r="E113" s="429">
        <f>SUMIF([1]Нэгтгэл!B:B,'[1]13'!B:B,[1]Нэгтгэл!CG:CG)</f>
        <v>0</v>
      </c>
      <c r="F113" s="429">
        <f>SUMIF([1]Нэгтгэл!B:B,'[1]13'!B:B,[1]Нэгтгэл!CJ:CJ)</f>
        <v>1356.9</v>
      </c>
      <c r="G113" s="429">
        <f>SUMIF([1]Нэгтгэл!B:B,'[1]13'!B:B,[1]Нэгтгэл!CM:CM)</f>
        <v>31143</v>
      </c>
      <c r="H113" s="429">
        <f>SUMIF([1]Нэгтгэл!B:B,'[1]13'!B:B,[1]Нэгтгэл!CP:CP)</f>
        <v>0</v>
      </c>
      <c r="I113" s="429">
        <f>SUMIF([1]Нэгтгэл!B:B,'[1]13'!B:B,[1]Нэгтгэл!CS:CS)</f>
        <v>0</v>
      </c>
      <c r="J113" s="429">
        <f>SUMIF([1]Нэгтгэл!B:B,'[1]13'!B:B,[1]Нэгтгэл!CV:CV)</f>
        <v>0</v>
      </c>
      <c r="K113" s="429">
        <f>SUMIF([1]Нэгтгэл!B:B,'[1]13'!B:B,[1]Нэгтгэл!CY:CY)</f>
        <v>0</v>
      </c>
      <c r="L113" s="427">
        <v>0</v>
      </c>
      <c r="M113" s="427">
        <v>0</v>
      </c>
      <c r="N113" s="427">
        <v>0</v>
      </c>
      <c r="O113" s="429">
        <f>SUMIF([1]Нэгтгэл!B:B,'[1]13'!B:B,[1]Нэгтгэл!DK:DK)</f>
        <v>0</v>
      </c>
      <c r="P113" s="429">
        <f>SUMIF([1]Нэгтгэл!B:B,'[1]13'!B:B,[1]Нэгтгэл!DN:DN)</f>
        <v>0</v>
      </c>
      <c r="Q113" s="429">
        <f>SUMIF([1]Нэгтгэл!B:B,'[1]13'!B:B,[1]Нэгтгэл!DQ:DQ)</f>
        <v>0</v>
      </c>
      <c r="R113" s="429">
        <f>SUMIF([1]Нэгтгэл!B:B,'[1]13'!B:B,[1]Нэгтгэл!DT:DT)</f>
        <v>0</v>
      </c>
      <c r="S113" s="429">
        <f>SUMIF([1]Нэгтгэл!B:B,'[1]13'!B:B,[1]Нэгтгэл!DW:DW)</f>
        <v>0</v>
      </c>
    </row>
    <row r="114" spans="1:19">
      <c r="A114" s="314">
        <f t="shared" si="1"/>
        <v>112</v>
      </c>
      <c r="B114" s="385">
        <v>5586119</v>
      </c>
      <c r="C114" s="429" t="s">
        <v>316</v>
      </c>
      <c r="D114" s="429">
        <f>SUMIF([1]Нэгтгэл!B:B,'[1]13'!B:B,[1]Нэгтгэл!CD:CD)</f>
        <v>0</v>
      </c>
      <c r="E114" s="429">
        <f>SUMIF([1]Нэгтгэл!B:B,'[1]13'!B:B,[1]Нэгтгэл!CG:CG)</f>
        <v>0</v>
      </c>
      <c r="F114" s="429">
        <f>SUMIF([1]Нэгтгэл!B:B,'[1]13'!B:B,[1]Нэгтгэл!CJ:CJ)</f>
        <v>0</v>
      </c>
      <c r="G114" s="429">
        <f>SUMIF([1]Нэгтгэл!B:B,'[1]13'!B:B,[1]Нэгтгэл!CM:CM)</f>
        <v>0</v>
      </c>
      <c r="H114" s="429">
        <f>SUMIF([1]Нэгтгэл!B:B,'[1]13'!B:B,[1]Нэгтгэл!CP:CP)</f>
        <v>0</v>
      </c>
      <c r="I114" s="429">
        <f>SUMIF([1]Нэгтгэл!B:B,'[1]13'!B:B,[1]Нэгтгэл!CS:CS)</f>
        <v>0</v>
      </c>
      <c r="J114" s="429">
        <f>SUMIF([1]Нэгтгэл!B:B,'[1]13'!B:B,[1]Нэгтгэл!CV:CV)</f>
        <v>0</v>
      </c>
      <c r="K114" s="429">
        <f>SUMIF([1]Нэгтгэл!B:B,'[1]13'!B:B,[1]Нэгтгэл!CY:CY)</f>
        <v>0</v>
      </c>
      <c r="L114" s="427">
        <v>0</v>
      </c>
      <c r="M114" s="427">
        <v>0</v>
      </c>
      <c r="N114" s="427">
        <v>0</v>
      </c>
      <c r="O114" s="429">
        <f>SUMIF([1]Нэгтгэл!B:B,'[1]13'!B:B,[1]Нэгтгэл!DK:DK)</f>
        <v>0</v>
      </c>
      <c r="P114" s="429">
        <f>SUMIF([1]Нэгтгэл!B:B,'[1]13'!B:B,[1]Нэгтгэл!DN:DN)</f>
        <v>0</v>
      </c>
      <c r="Q114" s="429">
        <f>SUMIF([1]Нэгтгэл!B:B,'[1]13'!B:B,[1]Нэгтгэл!DQ:DQ)</f>
        <v>0</v>
      </c>
      <c r="R114" s="429">
        <f>SUMIF([1]Нэгтгэл!B:B,'[1]13'!B:B,[1]Нэгтгэл!DT:DT)</f>
        <v>0</v>
      </c>
      <c r="S114" s="429">
        <f>SUMIF([1]Нэгтгэл!B:B,'[1]13'!B:B,[1]Нэгтгэл!DW:DW)</f>
        <v>0</v>
      </c>
    </row>
    <row r="115" spans="1:19">
      <c r="A115" s="314">
        <f t="shared" si="1"/>
        <v>113</v>
      </c>
      <c r="B115" s="385">
        <v>5015243</v>
      </c>
      <c r="C115" s="429" t="s">
        <v>317</v>
      </c>
      <c r="D115" s="429">
        <f>SUMIF([1]Нэгтгэл!B:B,'[1]13'!B:B,[1]Нэгтгэл!CD:CD)</f>
        <v>0</v>
      </c>
      <c r="E115" s="429">
        <f>SUMIF([1]Нэгтгэл!B:B,'[1]13'!B:B,[1]Нэгтгэл!CG:CG)</f>
        <v>0</v>
      </c>
      <c r="F115" s="429">
        <f>SUMIF([1]Нэгтгэл!B:B,'[1]13'!B:B,[1]Нэгтгэл!CJ:CJ)</f>
        <v>0</v>
      </c>
      <c r="G115" s="429">
        <f>SUMIF([1]Нэгтгэл!B:B,'[1]13'!B:B,[1]Нэгтгэл!CM:CM)</f>
        <v>0</v>
      </c>
      <c r="H115" s="429">
        <f>SUMIF([1]Нэгтгэл!B:B,'[1]13'!B:B,[1]Нэгтгэл!CP:CP)</f>
        <v>0</v>
      </c>
      <c r="I115" s="429">
        <f>SUMIF([1]Нэгтгэл!B:B,'[1]13'!B:B,[1]Нэгтгэл!CS:CS)</f>
        <v>0</v>
      </c>
      <c r="J115" s="429">
        <f>SUMIF([1]Нэгтгэл!B:B,'[1]13'!B:B,[1]Нэгтгэл!CV:CV)</f>
        <v>0</v>
      </c>
      <c r="K115" s="429">
        <f>SUMIF([1]Нэгтгэл!B:B,'[1]13'!B:B,[1]Нэгтгэл!CY:CY)</f>
        <v>0</v>
      </c>
      <c r="L115" s="427">
        <v>0</v>
      </c>
      <c r="M115" s="427">
        <v>0</v>
      </c>
      <c r="N115" s="427">
        <v>0</v>
      </c>
      <c r="O115" s="429">
        <f>SUMIF([1]Нэгтгэл!B:B,'[1]13'!B:B,[1]Нэгтгэл!DK:DK)</f>
        <v>0</v>
      </c>
      <c r="P115" s="429">
        <f>SUMIF([1]Нэгтгэл!B:B,'[1]13'!B:B,[1]Нэгтгэл!DN:DN)</f>
        <v>0</v>
      </c>
      <c r="Q115" s="429">
        <f>SUMIF([1]Нэгтгэл!B:B,'[1]13'!B:B,[1]Нэгтгэл!DQ:DQ)</f>
        <v>0</v>
      </c>
      <c r="R115" s="429">
        <f>SUMIF([1]Нэгтгэл!B:B,'[1]13'!B:B,[1]Нэгтгэл!DT:DT)</f>
        <v>0</v>
      </c>
      <c r="S115" s="429">
        <f>SUMIF([1]Нэгтгэл!B:B,'[1]13'!B:B,[1]Нэгтгэл!DW:DW)</f>
        <v>0</v>
      </c>
    </row>
    <row r="116" spans="1:19">
      <c r="A116" s="314">
        <f t="shared" si="1"/>
        <v>114</v>
      </c>
      <c r="B116" s="385">
        <v>5452503</v>
      </c>
      <c r="C116" s="429" t="s">
        <v>318</v>
      </c>
      <c r="D116" s="429">
        <f>SUMIF([1]Нэгтгэл!B:B,'[1]13'!B:B,[1]Нэгтгэл!CD:CD)</f>
        <v>15117.6</v>
      </c>
      <c r="E116" s="429">
        <f>SUMIF([1]Нэгтгэл!B:B,'[1]13'!B:B,[1]Нэгтгэл!CG:CG)</f>
        <v>0</v>
      </c>
      <c r="F116" s="429">
        <f>SUMIF([1]Нэгтгэл!B:B,'[1]13'!B:B,[1]Нэгтгэл!CJ:CJ)</f>
        <v>42619.3</v>
      </c>
      <c r="G116" s="429">
        <f>SUMIF([1]Нэгтгэл!B:B,'[1]13'!B:B,[1]Нэгтгэл!CM:CM)</f>
        <v>23060.9</v>
      </c>
      <c r="H116" s="429">
        <f>SUMIF([1]Нэгтгэл!B:B,'[1]13'!B:B,[1]Нэгтгэл!CP:CP)</f>
        <v>0</v>
      </c>
      <c r="I116" s="429">
        <f>SUMIF([1]Нэгтгэл!B:B,'[1]13'!B:B,[1]Нэгтгэл!CS:CS)</f>
        <v>0</v>
      </c>
      <c r="J116" s="429">
        <f>SUMIF([1]Нэгтгэл!B:B,'[1]13'!B:B,[1]Нэгтгэл!CV:CV)</f>
        <v>0</v>
      </c>
      <c r="K116" s="429">
        <f>SUMIF([1]Нэгтгэл!B:B,'[1]13'!B:B,[1]Нэгтгэл!CY:CY)</f>
        <v>0</v>
      </c>
      <c r="L116" s="427">
        <v>0</v>
      </c>
      <c r="M116" s="427">
        <v>0</v>
      </c>
      <c r="N116" s="427">
        <v>0</v>
      </c>
      <c r="O116" s="429">
        <f>SUMIF([1]Нэгтгэл!B:B,'[1]13'!B:B,[1]Нэгтгэл!DK:DK)</f>
        <v>0</v>
      </c>
      <c r="P116" s="429">
        <f>SUMIF([1]Нэгтгэл!B:B,'[1]13'!B:B,[1]Нэгтгэл!DN:DN)</f>
        <v>0</v>
      </c>
      <c r="Q116" s="429">
        <f>SUMIF([1]Нэгтгэл!B:B,'[1]13'!B:B,[1]Нэгтгэл!DQ:DQ)</f>
        <v>0</v>
      </c>
      <c r="R116" s="429">
        <f>SUMIF([1]Нэгтгэл!B:B,'[1]13'!B:B,[1]Нэгтгэл!DT:DT)</f>
        <v>0</v>
      </c>
      <c r="S116" s="429">
        <f>SUMIF([1]Нэгтгэл!B:B,'[1]13'!B:B,[1]Нэгтгэл!DW:DW)</f>
        <v>10000000</v>
      </c>
    </row>
    <row r="117" spans="1:19">
      <c r="A117" s="314">
        <f t="shared" si="1"/>
        <v>115</v>
      </c>
      <c r="B117" s="385">
        <v>2887746</v>
      </c>
      <c r="C117" s="429" t="s">
        <v>319</v>
      </c>
      <c r="D117" s="429">
        <f>SUMIF([1]Нэгтгэл!B:B,'[1]13'!B:B,[1]Нэгтгэл!CD:CD)</f>
        <v>0</v>
      </c>
      <c r="E117" s="429">
        <f>SUMIF([1]Нэгтгэл!B:B,'[1]13'!B:B,[1]Нэгтгэл!CG:CG)</f>
        <v>0</v>
      </c>
      <c r="F117" s="429">
        <f>SUMIF([1]Нэгтгэл!B:B,'[1]13'!B:B,[1]Нэгтгэл!CJ:CJ)</f>
        <v>0</v>
      </c>
      <c r="G117" s="429">
        <f>SUMIF([1]Нэгтгэл!B:B,'[1]13'!B:B,[1]Нэгтгэл!CM:CM)</f>
        <v>0</v>
      </c>
      <c r="H117" s="429">
        <f>SUMIF([1]Нэгтгэл!B:B,'[1]13'!B:B,[1]Нэгтгэл!CP:CP)</f>
        <v>0</v>
      </c>
      <c r="I117" s="429">
        <f>SUMIF([1]Нэгтгэл!B:B,'[1]13'!B:B,[1]Нэгтгэл!CS:CS)</f>
        <v>0</v>
      </c>
      <c r="J117" s="429">
        <f>SUMIF([1]Нэгтгэл!B:B,'[1]13'!B:B,[1]Нэгтгэл!CV:CV)</f>
        <v>0</v>
      </c>
      <c r="K117" s="429">
        <f>SUMIF([1]Нэгтгэл!B:B,'[1]13'!B:B,[1]Нэгтгэл!CY:CY)</f>
        <v>0</v>
      </c>
      <c r="L117" s="427">
        <v>0</v>
      </c>
      <c r="M117" s="427">
        <v>0</v>
      </c>
      <c r="N117" s="427">
        <v>0</v>
      </c>
      <c r="O117" s="429">
        <f>SUMIF([1]Нэгтгэл!B:B,'[1]13'!B:B,[1]Нэгтгэл!DK:DK)</f>
        <v>0</v>
      </c>
      <c r="P117" s="429">
        <f>SUMIF([1]Нэгтгэл!B:B,'[1]13'!B:B,[1]Нэгтгэл!DN:DN)</f>
        <v>0</v>
      </c>
      <c r="Q117" s="429">
        <f>SUMIF([1]Нэгтгэл!B:B,'[1]13'!B:B,[1]Нэгтгэл!DQ:DQ)</f>
        <v>0</v>
      </c>
      <c r="R117" s="429">
        <f>SUMIF([1]Нэгтгэл!B:B,'[1]13'!B:B,[1]Нэгтгэл!DT:DT)</f>
        <v>0</v>
      </c>
      <c r="S117" s="429">
        <f>SUMIF([1]Нэгтгэл!B:B,'[1]13'!B:B,[1]Нэгтгэл!DW:DW)</f>
        <v>0</v>
      </c>
    </row>
    <row r="118" spans="1:19">
      <c r="A118" s="314">
        <f t="shared" si="1"/>
        <v>116</v>
      </c>
      <c r="B118" s="385">
        <v>5618339</v>
      </c>
      <c r="C118" s="429" t="s">
        <v>320</v>
      </c>
      <c r="D118" s="429">
        <f>SUMIF([1]Нэгтгэл!B:B,'[1]13'!B:B,[1]Нэгтгэл!CD:CD)</f>
        <v>0</v>
      </c>
      <c r="E118" s="429">
        <f>SUMIF([1]Нэгтгэл!B:B,'[1]13'!B:B,[1]Нэгтгэл!CG:CG)</f>
        <v>0</v>
      </c>
      <c r="F118" s="429">
        <f>SUMIF([1]Нэгтгэл!B:B,'[1]13'!B:B,[1]Нэгтгэл!CJ:CJ)</f>
        <v>0</v>
      </c>
      <c r="G118" s="429">
        <f>SUMIF([1]Нэгтгэл!B:B,'[1]13'!B:B,[1]Нэгтгэл!CM:CM)</f>
        <v>0</v>
      </c>
      <c r="H118" s="429">
        <f>SUMIF([1]Нэгтгэл!B:B,'[1]13'!B:B,[1]Нэгтгэл!CP:CP)</f>
        <v>0</v>
      </c>
      <c r="I118" s="429">
        <f>SUMIF([1]Нэгтгэл!B:B,'[1]13'!B:B,[1]Нэгтгэл!CS:CS)</f>
        <v>0</v>
      </c>
      <c r="J118" s="429">
        <f>SUMIF([1]Нэгтгэл!B:B,'[1]13'!B:B,[1]Нэгтгэл!CV:CV)</f>
        <v>0</v>
      </c>
      <c r="K118" s="429">
        <f>SUMIF([1]Нэгтгэл!B:B,'[1]13'!B:B,[1]Нэгтгэл!CY:CY)</f>
        <v>0</v>
      </c>
      <c r="L118" s="427">
        <v>0</v>
      </c>
      <c r="M118" s="427">
        <v>0</v>
      </c>
      <c r="N118" s="427">
        <v>0</v>
      </c>
      <c r="O118" s="429">
        <f>SUMIF([1]Нэгтгэл!B:B,'[1]13'!B:B,[1]Нэгтгэл!DK:DK)</f>
        <v>0</v>
      </c>
      <c r="P118" s="429">
        <f>SUMIF([1]Нэгтгэл!B:B,'[1]13'!B:B,[1]Нэгтгэл!DN:DN)</f>
        <v>0</v>
      </c>
      <c r="Q118" s="429">
        <f>SUMIF([1]Нэгтгэл!B:B,'[1]13'!B:B,[1]Нэгтгэл!DQ:DQ)</f>
        <v>0</v>
      </c>
      <c r="R118" s="429">
        <f>SUMIF([1]Нэгтгэл!B:B,'[1]13'!B:B,[1]Нэгтгэл!DT:DT)</f>
        <v>0</v>
      </c>
      <c r="S118" s="429">
        <f>SUMIF([1]Нэгтгэл!B:B,'[1]13'!B:B,[1]Нэгтгэл!DW:DW)</f>
        <v>0</v>
      </c>
    </row>
    <row r="119" spans="1:19">
      <c r="A119" s="314">
        <f t="shared" si="1"/>
        <v>117</v>
      </c>
      <c r="B119" s="385">
        <v>2718243</v>
      </c>
      <c r="C119" s="429" t="s">
        <v>321</v>
      </c>
      <c r="D119" s="429">
        <f>SUMIF([1]Нэгтгэл!B:B,'[1]13'!B:B,[1]Нэгтгэл!CD:CD)</f>
        <v>0</v>
      </c>
      <c r="E119" s="429">
        <f>SUMIF([1]Нэгтгэл!B:B,'[1]13'!B:B,[1]Нэгтгэл!CG:CG)</f>
        <v>0</v>
      </c>
      <c r="F119" s="429">
        <f>SUMIF([1]Нэгтгэл!B:B,'[1]13'!B:B,[1]Нэгтгэл!CJ:CJ)</f>
        <v>0</v>
      </c>
      <c r="G119" s="429">
        <f>SUMIF([1]Нэгтгэл!B:B,'[1]13'!B:B,[1]Нэгтгэл!CM:CM)</f>
        <v>0</v>
      </c>
      <c r="H119" s="429">
        <f>SUMIF([1]Нэгтгэл!B:B,'[1]13'!B:B,[1]Нэгтгэл!CP:CP)</f>
        <v>0</v>
      </c>
      <c r="I119" s="429">
        <f>SUMIF([1]Нэгтгэл!B:B,'[1]13'!B:B,[1]Нэгтгэл!CS:CS)</f>
        <v>0</v>
      </c>
      <c r="J119" s="429">
        <f>SUMIF([1]Нэгтгэл!B:B,'[1]13'!B:B,[1]Нэгтгэл!CV:CV)</f>
        <v>0</v>
      </c>
      <c r="K119" s="429">
        <f>SUMIF([1]Нэгтгэл!B:B,'[1]13'!B:B,[1]Нэгтгэл!CY:CY)</f>
        <v>0</v>
      </c>
      <c r="L119" s="427">
        <v>0</v>
      </c>
      <c r="M119" s="427">
        <v>0</v>
      </c>
      <c r="N119" s="427">
        <v>0</v>
      </c>
      <c r="O119" s="429">
        <f>SUMIF([1]Нэгтгэл!B:B,'[1]13'!B:B,[1]Нэгтгэл!DK:DK)</f>
        <v>0</v>
      </c>
      <c r="P119" s="429">
        <f>SUMIF([1]Нэгтгэл!B:B,'[1]13'!B:B,[1]Нэгтгэл!DN:DN)</f>
        <v>0</v>
      </c>
      <c r="Q119" s="429">
        <f>SUMIF([1]Нэгтгэл!B:B,'[1]13'!B:B,[1]Нэгтгэл!DQ:DQ)</f>
        <v>0</v>
      </c>
      <c r="R119" s="429">
        <f>SUMIF([1]Нэгтгэл!B:B,'[1]13'!B:B,[1]Нэгтгэл!DT:DT)</f>
        <v>0</v>
      </c>
      <c r="S119" s="429">
        <f>SUMIF([1]Нэгтгэл!B:B,'[1]13'!B:B,[1]Нэгтгэл!DW:DW)</f>
        <v>0</v>
      </c>
    </row>
    <row r="120" spans="1:19">
      <c r="A120" s="314">
        <f t="shared" si="1"/>
        <v>118</v>
      </c>
      <c r="B120" s="385">
        <v>6896197</v>
      </c>
      <c r="C120" s="429" t="s">
        <v>322</v>
      </c>
      <c r="D120" s="429">
        <f>SUMIF([1]Нэгтгэл!B:B,'[1]13'!B:B,[1]Нэгтгэл!CD:CD)</f>
        <v>0</v>
      </c>
      <c r="E120" s="429">
        <f>SUMIF([1]Нэгтгэл!B:B,'[1]13'!B:B,[1]Нэгтгэл!CG:CG)</f>
        <v>0</v>
      </c>
      <c r="F120" s="429">
        <f>SUMIF([1]Нэгтгэл!B:B,'[1]13'!B:B,[1]Нэгтгэл!CJ:CJ)</f>
        <v>0</v>
      </c>
      <c r="G120" s="429">
        <f>SUMIF([1]Нэгтгэл!B:B,'[1]13'!B:B,[1]Нэгтгэл!CM:CM)</f>
        <v>0</v>
      </c>
      <c r="H120" s="429">
        <f>SUMIF([1]Нэгтгэл!B:B,'[1]13'!B:B,[1]Нэгтгэл!CP:CP)</f>
        <v>0</v>
      </c>
      <c r="I120" s="429">
        <f>SUMIF([1]Нэгтгэл!B:B,'[1]13'!B:B,[1]Нэгтгэл!CS:CS)</f>
        <v>0</v>
      </c>
      <c r="J120" s="429">
        <f>SUMIF([1]Нэгтгэл!B:B,'[1]13'!B:B,[1]Нэгтгэл!CV:CV)</f>
        <v>0</v>
      </c>
      <c r="K120" s="429">
        <f>SUMIF([1]Нэгтгэл!B:B,'[1]13'!B:B,[1]Нэгтгэл!CY:CY)</f>
        <v>0</v>
      </c>
      <c r="L120" s="427">
        <v>0</v>
      </c>
      <c r="M120" s="427">
        <v>0</v>
      </c>
      <c r="N120" s="427">
        <v>40000</v>
      </c>
      <c r="O120" s="429">
        <f>SUMIF([1]Нэгтгэл!B:B,'[1]13'!B:B,[1]Нэгтгэл!DK:DK)</f>
        <v>0</v>
      </c>
      <c r="P120" s="429">
        <f>SUMIF([1]Нэгтгэл!B:B,'[1]13'!B:B,[1]Нэгтгэл!DN:DN)</f>
        <v>0</v>
      </c>
      <c r="Q120" s="429">
        <f>SUMIF([1]Нэгтгэл!B:B,'[1]13'!B:B,[1]Нэгтгэл!DQ:DQ)</f>
        <v>0</v>
      </c>
      <c r="R120" s="429">
        <f>SUMIF([1]Нэгтгэл!B:B,'[1]13'!B:B,[1]Нэгтгэл!DT:DT)</f>
        <v>0</v>
      </c>
      <c r="S120" s="429">
        <f>SUMIF([1]Нэгтгэл!B:B,'[1]13'!B:B,[1]Нэгтгэл!DW:DW)</f>
        <v>0</v>
      </c>
    </row>
    <row r="121" spans="1:19">
      <c r="A121" s="314">
        <f t="shared" si="1"/>
        <v>119</v>
      </c>
      <c r="B121" s="385">
        <v>5435528</v>
      </c>
      <c r="C121" s="429" t="s">
        <v>323</v>
      </c>
      <c r="D121" s="429">
        <f>SUMIF([1]Нэгтгэл!B:B,'[1]13'!B:B,[1]Нэгтгэл!CD:CD)</f>
        <v>0</v>
      </c>
      <c r="E121" s="429">
        <f>SUMIF([1]Нэгтгэл!B:B,'[1]13'!B:B,[1]Нэгтгэл!CG:CG)</f>
        <v>0</v>
      </c>
      <c r="F121" s="429">
        <f>SUMIF([1]Нэгтгэл!B:B,'[1]13'!B:B,[1]Нэгтгэл!CJ:CJ)</f>
        <v>0</v>
      </c>
      <c r="G121" s="429">
        <f>SUMIF([1]Нэгтгэл!B:B,'[1]13'!B:B,[1]Нэгтгэл!CM:CM)</f>
        <v>0</v>
      </c>
      <c r="H121" s="429">
        <f>SUMIF([1]Нэгтгэл!B:B,'[1]13'!B:B,[1]Нэгтгэл!CP:CP)</f>
        <v>0</v>
      </c>
      <c r="I121" s="429">
        <f>SUMIF([1]Нэгтгэл!B:B,'[1]13'!B:B,[1]Нэгтгэл!CS:CS)</f>
        <v>0</v>
      </c>
      <c r="J121" s="429">
        <f>SUMIF([1]Нэгтгэл!B:B,'[1]13'!B:B,[1]Нэгтгэл!CV:CV)</f>
        <v>0</v>
      </c>
      <c r="K121" s="429">
        <f>SUMIF([1]Нэгтгэл!B:B,'[1]13'!B:B,[1]Нэгтгэл!CY:CY)</f>
        <v>0</v>
      </c>
      <c r="L121" s="427">
        <v>0</v>
      </c>
      <c r="M121" s="427">
        <v>0</v>
      </c>
      <c r="N121" s="427">
        <v>0</v>
      </c>
      <c r="O121" s="429">
        <f>SUMIF([1]Нэгтгэл!B:B,'[1]13'!B:B,[1]Нэгтгэл!DK:DK)</f>
        <v>0</v>
      </c>
      <c r="P121" s="429">
        <f>SUMIF([1]Нэгтгэл!B:B,'[1]13'!B:B,[1]Нэгтгэл!DN:DN)</f>
        <v>0</v>
      </c>
      <c r="Q121" s="429">
        <f>SUMIF([1]Нэгтгэл!B:B,'[1]13'!B:B,[1]Нэгтгэл!DQ:DQ)</f>
        <v>0</v>
      </c>
      <c r="R121" s="429">
        <f>SUMIF([1]Нэгтгэл!B:B,'[1]13'!B:B,[1]Нэгтгэл!DT:DT)</f>
        <v>0</v>
      </c>
      <c r="S121" s="429">
        <f>SUMIF([1]Нэгтгэл!B:B,'[1]13'!B:B,[1]Нэгтгэл!DW:DW)</f>
        <v>0</v>
      </c>
    </row>
    <row r="122" spans="1:19">
      <c r="A122" s="314">
        <f t="shared" si="1"/>
        <v>120</v>
      </c>
      <c r="B122" s="385">
        <v>5824826</v>
      </c>
      <c r="C122" s="429" t="s">
        <v>324</v>
      </c>
      <c r="D122" s="429">
        <f>SUMIF([1]Нэгтгэл!B:B,'[1]13'!B:B,[1]Нэгтгэл!CD:CD)</f>
        <v>0</v>
      </c>
      <c r="E122" s="429">
        <f>SUMIF([1]Нэгтгэл!B:B,'[1]13'!B:B,[1]Нэгтгэл!CG:CG)</f>
        <v>0</v>
      </c>
      <c r="F122" s="429">
        <f>SUMIF([1]Нэгтгэл!B:B,'[1]13'!B:B,[1]Нэгтгэл!CJ:CJ)</f>
        <v>0</v>
      </c>
      <c r="G122" s="429">
        <f>SUMIF([1]Нэгтгэл!B:B,'[1]13'!B:B,[1]Нэгтгэл!CM:CM)</f>
        <v>0</v>
      </c>
      <c r="H122" s="429">
        <f>SUMIF([1]Нэгтгэл!B:B,'[1]13'!B:B,[1]Нэгтгэл!CP:CP)</f>
        <v>0</v>
      </c>
      <c r="I122" s="429">
        <f>SUMIF([1]Нэгтгэл!B:B,'[1]13'!B:B,[1]Нэгтгэл!CS:CS)</f>
        <v>0</v>
      </c>
      <c r="J122" s="429">
        <f>SUMIF([1]Нэгтгэл!B:B,'[1]13'!B:B,[1]Нэгтгэл!CV:CV)</f>
        <v>0</v>
      </c>
      <c r="K122" s="429">
        <f>SUMIF([1]Нэгтгэл!B:B,'[1]13'!B:B,[1]Нэгтгэл!CY:CY)</f>
        <v>0</v>
      </c>
      <c r="L122" s="427">
        <v>0</v>
      </c>
      <c r="M122" s="427">
        <v>0</v>
      </c>
      <c r="N122" s="427">
        <v>0</v>
      </c>
      <c r="O122" s="429">
        <f>SUMIF([1]Нэгтгэл!B:B,'[1]13'!B:B,[1]Нэгтгэл!DK:DK)</f>
        <v>0</v>
      </c>
      <c r="P122" s="429">
        <f>SUMIF([1]Нэгтгэл!B:B,'[1]13'!B:B,[1]Нэгтгэл!DN:DN)</f>
        <v>0</v>
      </c>
      <c r="Q122" s="429">
        <f>SUMIF([1]Нэгтгэл!B:B,'[1]13'!B:B,[1]Нэгтгэл!DQ:DQ)</f>
        <v>0</v>
      </c>
      <c r="R122" s="429">
        <f>SUMIF([1]Нэгтгэл!B:B,'[1]13'!B:B,[1]Нэгтгэл!DT:DT)</f>
        <v>0</v>
      </c>
      <c r="S122" s="429">
        <f>SUMIF([1]Нэгтгэл!B:B,'[1]13'!B:B,[1]Нэгтгэл!DW:DW)</f>
        <v>0</v>
      </c>
    </row>
    <row r="123" spans="1:19">
      <c r="A123" s="314">
        <f t="shared" si="1"/>
        <v>121</v>
      </c>
      <c r="B123" s="385">
        <v>6141536</v>
      </c>
      <c r="C123" s="429" t="s">
        <v>325</v>
      </c>
      <c r="D123" s="429">
        <f>SUMIF([1]Нэгтгэл!B:B,'[1]13'!B:B,[1]Нэгтгэл!CD:CD)</f>
        <v>0</v>
      </c>
      <c r="E123" s="429">
        <f>SUMIF([1]Нэгтгэл!B:B,'[1]13'!B:B,[1]Нэгтгэл!CG:CG)</f>
        <v>0</v>
      </c>
      <c r="F123" s="429">
        <f>SUMIF([1]Нэгтгэл!B:B,'[1]13'!B:B,[1]Нэгтгэл!CJ:CJ)</f>
        <v>0</v>
      </c>
      <c r="G123" s="429">
        <f>SUMIF([1]Нэгтгэл!B:B,'[1]13'!B:B,[1]Нэгтгэл!CM:CM)</f>
        <v>0</v>
      </c>
      <c r="H123" s="429">
        <f>SUMIF([1]Нэгтгэл!B:B,'[1]13'!B:B,[1]Нэгтгэл!CP:CP)</f>
        <v>0</v>
      </c>
      <c r="I123" s="429">
        <f>SUMIF([1]Нэгтгэл!B:B,'[1]13'!B:B,[1]Нэгтгэл!CS:CS)</f>
        <v>0</v>
      </c>
      <c r="J123" s="429">
        <f>SUMIF([1]Нэгтгэл!B:B,'[1]13'!B:B,[1]Нэгтгэл!CV:CV)</f>
        <v>0</v>
      </c>
      <c r="K123" s="429">
        <f>SUMIF([1]Нэгтгэл!B:B,'[1]13'!B:B,[1]Нэгтгэл!CY:CY)</f>
        <v>0</v>
      </c>
      <c r="L123" s="427">
        <v>0</v>
      </c>
      <c r="M123" s="427">
        <v>0</v>
      </c>
      <c r="N123" s="427">
        <v>0</v>
      </c>
      <c r="O123" s="429">
        <f>SUMIF([1]Нэгтгэл!B:B,'[1]13'!B:B,[1]Нэгтгэл!DK:DK)</f>
        <v>0</v>
      </c>
      <c r="P123" s="429">
        <f>SUMIF([1]Нэгтгэл!B:B,'[1]13'!B:B,[1]Нэгтгэл!DN:DN)</f>
        <v>0</v>
      </c>
      <c r="Q123" s="429">
        <f>SUMIF([1]Нэгтгэл!B:B,'[1]13'!B:B,[1]Нэгтгэл!DQ:DQ)</f>
        <v>0</v>
      </c>
      <c r="R123" s="429">
        <f>SUMIF([1]Нэгтгэл!B:B,'[1]13'!B:B,[1]Нэгтгэл!DT:DT)</f>
        <v>0</v>
      </c>
      <c r="S123" s="429">
        <f>SUMIF([1]Нэгтгэл!B:B,'[1]13'!B:B,[1]Нэгтгэл!DW:DW)</f>
        <v>0</v>
      </c>
    </row>
    <row r="124" spans="1:19">
      <c r="A124" s="314">
        <f t="shared" si="1"/>
        <v>122</v>
      </c>
      <c r="B124" s="385">
        <v>5124913</v>
      </c>
      <c r="C124" s="429" t="s">
        <v>326</v>
      </c>
      <c r="D124" s="429">
        <f>SUMIF([1]Нэгтгэл!B:B,'[1]13'!B:B,[1]Нэгтгэл!CD:CD)</f>
        <v>0</v>
      </c>
      <c r="E124" s="429">
        <f>SUMIF([1]Нэгтгэл!B:B,'[1]13'!B:B,[1]Нэгтгэл!CG:CG)</f>
        <v>0</v>
      </c>
      <c r="F124" s="429">
        <f>SUMIF([1]Нэгтгэл!B:B,'[1]13'!B:B,[1]Нэгтгэл!CJ:CJ)</f>
        <v>0</v>
      </c>
      <c r="G124" s="429">
        <f>SUMIF([1]Нэгтгэл!B:B,'[1]13'!B:B,[1]Нэгтгэл!CM:CM)</f>
        <v>0</v>
      </c>
      <c r="H124" s="429">
        <f>SUMIF([1]Нэгтгэл!B:B,'[1]13'!B:B,[1]Нэгтгэл!CP:CP)</f>
        <v>0</v>
      </c>
      <c r="I124" s="429">
        <f>SUMIF([1]Нэгтгэл!B:B,'[1]13'!B:B,[1]Нэгтгэл!CS:CS)</f>
        <v>0</v>
      </c>
      <c r="J124" s="429">
        <f>SUMIF([1]Нэгтгэл!B:B,'[1]13'!B:B,[1]Нэгтгэл!CV:CV)</f>
        <v>0</v>
      </c>
      <c r="K124" s="429">
        <f>SUMIF([1]Нэгтгэл!B:B,'[1]13'!B:B,[1]Нэгтгэл!CY:CY)</f>
        <v>0</v>
      </c>
      <c r="L124" s="427">
        <v>0</v>
      </c>
      <c r="M124" s="427">
        <v>0</v>
      </c>
      <c r="N124" s="427">
        <v>0</v>
      </c>
      <c r="O124" s="429">
        <f>SUMIF([1]Нэгтгэл!B:B,'[1]13'!B:B,[1]Нэгтгэл!DK:DK)</f>
        <v>0</v>
      </c>
      <c r="P124" s="429">
        <f>SUMIF([1]Нэгтгэл!B:B,'[1]13'!B:B,[1]Нэгтгэл!DN:DN)</f>
        <v>0</v>
      </c>
      <c r="Q124" s="429">
        <f>SUMIF([1]Нэгтгэл!B:B,'[1]13'!B:B,[1]Нэгтгэл!DQ:DQ)</f>
        <v>0</v>
      </c>
      <c r="R124" s="429">
        <f>SUMIF([1]Нэгтгэл!B:B,'[1]13'!B:B,[1]Нэгтгэл!DT:DT)</f>
        <v>0</v>
      </c>
      <c r="S124" s="429">
        <f>SUMIF([1]Нэгтгэл!B:B,'[1]13'!B:B,[1]Нэгтгэл!DW:DW)</f>
        <v>0</v>
      </c>
    </row>
    <row r="125" spans="1:19">
      <c r="A125" s="314">
        <f t="shared" si="1"/>
        <v>123</v>
      </c>
      <c r="B125" s="385">
        <v>2074192</v>
      </c>
      <c r="C125" s="429" t="s">
        <v>327</v>
      </c>
      <c r="D125" s="429">
        <f>SUMIF([1]Нэгтгэл!B:B,'[1]13'!B:B,[1]Нэгтгэл!CD:CD)</f>
        <v>17335800252.459999</v>
      </c>
      <c r="E125" s="429">
        <f>SUMIF([1]Нэгтгэл!B:B,'[1]13'!B:B,[1]Нэгтгэл!CG:CG)</f>
        <v>74937690.5</v>
      </c>
      <c r="F125" s="429">
        <f>SUMIF([1]Нэгтгэл!B:B,'[1]13'!B:B,[1]Нэгтгэл!CJ:CJ)</f>
        <v>25632782044.400002</v>
      </c>
      <c r="G125" s="429">
        <f>SUMIF([1]Нэгтгэл!B:B,'[1]13'!B:B,[1]Нэгтгэл!CM:CM)</f>
        <v>362364864</v>
      </c>
      <c r="H125" s="429">
        <f>SUMIF([1]Нэгтгэл!B:B,'[1]13'!B:B,[1]Нэгтгэл!CP:CP)</f>
        <v>829564738.92999995</v>
      </c>
      <c r="I125" s="429">
        <f>SUMIF([1]Нэгтгэл!B:B,'[1]13'!B:B,[1]Нэгтгэл!CS:CS)</f>
        <v>18158651</v>
      </c>
      <c r="J125" s="429">
        <f>SUMIF([1]Нэгтгэл!B:B,'[1]13'!B:B,[1]Нэгтгэл!CV:CV)</f>
        <v>0</v>
      </c>
      <c r="K125" s="429">
        <f>SUMIF([1]Нэгтгэл!B:B,'[1]13'!B:B,[1]Нэгтгэл!CY:CY)</f>
        <v>0</v>
      </c>
      <c r="L125" s="427">
        <v>0</v>
      </c>
      <c r="M125" s="427">
        <v>0</v>
      </c>
      <c r="N125" s="427">
        <v>0</v>
      </c>
      <c r="O125" s="429">
        <f>SUMIF([1]Нэгтгэл!B:B,'[1]13'!B:B,[1]Нэгтгэл!DK:DK)</f>
        <v>0</v>
      </c>
      <c r="P125" s="429">
        <f>SUMIF([1]Нэгтгэл!B:B,'[1]13'!B:B,[1]Нэгтгэл!DN:DN)</f>
        <v>0</v>
      </c>
      <c r="Q125" s="429">
        <f>SUMIF([1]Нэгтгэл!B:B,'[1]13'!B:B,[1]Нэгтгэл!DQ:DQ)</f>
        <v>0</v>
      </c>
      <c r="R125" s="429">
        <f>SUMIF([1]Нэгтгэл!B:B,'[1]13'!B:B,[1]Нэгтгэл!DT:DT)</f>
        <v>0</v>
      </c>
      <c r="S125" s="429">
        <f>SUMIF([1]Нэгтгэл!B:B,'[1]13'!B:B,[1]Нэгтгэл!DW:DW)</f>
        <v>0</v>
      </c>
    </row>
    <row r="126" spans="1:19">
      <c r="A126" s="314">
        <f t="shared" si="1"/>
        <v>124</v>
      </c>
      <c r="B126" s="385">
        <v>2861224</v>
      </c>
      <c r="C126" s="429" t="s">
        <v>331</v>
      </c>
      <c r="D126" s="429">
        <f>SUMIF([1]Нэгтгэл!B:B,'[1]13'!B:B,[1]Нэгтгэл!CD:CD)</f>
        <v>0</v>
      </c>
      <c r="E126" s="429">
        <f>SUMIF([1]Нэгтгэл!B:B,'[1]13'!B:B,[1]Нэгтгэл!CG:CG)</f>
        <v>0</v>
      </c>
      <c r="F126" s="429">
        <f>SUMIF([1]Нэгтгэл!B:B,'[1]13'!B:B,[1]Нэгтгэл!CJ:CJ)</f>
        <v>0</v>
      </c>
      <c r="G126" s="429">
        <f>SUMIF([1]Нэгтгэл!B:B,'[1]13'!B:B,[1]Нэгтгэл!CM:CM)</f>
        <v>0</v>
      </c>
      <c r="H126" s="429">
        <f>SUMIF([1]Нэгтгэл!B:B,'[1]13'!B:B,[1]Нэгтгэл!CP:CP)</f>
        <v>0</v>
      </c>
      <c r="I126" s="429">
        <f>SUMIF([1]Нэгтгэл!B:B,'[1]13'!B:B,[1]Нэгтгэл!CS:CS)</f>
        <v>0</v>
      </c>
      <c r="J126" s="429">
        <f>SUMIF([1]Нэгтгэл!B:B,'[1]13'!B:B,[1]Нэгтгэл!CV:CV)</f>
        <v>0</v>
      </c>
      <c r="K126" s="429">
        <f>SUMIF([1]Нэгтгэл!B:B,'[1]13'!B:B,[1]Нэгтгэл!CY:CY)</f>
        <v>0</v>
      </c>
      <c r="L126" s="427">
        <v>0</v>
      </c>
      <c r="M126" s="427">
        <v>0</v>
      </c>
      <c r="N126" s="427">
        <v>0</v>
      </c>
      <c r="O126" s="429">
        <f>SUMIF([1]Нэгтгэл!B:B,'[1]13'!B:B,[1]Нэгтгэл!DK:DK)</f>
        <v>0</v>
      </c>
      <c r="P126" s="429">
        <f>SUMIF([1]Нэгтгэл!B:B,'[1]13'!B:B,[1]Нэгтгэл!DN:DN)</f>
        <v>0</v>
      </c>
      <c r="Q126" s="429">
        <f>SUMIF([1]Нэгтгэл!B:B,'[1]13'!B:B,[1]Нэгтгэл!DQ:DQ)</f>
        <v>0</v>
      </c>
      <c r="R126" s="429">
        <f>SUMIF([1]Нэгтгэл!B:B,'[1]13'!B:B,[1]Нэгтгэл!DT:DT)</f>
        <v>0</v>
      </c>
      <c r="S126" s="429">
        <f>SUMIF([1]Нэгтгэл!B:B,'[1]13'!B:B,[1]Нэгтгэл!DW:DW)</f>
        <v>0</v>
      </c>
    </row>
    <row r="127" spans="1:19">
      <c r="A127" s="314">
        <f t="shared" si="1"/>
        <v>125</v>
      </c>
      <c r="B127" s="385">
        <v>5137977</v>
      </c>
      <c r="C127" s="429" t="s">
        <v>332</v>
      </c>
      <c r="D127" s="429">
        <f>SUMIF([1]Нэгтгэл!B:B,'[1]13'!B:B,[1]Нэгтгэл!CD:CD)</f>
        <v>0</v>
      </c>
      <c r="E127" s="429">
        <f>SUMIF([1]Нэгтгэл!B:B,'[1]13'!B:B,[1]Нэгтгэл!CG:CG)</f>
        <v>0</v>
      </c>
      <c r="F127" s="429">
        <f>SUMIF([1]Нэгтгэл!B:B,'[1]13'!B:B,[1]Нэгтгэл!CJ:CJ)</f>
        <v>0</v>
      </c>
      <c r="G127" s="429">
        <f>SUMIF([1]Нэгтгэл!B:B,'[1]13'!B:B,[1]Нэгтгэл!CM:CM)</f>
        <v>7528320</v>
      </c>
      <c r="H127" s="429">
        <f>SUMIF([1]Нэгтгэл!B:B,'[1]13'!B:B,[1]Нэгтгэл!CP:CP)</f>
        <v>0</v>
      </c>
      <c r="I127" s="429">
        <f>SUMIF([1]Нэгтгэл!B:B,'[1]13'!B:B,[1]Нэгтгэл!CS:CS)</f>
        <v>0</v>
      </c>
      <c r="J127" s="429">
        <f>SUMIF([1]Нэгтгэл!B:B,'[1]13'!B:B,[1]Нэгтгэл!CV:CV)</f>
        <v>0</v>
      </c>
      <c r="K127" s="429">
        <f>SUMIF([1]Нэгтгэл!B:B,'[1]13'!B:B,[1]Нэгтгэл!CY:CY)</f>
        <v>0</v>
      </c>
      <c r="L127" s="427">
        <v>0</v>
      </c>
      <c r="M127" s="427">
        <v>0</v>
      </c>
      <c r="N127" s="427">
        <v>0</v>
      </c>
      <c r="O127" s="429">
        <f>SUMIF([1]Нэгтгэл!B:B,'[1]13'!B:B,[1]Нэгтгэл!DK:DK)</f>
        <v>0</v>
      </c>
      <c r="P127" s="429">
        <f>SUMIF([1]Нэгтгэл!B:B,'[1]13'!B:B,[1]Нэгтгэл!DN:DN)</f>
        <v>0</v>
      </c>
      <c r="Q127" s="429">
        <f>SUMIF([1]Нэгтгэл!B:B,'[1]13'!B:B,[1]Нэгтгэл!DQ:DQ)</f>
        <v>0</v>
      </c>
      <c r="R127" s="429">
        <f>SUMIF([1]Нэгтгэл!B:B,'[1]13'!B:B,[1]Нэгтгэл!DT:DT)</f>
        <v>0</v>
      </c>
      <c r="S127" s="429">
        <f>SUMIF([1]Нэгтгэл!B:B,'[1]13'!B:B,[1]Нэгтгэл!DW:DW)</f>
        <v>47000000</v>
      </c>
    </row>
  </sheetData>
  <mergeCells count="1">
    <mergeCell ref="A1:N1"/>
  </mergeCells>
  <conditionalFormatting sqref="B3:B32 B88">
    <cfRule type="duplicateValues" dxfId="485" priority="12"/>
  </conditionalFormatting>
  <conditionalFormatting sqref="B33:B82">
    <cfRule type="duplicateValues" dxfId="484" priority="11"/>
  </conditionalFormatting>
  <conditionalFormatting sqref="B83">
    <cfRule type="duplicateValues" dxfId="483" priority="10"/>
  </conditionalFormatting>
  <conditionalFormatting sqref="B84">
    <cfRule type="duplicateValues" dxfId="482" priority="9"/>
  </conditionalFormatting>
  <conditionalFormatting sqref="B85">
    <cfRule type="duplicateValues" dxfId="481" priority="8"/>
  </conditionalFormatting>
  <conditionalFormatting sqref="B86">
    <cfRule type="duplicateValues" dxfId="480" priority="7"/>
  </conditionalFormatting>
  <conditionalFormatting sqref="B87">
    <cfRule type="duplicateValues" dxfId="479" priority="6"/>
  </conditionalFormatting>
  <conditionalFormatting sqref="B89:B127">
    <cfRule type="duplicateValues" dxfId="478" priority="13"/>
  </conditionalFormatting>
  <conditionalFormatting sqref="C3:C32 C88">
    <cfRule type="duplicateValues" dxfId="477" priority="4"/>
  </conditionalFormatting>
  <conditionalFormatting sqref="C33:C82">
    <cfRule type="duplicateValues" dxfId="476" priority="3"/>
  </conditionalFormatting>
  <conditionalFormatting sqref="C83">
    <cfRule type="duplicateValues" dxfId="475" priority="1"/>
  </conditionalFormatting>
  <conditionalFormatting sqref="C84:C87">
    <cfRule type="duplicateValues" dxfId="474" priority="2"/>
  </conditionalFormatting>
  <conditionalFormatting sqref="C89:C127">
    <cfRule type="duplicateValues" dxfId="473" priority="5"/>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4AD39-1BA1-4B86-AC45-F4C34B733280}">
  <sheetPr>
    <tabColor rgb="FF006432"/>
  </sheetPr>
  <dimension ref="A1:M128"/>
  <sheetViews>
    <sheetView workbookViewId="0">
      <pane xSplit="3" ySplit="3" topLeftCell="D4" activePane="bottomRight" state="frozen"/>
      <selection pane="bottomRight" activeCell="B2" sqref="B2:B3"/>
      <selection pane="bottomLeft" activeCell="A4" sqref="A4"/>
      <selection pane="topRight" activeCell="D1" sqref="D1"/>
    </sheetView>
  </sheetViews>
  <sheetFormatPr defaultRowHeight="15"/>
  <cols>
    <col min="1" max="1" width="4.28515625" style="180" customWidth="1"/>
    <col min="2" max="2" width="34.28515625" customWidth="1"/>
    <col min="3" max="3" width="13.7109375" customWidth="1"/>
    <col min="4" max="4" width="13.85546875" customWidth="1"/>
    <col min="5" max="5" width="10.7109375" customWidth="1"/>
    <col min="6" max="6" width="10.42578125" customWidth="1"/>
    <col min="11" max="12" width="11" customWidth="1"/>
  </cols>
  <sheetData>
    <row r="1" spans="1:13" ht="16.5" thickBot="1">
      <c r="A1" s="26" t="s">
        <v>730</v>
      </c>
      <c r="B1" s="26"/>
      <c r="C1" s="26"/>
      <c r="D1" s="26"/>
      <c r="E1" s="26"/>
      <c r="F1" s="26"/>
      <c r="G1" s="26"/>
      <c r="H1" s="26"/>
      <c r="I1" s="26"/>
      <c r="J1" s="26"/>
      <c r="K1" s="26"/>
      <c r="L1" s="26"/>
      <c r="M1" s="26"/>
    </row>
    <row r="2" spans="1:13" ht="39" customHeight="1" thickTop="1">
      <c r="A2" s="505" t="s">
        <v>114</v>
      </c>
      <c r="B2" s="505" t="s">
        <v>690</v>
      </c>
      <c r="C2" s="505" t="s">
        <v>116</v>
      </c>
      <c r="D2" s="505" t="s">
        <v>731</v>
      </c>
      <c r="E2" s="510" t="s">
        <v>732</v>
      </c>
      <c r="F2" s="511"/>
      <c r="G2" s="510" t="s">
        <v>733</v>
      </c>
      <c r="H2" s="511"/>
      <c r="I2" s="510" t="s">
        <v>734</v>
      </c>
      <c r="J2" s="511"/>
      <c r="K2" s="510" t="s">
        <v>735</v>
      </c>
      <c r="L2" s="511"/>
    </row>
    <row r="3" spans="1:13">
      <c r="A3" s="506"/>
      <c r="B3" s="506"/>
      <c r="C3" s="506"/>
      <c r="D3" s="506"/>
      <c r="E3" s="46" t="s">
        <v>736</v>
      </c>
      <c r="F3" s="46" t="s">
        <v>737</v>
      </c>
      <c r="G3" s="46" t="s">
        <v>736</v>
      </c>
      <c r="H3" s="46" t="s">
        <v>737</v>
      </c>
      <c r="I3" s="46" t="s">
        <v>736</v>
      </c>
      <c r="J3" s="46" t="s">
        <v>737</v>
      </c>
      <c r="K3" s="46" t="s">
        <v>736</v>
      </c>
      <c r="L3" s="46" t="s">
        <v>737</v>
      </c>
    </row>
    <row r="4" spans="1:13">
      <c r="A4" s="12">
        <v>1</v>
      </c>
      <c r="B4" s="20" t="s">
        <v>121</v>
      </c>
      <c r="C4" s="9">
        <v>2011239</v>
      </c>
      <c r="D4" s="6" t="s">
        <v>382</v>
      </c>
      <c r="E4" s="6" t="s">
        <v>382</v>
      </c>
      <c r="F4" s="6" t="s">
        <v>382</v>
      </c>
      <c r="G4" s="6" t="s">
        <v>382</v>
      </c>
      <c r="H4" s="6" t="s">
        <v>382</v>
      </c>
      <c r="I4" s="6" t="s">
        <v>382</v>
      </c>
      <c r="J4" s="6" t="s">
        <v>382</v>
      </c>
      <c r="K4" s="6" t="s">
        <v>382</v>
      </c>
      <c r="L4" s="6" t="s">
        <v>382</v>
      </c>
    </row>
    <row r="5" spans="1:13">
      <c r="A5" s="492">
        <v>2</v>
      </c>
      <c r="B5" s="200" t="s">
        <v>126</v>
      </c>
      <c r="C5" s="201">
        <v>5097517</v>
      </c>
      <c r="D5" s="202"/>
      <c r="E5" s="202"/>
      <c r="F5" s="202"/>
      <c r="G5" s="202"/>
      <c r="H5" s="202"/>
      <c r="I5" s="202"/>
      <c r="J5" s="202"/>
      <c r="K5" s="202"/>
      <c r="L5" s="202"/>
    </row>
    <row r="6" spans="1:13">
      <c r="A6" s="12">
        <v>3</v>
      </c>
      <c r="B6" s="20" t="s">
        <v>131</v>
      </c>
      <c r="C6" s="9">
        <v>5809797</v>
      </c>
      <c r="D6" s="6">
        <v>211</v>
      </c>
      <c r="E6" s="6">
        <v>175</v>
      </c>
      <c r="F6" s="6">
        <v>36</v>
      </c>
      <c r="G6" s="6" t="s">
        <v>382</v>
      </c>
      <c r="H6" s="6" t="s">
        <v>382</v>
      </c>
      <c r="I6" s="6" t="s">
        <v>382</v>
      </c>
      <c r="J6" s="6" t="s">
        <v>382</v>
      </c>
      <c r="K6" s="6">
        <v>36</v>
      </c>
      <c r="L6" s="6">
        <v>6</v>
      </c>
    </row>
    <row r="7" spans="1:13">
      <c r="A7" s="12">
        <v>4</v>
      </c>
      <c r="B7" s="20" t="s">
        <v>133</v>
      </c>
      <c r="C7" s="9">
        <v>5118344</v>
      </c>
      <c r="D7" s="6">
        <v>16</v>
      </c>
      <c r="E7" s="6">
        <v>8</v>
      </c>
      <c r="F7" s="6">
        <v>8</v>
      </c>
      <c r="G7" s="6" t="s">
        <v>382</v>
      </c>
      <c r="H7" s="6" t="s">
        <v>382</v>
      </c>
      <c r="I7" s="6" t="s">
        <v>382</v>
      </c>
      <c r="J7" s="6" t="s">
        <v>382</v>
      </c>
      <c r="K7" s="6">
        <v>8</v>
      </c>
      <c r="L7" s="6">
        <v>3</v>
      </c>
    </row>
    <row r="8" spans="1:13">
      <c r="A8" s="12">
        <v>5</v>
      </c>
      <c r="B8" s="20" t="s">
        <v>136</v>
      </c>
      <c r="C8" s="9">
        <v>5095549</v>
      </c>
      <c r="D8" s="6">
        <v>152</v>
      </c>
      <c r="E8" s="6">
        <v>101</v>
      </c>
      <c r="F8" s="6">
        <v>29</v>
      </c>
      <c r="G8" s="6">
        <v>22</v>
      </c>
      <c r="H8" s="6" t="s">
        <v>382</v>
      </c>
      <c r="I8" s="6" t="s">
        <v>382</v>
      </c>
      <c r="J8" s="6" t="s">
        <v>382</v>
      </c>
      <c r="K8" s="6" t="s">
        <v>382</v>
      </c>
      <c r="L8" s="6" t="s">
        <v>382</v>
      </c>
    </row>
    <row r="9" spans="1:13">
      <c r="A9" s="12">
        <v>6</v>
      </c>
      <c r="B9" s="20" t="s">
        <v>140</v>
      </c>
      <c r="C9" s="9">
        <v>2784165</v>
      </c>
      <c r="D9" s="6">
        <v>3</v>
      </c>
      <c r="E9" s="6" t="s">
        <v>382</v>
      </c>
      <c r="F9" s="6">
        <v>3</v>
      </c>
      <c r="G9" s="6" t="s">
        <v>382</v>
      </c>
      <c r="H9" s="6" t="s">
        <v>382</v>
      </c>
      <c r="I9" s="6" t="s">
        <v>382</v>
      </c>
      <c r="J9" s="6" t="s">
        <v>382</v>
      </c>
      <c r="K9" s="6" t="s">
        <v>382</v>
      </c>
      <c r="L9" s="6" t="s">
        <v>382</v>
      </c>
    </row>
    <row r="10" spans="1:13">
      <c r="A10" s="12">
        <v>7</v>
      </c>
      <c r="B10" s="20" t="s">
        <v>143</v>
      </c>
      <c r="C10" s="9">
        <v>5133351</v>
      </c>
      <c r="D10" s="6" t="s">
        <v>382</v>
      </c>
      <c r="E10" s="6" t="s">
        <v>382</v>
      </c>
      <c r="F10" s="6" t="s">
        <v>382</v>
      </c>
      <c r="G10" s="6" t="s">
        <v>382</v>
      </c>
      <c r="H10" s="6" t="s">
        <v>382</v>
      </c>
      <c r="I10" s="6" t="s">
        <v>382</v>
      </c>
      <c r="J10" s="6" t="s">
        <v>382</v>
      </c>
      <c r="K10" s="6" t="s">
        <v>382</v>
      </c>
      <c r="L10" s="6" t="s">
        <v>382</v>
      </c>
    </row>
    <row r="11" spans="1:13">
      <c r="A11" s="12">
        <v>8</v>
      </c>
      <c r="B11" s="20" t="s">
        <v>144</v>
      </c>
      <c r="C11" s="9">
        <v>6172768</v>
      </c>
      <c r="D11" s="6" t="s">
        <v>382</v>
      </c>
      <c r="E11" s="6" t="s">
        <v>382</v>
      </c>
      <c r="F11" s="6" t="s">
        <v>382</v>
      </c>
      <c r="G11" s="6" t="s">
        <v>382</v>
      </c>
      <c r="H11" s="6" t="s">
        <v>382</v>
      </c>
      <c r="I11" s="6" t="s">
        <v>382</v>
      </c>
      <c r="J11" s="6" t="s">
        <v>382</v>
      </c>
      <c r="K11" s="6" t="s">
        <v>382</v>
      </c>
      <c r="L11" s="6" t="s">
        <v>382</v>
      </c>
    </row>
    <row r="12" spans="1:13">
      <c r="A12" s="492">
        <v>9</v>
      </c>
      <c r="B12" s="200" t="s">
        <v>146</v>
      </c>
      <c r="C12" s="201">
        <v>2788705</v>
      </c>
      <c r="D12" s="202"/>
      <c r="E12" s="202"/>
      <c r="F12" s="202"/>
      <c r="G12" s="202"/>
      <c r="H12" s="202"/>
      <c r="I12" s="202"/>
      <c r="J12" s="202"/>
      <c r="K12" s="202"/>
      <c r="L12" s="202"/>
    </row>
    <row r="13" spans="1:13">
      <c r="A13" s="12">
        <v>10</v>
      </c>
      <c r="B13" s="20" t="s">
        <v>629</v>
      </c>
      <c r="C13" s="9">
        <v>5439183</v>
      </c>
      <c r="D13" s="6">
        <v>163</v>
      </c>
      <c r="E13" s="6">
        <v>127</v>
      </c>
      <c r="F13" s="6">
        <v>36</v>
      </c>
      <c r="G13" s="6" t="s">
        <v>382</v>
      </c>
      <c r="H13" s="6" t="s">
        <v>382</v>
      </c>
      <c r="I13" s="6">
        <v>5</v>
      </c>
      <c r="J13" s="6">
        <v>1</v>
      </c>
      <c r="K13" s="6">
        <v>22</v>
      </c>
      <c r="L13" s="6">
        <v>14</v>
      </c>
    </row>
    <row r="14" spans="1:13">
      <c r="A14" s="12">
        <v>11</v>
      </c>
      <c r="B14" s="20" t="s">
        <v>152</v>
      </c>
      <c r="C14" s="9">
        <v>2008572</v>
      </c>
      <c r="D14" s="6">
        <v>1121</v>
      </c>
      <c r="E14" s="6">
        <v>972</v>
      </c>
      <c r="F14" s="6">
        <v>148</v>
      </c>
      <c r="G14" s="6">
        <v>1</v>
      </c>
      <c r="H14" s="6" t="s">
        <v>382</v>
      </c>
      <c r="I14" s="6">
        <v>957</v>
      </c>
      <c r="J14" s="6">
        <v>147</v>
      </c>
      <c r="K14" s="6">
        <v>91</v>
      </c>
      <c r="L14" s="6">
        <v>16</v>
      </c>
    </row>
    <row r="15" spans="1:13">
      <c r="A15" s="12">
        <v>12</v>
      </c>
      <c r="B15" s="20" t="s">
        <v>155</v>
      </c>
      <c r="C15" s="9">
        <v>5215919</v>
      </c>
      <c r="D15" s="6">
        <v>3</v>
      </c>
      <c r="E15" s="6">
        <v>1</v>
      </c>
      <c r="F15" s="6">
        <v>2</v>
      </c>
      <c r="G15" s="6" t="s">
        <v>382</v>
      </c>
      <c r="H15" s="6" t="s">
        <v>382</v>
      </c>
      <c r="I15" s="6" t="s">
        <v>382</v>
      </c>
      <c r="J15" s="6" t="s">
        <v>382</v>
      </c>
      <c r="K15" s="6" t="s">
        <v>382</v>
      </c>
      <c r="L15" s="6" t="s">
        <v>382</v>
      </c>
    </row>
    <row r="16" spans="1:13">
      <c r="A16" s="12">
        <v>13</v>
      </c>
      <c r="B16" s="20" t="s">
        <v>157</v>
      </c>
      <c r="C16" s="9">
        <v>5502977</v>
      </c>
      <c r="D16" s="6">
        <v>70</v>
      </c>
      <c r="E16" s="6">
        <v>43</v>
      </c>
      <c r="F16" s="6">
        <v>23</v>
      </c>
      <c r="G16" s="6">
        <v>4</v>
      </c>
      <c r="H16" s="6" t="s">
        <v>382</v>
      </c>
      <c r="I16" s="6">
        <v>6</v>
      </c>
      <c r="J16" s="6">
        <v>4</v>
      </c>
      <c r="K16" s="6">
        <v>29</v>
      </c>
      <c r="L16" s="6">
        <v>16</v>
      </c>
    </row>
    <row r="17" spans="1:12">
      <c r="A17" s="12">
        <v>14</v>
      </c>
      <c r="B17" s="20" t="s">
        <v>159</v>
      </c>
      <c r="C17" s="9">
        <v>2708701</v>
      </c>
      <c r="D17" s="6">
        <v>289</v>
      </c>
      <c r="E17" s="6">
        <v>249</v>
      </c>
      <c r="F17" s="6">
        <v>36</v>
      </c>
      <c r="G17" s="6">
        <v>4</v>
      </c>
      <c r="H17" s="6" t="s">
        <v>382</v>
      </c>
      <c r="I17" s="6">
        <v>171</v>
      </c>
      <c r="J17" s="6">
        <v>17</v>
      </c>
      <c r="K17" s="6" t="s">
        <v>382</v>
      </c>
      <c r="L17" s="6">
        <v>32</v>
      </c>
    </row>
    <row r="18" spans="1:12">
      <c r="A18" s="12">
        <v>15</v>
      </c>
      <c r="B18" s="20" t="s">
        <v>161</v>
      </c>
      <c r="C18" s="9">
        <v>2014491</v>
      </c>
      <c r="D18" s="6" t="s">
        <v>382</v>
      </c>
      <c r="E18" s="6" t="s">
        <v>382</v>
      </c>
      <c r="F18" s="6" t="s">
        <v>382</v>
      </c>
      <c r="G18" s="6" t="s">
        <v>382</v>
      </c>
      <c r="H18" s="6" t="s">
        <v>382</v>
      </c>
      <c r="I18" s="6" t="s">
        <v>382</v>
      </c>
      <c r="J18" s="6" t="s">
        <v>382</v>
      </c>
      <c r="K18" s="6" t="s">
        <v>382</v>
      </c>
      <c r="L18" s="6" t="s">
        <v>382</v>
      </c>
    </row>
    <row r="19" spans="1:12">
      <c r="A19" s="12">
        <v>16</v>
      </c>
      <c r="B19" s="20" t="s">
        <v>165</v>
      </c>
      <c r="C19" s="9">
        <v>6414877</v>
      </c>
      <c r="D19" s="6" t="s">
        <v>382</v>
      </c>
      <c r="E19" s="6" t="s">
        <v>382</v>
      </c>
      <c r="F19" s="6" t="s">
        <v>382</v>
      </c>
      <c r="G19" s="6" t="s">
        <v>382</v>
      </c>
      <c r="H19" s="6" t="s">
        <v>382</v>
      </c>
      <c r="I19" s="6" t="s">
        <v>382</v>
      </c>
      <c r="J19" s="6" t="s">
        <v>382</v>
      </c>
      <c r="K19" s="6" t="s">
        <v>382</v>
      </c>
      <c r="L19" s="6" t="s">
        <v>382</v>
      </c>
    </row>
    <row r="20" spans="1:12">
      <c r="A20" s="12">
        <v>17</v>
      </c>
      <c r="B20" s="20" t="s">
        <v>168</v>
      </c>
      <c r="C20" s="9">
        <v>5369223</v>
      </c>
      <c r="D20" s="6">
        <v>93</v>
      </c>
      <c r="E20" s="6">
        <v>78</v>
      </c>
      <c r="F20" s="6">
        <v>15</v>
      </c>
      <c r="G20" s="6" t="s">
        <v>382</v>
      </c>
      <c r="H20" s="6" t="s">
        <v>382</v>
      </c>
      <c r="I20" s="6">
        <v>75</v>
      </c>
      <c r="J20" s="6">
        <v>12</v>
      </c>
      <c r="K20" s="6">
        <v>11</v>
      </c>
      <c r="L20" s="6">
        <v>1</v>
      </c>
    </row>
    <row r="21" spans="1:12">
      <c r="A21" s="12">
        <v>18</v>
      </c>
      <c r="B21" s="20" t="s">
        <v>169</v>
      </c>
      <c r="C21" s="9">
        <v>5294088</v>
      </c>
      <c r="D21" s="6">
        <v>10</v>
      </c>
      <c r="E21" s="6">
        <v>4</v>
      </c>
      <c r="F21" s="6">
        <v>4</v>
      </c>
      <c r="G21" s="6">
        <v>1</v>
      </c>
      <c r="H21" s="6">
        <v>1</v>
      </c>
      <c r="I21" s="6" t="s">
        <v>382</v>
      </c>
      <c r="J21" s="6" t="s">
        <v>382</v>
      </c>
      <c r="K21" s="6">
        <v>4</v>
      </c>
      <c r="L21" s="6" t="s">
        <v>382</v>
      </c>
    </row>
    <row r="22" spans="1:12">
      <c r="A22" s="12">
        <v>19</v>
      </c>
      <c r="B22" s="20" t="s">
        <v>173</v>
      </c>
      <c r="C22" s="9">
        <v>2855119</v>
      </c>
      <c r="D22" s="6">
        <v>1147</v>
      </c>
      <c r="E22" s="6">
        <v>1073</v>
      </c>
      <c r="F22" s="6">
        <v>74</v>
      </c>
      <c r="G22" s="6" t="s">
        <v>382</v>
      </c>
      <c r="H22" s="6" t="s">
        <v>382</v>
      </c>
      <c r="I22" s="6" t="s">
        <v>382</v>
      </c>
      <c r="J22" s="6" t="s">
        <v>382</v>
      </c>
      <c r="K22" s="6">
        <v>241</v>
      </c>
      <c r="L22" s="6">
        <v>56</v>
      </c>
    </row>
    <row r="23" spans="1:12">
      <c r="A23" s="12">
        <v>20</v>
      </c>
      <c r="B23" s="20" t="s">
        <v>174</v>
      </c>
      <c r="C23" s="9">
        <v>2094533</v>
      </c>
      <c r="D23" s="6">
        <v>536</v>
      </c>
      <c r="E23" s="6">
        <v>486</v>
      </c>
      <c r="F23" s="6">
        <v>50</v>
      </c>
      <c r="G23" s="6" t="s">
        <v>382</v>
      </c>
      <c r="H23" s="6" t="s">
        <v>382</v>
      </c>
      <c r="I23" s="6">
        <v>409</v>
      </c>
      <c r="J23" s="6">
        <v>31</v>
      </c>
      <c r="K23" s="6">
        <v>130</v>
      </c>
      <c r="L23" s="6">
        <v>8</v>
      </c>
    </row>
    <row r="24" spans="1:12">
      <c r="A24" s="12">
        <v>21</v>
      </c>
      <c r="B24" s="20" t="s">
        <v>175</v>
      </c>
      <c r="C24" s="9">
        <v>5722942</v>
      </c>
      <c r="D24" s="6" t="s">
        <v>382</v>
      </c>
      <c r="E24" s="6" t="s">
        <v>382</v>
      </c>
      <c r="F24" s="6" t="s">
        <v>382</v>
      </c>
      <c r="G24" s="6" t="s">
        <v>382</v>
      </c>
      <c r="H24" s="6" t="s">
        <v>382</v>
      </c>
      <c r="I24" s="6" t="s">
        <v>382</v>
      </c>
      <c r="J24" s="6" t="s">
        <v>382</v>
      </c>
      <c r="K24" s="6" t="s">
        <v>382</v>
      </c>
      <c r="L24" s="6" t="s">
        <v>382</v>
      </c>
    </row>
    <row r="25" spans="1:12">
      <c r="A25" s="12">
        <v>22</v>
      </c>
      <c r="B25" s="20" t="s">
        <v>176</v>
      </c>
      <c r="C25" s="9">
        <v>2867494</v>
      </c>
      <c r="D25" s="6" t="s">
        <v>382</v>
      </c>
      <c r="E25" s="6" t="s">
        <v>382</v>
      </c>
      <c r="F25" s="6" t="s">
        <v>382</v>
      </c>
      <c r="G25" s="6" t="s">
        <v>382</v>
      </c>
      <c r="H25" s="6" t="s">
        <v>382</v>
      </c>
      <c r="I25" s="6" t="s">
        <v>382</v>
      </c>
      <c r="J25" s="6" t="s">
        <v>382</v>
      </c>
      <c r="K25" s="6" t="s">
        <v>382</v>
      </c>
      <c r="L25" s="6" t="s">
        <v>382</v>
      </c>
    </row>
    <row r="26" spans="1:12">
      <c r="A26" s="12">
        <v>23</v>
      </c>
      <c r="B26" s="20" t="s">
        <v>177</v>
      </c>
      <c r="C26" s="9">
        <v>6463932</v>
      </c>
      <c r="D26" s="6" t="s">
        <v>382</v>
      </c>
      <c r="E26" s="6" t="s">
        <v>382</v>
      </c>
      <c r="F26" s="6" t="s">
        <v>382</v>
      </c>
      <c r="G26" s="6" t="s">
        <v>382</v>
      </c>
      <c r="H26" s="6" t="s">
        <v>382</v>
      </c>
      <c r="I26" s="6" t="s">
        <v>382</v>
      </c>
      <c r="J26" s="6" t="s">
        <v>382</v>
      </c>
      <c r="K26" s="6" t="s">
        <v>382</v>
      </c>
      <c r="L26" s="6" t="s">
        <v>382</v>
      </c>
    </row>
    <row r="27" spans="1:12">
      <c r="A27" s="492">
        <v>24</v>
      </c>
      <c r="B27" s="200" t="s">
        <v>178</v>
      </c>
      <c r="C27" s="201">
        <v>5260833</v>
      </c>
      <c r="D27" s="202"/>
      <c r="E27" s="202"/>
      <c r="F27" s="202"/>
      <c r="G27" s="202"/>
      <c r="H27" s="202"/>
      <c r="I27" s="202"/>
      <c r="J27" s="202"/>
      <c r="K27" s="202"/>
      <c r="L27" s="202"/>
    </row>
    <row r="28" spans="1:12">
      <c r="A28" s="492">
        <v>25</v>
      </c>
      <c r="B28" s="200" t="s">
        <v>179</v>
      </c>
      <c r="C28" s="201">
        <v>2051303</v>
      </c>
      <c r="D28" s="202"/>
      <c r="E28" s="202"/>
      <c r="F28" s="202"/>
      <c r="G28" s="202"/>
      <c r="H28" s="202"/>
      <c r="I28" s="202"/>
      <c r="J28" s="202"/>
      <c r="K28" s="202"/>
      <c r="L28" s="202"/>
    </row>
    <row r="29" spans="1:12">
      <c r="A29" s="12">
        <v>26</v>
      </c>
      <c r="B29" s="20" t="s">
        <v>183</v>
      </c>
      <c r="C29" s="9">
        <v>2061848</v>
      </c>
      <c r="D29" s="6">
        <v>25</v>
      </c>
      <c r="E29" s="6">
        <v>20</v>
      </c>
      <c r="F29" s="6">
        <v>5</v>
      </c>
      <c r="G29" s="6" t="s">
        <v>382</v>
      </c>
      <c r="H29" s="6" t="s">
        <v>382</v>
      </c>
      <c r="I29" s="6">
        <v>8</v>
      </c>
      <c r="J29" s="6">
        <v>1</v>
      </c>
      <c r="K29" s="6">
        <v>3</v>
      </c>
      <c r="L29" s="6">
        <v>2</v>
      </c>
    </row>
    <row r="30" spans="1:12">
      <c r="A30" s="492">
        <v>27</v>
      </c>
      <c r="B30" s="200" t="s">
        <v>185</v>
      </c>
      <c r="C30" s="201">
        <v>2766337</v>
      </c>
      <c r="D30" s="202"/>
      <c r="E30" s="202"/>
      <c r="F30" s="202"/>
      <c r="G30" s="202"/>
      <c r="H30" s="202"/>
      <c r="I30" s="202"/>
      <c r="J30" s="202"/>
      <c r="K30" s="202"/>
      <c r="L30" s="202"/>
    </row>
    <row r="31" spans="1:12">
      <c r="A31" s="492">
        <v>28</v>
      </c>
      <c r="B31" s="200" t="s">
        <v>187</v>
      </c>
      <c r="C31" s="201">
        <v>5810086</v>
      </c>
      <c r="D31" s="202"/>
      <c r="E31" s="202"/>
      <c r="F31" s="202"/>
      <c r="G31" s="202"/>
      <c r="H31" s="202"/>
      <c r="I31" s="202"/>
      <c r="J31" s="202"/>
      <c r="K31" s="202"/>
      <c r="L31" s="202"/>
    </row>
    <row r="32" spans="1:12">
      <c r="A32" s="12">
        <v>29</v>
      </c>
      <c r="B32" s="20" t="s">
        <v>188</v>
      </c>
      <c r="C32" s="9">
        <v>5217652</v>
      </c>
      <c r="D32" s="6">
        <v>48</v>
      </c>
      <c r="E32" s="6">
        <v>23</v>
      </c>
      <c r="F32" s="6">
        <v>13</v>
      </c>
      <c r="G32" s="6">
        <v>11</v>
      </c>
      <c r="H32" s="6">
        <v>1</v>
      </c>
      <c r="I32" s="6">
        <v>5</v>
      </c>
      <c r="J32" s="6">
        <v>2</v>
      </c>
      <c r="K32" s="6">
        <v>3</v>
      </c>
      <c r="L32" s="6">
        <v>1</v>
      </c>
    </row>
    <row r="33" spans="1:12">
      <c r="A33" s="12">
        <v>30</v>
      </c>
      <c r="B33" s="20" t="s">
        <v>189</v>
      </c>
      <c r="C33" s="9">
        <v>2780518</v>
      </c>
      <c r="D33" s="6" t="s">
        <v>382</v>
      </c>
      <c r="E33" s="6" t="s">
        <v>382</v>
      </c>
      <c r="F33" s="6" t="s">
        <v>382</v>
      </c>
      <c r="G33" s="6" t="s">
        <v>382</v>
      </c>
      <c r="H33" s="6" t="s">
        <v>382</v>
      </c>
      <c r="I33" s="6" t="s">
        <v>382</v>
      </c>
      <c r="J33" s="6" t="s">
        <v>382</v>
      </c>
      <c r="K33" s="6" t="s">
        <v>382</v>
      </c>
      <c r="L33" s="6" t="s">
        <v>382</v>
      </c>
    </row>
    <row r="34" spans="1:12">
      <c r="A34" s="492">
        <v>31</v>
      </c>
      <c r="B34" s="200" t="s">
        <v>193</v>
      </c>
      <c r="C34" s="201">
        <v>5272378</v>
      </c>
      <c r="D34" s="202"/>
      <c r="E34" s="202"/>
      <c r="F34" s="202"/>
      <c r="G34" s="202"/>
      <c r="H34" s="202"/>
      <c r="I34" s="202"/>
      <c r="J34" s="202"/>
      <c r="K34" s="202"/>
      <c r="L34" s="202"/>
    </row>
    <row r="35" spans="1:12">
      <c r="A35" s="12">
        <v>32</v>
      </c>
      <c r="B35" s="20" t="s">
        <v>194</v>
      </c>
      <c r="C35" s="9">
        <v>5467268</v>
      </c>
      <c r="D35" s="6">
        <v>228</v>
      </c>
      <c r="E35" s="6">
        <v>155</v>
      </c>
      <c r="F35" s="6">
        <v>13</v>
      </c>
      <c r="G35" s="6" t="s">
        <v>382</v>
      </c>
      <c r="H35" s="6" t="s">
        <v>382</v>
      </c>
      <c r="I35" s="6" t="s">
        <v>382</v>
      </c>
      <c r="J35" s="6" t="s">
        <v>382</v>
      </c>
      <c r="K35" s="6">
        <v>52</v>
      </c>
      <c r="L35" s="6">
        <v>8</v>
      </c>
    </row>
    <row r="36" spans="1:12">
      <c r="A36" s="12">
        <v>33</v>
      </c>
      <c r="B36" s="20" t="s">
        <v>196</v>
      </c>
      <c r="C36" s="9">
        <v>5522935</v>
      </c>
      <c r="D36" s="6">
        <v>255</v>
      </c>
      <c r="E36" s="6">
        <v>158</v>
      </c>
      <c r="F36" s="6">
        <v>97</v>
      </c>
      <c r="G36" s="6" t="s">
        <v>382</v>
      </c>
      <c r="H36" s="6" t="s">
        <v>382</v>
      </c>
      <c r="I36" s="6">
        <v>79</v>
      </c>
      <c r="J36" s="6">
        <v>37</v>
      </c>
      <c r="K36" s="6">
        <v>15</v>
      </c>
      <c r="L36" s="6">
        <v>3</v>
      </c>
    </row>
    <row r="37" spans="1:12">
      <c r="A37" s="492">
        <v>34</v>
      </c>
      <c r="B37" s="200" t="s">
        <v>197</v>
      </c>
      <c r="C37" s="201">
        <v>5528089</v>
      </c>
      <c r="D37" s="202"/>
      <c r="E37" s="202"/>
      <c r="F37" s="202"/>
      <c r="G37" s="202"/>
      <c r="H37" s="202"/>
      <c r="I37" s="202"/>
      <c r="J37" s="202"/>
      <c r="K37" s="202"/>
      <c r="L37" s="202"/>
    </row>
    <row r="38" spans="1:12">
      <c r="A38" s="12">
        <v>35</v>
      </c>
      <c r="B38" s="20" t="s">
        <v>198</v>
      </c>
      <c r="C38" s="9">
        <v>5396662</v>
      </c>
      <c r="D38" s="6" t="s">
        <v>382</v>
      </c>
      <c r="E38" s="6" t="s">
        <v>382</v>
      </c>
      <c r="F38" s="6" t="s">
        <v>382</v>
      </c>
      <c r="G38" s="6" t="s">
        <v>382</v>
      </c>
      <c r="H38" s="6" t="s">
        <v>382</v>
      </c>
      <c r="I38" s="6" t="s">
        <v>382</v>
      </c>
      <c r="J38" s="6" t="s">
        <v>382</v>
      </c>
      <c r="K38" s="6" t="s">
        <v>382</v>
      </c>
      <c r="L38" s="6" t="s">
        <v>382</v>
      </c>
    </row>
    <row r="39" spans="1:12">
      <c r="A39" s="12">
        <v>36</v>
      </c>
      <c r="B39" s="20" t="s">
        <v>199</v>
      </c>
      <c r="C39" s="9">
        <v>5830974</v>
      </c>
      <c r="D39" s="6" t="s">
        <v>382</v>
      </c>
      <c r="E39" s="6" t="s">
        <v>382</v>
      </c>
      <c r="F39" s="6" t="s">
        <v>382</v>
      </c>
      <c r="G39" s="6" t="s">
        <v>382</v>
      </c>
      <c r="H39" s="6" t="s">
        <v>382</v>
      </c>
      <c r="I39" s="6" t="s">
        <v>382</v>
      </c>
      <c r="J39" s="6" t="s">
        <v>382</v>
      </c>
      <c r="K39" s="6" t="s">
        <v>382</v>
      </c>
      <c r="L39" s="6" t="s">
        <v>382</v>
      </c>
    </row>
    <row r="40" spans="1:12">
      <c r="A40" s="12">
        <v>37</v>
      </c>
      <c r="B40" s="20" t="s">
        <v>201</v>
      </c>
      <c r="C40" s="9">
        <v>2057573</v>
      </c>
      <c r="D40" s="6" t="s">
        <v>382</v>
      </c>
      <c r="E40" s="6" t="s">
        <v>382</v>
      </c>
      <c r="F40" s="6" t="s">
        <v>382</v>
      </c>
      <c r="G40" s="6" t="s">
        <v>382</v>
      </c>
      <c r="H40" s="6" t="s">
        <v>382</v>
      </c>
      <c r="I40" s="6" t="s">
        <v>382</v>
      </c>
      <c r="J40" s="6" t="s">
        <v>382</v>
      </c>
      <c r="K40" s="6" t="s">
        <v>382</v>
      </c>
      <c r="L40" s="6" t="s">
        <v>382</v>
      </c>
    </row>
    <row r="41" spans="1:12">
      <c r="A41" s="12">
        <v>38</v>
      </c>
      <c r="B41" s="20" t="s">
        <v>202</v>
      </c>
      <c r="C41" s="9">
        <v>5699134</v>
      </c>
      <c r="D41" s="6">
        <v>210</v>
      </c>
      <c r="E41" s="6">
        <v>164</v>
      </c>
      <c r="F41" s="6">
        <v>46</v>
      </c>
      <c r="G41" s="6" t="s">
        <v>382</v>
      </c>
      <c r="H41" s="6" t="s">
        <v>382</v>
      </c>
      <c r="I41" s="6">
        <v>22</v>
      </c>
      <c r="J41" s="6">
        <v>6</v>
      </c>
      <c r="K41" s="6">
        <v>15</v>
      </c>
      <c r="L41" s="6">
        <v>6</v>
      </c>
    </row>
    <row r="42" spans="1:12">
      <c r="A42" s="12">
        <v>39</v>
      </c>
      <c r="B42" s="20" t="s">
        <v>203</v>
      </c>
      <c r="C42" s="9">
        <v>5412153</v>
      </c>
      <c r="D42" s="6">
        <v>50</v>
      </c>
      <c r="E42" s="6">
        <v>40</v>
      </c>
      <c r="F42" s="6">
        <v>10</v>
      </c>
      <c r="G42" s="6" t="s">
        <v>382</v>
      </c>
      <c r="H42" s="6" t="s">
        <v>382</v>
      </c>
      <c r="I42" s="6">
        <v>22</v>
      </c>
      <c r="J42" s="6">
        <v>6</v>
      </c>
      <c r="K42" s="6">
        <v>116</v>
      </c>
      <c r="L42" s="6">
        <v>20</v>
      </c>
    </row>
    <row r="43" spans="1:12">
      <c r="A43" s="12">
        <v>40</v>
      </c>
      <c r="B43" s="20" t="s">
        <v>204</v>
      </c>
      <c r="C43" s="9">
        <v>2034859</v>
      </c>
      <c r="D43" s="6" t="s">
        <v>382</v>
      </c>
      <c r="E43" s="6" t="s">
        <v>382</v>
      </c>
      <c r="F43" s="6" t="s">
        <v>382</v>
      </c>
      <c r="G43" s="6" t="s">
        <v>382</v>
      </c>
      <c r="H43" s="6" t="s">
        <v>382</v>
      </c>
      <c r="I43" s="6" t="s">
        <v>382</v>
      </c>
      <c r="J43" s="6" t="s">
        <v>382</v>
      </c>
      <c r="K43" s="6" t="s">
        <v>382</v>
      </c>
      <c r="L43" s="6" t="s">
        <v>382</v>
      </c>
    </row>
    <row r="44" spans="1:12">
      <c r="A44" s="12">
        <v>41</v>
      </c>
      <c r="B44" s="20" t="s">
        <v>208</v>
      </c>
      <c r="C44" s="9">
        <v>5253535</v>
      </c>
      <c r="D44" s="6" t="s">
        <v>382</v>
      </c>
      <c r="E44" s="6" t="s">
        <v>382</v>
      </c>
      <c r="F44" s="6" t="s">
        <v>382</v>
      </c>
      <c r="G44" s="6" t="s">
        <v>382</v>
      </c>
      <c r="H44" s="6" t="s">
        <v>382</v>
      </c>
      <c r="I44" s="6" t="s">
        <v>382</v>
      </c>
      <c r="J44" s="6" t="s">
        <v>382</v>
      </c>
      <c r="K44" s="6" t="s">
        <v>382</v>
      </c>
      <c r="L44" s="6" t="s">
        <v>382</v>
      </c>
    </row>
    <row r="45" spans="1:12">
      <c r="A45" s="12">
        <v>42</v>
      </c>
      <c r="B45" s="20" t="s">
        <v>210</v>
      </c>
      <c r="C45" s="9">
        <v>5150884</v>
      </c>
      <c r="D45" s="6">
        <v>2</v>
      </c>
      <c r="E45" s="6">
        <v>1</v>
      </c>
      <c r="F45" s="6">
        <v>1</v>
      </c>
      <c r="G45" s="6" t="s">
        <v>382</v>
      </c>
      <c r="H45" s="6" t="s">
        <v>382</v>
      </c>
      <c r="I45" s="6" t="s">
        <v>382</v>
      </c>
      <c r="J45" s="6" t="s">
        <v>382</v>
      </c>
      <c r="K45" s="6">
        <v>1</v>
      </c>
      <c r="L45" s="6" t="s">
        <v>382</v>
      </c>
    </row>
    <row r="46" spans="1:12">
      <c r="A46" s="12">
        <v>43</v>
      </c>
      <c r="B46" s="20" t="s">
        <v>211</v>
      </c>
      <c r="C46" s="9">
        <v>5051304</v>
      </c>
      <c r="D46" s="6" t="s">
        <v>382</v>
      </c>
      <c r="E46" s="6" t="s">
        <v>382</v>
      </c>
      <c r="F46" s="6" t="s">
        <v>382</v>
      </c>
      <c r="G46" s="6" t="s">
        <v>382</v>
      </c>
      <c r="H46" s="6" t="s">
        <v>382</v>
      </c>
      <c r="I46" s="6" t="s">
        <v>382</v>
      </c>
      <c r="J46" s="6" t="s">
        <v>382</v>
      </c>
      <c r="K46" s="6" t="s">
        <v>382</v>
      </c>
      <c r="L46" s="6" t="s">
        <v>382</v>
      </c>
    </row>
    <row r="47" spans="1:12">
      <c r="A47" s="492">
        <v>44</v>
      </c>
      <c r="B47" s="200" t="s">
        <v>213</v>
      </c>
      <c r="C47" s="201">
        <v>5401801</v>
      </c>
      <c r="D47" s="202"/>
      <c r="E47" s="202"/>
      <c r="F47" s="202"/>
      <c r="G47" s="202"/>
      <c r="H47" s="202"/>
      <c r="I47" s="202"/>
      <c r="J47" s="202"/>
      <c r="K47" s="202"/>
      <c r="L47" s="202"/>
    </row>
    <row r="48" spans="1:12">
      <c r="A48" s="12">
        <v>45</v>
      </c>
      <c r="B48" s="20" t="s">
        <v>214</v>
      </c>
      <c r="C48" s="9">
        <v>2550466</v>
      </c>
      <c r="D48" s="6">
        <v>1653</v>
      </c>
      <c r="E48" s="6">
        <v>1237</v>
      </c>
      <c r="F48" s="6">
        <v>416</v>
      </c>
      <c r="G48" s="6" t="s">
        <v>382</v>
      </c>
      <c r="H48" s="6" t="s">
        <v>382</v>
      </c>
      <c r="I48" s="6">
        <v>1407</v>
      </c>
      <c r="J48" s="6">
        <v>167</v>
      </c>
      <c r="K48" s="6">
        <v>174</v>
      </c>
      <c r="L48" s="6">
        <v>31</v>
      </c>
    </row>
    <row r="49" spans="1:12">
      <c r="A49" s="12">
        <v>46</v>
      </c>
      <c r="B49" s="20" t="s">
        <v>216</v>
      </c>
      <c r="C49" s="9">
        <v>5051134</v>
      </c>
      <c r="D49" s="6">
        <v>58</v>
      </c>
      <c r="E49" s="6">
        <v>48</v>
      </c>
      <c r="F49" s="6">
        <v>10</v>
      </c>
      <c r="G49" s="6" t="s">
        <v>382</v>
      </c>
      <c r="H49" s="6" t="s">
        <v>382</v>
      </c>
      <c r="I49" s="6">
        <v>15</v>
      </c>
      <c r="J49" s="6">
        <v>1</v>
      </c>
      <c r="K49" s="6">
        <v>5</v>
      </c>
      <c r="L49" s="6" t="s">
        <v>382</v>
      </c>
    </row>
    <row r="50" spans="1:12">
      <c r="A50" s="12">
        <v>47</v>
      </c>
      <c r="B50" s="20" t="s">
        <v>217</v>
      </c>
      <c r="C50" s="9">
        <v>2095025</v>
      </c>
      <c r="D50" s="6" t="s">
        <v>382</v>
      </c>
      <c r="E50" s="6" t="s">
        <v>382</v>
      </c>
      <c r="F50" s="6" t="s">
        <v>382</v>
      </c>
      <c r="G50" s="6" t="s">
        <v>382</v>
      </c>
      <c r="H50" s="6" t="s">
        <v>382</v>
      </c>
      <c r="I50" s="6" t="s">
        <v>382</v>
      </c>
      <c r="J50" s="6" t="s">
        <v>382</v>
      </c>
      <c r="K50" s="6" t="s">
        <v>382</v>
      </c>
      <c r="L50" s="6" t="s">
        <v>382</v>
      </c>
    </row>
    <row r="51" spans="1:12">
      <c r="A51" s="12">
        <v>48</v>
      </c>
      <c r="B51" s="20" t="s">
        <v>218</v>
      </c>
      <c r="C51" s="9">
        <v>2045931</v>
      </c>
      <c r="D51" s="6">
        <v>128</v>
      </c>
      <c r="E51" s="6">
        <v>55</v>
      </c>
      <c r="F51" s="6">
        <v>72</v>
      </c>
      <c r="G51" s="6">
        <v>1</v>
      </c>
      <c r="H51" s="6" t="s">
        <v>382</v>
      </c>
      <c r="I51" s="6" t="s">
        <v>382</v>
      </c>
      <c r="J51" s="6" t="s">
        <v>382</v>
      </c>
      <c r="K51" s="6" t="s">
        <v>382</v>
      </c>
      <c r="L51" s="6" t="s">
        <v>382</v>
      </c>
    </row>
    <row r="52" spans="1:12">
      <c r="A52" s="12">
        <v>49</v>
      </c>
      <c r="B52" s="20" t="s">
        <v>219</v>
      </c>
      <c r="C52" s="9">
        <v>2029278</v>
      </c>
      <c r="D52" s="6">
        <v>264</v>
      </c>
      <c r="E52" s="6">
        <v>226</v>
      </c>
      <c r="F52" s="6">
        <v>38</v>
      </c>
      <c r="G52" s="6" t="s">
        <v>382</v>
      </c>
      <c r="H52" s="6" t="s">
        <v>382</v>
      </c>
      <c r="I52" s="6">
        <v>120</v>
      </c>
      <c r="J52" s="6">
        <v>10</v>
      </c>
      <c r="K52" s="6">
        <v>36</v>
      </c>
      <c r="L52" s="6">
        <v>1</v>
      </c>
    </row>
    <row r="53" spans="1:12">
      <c r="A53" s="12">
        <v>50</v>
      </c>
      <c r="B53" s="20" t="s">
        <v>220</v>
      </c>
      <c r="C53" s="9">
        <v>5106567</v>
      </c>
      <c r="D53" s="6">
        <v>617</v>
      </c>
      <c r="E53" s="6">
        <v>408</v>
      </c>
      <c r="F53" s="6">
        <v>200</v>
      </c>
      <c r="G53" s="6">
        <v>8</v>
      </c>
      <c r="H53" s="6">
        <v>1</v>
      </c>
      <c r="I53" s="6">
        <v>298</v>
      </c>
      <c r="J53" s="6">
        <v>154</v>
      </c>
      <c r="K53" s="6">
        <v>309</v>
      </c>
      <c r="L53" s="6">
        <v>183</v>
      </c>
    </row>
    <row r="54" spans="1:12">
      <c r="A54" s="12">
        <v>51</v>
      </c>
      <c r="B54" s="20" t="s">
        <v>222</v>
      </c>
      <c r="C54" s="9">
        <v>5141583</v>
      </c>
      <c r="D54" s="6">
        <v>564</v>
      </c>
      <c r="E54" s="6">
        <v>457</v>
      </c>
      <c r="F54" s="6">
        <v>76</v>
      </c>
      <c r="G54" s="6">
        <v>30</v>
      </c>
      <c r="H54" s="6">
        <v>1</v>
      </c>
      <c r="I54" s="6">
        <v>420</v>
      </c>
      <c r="J54" s="6">
        <v>59</v>
      </c>
      <c r="K54" s="6">
        <v>31</v>
      </c>
      <c r="L54" s="6">
        <v>0</v>
      </c>
    </row>
    <row r="55" spans="1:12">
      <c r="A55" s="12">
        <v>52</v>
      </c>
      <c r="B55" s="20" t="s">
        <v>223</v>
      </c>
      <c r="C55" s="9">
        <v>5118115</v>
      </c>
      <c r="D55" s="6" t="s">
        <v>382</v>
      </c>
      <c r="E55" s="6" t="s">
        <v>382</v>
      </c>
      <c r="F55" s="6" t="s">
        <v>382</v>
      </c>
      <c r="G55" s="6" t="s">
        <v>382</v>
      </c>
      <c r="H55" s="6" t="s">
        <v>382</v>
      </c>
      <c r="I55" s="6" t="s">
        <v>382</v>
      </c>
      <c r="J55" s="6" t="s">
        <v>382</v>
      </c>
      <c r="K55" s="6" t="s">
        <v>382</v>
      </c>
      <c r="L55" s="6" t="s">
        <v>382</v>
      </c>
    </row>
    <row r="56" spans="1:12">
      <c r="A56" s="12">
        <v>53</v>
      </c>
      <c r="B56" s="20" t="s">
        <v>224</v>
      </c>
      <c r="C56" s="9">
        <v>5106656</v>
      </c>
      <c r="D56" s="6">
        <v>23</v>
      </c>
      <c r="E56" s="6">
        <v>17</v>
      </c>
      <c r="F56" s="6">
        <v>6</v>
      </c>
      <c r="G56" s="6" t="s">
        <v>382</v>
      </c>
      <c r="H56" s="6" t="s">
        <v>382</v>
      </c>
      <c r="I56" s="6" t="s">
        <v>382</v>
      </c>
      <c r="J56" s="6" t="s">
        <v>382</v>
      </c>
      <c r="K56" s="6" t="s">
        <v>382</v>
      </c>
      <c r="L56" s="6" t="s">
        <v>382</v>
      </c>
    </row>
    <row r="57" spans="1:12">
      <c r="A57" s="12">
        <v>54</v>
      </c>
      <c r="B57" s="20" t="s">
        <v>225</v>
      </c>
      <c r="C57" s="9">
        <v>2010895</v>
      </c>
      <c r="D57" s="6">
        <v>64</v>
      </c>
      <c r="E57" s="6">
        <v>52</v>
      </c>
      <c r="F57" s="6">
        <v>12</v>
      </c>
      <c r="G57" s="6" t="s">
        <v>382</v>
      </c>
      <c r="H57" s="6" t="s">
        <v>382</v>
      </c>
      <c r="I57" s="6">
        <v>51</v>
      </c>
      <c r="J57" s="6">
        <v>12</v>
      </c>
      <c r="K57" s="6">
        <v>18</v>
      </c>
      <c r="L57" s="6">
        <v>8</v>
      </c>
    </row>
    <row r="58" spans="1:12">
      <c r="A58" s="12">
        <v>55</v>
      </c>
      <c r="B58" s="20" t="s">
        <v>227</v>
      </c>
      <c r="C58" s="9">
        <v>5295858</v>
      </c>
      <c r="D58" s="6">
        <v>454</v>
      </c>
      <c r="E58" s="6">
        <v>387</v>
      </c>
      <c r="F58" s="6">
        <v>61</v>
      </c>
      <c r="G58" s="6">
        <v>6</v>
      </c>
      <c r="H58" s="6" t="s">
        <v>382</v>
      </c>
      <c r="I58" s="6">
        <v>209</v>
      </c>
      <c r="J58" s="6">
        <v>36</v>
      </c>
      <c r="K58" s="6" t="s">
        <v>382</v>
      </c>
      <c r="L58" s="6" t="s">
        <v>382</v>
      </c>
    </row>
    <row r="59" spans="1:12">
      <c r="A59" s="12">
        <v>56</v>
      </c>
      <c r="B59" s="20" t="s">
        <v>228</v>
      </c>
      <c r="C59" s="9">
        <v>6287727</v>
      </c>
      <c r="D59" s="6">
        <v>74</v>
      </c>
      <c r="E59" s="6">
        <v>74</v>
      </c>
      <c r="F59" s="6" t="s">
        <v>382</v>
      </c>
      <c r="G59" s="6" t="s">
        <v>382</v>
      </c>
      <c r="H59" s="6" t="s">
        <v>382</v>
      </c>
      <c r="I59" s="6" t="s">
        <v>382</v>
      </c>
      <c r="J59" s="6" t="s">
        <v>382</v>
      </c>
      <c r="K59" s="6">
        <v>5</v>
      </c>
      <c r="L59" s="6" t="s">
        <v>382</v>
      </c>
    </row>
    <row r="60" spans="1:12">
      <c r="A60" s="492">
        <v>57</v>
      </c>
      <c r="B60" s="200" t="s">
        <v>229</v>
      </c>
      <c r="C60" s="201">
        <v>2659603</v>
      </c>
      <c r="D60" s="202"/>
      <c r="E60" s="202"/>
      <c r="F60" s="202"/>
      <c r="G60" s="202"/>
      <c r="H60" s="202"/>
      <c r="I60" s="202"/>
      <c r="J60" s="202"/>
      <c r="K60" s="202"/>
      <c r="L60" s="202"/>
    </row>
    <row r="61" spans="1:12">
      <c r="A61" s="12">
        <v>58</v>
      </c>
      <c r="B61" s="20" t="s">
        <v>230</v>
      </c>
      <c r="C61" s="9">
        <v>2678187</v>
      </c>
      <c r="D61" s="6">
        <v>108</v>
      </c>
      <c r="E61" s="6">
        <v>93</v>
      </c>
      <c r="F61" s="6">
        <v>13</v>
      </c>
      <c r="G61" s="6">
        <v>2</v>
      </c>
      <c r="H61" s="6" t="s">
        <v>382</v>
      </c>
      <c r="I61" s="6">
        <v>42</v>
      </c>
      <c r="J61" s="6">
        <v>2</v>
      </c>
      <c r="K61" s="6">
        <v>16</v>
      </c>
      <c r="L61" s="6">
        <v>6</v>
      </c>
    </row>
    <row r="62" spans="1:12">
      <c r="A62" s="12">
        <v>59</v>
      </c>
      <c r="B62" s="20" t="s">
        <v>231</v>
      </c>
      <c r="C62" s="9">
        <v>2657457</v>
      </c>
      <c r="D62" s="6">
        <v>4539</v>
      </c>
      <c r="E62" s="6">
        <v>3365</v>
      </c>
      <c r="F62" s="6">
        <v>1046</v>
      </c>
      <c r="G62" s="6">
        <v>118</v>
      </c>
      <c r="H62" s="6">
        <v>10</v>
      </c>
      <c r="I62" s="6">
        <v>692</v>
      </c>
      <c r="J62" s="6">
        <v>257</v>
      </c>
      <c r="K62" s="6">
        <v>1017</v>
      </c>
      <c r="L62" s="6">
        <v>183</v>
      </c>
    </row>
    <row r="63" spans="1:12">
      <c r="A63" s="12">
        <v>60</v>
      </c>
      <c r="B63" s="20" t="s">
        <v>232</v>
      </c>
      <c r="C63" s="9">
        <v>3615243</v>
      </c>
      <c r="D63" s="6">
        <v>12</v>
      </c>
      <c r="E63" s="6">
        <v>10</v>
      </c>
      <c r="F63" s="6">
        <v>2</v>
      </c>
      <c r="G63" s="6" t="s">
        <v>382</v>
      </c>
      <c r="H63" s="6" t="s">
        <v>382</v>
      </c>
      <c r="I63" s="6" t="s">
        <v>382</v>
      </c>
      <c r="J63" s="6" t="s">
        <v>382</v>
      </c>
      <c r="K63" s="6" t="s">
        <v>382</v>
      </c>
      <c r="L63" s="6" t="s">
        <v>382</v>
      </c>
    </row>
    <row r="64" spans="1:12">
      <c r="A64" s="12">
        <v>61</v>
      </c>
      <c r="B64" s="20" t="s">
        <v>236</v>
      </c>
      <c r="C64" s="9">
        <v>3623955</v>
      </c>
      <c r="D64" s="6" t="s">
        <v>382</v>
      </c>
      <c r="E64" s="6" t="s">
        <v>382</v>
      </c>
      <c r="F64" s="6" t="s">
        <v>382</v>
      </c>
      <c r="G64" s="6" t="s">
        <v>382</v>
      </c>
      <c r="H64" s="6" t="s">
        <v>382</v>
      </c>
      <c r="I64" s="6" t="s">
        <v>382</v>
      </c>
      <c r="J64" s="6" t="s">
        <v>382</v>
      </c>
      <c r="K64" s="6" t="s">
        <v>382</v>
      </c>
      <c r="L64" s="6" t="s">
        <v>382</v>
      </c>
    </row>
    <row r="65" spans="1:12">
      <c r="A65" s="12">
        <v>62</v>
      </c>
      <c r="B65" s="20" t="s">
        <v>239</v>
      </c>
      <c r="C65" s="9">
        <v>5199077</v>
      </c>
      <c r="D65" s="6" t="s">
        <v>382</v>
      </c>
      <c r="E65" s="6" t="s">
        <v>382</v>
      </c>
      <c r="F65" s="6" t="s">
        <v>382</v>
      </c>
      <c r="G65" s="6" t="s">
        <v>382</v>
      </c>
      <c r="H65" s="6" t="s">
        <v>382</v>
      </c>
      <c r="I65" s="6" t="s">
        <v>382</v>
      </c>
      <c r="J65" s="6" t="s">
        <v>382</v>
      </c>
      <c r="K65" s="6" t="s">
        <v>382</v>
      </c>
      <c r="L65" s="6" t="s">
        <v>382</v>
      </c>
    </row>
    <row r="66" spans="1:12">
      <c r="A66" s="492">
        <v>63</v>
      </c>
      <c r="B66" s="200" t="s">
        <v>240</v>
      </c>
      <c r="C66" s="201">
        <v>2075385</v>
      </c>
      <c r="D66" s="202"/>
      <c r="E66" s="202"/>
      <c r="F66" s="202"/>
      <c r="G66" s="202"/>
      <c r="H66" s="202"/>
      <c r="I66" s="202"/>
      <c r="J66" s="202"/>
      <c r="K66" s="202"/>
      <c r="L66" s="202"/>
    </row>
    <row r="67" spans="1:12">
      <c r="A67" s="492">
        <v>64</v>
      </c>
      <c r="B67" s="200" t="s">
        <v>241</v>
      </c>
      <c r="C67" s="201">
        <v>2867095</v>
      </c>
      <c r="D67" s="202"/>
      <c r="E67" s="202"/>
      <c r="F67" s="202"/>
      <c r="G67" s="202"/>
      <c r="H67" s="202"/>
      <c r="I67" s="202"/>
      <c r="J67" s="202"/>
      <c r="K67" s="202"/>
      <c r="L67" s="202"/>
    </row>
    <row r="68" spans="1:12">
      <c r="A68" s="12">
        <v>65</v>
      </c>
      <c r="B68" s="20" t="s">
        <v>242</v>
      </c>
      <c r="C68" s="9">
        <v>5076285</v>
      </c>
      <c r="D68" s="6">
        <v>106</v>
      </c>
      <c r="E68" s="6">
        <v>103</v>
      </c>
      <c r="F68" s="6">
        <v>3</v>
      </c>
      <c r="G68" s="6" t="s">
        <v>382</v>
      </c>
      <c r="H68" s="6" t="s">
        <v>382</v>
      </c>
      <c r="I68" s="6">
        <v>76</v>
      </c>
      <c r="J68" s="6">
        <v>2</v>
      </c>
      <c r="K68" s="6">
        <v>22</v>
      </c>
      <c r="L68" s="6" t="s">
        <v>382</v>
      </c>
    </row>
    <row r="69" spans="1:12">
      <c r="A69" s="12">
        <v>66</v>
      </c>
      <c r="B69" s="20" t="s">
        <v>243</v>
      </c>
      <c r="C69" s="9">
        <v>5084555</v>
      </c>
      <c r="D69" s="6">
        <v>474</v>
      </c>
      <c r="E69" s="6">
        <v>419</v>
      </c>
      <c r="F69" s="6">
        <v>45</v>
      </c>
      <c r="G69" s="6">
        <v>10</v>
      </c>
      <c r="H69" s="6" t="s">
        <v>382</v>
      </c>
      <c r="I69" s="6">
        <v>162</v>
      </c>
      <c r="J69" s="6">
        <v>7</v>
      </c>
      <c r="K69" s="6">
        <v>127</v>
      </c>
      <c r="L69" s="6">
        <v>4</v>
      </c>
    </row>
    <row r="70" spans="1:12">
      <c r="A70" s="12">
        <v>67</v>
      </c>
      <c r="B70" s="20" t="s">
        <v>244</v>
      </c>
      <c r="C70" s="9">
        <v>5261198</v>
      </c>
      <c r="D70" s="6">
        <v>759</v>
      </c>
      <c r="E70" s="6">
        <v>744</v>
      </c>
      <c r="F70" s="6">
        <v>5</v>
      </c>
      <c r="G70" s="6">
        <v>10</v>
      </c>
      <c r="H70" s="6" t="s">
        <v>382</v>
      </c>
      <c r="I70" s="6" t="s">
        <v>382</v>
      </c>
      <c r="J70" s="6" t="s">
        <v>382</v>
      </c>
      <c r="K70" s="6" t="s">
        <v>382</v>
      </c>
      <c r="L70" s="6" t="s">
        <v>382</v>
      </c>
    </row>
    <row r="71" spans="1:12">
      <c r="A71" s="12">
        <v>68</v>
      </c>
      <c r="B71" s="20" t="s">
        <v>246</v>
      </c>
      <c r="C71" s="9">
        <v>5288703</v>
      </c>
      <c r="D71" s="6">
        <v>76</v>
      </c>
      <c r="E71" s="6">
        <v>54</v>
      </c>
      <c r="F71" s="6">
        <v>20</v>
      </c>
      <c r="G71" s="6">
        <v>1</v>
      </c>
      <c r="H71" s="6">
        <v>1</v>
      </c>
      <c r="I71" s="6">
        <v>39</v>
      </c>
      <c r="J71" s="6">
        <v>17</v>
      </c>
      <c r="K71" s="6">
        <v>8</v>
      </c>
      <c r="L71" s="6">
        <v>2</v>
      </c>
    </row>
    <row r="72" spans="1:12">
      <c r="A72" s="12">
        <v>69</v>
      </c>
      <c r="B72" s="20" t="s">
        <v>248</v>
      </c>
      <c r="C72" s="9">
        <v>6232485</v>
      </c>
      <c r="D72" s="6">
        <v>93</v>
      </c>
      <c r="E72" s="6">
        <v>74</v>
      </c>
      <c r="F72" s="6">
        <v>19</v>
      </c>
      <c r="G72" s="6" t="s">
        <v>382</v>
      </c>
      <c r="H72" s="6" t="s">
        <v>382</v>
      </c>
      <c r="I72" s="6">
        <v>38</v>
      </c>
      <c r="J72" s="6">
        <v>4</v>
      </c>
      <c r="K72" s="6">
        <v>17</v>
      </c>
      <c r="L72" s="6">
        <v>4</v>
      </c>
    </row>
    <row r="73" spans="1:12">
      <c r="A73" s="12">
        <v>70</v>
      </c>
      <c r="B73" s="20" t="s">
        <v>249</v>
      </c>
      <c r="C73" s="9">
        <v>6101615</v>
      </c>
      <c r="D73" s="6">
        <v>137</v>
      </c>
      <c r="E73" s="6">
        <v>107</v>
      </c>
      <c r="F73" s="6">
        <v>29</v>
      </c>
      <c r="G73" s="6">
        <v>1</v>
      </c>
      <c r="H73" s="6" t="s">
        <v>382</v>
      </c>
      <c r="I73" s="6">
        <v>28</v>
      </c>
      <c r="J73" s="6">
        <v>2</v>
      </c>
      <c r="K73" s="6">
        <v>30</v>
      </c>
      <c r="L73" s="6">
        <v>1</v>
      </c>
    </row>
    <row r="74" spans="1:12">
      <c r="A74" s="492">
        <v>71</v>
      </c>
      <c r="B74" s="200" t="s">
        <v>250</v>
      </c>
      <c r="C74" s="201">
        <v>5120365</v>
      </c>
      <c r="D74" s="202"/>
      <c r="E74" s="202"/>
      <c r="F74" s="202"/>
      <c r="G74" s="202"/>
      <c r="H74" s="202"/>
      <c r="I74" s="202"/>
      <c r="J74" s="202"/>
      <c r="K74" s="202"/>
      <c r="L74" s="202"/>
    </row>
    <row r="75" spans="1:12">
      <c r="A75" s="492">
        <v>72</v>
      </c>
      <c r="B75" s="200" t="s">
        <v>251</v>
      </c>
      <c r="C75" s="201">
        <v>2016656</v>
      </c>
      <c r="D75" s="202"/>
      <c r="E75" s="202"/>
      <c r="F75" s="202"/>
      <c r="G75" s="202"/>
      <c r="H75" s="202"/>
      <c r="I75" s="202"/>
      <c r="J75" s="202"/>
      <c r="K75" s="202"/>
      <c r="L75" s="202"/>
    </row>
    <row r="76" spans="1:12">
      <c r="A76" s="12">
        <v>73</v>
      </c>
      <c r="B76" s="20" t="s">
        <v>253</v>
      </c>
      <c r="C76" s="9">
        <v>5872006</v>
      </c>
      <c r="D76" s="6" t="s">
        <v>382</v>
      </c>
      <c r="E76" s="6" t="s">
        <v>382</v>
      </c>
      <c r="F76" s="6" t="s">
        <v>382</v>
      </c>
      <c r="G76" s="6" t="s">
        <v>382</v>
      </c>
      <c r="H76" s="6" t="s">
        <v>382</v>
      </c>
      <c r="I76" s="6" t="s">
        <v>382</v>
      </c>
      <c r="J76" s="6" t="s">
        <v>382</v>
      </c>
      <c r="K76" s="6" t="s">
        <v>382</v>
      </c>
      <c r="L76" s="6" t="s">
        <v>382</v>
      </c>
    </row>
    <row r="77" spans="1:12">
      <c r="A77" s="492">
        <v>74</v>
      </c>
      <c r="B77" s="200" t="s">
        <v>254</v>
      </c>
      <c r="C77" s="201">
        <v>5774047</v>
      </c>
      <c r="D77" s="202"/>
      <c r="E77" s="202"/>
      <c r="F77" s="202"/>
      <c r="G77" s="202"/>
      <c r="H77" s="202"/>
      <c r="I77" s="202"/>
      <c r="J77" s="202"/>
      <c r="K77" s="202"/>
      <c r="L77" s="202"/>
    </row>
    <row r="78" spans="1:12">
      <c r="A78" s="492">
        <v>75</v>
      </c>
      <c r="B78" s="200" t="s">
        <v>257</v>
      </c>
      <c r="C78" s="201">
        <v>5105439</v>
      </c>
      <c r="D78" s="202"/>
      <c r="E78" s="202"/>
      <c r="F78" s="202"/>
      <c r="G78" s="202"/>
      <c r="H78" s="202"/>
      <c r="I78" s="202"/>
      <c r="J78" s="202"/>
      <c r="K78" s="202"/>
      <c r="L78" s="202"/>
    </row>
    <row r="79" spans="1:12">
      <c r="A79" s="12">
        <v>76</v>
      </c>
      <c r="B79" s="20" t="s">
        <v>258</v>
      </c>
      <c r="C79" s="9">
        <v>2663813</v>
      </c>
      <c r="D79" s="6" t="s">
        <v>382</v>
      </c>
      <c r="E79" s="6" t="s">
        <v>382</v>
      </c>
      <c r="F79" s="6" t="s">
        <v>382</v>
      </c>
      <c r="G79" s="6" t="s">
        <v>382</v>
      </c>
      <c r="H79" s="6" t="s">
        <v>382</v>
      </c>
      <c r="I79" s="6" t="s">
        <v>382</v>
      </c>
      <c r="J79" s="6" t="s">
        <v>382</v>
      </c>
      <c r="K79" s="6" t="s">
        <v>382</v>
      </c>
      <c r="L79" s="6" t="s">
        <v>382</v>
      </c>
    </row>
    <row r="80" spans="1:12">
      <c r="A80" s="12">
        <v>77</v>
      </c>
      <c r="B80" s="20" t="s">
        <v>260</v>
      </c>
      <c r="C80" s="9">
        <v>2016931</v>
      </c>
      <c r="D80" s="6" t="s">
        <v>382</v>
      </c>
      <c r="E80" s="6" t="s">
        <v>382</v>
      </c>
      <c r="F80" s="6" t="s">
        <v>382</v>
      </c>
      <c r="G80" s="6" t="s">
        <v>382</v>
      </c>
      <c r="H80" s="6" t="s">
        <v>382</v>
      </c>
      <c r="I80" s="6" t="s">
        <v>382</v>
      </c>
      <c r="J80" s="6" t="s">
        <v>382</v>
      </c>
      <c r="K80" s="6" t="s">
        <v>382</v>
      </c>
      <c r="L80" s="6" t="s">
        <v>382</v>
      </c>
    </row>
    <row r="81" spans="1:12">
      <c r="A81" s="12">
        <v>78</v>
      </c>
      <c r="B81" s="20" t="s">
        <v>263</v>
      </c>
      <c r="C81" s="9">
        <v>5513618</v>
      </c>
      <c r="D81" s="6">
        <v>12</v>
      </c>
      <c r="E81" s="6">
        <v>8</v>
      </c>
      <c r="F81" s="6">
        <v>4</v>
      </c>
      <c r="G81" s="6" t="s">
        <v>382</v>
      </c>
      <c r="H81" s="6" t="s">
        <v>382</v>
      </c>
      <c r="I81" s="6" t="s">
        <v>382</v>
      </c>
      <c r="J81" s="6" t="s">
        <v>382</v>
      </c>
      <c r="K81" s="6" t="s">
        <v>382</v>
      </c>
      <c r="L81" s="6" t="s">
        <v>382</v>
      </c>
    </row>
    <row r="82" spans="1:12">
      <c r="A82" s="12">
        <v>79</v>
      </c>
      <c r="B82" s="20" t="s">
        <v>264</v>
      </c>
      <c r="C82" s="9">
        <v>2807459</v>
      </c>
      <c r="D82" s="6">
        <v>45</v>
      </c>
      <c r="E82" s="6">
        <v>34</v>
      </c>
      <c r="F82" s="6">
        <v>9</v>
      </c>
      <c r="G82" s="6">
        <v>2</v>
      </c>
      <c r="H82" s="6" t="s">
        <v>382</v>
      </c>
      <c r="I82" s="6">
        <v>20</v>
      </c>
      <c r="J82" s="6">
        <v>7</v>
      </c>
      <c r="K82" s="6">
        <v>3</v>
      </c>
      <c r="L82" s="6" t="s">
        <v>382</v>
      </c>
    </row>
    <row r="83" spans="1:12">
      <c r="A83" s="12">
        <v>80</v>
      </c>
      <c r="B83" s="20" t="s">
        <v>265</v>
      </c>
      <c r="C83" s="9">
        <v>2872943</v>
      </c>
      <c r="D83" s="6">
        <v>259</v>
      </c>
      <c r="E83" s="6">
        <v>232</v>
      </c>
      <c r="F83" s="6">
        <v>27</v>
      </c>
      <c r="G83" s="6" t="s">
        <v>382</v>
      </c>
      <c r="H83" s="6" t="s">
        <v>382</v>
      </c>
      <c r="I83" s="6">
        <v>51</v>
      </c>
      <c r="J83" s="6">
        <v>11</v>
      </c>
      <c r="K83" s="6">
        <v>22</v>
      </c>
      <c r="L83" s="6">
        <v>4</v>
      </c>
    </row>
    <row r="84" spans="1:12">
      <c r="A84" s="12">
        <v>81</v>
      </c>
      <c r="B84" s="20" t="s">
        <v>266</v>
      </c>
      <c r="C84" s="9">
        <v>6268048</v>
      </c>
      <c r="D84" s="6">
        <v>171</v>
      </c>
      <c r="E84" s="6">
        <v>144</v>
      </c>
      <c r="F84" s="6">
        <v>27</v>
      </c>
      <c r="G84" s="6" t="s">
        <v>382</v>
      </c>
      <c r="H84" s="6" t="s">
        <v>382</v>
      </c>
      <c r="I84" s="6">
        <v>10</v>
      </c>
      <c r="J84" s="6">
        <v>3</v>
      </c>
      <c r="K84" s="6">
        <v>35</v>
      </c>
      <c r="L84" s="6">
        <v>10</v>
      </c>
    </row>
    <row r="85" spans="1:12">
      <c r="A85" s="12">
        <v>82</v>
      </c>
      <c r="B85" s="20" t="s">
        <v>268</v>
      </c>
      <c r="C85" s="9">
        <v>5874963</v>
      </c>
      <c r="D85" s="6">
        <v>70</v>
      </c>
      <c r="E85" s="6">
        <v>49</v>
      </c>
      <c r="F85" s="6">
        <v>20</v>
      </c>
      <c r="G85" s="6" t="s">
        <v>382</v>
      </c>
      <c r="H85" s="6">
        <v>1</v>
      </c>
      <c r="I85" s="6">
        <v>1</v>
      </c>
      <c r="J85" s="6" t="s">
        <v>382</v>
      </c>
      <c r="K85" s="6">
        <v>13</v>
      </c>
      <c r="L85" s="6" t="s">
        <v>382</v>
      </c>
    </row>
    <row r="86" spans="1:12">
      <c r="A86" s="12">
        <v>83</v>
      </c>
      <c r="B86" s="20" t="s">
        <v>269</v>
      </c>
      <c r="C86" s="9">
        <v>6636624</v>
      </c>
      <c r="D86" s="6" t="s">
        <v>382</v>
      </c>
      <c r="E86" s="6" t="s">
        <v>382</v>
      </c>
      <c r="F86" s="6" t="s">
        <v>382</v>
      </c>
      <c r="G86" s="6" t="s">
        <v>382</v>
      </c>
      <c r="H86" s="6" t="s">
        <v>382</v>
      </c>
      <c r="I86" s="6" t="s">
        <v>382</v>
      </c>
      <c r="J86" s="6" t="s">
        <v>382</v>
      </c>
      <c r="K86" s="6" t="s">
        <v>382</v>
      </c>
      <c r="L86" s="6" t="s">
        <v>382</v>
      </c>
    </row>
    <row r="87" spans="1:12">
      <c r="A87" s="12">
        <v>84</v>
      </c>
      <c r="B87" s="20" t="s">
        <v>270</v>
      </c>
      <c r="C87" s="9">
        <v>2839717</v>
      </c>
      <c r="D87" s="6">
        <v>208</v>
      </c>
      <c r="E87" s="6">
        <v>130</v>
      </c>
      <c r="F87" s="6">
        <v>51</v>
      </c>
      <c r="G87" s="6">
        <v>27</v>
      </c>
      <c r="H87" s="6" t="s">
        <v>382</v>
      </c>
      <c r="I87" s="6">
        <v>76</v>
      </c>
      <c r="J87" s="6">
        <v>33</v>
      </c>
      <c r="K87" s="6">
        <v>7</v>
      </c>
      <c r="L87" s="6">
        <v>1</v>
      </c>
    </row>
    <row r="88" spans="1:12">
      <c r="A88" s="12">
        <v>85</v>
      </c>
      <c r="B88" s="20" t="s">
        <v>271</v>
      </c>
      <c r="C88" s="9">
        <v>2344343</v>
      </c>
      <c r="D88" s="6" t="s">
        <v>382</v>
      </c>
      <c r="E88" s="6" t="s">
        <v>382</v>
      </c>
      <c r="F88" s="6" t="s">
        <v>382</v>
      </c>
      <c r="G88" s="6" t="s">
        <v>382</v>
      </c>
      <c r="H88" s="6" t="s">
        <v>382</v>
      </c>
      <c r="I88" s="6" t="s">
        <v>382</v>
      </c>
      <c r="J88" s="6" t="s">
        <v>382</v>
      </c>
      <c r="K88" s="6" t="s">
        <v>382</v>
      </c>
      <c r="L88" s="6" t="s">
        <v>382</v>
      </c>
    </row>
    <row r="89" spans="1:12">
      <c r="A89" s="12">
        <v>86</v>
      </c>
      <c r="B89" s="20" t="s">
        <v>273</v>
      </c>
      <c r="C89" s="9">
        <v>2819996</v>
      </c>
      <c r="D89" s="6" t="s">
        <v>382</v>
      </c>
      <c r="E89" s="6" t="s">
        <v>382</v>
      </c>
      <c r="F89" s="6" t="s">
        <v>382</v>
      </c>
      <c r="G89" s="6" t="s">
        <v>382</v>
      </c>
      <c r="H89" s="6" t="s">
        <v>382</v>
      </c>
      <c r="I89" s="6" t="s">
        <v>382</v>
      </c>
      <c r="J89" s="6" t="s">
        <v>382</v>
      </c>
      <c r="K89" s="6" t="s">
        <v>382</v>
      </c>
      <c r="L89" s="6" t="s">
        <v>382</v>
      </c>
    </row>
    <row r="90" spans="1:12">
      <c r="A90" s="12">
        <v>87</v>
      </c>
      <c r="B90" s="20" t="s">
        <v>277</v>
      </c>
      <c r="C90" s="9">
        <v>2868687</v>
      </c>
      <c r="D90" s="6">
        <v>64</v>
      </c>
      <c r="E90" s="6">
        <v>53</v>
      </c>
      <c r="F90" s="6">
        <v>11</v>
      </c>
      <c r="G90" s="6" t="s">
        <v>382</v>
      </c>
      <c r="H90" s="6" t="s">
        <v>382</v>
      </c>
      <c r="I90" s="6">
        <v>30</v>
      </c>
      <c r="J90" s="6">
        <v>5</v>
      </c>
      <c r="K90" s="6">
        <v>12</v>
      </c>
      <c r="L90" s="6">
        <v>3</v>
      </c>
    </row>
    <row r="91" spans="1:12">
      <c r="A91" s="12">
        <v>88</v>
      </c>
      <c r="B91" s="20" t="s">
        <v>279</v>
      </c>
      <c r="C91" s="9">
        <v>5877288</v>
      </c>
      <c r="D91" s="6">
        <v>33</v>
      </c>
      <c r="E91" s="6">
        <v>20</v>
      </c>
      <c r="F91" s="6">
        <v>13</v>
      </c>
      <c r="G91" s="6" t="s">
        <v>382</v>
      </c>
      <c r="H91" s="6" t="s">
        <v>382</v>
      </c>
      <c r="I91" s="6" t="s">
        <v>382</v>
      </c>
      <c r="J91" s="6">
        <v>6</v>
      </c>
      <c r="K91" s="6" t="s">
        <v>382</v>
      </c>
      <c r="L91" s="6" t="s">
        <v>382</v>
      </c>
    </row>
    <row r="92" spans="1:12">
      <c r="A92" s="12">
        <v>89</v>
      </c>
      <c r="B92" s="20" t="s">
        <v>281</v>
      </c>
      <c r="C92" s="9">
        <v>6195598</v>
      </c>
      <c r="D92" s="6">
        <v>250</v>
      </c>
      <c r="E92" s="6">
        <v>197</v>
      </c>
      <c r="F92" s="6">
        <v>53</v>
      </c>
      <c r="G92" s="6" t="s">
        <v>382</v>
      </c>
      <c r="H92" s="6" t="s">
        <v>382</v>
      </c>
      <c r="I92" s="6">
        <v>158</v>
      </c>
      <c r="J92" s="6">
        <v>47</v>
      </c>
      <c r="K92" s="6">
        <v>36</v>
      </c>
      <c r="L92" s="6">
        <v>3</v>
      </c>
    </row>
    <row r="93" spans="1:12">
      <c r="A93" s="12">
        <v>90</v>
      </c>
      <c r="B93" s="20" t="s">
        <v>282</v>
      </c>
      <c r="C93" s="9">
        <v>6413811</v>
      </c>
      <c r="D93" s="6" t="s">
        <v>382</v>
      </c>
      <c r="E93" s="6" t="s">
        <v>382</v>
      </c>
      <c r="F93" s="6" t="s">
        <v>382</v>
      </c>
      <c r="G93" s="6" t="s">
        <v>382</v>
      </c>
      <c r="H93" s="6" t="s">
        <v>382</v>
      </c>
      <c r="I93" s="6" t="s">
        <v>382</v>
      </c>
      <c r="J93" s="6" t="s">
        <v>382</v>
      </c>
      <c r="K93" s="6" t="s">
        <v>382</v>
      </c>
      <c r="L93" s="6" t="s">
        <v>382</v>
      </c>
    </row>
    <row r="94" spans="1:12">
      <c r="A94" s="12">
        <v>91</v>
      </c>
      <c r="B94" s="20" t="s">
        <v>283</v>
      </c>
      <c r="C94" s="9">
        <v>2887134</v>
      </c>
      <c r="D94" s="6" t="s">
        <v>382</v>
      </c>
      <c r="E94" s="6" t="s">
        <v>382</v>
      </c>
      <c r="F94" s="6" t="s">
        <v>382</v>
      </c>
      <c r="G94" s="6" t="s">
        <v>382</v>
      </c>
      <c r="H94" s="6" t="s">
        <v>382</v>
      </c>
      <c r="I94" s="6" t="s">
        <v>382</v>
      </c>
      <c r="J94" s="6" t="s">
        <v>382</v>
      </c>
      <c r="K94" s="6" t="s">
        <v>382</v>
      </c>
      <c r="L94" s="6" t="s">
        <v>382</v>
      </c>
    </row>
    <row r="95" spans="1:12">
      <c r="A95" s="12">
        <v>92</v>
      </c>
      <c r="B95" s="20" t="s">
        <v>284</v>
      </c>
      <c r="C95" s="9">
        <v>2618176</v>
      </c>
      <c r="D95" s="6" t="s">
        <v>382</v>
      </c>
      <c r="E95" s="6" t="s">
        <v>382</v>
      </c>
      <c r="F95" s="6" t="s">
        <v>382</v>
      </c>
      <c r="G95" s="6" t="s">
        <v>382</v>
      </c>
      <c r="H95" s="6" t="s">
        <v>382</v>
      </c>
      <c r="I95" s="6" t="s">
        <v>382</v>
      </c>
      <c r="J95" s="6" t="s">
        <v>382</v>
      </c>
      <c r="K95" s="6" t="s">
        <v>382</v>
      </c>
      <c r="L95" s="6" t="s">
        <v>382</v>
      </c>
    </row>
    <row r="96" spans="1:12">
      <c r="A96" s="492">
        <v>93</v>
      </c>
      <c r="B96" s="200" t="s">
        <v>285</v>
      </c>
      <c r="C96" s="201">
        <v>5364884</v>
      </c>
      <c r="D96" s="202"/>
      <c r="E96" s="202"/>
      <c r="F96" s="202"/>
      <c r="G96" s="202"/>
      <c r="H96" s="202"/>
      <c r="I96" s="202"/>
      <c r="J96" s="202"/>
      <c r="K96" s="202"/>
      <c r="L96" s="202"/>
    </row>
    <row r="97" spans="1:12">
      <c r="A97" s="12">
        <v>94</v>
      </c>
      <c r="B97" s="20" t="s">
        <v>286</v>
      </c>
      <c r="C97" s="9">
        <v>2100231</v>
      </c>
      <c r="D97" s="6" t="s">
        <v>382</v>
      </c>
      <c r="E97" s="6" t="s">
        <v>382</v>
      </c>
      <c r="F97" s="6" t="s">
        <v>382</v>
      </c>
      <c r="G97" s="6" t="s">
        <v>382</v>
      </c>
      <c r="H97" s="6" t="s">
        <v>382</v>
      </c>
      <c r="I97" s="6" t="s">
        <v>382</v>
      </c>
      <c r="J97" s="6" t="s">
        <v>382</v>
      </c>
      <c r="K97" s="6" t="s">
        <v>382</v>
      </c>
      <c r="L97" s="6" t="s">
        <v>382</v>
      </c>
    </row>
    <row r="98" spans="1:12">
      <c r="A98" s="12">
        <v>95</v>
      </c>
      <c r="B98" s="20" t="s">
        <v>287</v>
      </c>
      <c r="C98" s="9">
        <v>2661128</v>
      </c>
      <c r="D98" s="6" t="s">
        <v>382</v>
      </c>
      <c r="E98" s="6" t="s">
        <v>382</v>
      </c>
      <c r="F98" s="6" t="s">
        <v>382</v>
      </c>
      <c r="G98" s="6" t="s">
        <v>382</v>
      </c>
      <c r="H98" s="6" t="s">
        <v>382</v>
      </c>
      <c r="I98" s="6" t="s">
        <v>382</v>
      </c>
      <c r="J98" s="6" t="s">
        <v>382</v>
      </c>
      <c r="K98" s="6" t="s">
        <v>382</v>
      </c>
      <c r="L98" s="6" t="s">
        <v>382</v>
      </c>
    </row>
    <row r="99" spans="1:12">
      <c r="A99" s="12">
        <v>96</v>
      </c>
      <c r="B99" s="20" t="s">
        <v>290</v>
      </c>
      <c r="C99" s="9">
        <v>5878756</v>
      </c>
      <c r="D99" s="6" t="s">
        <v>382</v>
      </c>
      <c r="E99" s="6" t="s">
        <v>382</v>
      </c>
      <c r="F99" s="6" t="s">
        <v>382</v>
      </c>
      <c r="G99" s="6" t="s">
        <v>382</v>
      </c>
      <c r="H99" s="6" t="s">
        <v>382</v>
      </c>
      <c r="I99" s="6" t="s">
        <v>382</v>
      </c>
      <c r="J99" s="6" t="s">
        <v>382</v>
      </c>
      <c r="K99" s="6" t="s">
        <v>382</v>
      </c>
      <c r="L99" s="6" t="s">
        <v>382</v>
      </c>
    </row>
    <row r="100" spans="1:12">
      <c r="A100" s="12">
        <v>97</v>
      </c>
      <c r="B100" s="20" t="s">
        <v>292</v>
      </c>
      <c r="C100" s="9">
        <v>2166631</v>
      </c>
      <c r="D100" s="6">
        <v>84</v>
      </c>
      <c r="E100" s="6">
        <v>73</v>
      </c>
      <c r="F100" s="6">
        <v>11</v>
      </c>
      <c r="G100" s="6" t="s">
        <v>382</v>
      </c>
      <c r="H100" s="6" t="s">
        <v>382</v>
      </c>
      <c r="I100" s="6">
        <v>32</v>
      </c>
      <c r="J100" s="6">
        <v>4</v>
      </c>
      <c r="K100" s="6">
        <v>8</v>
      </c>
      <c r="L100" s="6" t="s">
        <v>382</v>
      </c>
    </row>
    <row r="101" spans="1:12">
      <c r="A101" s="12">
        <v>98</v>
      </c>
      <c r="B101" s="20" t="s">
        <v>296</v>
      </c>
      <c r="C101" s="9">
        <v>5671833</v>
      </c>
      <c r="D101" s="6">
        <v>502</v>
      </c>
      <c r="E101" s="6">
        <v>393</v>
      </c>
      <c r="F101" s="6">
        <v>89</v>
      </c>
      <c r="G101" s="6">
        <v>20</v>
      </c>
      <c r="H101" s="6" t="s">
        <v>382</v>
      </c>
      <c r="I101" s="6" t="s">
        <v>382</v>
      </c>
      <c r="J101" s="6">
        <v>53</v>
      </c>
      <c r="K101" s="6">
        <v>13</v>
      </c>
      <c r="L101" s="6">
        <v>33</v>
      </c>
    </row>
    <row r="102" spans="1:12">
      <c r="A102" s="492">
        <v>99</v>
      </c>
      <c r="B102" s="200" t="s">
        <v>297</v>
      </c>
      <c r="C102" s="201">
        <v>5104424</v>
      </c>
      <c r="D102" s="202"/>
      <c r="E102" s="202"/>
      <c r="F102" s="202"/>
      <c r="G102" s="202"/>
      <c r="H102" s="202"/>
      <c r="I102" s="202"/>
      <c r="J102" s="202"/>
      <c r="K102" s="202"/>
      <c r="L102" s="202"/>
    </row>
    <row r="103" spans="1:12">
      <c r="A103" s="12">
        <v>100</v>
      </c>
      <c r="B103" s="20" t="s">
        <v>298</v>
      </c>
      <c r="C103" s="9">
        <v>2668505</v>
      </c>
      <c r="D103" s="6">
        <v>25</v>
      </c>
      <c r="E103" s="6">
        <v>18</v>
      </c>
      <c r="F103" s="6">
        <v>5</v>
      </c>
      <c r="G103" s="6">
        <v>2</v>
      </c>
      <c r="H103" s="6" t="s">
        <v>382</v>
      </c>
      <c r="I103" s="6">
        <v>11</v>
      </c>
      <c r="J103" s="6">
        <v>2</v>
      </c>
      <c r="K103" s="6">
        <v>1</v>
      </c>
      <c r="L103" s="6">
        <v>1</v>
      </c>
    </row>
    <row r="104" spans="1:12">
      <c r="A104" s="492">
        <v>101</v>
      </c>
      <c r="B104" s="200" t="s">
        <v>299</v>
      </c>
      <c r="C104" s="201">
        <v>2697947</v>
      </c>
      <c r="D104" s="202"/>
      <c r="E104" s="202"/>
      <c r="F104" s="202"/>
      <c r="G104" s="202"/>
      <c r="H104" s="202"/>
      <c r="I104" s="202"/>
      <c r="J104" s="202"/>
      <c r="K104" s="202"/>
      <c r="L104" s="202"/>
    </row>
    <row r="105" spans="1:12">
      <c r="A105" s="12">
        <v>102</v>
      </c>
      <c r="B105" s="20" t="s">
        <v>300</v>
      </c>
      <c r="C105" s="9">
        <v>5352827</v>
      </c>
      <c r="D105" s="6">
        <v>448</v>
      </c>
      <c r="E105" s="6">
        <v>398</v>
      </c>
      <c r="F105" s="6">
        <v>44</v>
      </c>
      <c r="G105" s="6">
        <v>5</v>
      </c>
      <c r="H105" s="6">
        <v>1</v>
      </c>
      <c r="I105" s="6">
        <v>42</v>
      </c>
      <c r="J105" s="6">
        <v>1</v>
      </c>
      <c r="K105" s="6">
        <v>28</v>
      </c>
      <c r="L105" s="6">
        <v>5</v>
      </c>
    </row>
    <row r="106" spans="1:12">
      <c r="A106" s="12">
        <v>103</v>
      </c>
      <c r="B106" s="20" t="s">
        <v>301</v>
      </c>
      <c r="C106" s="9">
        <v>2548747</v>
      </c>
      <c r="D106" s="6">
        <v>431</v>
      </c>
      <c r="E106" s="6">
        <v>302</v>
      </c>
      <c r="F106" s="6">
        <v>82</v>
      </c>
      <c r="G106" s="6">
        <v>46</v>
      </c>
      <c r="H106" s="6">
        <v>1</v>
      </c>
      <c r="I106" s="6">
        <v>300</v>
      </c>
      <c r="J106" s="6">
        <v>81</v>
      </c>
      <c r="K106" s="6">
        <v>64</v>
      </c>
      <c r="L106" s="6">
        <v>55</v>
      </c>
    </row>
    <row r="107" spans="1:12">
      <c r="A107" s="492">
        <v>104</v>
      </c>
      <c r="B107" s="200" t="s">
        <v>303</v>
      </c>
      <c r="C107" s="201">
        <v>2641984</v>
      </c>
      <c r="D107" s="202"/>
      <c r="E107" s="202"/>
      <c r="F107" s="202"/>
      <c r="G107" s="202"/>
      <c r="H107" s="202"/>
      <c r="I107" s="202"/>
      <c r="J107" s="202"/>
      <c r="K107" s="202"/>
      <c r="L107" s="202"/>
    </row>
    <row r="108" spans="1:12">
      <c r="A108" s="12">
        <v>105</v>
      </c>
      <c r="B108" s="20" t="s">
        <v>306</v>
      </c>
      <c r="C108" s="9">
        <v>6342485</v>
      </c>
      <c r="D108" s="6">
        <v>4</v>
      </c>
      <c r="E108" s="6">
        <v>2</v>
      </c>
      <c r="F108" s="6">
        <v>1</v>
      </c>
      <c r="G108" s="6">
        <v>1</v>
      </c>
      <c r="H108" s="6" t="s">
        <v>382</v>
      </c>
      <c r="I108" s="6" t="s">
        <v>382</v>
      </c>
      <c r="J108" s="6" t="s">
        <v>382</v>
      </c>
      <c r="K108" s="6" t="s">
        <v>382</v>
      </c>
      <c r="L108" s="6" t="s">
        <v>382</v>
      </c>
    </row>
    <row r="109" spans="1:12">
      <c r="A109" s="12">
        <v>106</v>
      </c>
      <c r="B109" s="20" t="s">
        <v>307</v>
      </c>
      <c r="C109" s="9">
        <v>5166667</v>
      </c>
      <c r="D109" s="6" t="s">
        <v>382</v>
      </c>
      <c r="E109" s="6" t="s">
        <v>382</v>
      </c>
      <c r="F109" s="6" t="s">
        <v>382</v>
      </c>
      <c r="G109" s="6" t="s">
        <v>382</v>
      </c>
      <c r="H109" s="6" t="s">
        <v>382</v>
      </c>
      <c r="I109" s="6" t="s">
        <v>382</v>
      </c>
      <c r="J109" s="6" t="s">
        <v>382</v>
      </c>
      <c r="K109" s="6" t="s">
        <v>382</v>
      </c>
      <c r="L109" s="6" t="s">
        <v>382</v>
      </c>
    </row>
    <row r="110" spans="1:12">
      <c r="A110" s="12">
        <v>107</v>
      </c>
      <c r="B110" s="20" t="s">
        <v>308</v>
      </c>
      <c r="C110" s="9">
        <v>5482046</v>
      </c>
      <c r="D110" s="6" t="s">
        <v>382</v>
      </c>
      <c r="E110" s="6" t="s">
        <v>382</v>
      </c>
      <c r="F110" s="6" t="s">
        <v>382</v>
      </c>
      <c r="G110" s="6" t="s">
        <v>382</v>
      </c>
      <c r="H110" s="6" t="s">
        <v>382</v>
      </c>
      <c r="I110" s="6" t="s">
        <v>382</v>
      </c>
      <c r="J110" s="6" t="s">
        <v>382</v>
      </c>
      <c r="K110" s="6" t="s">
        <v>382</v>
      </c>
      <c r="L110" s="6" t="s">
        <v>382</v>
      </c>
    </row>
    <row r="111" spans="1:12">
      <c r="A111" s="12">
        <v>108</v>
      </c>
      <c r="B111" s="20" t="s">
        <v>309</v>
      </c>
      <c r="C111" s="9">
        <v>2050374</v>
      </c>
      <c r="D111" s="6">
        <v>98</v>
      </c>
      <c r="E111" s="6">
        <v>78</v>
      </c>
      <c r="F111" s="6">
        <v>20</v>
      </c>
      <c r="G111" s="6" t="s">
        <v>382</v>
      </c>
      <c r="H111" s="6" t="s">
        <v>382</v>
      </c>
      <c r="I111" s="6">
        <v>78</v>
      </c>
      <c r="J111" s="6">
        <v>20</v>
      </c>
      <c r="K111" s="6">
        <v>8</v>
      </c>
      <c r="L111" s="6">
        <v>10</v>
      </c>
    </row>
    <row r="112" spans="1:12">
      <c r="A112" s="12">
        <v>109</v>
      </c>
      <c r="B112" s="20" t="s">
        <v>311</v>
      </c>
      <c r="C112" s="9">
        <v>2004879</v>
      </c>
      <c r="D112" s="6">
        <v>431</v>
      </c>
      <c r="E112" s="6">
        <v>357</v>
      </c>
      <c r="F112" s="6">
        <v>74</v>
      </c>
      <c r="G112" s="6" t="s">
        <v>382</v>
      </c>
      <c r="H112" s="6" t="s">
        <v>382</v>
      </c>
      <c r="I112" s="6">
        <v>357</v>
      </c>
      <c r="J112" s="6">
        <v>74</v>
      </c>
      <c r="K112" s="6">
        <v>60</v>
      </c>
      <c r="L112" s="6">
        <v>16</v>
      </c>
    </row>
    <row r="113" spans="1:12">
      <c r="A113" s="492">
        <v>110</v>
      </c>
      <c r="B113" s="200" t="s">
        <v>314</v>
      </c>
      <c r="C113" s="201">
        <v>2830213</v>
      </c>
      <c r="D113" s="202"/>
      <c r="E113" s="202"/>
      <c r="F113" s="202"/>
      <c r="G113" s="202"/>
      <c r="H113" s="202"/>
      <c r="I113" s="202"/>
      <c r="J113" s="202"/>
      <c r="K113" s="202"/>
      <c r="L113" s="202"/>
    </row>
    <row r="114" spans="1:12">
      <c r="A114" s="12">
        <v>111</v>
      </c>
      <c r="B114" s="20" t="s">
        <v>315</v>
      </c>
      <c r="C114" s="9">
        <v>5320607</v>
      </c>
      <c r="D114" s="6">
        <v>129</v>
      </c>
      <c r="E114" s="6">
        <v>82</v>
      </c>
      <c r="F114" s="6">
        <v>47</v>
      </c>
      <c r="G114" s="6" t="s">
        <v>382</v>
      </c>
      <c r="H114" s="6" t="s">
        <v>382</v>
      </c>
      <c r="I114" s="6">
        <v>7</v>
      </c>
      <c r="J114" s="6">
        <v>1</v>
      </c>
      <c r="K114" s="6">
        <v>54</v>
      </c>
      <c r="L114" s="6">
        <v>22</v>
      </c>
    </row>
    <row r="115" spans="1:12">
      <c r="A115" s="492">
        <v>112</v>
      </c>
      <c r="B115" s="200" t="s">
        <v>316</v>
      </c>
      <c r="C115" s="201">
        <v>5586119</v>
      </c>
      <c r="D115" s="202"/>
      <c r="E115" s="202"/>
      <c r="F115" s="202"/>
      <c r="G115" s="202"/>
      <c r="H115" s="202"/>
      <c r="I115" s="202"/>
      <c r="J115" s="202"/>
      <c r="K115" s="202"/>
      <c r="L115" s="202"/>
    </row>
    <row r="116" spans="1:12">
      <c r="A116" s="12">
        <v>113</v>
      </c>
      <c r="B116" s="20" t="s">
        <v>317</v>
      </c>
      <c r="C116" s="9">
        <v>5015243</v>
      </c>
      <c r="D116" s="6">
        <v>55</v>
      </c>
      <c r="E116" s="6">
        <v>25</v>
      </c>
      <c r="F116" s="6">
        <v>8</v>
      </c>
      <c r="G116" s="6">
        <v>21</v>
      </c>
      <c r="H116" s="6">
        <v>1</v>
      </c>
      <c r="I116" s="6" t="s">
        <v>382</v>
      </c>
      <c r="J116" s="6" t="s">
        <v>382</v>
      </c>
      <c r="K116" s="6" t="s">
        <v>382</v>
      </c>
      <c r="L116" s="6" t="s">
        <v>382</v>
      </c>
    </row>
    <row r="117" spans="1:12">
      <c r="A117" s="12">
        <v>114</v>
      </c>
      <c r="B117" s="20" t="s">
        <v>318</v>
      </c>
      <c r="C117" s="9">
        <v>5452503</v>
      </c>
      <c r="D117" s="6" t="s">
        <v>382</v>
      </c>
      <c r="E117" s="6" t="s">
        <v>382</v>
      </c>
      <c r="F117" s="6" t="s">
        <v>382</v>
      </c>
      <c r="G117" s="6" t="s">
        <v>382</v>
      </c>
      <c r="H117" s="6" t="s">
        <v>382</v>
      </c>
      <c r="I117" s="6" t="s">
        <v>382</v>
      </c>
      <c r="J117" s="6" t="s">
        <v>382</v>
      </c>
      <c r="K117" s="6" t="s">
        <v>382</v>
      </c>
      <c r="L117" s="6" t="s">
        <v>382</v>
      </c>
    </row>
    <row r="118" spans="1:12">
      <c r="A118" s="12">
        <v>115</v>
      </c>
      <c r="B118" s="20" t="s">
        <v>319</v>
      </c>
      <c r="C118" s="9">
        <v>2887746</v>
      </c>
      <c r="D118" s="6">
        <v>2372</v>
      </c>
      <c r="E118" s="6">
        <v>2059</v>
      </c>
      <c r="F118" s="6">
        <v>313</v>
      </c>
      <c r="G118" s="6" t="s">
        <v>382</v>
      </c>
      <c r="H118" s="6" t="s">
        <v>382</v>
      </c>
      <c r="I118" s="6">
        <v>665</v>
      </c>
      <c r="J118" s="6">
        <v>153</v>
      </c>
      <c r="K118" s="6">
        <v>336</v>
      </c>
      <c r="L118" s="6">
        <v>155</v>
      </c>
    </row>
    <row r="119" spans="1:12">
      <c r="A119" s="12">
        <v>116</v>
      </c>
      <c r="B119" s="20" t="s">
        <v>320</v>
      </c>
      <c r="C119" s="9">
        <v>5618339</v>
      </c>
      <c r="D119" s="6" t="s">
        <v>382</v>
      </c>
      <c r="E119" s="6" t="s">
        <v>382</v>
      </c>
      <c r="F119" s="6" t="s">
        <v>382</v>
      </c>
      <c r="G119" s="6" t="s">
        <v>382</v>
      </c>
      <c r="H119" s="6" t="s">
        <v>382</v>
      </c>
      <c r="I119" s="6" t="s">
        <v>382</v>
      </c>
      <c r="J119" s="6" t="s">
        <v>382</v>
      </c>
      <c r="K119" s="6" t="s">
        <v>382</v>
      </c>
      <c r="L119" s="6" t="s">
        <v>382</v>
      </c>
    </row>
    <row r="120" spans="1:12">
      <c r="A120" s="12">
        <v>117</v>
      </c>
      <c r="B120" s="20" t="s">
        <v>321</v>
      </c>
      <c r="C120" s="9">
        <v>2718243</v>
      </c>
      <c r="D120" s="6">
        <v>65</v>
      </c>
      <c r="E120" s="6">
        <v>46</v>
      </c>
      <c r="F120" s="6">
        <v>18</v>
      </c>
      <c r="G120" s="6">
        <v>1</v>
      </c>
      <c r="H120" s="6" t="s">
        <v>382</v>
      </c>
      <c r="I120" s="6">
        <v>12</v>
      </c>
      <c r="J120" s="6">
        <v>5</v>
      </c>
      <c r="K120" s="6">
        <v>27</v>
      </c>
      <c r="L120" s="6">
        <v>12</v>
      </c>
    </row>
    <row r="121" spans="1:12">
      <c r="A121" s="12">
        <v>118</v>
      </c>
      <c r="B121" s="20" t="s">
        <v>322</v>
      </c>
      <c r="C121" s="9">
        <v>6896197</v>
      </c>
      <c r="D121" s="6">
        <v>13</v>
      </c>
      <c r="E121" s="6">
        <v>9</v>
      </c>
      <c r="F121" s="6">
        <v>4</v>
      </c>
      <c r="G121" s="6" t="s">
        <v>382</v>
      </c>
      <c r="H121" s="6" t="s">
        <v>382</v>
      </c>
      <c r="I121" s="6">
        <v>1</v>
      </c>
      <c r="J121" s="6" t="s">
        <v>382</v>
      </c>
      <c r="K121" s="6">
        <v>1</v>
      </c>
      <c r="L121" s="6" t="s">
        <v>382</v>
      </c>
    </row>
    <row r="122" spans="1:12">
      <c r="A122" s="12">
        <v>119</v>
      </c>
      <c r="B122" s="20" t="s">
        <v>323</v>
      </c>
      <c r="C122" s="9">
        <v>5435528</v>
      </c>
      <c r="D122" s="6">
        <v>1117</v>
      </c>
      <c r="E122" s="6">
        <v>887</v>
      </c>
      <c r="F122" s="6">
        <v>230</v>
      </c>
      <c r="G122" s="6" t="s">
        <v>382</v>
      </c>
      <c r="H122" s="6" t="s">
        <v>382</v>
      </c>
      <c r="I122" s="6">
        <v>254</v>
      </c>
      <c r="J122" s="6">
        <v>44</v>
      </c>
      <c r="K122" s="6">
        <v>377</v>
      </c>
      <c r="L122" s="6">
        <v>83</v>
      </c>
    </row>
    <row r="123" spans="1:12">
      <c r="A123" s="492">
        <v>120</v>
      </c>
      <c r="B123" s="200" t="s">
        <v>324</v>
      </c>
      <c r="C123" s="201">
        <v>5824826</v>
      </c>
      <c r="D123" s="202"/>
      <c r="E123" s="202"/>
      <c r="F123" s="202"/>
      <c r="G123" s="202"/>
      <c r="H123" s="202"/>
      <c r="I123" s="202"/>
      <c r="J123" s="202"/>
      <c r="K123" s="202"/>
      <c r="L123" s="202"/>
    </row>
    <row r="124" spans="1:12">
      <c r="A124" s="12">
        <v>121</v>
      </c>
      <c r="B124" s="20" t="s">
        <v>325</v>
      </c>
      <c r="C124" s="9">
        <v>6141536</v>
      </c>
      <c r="D124" s="6" t="s">
        <v>382</v>
      </c>
      <c r="E124" s="6" t="s">
        <v>382</v>
      </c>
      <c r="F124" s="6" t="s">
        <v>382</v>
      </c>
      <c r="G124" s="6" t="s">
        <v>382</v>
      </c>
      <c r="H124" s="6" t="s">
        <v>382</v>
      </c>
      <c r="I124" s="6" t="s">
        <v>382</v>
      </c>
      <c r="J124" s="6" t="s">
        <v>382</v>
      </c>
      <c r="K124" s="6" t="s">
        <v>382</v>
      </c>
      <c r="L124" s="6" t="s">
        <v>382</v>
      </c>
    </row>
    <row r="125" spans="1:12">
      <c r="A125" s="12">
        <v>122</v>
      </c>
      <c r="B125" s="20" t="s">
        <v>326</v>
      </c>
      <c r="C125" s="9">
        <v>5124913</v>
      </c>
      <c r="D125" s="6">
        <v>91</v>
      </c>
      <c r="E125" s="6">
        <v>54</v>
      </c>
      <c r="F125" s="6">
        <v>37</v>
      </c>
      <c r="G125" s="6" t="s">
        <v>382</v>
      </c>
      <c r="H125" s="6" t="s">
        <v>382</v>
      </c>
      <c r="I125" s="6" t="s">
        <v>382</v>
      </c>
      <c r="J125" s="6" t="s">
        <v>382</v>
      </c>
      <c r="K125" s="6">
        <v>18</v>
      </c>
      <c r="L125" s="6">
        <v>2</v>
      </c>
    </row>
    <row r="126" spans="1:12">
      <c r="A126" s="12">
        <v>123</v>
      </c>
      <c r="B126" s="20" t="s">
        <v>327</v>
      </c>
      <c r="C126" s="9">
        <v>2074192</v>
      </c>
      <c r="D126" s="6">
        <v>6895</v>
      </c>
      <c r="E126" s="6">
        <v>4528</v>
      </c>
      <c r="F126" s="6">
        <v>2226</v>
      </c>
      <c r="G126" s="6">
        <v>70</v>
      </c>
      <c r="H126" s="6">
        <v>71</v>
      </c>
      <c r="I126" s="6">
        <v>4528</v>
      </c>
      <c r="J126" s="6">
        <v>2226</v>
      </c>
      <c r="K126" s="6">
        <v>733</v>
      </c>
      <c r="L126" s="6">
        <v>758</v>
      </c>
    </row>
    <row r="127" spans="1:12">
      <c r="A127" s="492">
        <v>124</v>
      </c>
      <c r="B127" s="200" t="s">
        <v>331</v>
      </c>
      <c r="C127" s="201">
        <v>2861224</v>
      </c>
      <c r="D127" s="202"/>
      <c r="E127" s="202"/>
      <c r="F127" s="202"/>
      <c r="G127" s="202"/>
      <c r="H127" s="202"/>
      <c r="I127" s="202"/>
      <c r="J127" s="202"/>
      <c r="K127" s="202"/>
      <c r="L127" s="202"/>
    </row>
    <row r="128" spans="1:12">
      <c r="A128" s="12">
        <v>125</v>
      </c>
      <c r="B128" s="20" t="s">
        <v>332</v>
      </c>
      <c r="C128" s="9">
        <v>5137977</v>
      </c>
      <c r="D128" s="6">
        <v>15</v>
      </c>
      <c r="E128" s="6">
        <v>10</v>
      </c>
      <c r="F128" s="6">
        <v>4</v>
      </c>
      <c r="G128" s="6">
        <v>1</v>
      </c>
      <c r="H128" s="6" t="s">
        <v>382</v>
      </c>
      <c r="I128" s="6" t="s">
        <v>382</v>
      </c>
      <c r="J128" s="6" t="s">
        <v>382</v>
      </c>
      <c r="K128" s="6">
        <v>7</v>
      </c>
      <c r="L128" s="6">
        <v>1</v>
      </c>
    </row>
  </sheetData>
  <mergeCells count="8">
    <mergeCell ref="E2:F2"/>
    <mergeCell ref="G2:H2"/>
    <mergeCell ref="I2:J2"/>
    <mergeCell ref="K2:L2"/>
    <mergeCell ref="A2:A3"/>
    <mergeCell ref="B2:B3"/>
    <mergeCell ref="C2:C3"/>
    <mergeCell ref="D2:D3"/>
  </mergeCells>
  <conditionalFormatting sqref="B4:B33 B89">
    <cfRule type="duplicateValues" dxfId="472" priority="12"/>
  </conditionalFormatting>
  <conditionalFormatting sqref="B34:B83">
    <cfRule type="duplicateValues" dxfId="471" priority="11"/>
  </conditionalFormatting>
  <conditionalFormatting sqref="B84">
    <cfRule type="duplicateValues" dxfId="470" priority="9"/>
  </conditionalFormatting>
  <conditionalFormatting sqref="B85:B88">
    <cfRule type="duplicateValues" dxfId="469" priority="10"/>
  </conditionalFormatting>
  <conditionalFormatting sqref="B90:B128">
    <cfRule type="duplicateValues" dxfId="468" priority="13"/>
  </conditionalFormatting>
  <conditionalFormatting sqref="C4:C33 C89">
    <cfRule type="duplicateValues" dxfId="467" priority="7"/>
  </conditionalFormatting>
  <conditionalFormatting sqref="C34:C83">
    <cfRule type="duplicateValues" dxfId="466" priority="6"/>
  </conditionalFormatting>
  <conditionalFormatting sqref="C84">
    <cfRule type="duplicateValues" dxfId="465" priority="5"/>
  </conditionalFormatting>
  <conditionalFormatting sqref="C85">
    <cfRule type="duplicateValues" dxfId="464" priority="4"/>
  </conditionalFormatting>
  <conditionalFormatting sqref="C86">
    <cfRule type="duplicateValues" dxfId="463" priority="3"/>
  </conditionalFormatting>
  <conditionalFormatting sqref="C87">
    <cfRule type="duplicateValues" dxfId="462" priority="2"/>
  </conditionalFormatting>
  <conditionalFormatting sqref="C88">
    <cfRule type="duplicateValues" dxfId="461" priority="1"/>
  </conditionalFormatting>
  <conditionalFormatting sqref="C90:C128">
    <cfRule type="duplicateValues" dxfId="460" priority="8"/>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72DD2-E5AE-4425-BD63-98C306552E14}">
  <sheetPr>
    <tabColor rgb="FF006432"/>
  </sheetPr>
  <dimension ref="A1:N1724"/>
  <sheetViews>
    <sheetView workbookViewId="0">
      <selection activeCell="D3" sqref="D3"/>
    </sheetView>
  </sheetViews>
  <sheetFormatPr defaultRowHeight="15"/>
  <cols>
    <col min="1" max="1" width="4.7109375" customWidth="1"/>
    <col min="2" max="2" width="10.85546875" customWidth="1"/>
    <col min="3" max="3" width="22.28515625" customWidth="1"/>
    <col min="4" max="4" width="29.42578125" customWidth="1"/>
    <col min="5" max="5" width="15" customWidth="1"/>
    <col min="6" max="6" width="16.5703125" style="8" customWidth="1"/>
    <col min="7" max="7" width="21.5703125" customWidth="1"/>
    <col min="8" max="8" width="14.28515625" customWidth="1"/>
    <col min="9" max="9" width="13.85546875" customWidth="1"/>
    <col min="10" max="11" width="11.28515625" style="8" bestFit="1" customWidth="1"/>
    <col min="12" max="12" width="13.42578125" customWidth="1"/>
    <col min="13" max="13" width="22.5703125" customWidth="1"/>
  </cols>
  <sheetData>
    <row r="1" spans="1:14" ht="16.5" thickBot="1">
      <c r="A1" s="641" t="s">
        <v>738</v>
      </c>
      <c r="B1" s="641"/>
      <c r="C1" s="641"/>
      <c r="D1" s="641"/>
      <c r="E1" s="641"/>
      <c r="F1" s="641"/>
      <c r="G1" s="641"/>
      <c r="H1" s="641"/>
      <c r="I1" s="641"/>
      <c r="J1" s="641"/>
      <c r="K1" s="641"/>
      <c r="L1" s="641"/>
      <c r="M1" s="641"/>
    </row>
    <row r="2" spans="1:14" ht="8.25" customHeight="1" thickTop="1">
      <c r="A2" s="48"/>
      <c r="B2" s="48"/>
      <c r="C2" s="49"/>
      <c r="D2" s="50"/>
      <c r="E2" s="48"/>
      <c r="F2" s="48"/>
      <c r="G2" s="49"/>
      <c r="H2" s="51"/>
      <c r="I2" s="52"/>
    </row>
    <row r="3" spans="1:14" ht="38.25">
      <c r="A3" s="46" t="s">
        <v>739</v>
      </c>
      <c r="B3" s="46" t="s">
        <v>740</v>
      </c>
      <c r="C3" s="46" t="s">
        <v>741</v>
      </c>
      <c r="D3" s="46" t="s">
        <v>742</v>
      </c>
      <c r="E3" s="46" t="s">
        <v>743</v>
      </c>
      <c r="F3" s="46" t="s">
        <v>744</v>
      </c>
      <c r="G3" s="46" t="s">
        <v>745</v>
      </c>
      <c r="H3" s="46" t="s">
        <v>746</v>
      </c>
      <c r="I3" s="46" t="s">
        <v>747</v>
      </c>
      <c r="J3" s="46" t="s">
        <v>748</v>
      </c>
      <c r="K3" s="46" t="s">
        <v>749</v>
      </c>
      <c r="L3" s="46" t="s">
        <v>371</v>
      </c>
      <c r="M3" s="46" t="s">
        <v>750</v>
      </c>
    </row>
    <row r="4" spans="1:14">
      <c r="A4" s="12">
        <v>1</v>
      </c>
      <c r="B4" s="12" t="s">
        <v>751</v>
      </c>
      <c r="C4" s="12" t="s">
        <v>752</v>
      </c>
      <c r="D4" s="12" t="s">
        <v>753</v>
      </c>
      <c r="E4" s="85">
        <v>108.6</v>
      </c>
      <c r="F4" s="6">
        <v>3863689</v>
      </c>
      <c r="G4" s="12" t="s">
        <v>754</v>
      </c>
      <c r="H4" s="12" t="s">
        <v>755</v>
      </c>
      <c r="I4" s="12" t="s">
        <v>756</v>
      </c>
      <c r="J4" s="84">
        <v>35495</v>
      </c>
      <c r="K4" s="84">
        <v>46452</v>
      </c>
      <c r="L4" s="12" t="s">
        <v>274</v>
      </c>
      <c r="M4" s="12" t="s">
        <v>275</v>
      </c>
      <c r="N4" s="75"/>
    </row>
    <row r="5" spans="1:14">
      <c r="A5" s="12">
        <v>2</v>
      </c>
      <c r="B5" s="12" t="s">
        <v>757</v>
      </c>
      <c r="C5" s="12" t="s">
        <v>758</v>
      </c>
      <c r="D5" s="12" t="s">
        <v>759</v>
      </c>
      <c r="E5" s="85">
        <v>2540.91</v>
      </c>
      <c r="F5" s="6">
        <v>2074192</v>
      </c>
      <c r="G5" s="12" t="s">
        <v>760</v>
      </c>
      <c r="H5" s="12" t="s">
        <v>761</v>
      </c>
      <c r="I5" s="12" t="s">
        <v>756</v>
      </c>
      <c r="J5" s="84">
        <v>35161</v>
      </c>
      <c r="K5" s="84">
        <v>46118</v>
      </c>
      <c r="L5" s="12" t="s">
        <v>329</v>
      </c>
      <c r="M5" s="12" t="s">
        <v>762</v>
      </c>
      <c r="N5" s="75"/>
    </row>
    <row r="6" spans="1:14">
      <c r="A6" s="12">
        <v>3</v>
      </c>
      <c r="B6" s="12" t="s">
        <v>763</v>
      </c>
      <c r="C6" s="12" t="s">
        <v>752</v>
      </c>
      <c r="D6" s="12" t="s">
        <v>764</v>
      </c>
      <c r="E6" s="85">
        <v>86.57</v>
      </c>
      <c r="F6" s="6">
        <v>2550245</v>
      </c>
      <c r="G6" s="12" t="s">
        <v>765</v>
      </c>
      <c r="H6" s="12" t="s">
        <v>766</v>
      </c>
      <c r="I6" s="12" t="s">
        <v>767</v>
      </c>
      <c r="J6" s="84">
        <v>35268</v>
      </c>
      <c r="K6" s="84">
        <v>46225</v>
      </c>
      <c r="L6" s="12" t="s">
        <v>768</v>
      </c>
      <c r="M6" s="12" t="s">
        <v>769</v>
      </c>
      <c r="N6" s="75"/>
    </row>
    <row r="7" spans="1:14">
      <c r="A7" s="12">
        <v>4</v>
      </c>
      <c r="B7" s="12" t="s">
        <v>770</v>
      </c>
      <c r="C7" s="12" t="s">
        <v>752</v>
      </c>
      <c r="D7" s="12" t="s">
        <v>771</v>
      </c>
      <c r="E7" s="85">
        <v>42.98</v>
      </c>
      <c r="F7" s="6">
        <v>2066866</v>
      </c>
      <c r="G7" s="12" t="s">
        <v>772</v>
      </c>
      <c r="H7" s="12" t="s">
        <v>755</v>
      </c>
      <c r="I7" s="12" t="s">
        <v>756</v>
      </c>
      <c r="J7" s="84">
        <v>35594</v>
      </c>
      <c r="K7" s="84">
        <v>46551</v>
      </c>
      <c r="L7" s="12" t="s">
        <v>304</v>
      </c>
      <c r="M7" s="12" t="s">
        <v>773</v>
      </c>
      <c r="N7" s="75"/>
    </row>
    <row r="8" spans="1:14">
      <c r="A8" s="12">
        <v>5</v>
      </c>
      <c r="B8" s="12" t="s">
        <v>774</v>
      </c>
      <c r="C8" s="12" t="s">
        <v>752</v>
      </c>
      <c r="D8" s="12" t="s">
        <v>775</v>
      </c>
      <c r="E8" s="85">
        <v>127.21</v>
      </c>
      <c r="F8" s="6">
        <v>2054701</v>
      </c>
      <c r="G8" s="12" t="s">
        <v>776</v>
      </c>
      <c r="H8" s="12" t="s">
        <v>755</v>
      </c>
      <c r="I8" s="12" t="s">
        <v>756</v>
      </c>
      <c r="J8" s="84">
        <v>35058</v>
      </c>
      <c r="K8" s="84">
        <v>46016</v>
      </c>
      <c r="L8" s="12" t="s">
        <v>304</v>
      </c>
      <c r="M8" s="12" t="s">
        <v>777</v>
      </c>
      <c r="N8" s="75"/>
    </row>
    <row r="9" spans="1:14">
      <c r="A9" s="12">
        <v>6</v>
      </c>
      <c r="B9" s="12" t="s">
        <v>778</v>
      </c>
      <c r="C9" s="12" t="s">
        <v>752</v>
      </c>
      <c r="D9" s="12" t="s">
        <v>779</v>
      </c>
      <c r="E9" s="85">
        <v>104.9</v>
      </c>
      <c r="F9" s="6">
        <v>2001454</v>
      </c>
      <c r="G9" s="12" t="s">
        <v>780</v>
      </c>
      <c r="H9" s="12" t="s">
        <v>781</v>
      </c>
      <c r="I9" s="12" t="s">
        <v>756</v>
      </c>
      <c r="J9" s="84">
        <v>34839</v>
      </c>
      <c r="K9" s="84">
        <v>45797</v>
      </c>
      <c r="L9" s="12" t="s">
        <v>782</v>
      </c>
      <c r="M9" s="12" t="s">
        <v>783</v>
      </c>
      <c r="N9" s="75"/>
    </row>
    <row r="10" spans="1:14">
      <c r="A10" s="12">
        <v>7</v>
      </c>
      <c r="B10" s="12" t="s">
        <v>784</v>
      </c>
      <c r="C10" s="12" t="s">
        <v>752</v>
      </c>
      <c r="D10" s="12" t="s">
        <v>785</v>
      </c>
      <c r="E10" s="85">
        <v>103.76</v>
      </c>
      <c r="F10" s="6">
        <v>5898749</v>
      </c>
      <c r="G10" s="12" t="s">
        <v>786</v>
      </c>
      <c r="H10" s="12" t="s">
        <v>755</v>
      </c>
      <c r="I10" s="12" t="s">
        <v>756</v>
      </c>
      <c r="J10" s="84">
        <v>35270</v>
      </c>
      <c r="K10" s="84">
        <v>46227</v>
      </c>
      <c r="L10" s="12" t="s">
        <v>274</v>
      </c>
      <c r="M10" s="12" t="s">
        <v>275</v>
      </c>
      <c r="N10" s="75"/>
    </row>
    <row r="11" spans="1:14">
      <c r="A11" s="12">
        <v>8</v>
      </c>
      <c r="B11" s="12" t="s">
        <v>787</v>
      </c>
      <c r="C11" s="12" t="s">
        <v>752</v>
      </c>
      <c r="D11" s="12" t="s">
        <v>788</v>
      </c>
      <c r="E11" s="85">
        <v>433.64</v>
      </c>
      <c r="F11" s="6">
        <v>2041391</v>
      </c>
      <c r="G11" s="12" t="s">
        <v>789</v>
      </c>
      <c r="H11" s="12" t="s">
        <v>755</v>
      </c>
      <c r="I11" s="12" t="s">
        <v>756</v>
      </c>
      <c r="J11" s="84">
        <v>34872</v>
      </c>
      <c r="K11" s="84">
        <v>45830</v>
      </c>
      <c r="L11" s="12" t="s">
        <v>274</v>
      </c>
      <c r="M11" s="12" t="s">
        <v>790</v>
      </c>
      <c r="N11" s="75"/>
    </row>
    <row r="12" spans="1:14">
      <c r="A12" s="12">
        <v>9</v>
      </c>
      <c r="B12" s="12" t="s">
        <v>791</v>
      </c>
      <c r="C12" s="12" t="s">
        <v>752</v>
      </c>
      <c r="D12" s="12" t="s">
        <v>792</v>
      </c>
      <c r="E12" s="85">
        <v>51.47</v>
      </c>
      <c r="F12" s="6">
        <v>2551764</v>
      </c>
      <c r="G12" s="12" t="s">
        <v>793</v>
      </c>
      <c r="H12" s="12" t="s">
        <v>755</v>
      </c>
      <c r="I12" s="12" t="s">
        <v>756</v>
      </c>
      <c r="J12" s="84">
        <v>35059</v>
      </c>
      <c r="K12" s="84">
        <v>46017</v>
      </c>
      <c r="L12" s="12" t="s">
        <v>293</v>
      </c>
      <c r="M12" s="12" t="s">
        <v>794</v>
      </c>
      <c r="N12" s="75"/>
    </row>
    <row r="13" spans="1:14">
      <c r="A13" s="12">
        <v>10</v>
      </c>
      <c r="B13" s="12" t="s">
        <v>795</v>
      </c>
      <c r="C13" s="12" t="s">
        <v>752</v>
      </c>
      <c r="D13" s="12" t="s">
        <v>796</v>
      </c>
      <c r="E13" s="85">
        <v>71.760000000000005</v>
      </c>
      <c r="F13" s="6">
        <v>2099551</v>
      </c>
      <c r="G13" s="12" t="s">
        <v>797</v>
      </c>
      <c r="H13" s="12" t="s">
        <v>755</v>
      </c>
      <c r="I13" s="12" t="s">
        <v>756</v>
      </c>
      <c r="J13" s="84">
        <v>35704</v>
      </c>
      <c r="K13" s="84">
        <v>46661</v>
      </c>
      <c r="L13" s="12" t="s">
        <v>180</v>
      </c>
      <c r="M13" s="12" t="s">
        <v>798</v>
      </c>
      <c r="N13" s="75"/>
    </row>
    <row r="14" spans="1:14">
      <c r="A14" s="12">
        <v>11</v>
      </c>
      <c r="B14" s="12" t="s">
        <v>799</v>
      </c>
      <c r="C14" s="12" t="s">
        <v>212</v>
      </c>
      <c r="D14" s="12" t="s">
        <v>800</v>
      </c>
      <c r="E14" s="85">
        <v>19.989999999999998</v>
      </c>
      <c r="F14" s="6">
        <v>2550466</v>
      </c>
      <c r="G14" s="12" t="s">
        <v>801</v>
      </c>
      <c r="H14" s="12" t="s">
        <v>761</v>
      </c>
      <c r="I14" s="12" t="s">
        <v>756</v>
      </c>
      <c r="J14" s="84">
        <v>34928</v>
      </c>
      <c r="K14" s="84">
        <v>53191</v>
      </c>
      <c r="L14" s="12" t="s">
        <v>170</v>
      </c>
      <c r="M14" s="12" t="s">
        <v>802</v>
      </c>
      <c r="N14" s="75"/>
    </row>
    <row r="15" spans="1:14">
      <c r="A15" s="12">
        <v>12</v>
      </c>
      <c r="B15" s="12" t="s">
        <v>803</v>
      </c>
      <c r="C15" s="12" t="s">
        <v>212</v>
      </c>
      <c r="D15" s="12" t="s">
        <v>804</v>
      </c>
      <c r="E15" s="85">
        <v>6.81</v>
      </c>
      <c r="F15" s="6">
        <v>2550466</v>
      </c>
      <c r="G15" s="12" t="s">
        <v>801</v>
      </c>
      <c r="H15" s="12" t="s">
        <v>761</v>
      </c>
      <c r="I15" s="12" t="s">
        <v>756</v>
      </c>
      <c r="J15" s="84">
        <v>35130</v>
      </c>
      <c r="K15" s="84">
        <v>46087</v>
      </c>
      <c r="L15" s="12" t="s">
        <v>170</v>
      </c>
      <c r="M15" s="12" t="s">
        <v>802</v>
      </c>
      <c r="N15" s="75"/>
    </row>
    <row r="16" spans="1:14">
      <c r="A16" s="12">
        <v>13</v>
      </c>
      <c r="B16" s="12" t="s">
        <v>805</v>
      </c>
      <c r="C16" s="12" t="s">
        <v>212</v>
      </c>
      <c r="D16" s="12" t="s">
        <v>806</v>
      </c>
      <c r="E16" s="85">
        <v>5.66</v>
      </c>
      <c r="F16" s="6">
        <v>2550466</v>
      </c>
      <c r="G16" s="12" t="s">
        <v>801</v>
      </c>
      <c r="H16" s="12" t="s">
        <v>761</v>
      </c>
      <c r="I16" s="12" t="s">
        <v>756</v>
      </c>
      <c r="J16" s="84">
        <v>34928</v>
      </c>
      <c r="K16" s="84">
        <v>45886</v>
      </c>
      <c r="L16" s="12" t="s">
        <v>170</v>
      </c>
      <c r="M16" s="12" t="s">
        <v>807</v>
      </c>
      <c r="N16" s="75"/>
    </row>
    <row r="17" spans="1:14">
      <c r="A17" s="12">
        <v>14</v>
      </c>
      <c r="B17" s="12" t="s">
        <v>808</v>
      </c>
      <c r="C17" s="12" t="s">
        <v>212</v>
      </c>
      <c r="D17" s="12" t="s">
        <v>809</v>
      </c>
      <c r="E17" s="85">
        <v>14.16</v>
      </c>
      <c r="F17" s="6">
        <v>2550466</v>
      </c>
      <c r="G17" s="12" t="s">
        <v>801</v>
      </c>
      <c r="H17" s="12" t="s">
        <v>761</v>
      </c>
      <c r="I17" s="12" t="s">
        <v>756</v>
      </c>
      <c r="J17" s="84">
        <v>34928</v>
      </c>
      <c r="K17" s="84">
        <v>45886</v>
      </c>
      <c r="L17" s="12" t="s">
        <v>170</v>
      </c>
      <c r="M17" s="12" t="s">
        <v>807</v>
      </c>
      <c r="N17" s="75"/>
    </row>
    <row r="18" spans="1:14">
      <c r="A18" s="12">
        <v>15</v>
      </c>
      <c r="B18" s="12" t="s">
        <v>810</v>
      </c>
      <c r="C18" s="12" t="s">
        <v>212</v>
      </c>
      <c r="D18" s="12" t="s">
        <v>811</v>
      </c>
      <c r="E18" s="85">
        <v>8.3800000000000008</v>
      </c>
      <c r="F18" s="6">
        <v>2550466</v>
      </c>
      <c r="G18" s="12" t="s">
        <v>801</v>
      </c>
      <c r="H18" s="12" t="s">
        <v>761</v>
      </c>
      <c r="I18" s="12" t="s">
        <v>756</v>
      </c>
      <c r="J18" s="84">
        <v>35266</v>
      </c>
      <c r="K18" s="84">
        <v>46223</v>
      </c>
      <c r="L18" s="12" t="s">
        <v>170</v>
      </c>
      <c r="M18" s="12" t="s">
        <v>811</v>
      </c>
      <c r="N18" s="75"/>
    </row>
    <row r="19" spans="1:14">
      <c r="A19" s="12">
        <v>16</v>
      </c>
      <c r="B19" s="12" t="s">
        <v>812</v>
      </c>
      <c r="C19" s="12" t="s">
        <v>212</v>
      </c>
      <c r="D19" s="12" t="s">
        <v>813</v>
      </c>
      <c r="E19" s="85">
        <v>57.34</v>
      </c>
      <c r="F19" s="6">
        <v>6561438</v>
      </c>
      <c r="G19" s="12" t="s">
        <v>814</v>
      </c>
      <c r="H19" s="12" t="s">
        <v>766</v>
      </c>
      <c r="I19" s="12" t="s">
        <v>767</v>
      </c>
      <c r="J19" s="84">
        <v>35027</v>
      </c>
      <c r="K19" s="84">
        <v>45985</v>
      </c>
      <c r="L19" s="12" t="s">
        <v>293</v>
      </c>
      <c r="M19" s="12" t="s">
        <v>815</v>
      </c>
      <c r="N19" s="75"/>
    </row>
    <row r="20" spans="1:14">
      <c r="A20" s="12">
        <v>17</v>
      </c>
      <c r="B20" s="12" t="s">
        <v>816</v>
      </c>
      <c r="C20" s="12" t="s">
        <v>752</v>
      </c>
      <c r="D20" s="12" t="s">
        <v>817</v>
      </c>
      <c r="E20" s="85">
        <v>218.81</v>
      </c>
      <c r="F20" s="6">
        <v>5468582</v>
      </c>
      <c r="G20" s="12" t="s">
        <v>818</v>
      </c>
      <c r="H20" s="12" t="s">
        <v>755</v>
      </c>
      <c r="I20" s="12" t="s">
        <v>756</v>
      </c>
      <c r="J20" s="84">
        <v>35555</v>
      </c>
      <c r="K20" s="84">
        <v>46512</v>
      </c>
      <c r="L20" s="12" t="s">
        <v>293</v>
      </c>
      <c r="M20" s="12" t="s">
        <v>794</v>
      </c>
      <c r="N20" s="75"/>
    </row>
    <row r="21" spans="1:14">
      <c r="A21" s="12">
        <v>18</v>
      </c>
      <c r="B21" s="12" t="s">
        <v>819</v>
      </c>
      <c r="C21" s="12" t="s">
        <v>752</v>
      </c>
      <c r="D21" s="12" t="s">
        <v>820</v>
      </c>
      <c r="E21" s="85">
        <v>202.34</v>
      </c>
      <c r="F21" s="6">
        <v>2570769</v>
      </c>
      <c r="G21" s="12" t="s">
        <v>821</v>
      </c>
      <c r="H21" s="12" t="s">
        <v>766</v>
      </c>
      <c r="I21" s="12" t="s">
        <v>767</v>
      </c>
      <c r="J21" s="84">
        <v>34936</v>
      </c>
      <c r="K21" s="84">
        <v>53199</v>
      </c>
      <c r="L21" s="12" t="s">
        <v>304</v>
      </c>
      <c r="M21" s="12" t="s">
        <v>773</v>
      </c>
      <c r="N21" s="75"/>
    </row>
    <row r="22" spans="1:14">
      <c r="A22" s="12">
        <v>19</v>
      </c>
      <c r="B22" s="12" t="s">
        <v>822</v>
      </c>
      <c r="C22" s="12" t="s">
        <v>752</v>
      </c>
      <c r="D22" s="12" t="s">
        <v>823</v>
      </c>
      <c r="E22" s="85">
        <v>12.77</v>
      </c>
      <c r="F22" s="6">
        <v>4286596</v>
      </c>
      <c r="G22" s="12" t="s">
        <v>824</v>
      </c>
      <c r="H22" s="12" t="s">
        <v>755</v>
      </c>
      <c r="I22" s="12" t="s">
        <v>756</v>
      </c>
      <c r="J22" s="84">
        <v>34936</v>
      </c>
      <c r="K22" s="84">
        <v>45894</v>
      </c>
      <c r="L22" s="12" t="s">
        <v>304</v>
      </c>
      <c r="M22" s="12" t="s">
        <v>773</v>
      </c>
      <c r="N22" s="75"/>
    </row>
    <row r="23" spans="1:14">
      <c r="A23" s="12">
        <v>20</v>
      </c>
      <c r="B23" s="12" t="s">
        <v>825</v>
      </c>
      <c r="C23" s="12" t="s">
        <v>212</v>
      </c>
      <c r="D23" s="12" t="s">
        <v>826</v>
      </c>
      <c r="E23" s="85">
        <v>69.349999999999994</v>
      </c>
      <c r="F23" s="6">
        <v>2550466</v>
      </c>
      <c r="G23" s="12" t="s">
        <v>801</v>
      </c>
      <c r="H23" s="12" t="s">
        <v>761</v>
      </c>
      <c r="I23" s="12" t="s">
        <v>756</v>
      </c>
      <c r="J23" s="84">
        <v>34929</v>
      </c>
      <c r="K23" s="84">
        <v>45887</v>
      </c>
      <c r="L23" s="12" t="s">
        <v>293</v>
      </c>
      <c r="M23" s="12" t="s">
        <v>827</v>
      </c>
      <c r="N23" s="75"/>
    </row>
    <row r="24" spans="1:14">
      <c r="A24" s="12">
        <v>21</v>
      </c>
      <c r="B24" s="12" t="s">
        <v>828</v>
      </c>
      <c r="C24" s="12" t="s">
        <v>212</v>
      </c>
      <c r="D24" s="12" t="s">
        <v>294</v>
      </c>
      <c r="E24" s="85">
        <v>371.41</v>
      </c>
      <c r="F24" s="6">
        <v>2550466</v>
      </c>
      <c r="G24" s="12" t="s">
        <v>801</v>
      </c>
      <c r="H24" s="12" t="s">
        <v>761</v>
      </c>
      <c r="I24" s="12" t="s">
        <v>756</v>
      </c>
      <c r="J24" s="84">
        <v>34929</v>
      </c>
      <c r="K24" s="84">
        <v>53192</v>
      </c>
      <c r="L24" s="12" t="s">
        <v>293</v>
      </c>
      <c r="M24" s="12" t="s">
        <v>294</v>
      </c>
      <c r="N24" s="75"/>
    </row>
    <row r="25" spans="1:14">
      <c r="A25" s="12">
        <v>22</v>
      </c>
      <c r="B25" s="12" t="s">
        <v>829</v>
      </c>
      <c r="C25" s="12" t="s">
        <v>752</v>
      </c>
      <c r="D25" s="12" t="s">
        <v>830</v>
      </c>
      <c r="E25" s="85">
        <v>503.43</v>
      </c>
      <c r="F25" s="6">
        <v>2550466</v>
      </c>
      <c r="G25" s="12" t="s">
        <v>801</v>
      </c>
      <c r="H25" s="12" t="s">
        <v>761</v>
      </c>
      <c r="I25" s="12" t="s">
        <v>756</v>
      </c>
      <c r="J25" s="84">
        <v>34929</v>
      </c>
      <c r="K25" s="84">
        <v>53192</v>
      </c>
      <c r="L25" s="12" t="s">
        <v>831</v>
      </c>
      <c r="M25" s="12" t="s">
        <v>832</v>
      </c>
      <c r="N25" s="75"/>
    </row>
    <row r="26" spans="1:14">
      <c r="A26" s="12">
        <v>23</v>
      </c>
      <c r="B26" s="12" t="s">
        <v>833</v>
      </c>
      <c r="C26" s="12" t="s">
        <v>752</v>
      </c>
      <c r="D26" s="12" t="s">
        <v>834</v>
      </c>
      <c r="E26" s="85">
        <v>85.39</v>
      </c>
      <c r="F26" s="6">
        <v>5076285</v>
      </c>
      <c r="G26" s="12" t="s">
        <v>835</v>
      </c>
      <c r="H26" s="12" t="s">
        <v>755</v>
      </c>
      <c r="I26" s="12" t="s">
        <v>756</v>
      </c>
      <c r="J26" s="84">
        <v>35179</v>
      </c>
      <c r="K26" s="84">
        <v>46136</v>
      </c>
      <c r="L26" s="12" t="s">
        <v>836</v>
      </c>
      <c r="M26" s="12" t="s">
        <v>837</v>
      </c>
      <c r="N26" s="75"/>
    </row>
    <row r="27" spans="1:14">
      <c r="A27" s="12">
        <v>24</v>
      </c>
      <c r="B27" s="12" t="s">
        <v>838</v>
      </c>
      <c r="C27" s="12" t="s">
        <v>752</v>
      </c>
      <c r="D27" s="12" t="s">
        <v>839</v>
      </c>
      <c r="E27" s="85">
        <v>454.76</v>
      </c>
      <c r="F27" s="6">
        <v>2029278</v>
      </c>
      <c r="G27" s="12" t="s">
        <v>840</v>
      </c>
      <c r="H27" s="12" t="s">
        <v>755</v>
      </c>
      <c r="I27" s="12" t="s">
        <v>756</v>
      </c>
      <c r="J27" s="84">
        <v>35177</v>
      </c>
      <c r="K27" s="84">
        <v>46134</v>
      </c>
      <c r="L27" s="12" t="s">
        <v>274</v>
      </c>
      <c r="M27" s="12" t="s">
        <v>275</v>
      </c>
      <c r="N27" s="75"/>
    </row>
    <row r="28" spans="1:14">
      <c r="A28" s="12">
        <v>25</v>
      </c>
      <c r="B28" s="12" t="s">
        <v>841</v>
      </c>
      <c r="C28" s="12" t="s">
        <v>752</v>
      </c>
      <c r="D28" s="12" t="s">
        <v>842</v>
      </c>
      <c r="E28" s="85">
        <v>34.380000000000003</v>
      </c>
      <c r="F28" s="6">
        <v>2029278</v>
      </c>
      <c r="G28" s="12" t="s">
        <v>840</v>
      </c>
      <c r="H28" s="12" t="s">
        <v>755</v>
      </c>
      <c r="I28" s="12" t="s">
        <v>756</v>
      </c>
      <c r="J28" s="84">
        <v>35208</v>
      </c>
      <c r="K28" s="84">
        <v>46165</v>
      </c>
      <c r="L28" s="12" t="s">
        <v>304</v>
      </c>
      <c r="M28" s="12" t="s">
        <v>843</v>
      </c>
      <c r="N28" s="75"/>
    </row>
    <row r="29" spans="1:14">
      <c r="A29" s="12">
        <v>26</v>
      </c>
      <c r="B29" s="12" t="s">
        <v>844</v>
      </c>
      <c r="C29" s="12" t="s">
        <v>845</v>
      </c>
      <c r="D29" s="12" t="s">
        <v>846</v>
      </c>
      <c r="E29" s="85">
        <v>1398.55</v>
      </c>
      <c r="F29" s="6">
        <v>2094533</v>
      </c>
      <c r="G29" s="12" t="s">
        <v>847</v>
      </c>
      <c r="H29" s="12" t="s">
        <v>848</v>
      </c>
      <c r="I29" s="12" t="s">
        <v>849</v>
      </c>
      <c r="J29" s="84">
        <v>35602</v>
      </c>
      <c r="K29" s="84">
        <v>46559</v>
      </c>
      <c r="L29" s="12" t="s">
        <v>304</v>
      </c>
      <c r="M29" s="12" t="s">
        <v>850</v>
      </c>
      <c r="N29" s="75"/>
    </row>
    <row r="30" spans="1:14">
      <c r="A30" s="12">
        <v>27</v>
      </c>
      <c r="B30" s="12" t="s">
        <v>851</v>
      </c>
      <c r="C30" s="12" t="s">
        <v>752</v>
      </c>
      <c r="D30" s="12" t="s">
        <v>852</v>
      </c>
      <c r="E30" s="85">
        <v>22.65</v>
      </c>
      <c r="F30" s="6">
        <v>5076285</v>
      </c>
      <c r="G30" s="12" t="s">
        <v>835</v>
      </c>
      <c r="H30" s="12" t="s">
        <v>755</v>
      </c>
      <c r="I30" s="12" t="s">
        <v>756</v>
      </c>
      <c r="J30" s="84">
        <v>35268</v>
      </c>
      <c r="K30" s="84">
        <v>46225</v>
      </c>
      <c r="L30" s="12" t="s">
        <v>274</v>
      </c>
      <c r="M30" s="12" t="s">
        <v>275</v>
      </c>
      <c r="N30" s="75"/>
    </row>
    <row r="31" spans="1:14">
      <c r="A31" s="12">
        <v>28</v>
      </c>
      <c r="B31" s="12" t="s">
        <v>853</v>
      </c>
      <c r="C31" s="12" t="s">
        <v>752</v>
      </c>
      <c r="D31" s="12" t="s">
        <v>843</v>
      </c>
      <c r="E31" s="85">
        <v>21.74</v>
      </c>
      <c r="F31" s="6">
        <v>5614546</v>
      </c>
      <c r="G31" s="12" t="s">
        <v>854</v>
      </c>
      <c r="H31" s="12" t="s">
        <v>755</v>
      </c>
      <c r="I31" s="12" t="s">
        <v>756</v>
      </c>
      <c r="J31" s="84">
        <v>34899</v>
      </c>
      <c r="K31" s="84">
        <v>45857</v>
      </c>
      <c r="L31" s="12" t="s">
        <v>304</v>
      </c>
      <c r="M31" s="12" t="s">
        <v>843</v>
      </c>
      <c r="N31" s="75"/>
    </row>
    <row r="32" spans="1:14">
      <c r="A32" s="12">
        <v>29</v>
      </c>
      <c r="B32" s="12" t="s">
        <v>855</v>
      </c>
      <c r="C32" s="12" t="s">
        <v>752</v>
      </c>
      <c r="D32" s="12" t="s">
        <v>856</v>
      </c>
      <c r="E32" s="85">
        <v>26.59</v>
      </c>
      <c r="F32" s="6">
        <v>5935539</v>
      </c>
      <c r="G32" s="12" t="s">
        <v>857</v>
      </c>
      <c r="H32" s="12" t="s">
        <v>755</v>
      </c>
      <c r="I32" s="12" t="s">
        <v>756</v>
      </c>
      <c r="J32" s="84">
        <v>35436</v>
      </c>
      <c r="K32" s="84">
        <v>46393</v>
      </c>
      <c r="L32" s="12" t="s">
        <v>274</v>
      </c>
      <c r="M32" s="12" t="s">
        <v>275</v>
      </c>
      <c r="N32" s="75"/>
    </row>
    <row r="33" spans="1:14">
      <c r="A33" s="12">
        <v>30</v>
      </c>
      <c r="B33" s="12" t="s">
        <v>858</v>
      </c>
      <c r="C33" s="12" t="s">
        <v>752</v>
      </c>
      <c r="D33" s="12" t="s">
        <v>859</v>
      </c>
      <c r="E33" s="85">
        <v>60.07</v>
      </c>
      <c r="F33" s="6">
        <v>2571498</v>
      </c>
      <c r="G33" s="12" t="s">
        <v>860</v>
      </c>
      <c r="H33" s="12" t="s">
        <v>755</v>
      </c>
      <c r="I33" s="12" t="s">
        <v>756</v>
      </c>
      <c r="J33" s="84">
        <v>35051</v>
      </c>
      <c r="K33" s="84">
        <v>46009</v>
      </c>
      <c r="L33" s="12" t="s">
        <v>274</v>
      </c>
      <c r="M33" s="12" t="s">
        <v>275</v>
      </c>
      <c r="N33" s="75"/>
    </row>
    <row r="34" spans="1:14">
      <c r="A34" s="12">
        <v>31</v>
      </c>
      <c r="B34" s="12" t="s">
        <v>861</v>
      </c>
      <c r="C34" s="12" t="s">
        <v>122</v>
      </c>
      <c r="D34" s="12" t="s">
        <v>862</v>
      </c>
      <c r="E34" s="85">
        <v>198.84</v>
      </c>
      <c r="F34" s="6">
        <v>5108543</v>
      </c>
      <c r="G34" s="12" t="s">
        <v>863</v>
      </c>
      <c r="H34" s="12" t="s">
        <v>755</v>
      </c>
      <c r="I34" s="12" t="s">
        <v>756</v>
      </c>
      <c r="J34" s="84">
        <v>35366</v>
      </c>
      <c r="K34" s="84">
        <v>46323</v>
      </c>
      <c r="L34" s="12" t="s">
        <v>128</v>
      </c>
      <c r="M34" s="12" t="s">
        <v>862</v>
      </c>
      <c r="N34" s="75"/>
    </row>
    <row r="35" spans="1:14">
      <c r="A35" s="12">
        <v>32</v>
      </c>
      <c r="B35" s="12" t="s">
        <v>864</v>
      </c>
      <c r="C35" s="12" t="s">
        <v>122</v>
      </c>
      <c r="D35" s="12" t="s">
        <v>865</v>
      </c>
      <c r="E35" s="85">
        <v>71.95</v>
      </c>
      <c r="F35" s="6">
        <v>2007126</v>
      </c>
      <c r="G35" s="12" t="s">
        <v>866</v>
      </c>
      <c r="H35" s="12" t="s">
        <v>755</v>
      </c>
      <c r="I35" s="12" t="s">
        <v>756</v>
      </c>
      <c r="J35" s="84">
        <v>35366</v>
      </c>
      <c r="K35" s="84">
        <v>46323</v>
      </c>
      <c r="L35" s="12" t="s">
        <v>768</v>
      </c>
      <c r="M35" s="12" t="s">
        <v>867</v>
      </c>
      <c r="N35" s="75"/>
    </row>
    <row r="36" spans="1:14">
      <c r="A36" s="12">
        <v>33</v>
      </c>
      <c r="B36" s="12" t="s">
        <v>868</v>
      </c>
      <c r="C36" s="12" t="s">
        <v>122</v>
      </c>
      <c r="D36" s="12" t="s">
        <v>869</v>
      </c>
      <c r="E36" s="85">
        <v>91.16</v>
      </c>
      <c r="F36" s="6">
        <v>2095025</v>
      </c>
      <c r="G36" s="12" t="s">
        <v>870</v>
      </c>
      <c r="H36" s="12" t="s">
        <v>755</v>
      </c>
      <c r="I36" s="12" t="s">
        <v>756</v>
      </c>
      <c r="J36" s="84">
        <v>34980</v>
      </c>
      <c r="K36" s="84">
        <v>53243</v>
      </c>
      <c r="L36" s="12" t="s">
        <v>233</v>
      </c>
      <c r="M36" s="12" t="s">
        <v>237</v>
      </c>
      <c r="N36" s="75"/>
    </row>
    <row r="37" spans="1:14">
      <c r="A37" s="12">
        <v>34</v>
      </c>
      <c r="B37" s="12" t="s">
        <v>871</v>
      </c>
      <c r="C37" s="12" t="s">
        <v>122</v>
      </c>
      <c r="D37" s="12" t="s">
        <v>872</v>
      </c>
      <c r="E37" s="85">
        <v>11.67</v>
      </c>
      <c r="F37" s="6">
        <v>2873575</v>
      </c>
      <c r="G37" s="12" t="s">
        <v>873</v>
      </c>
      <c r="H37" s="12" t="s">
        <v>755</v>
      </c>
      <c r="I37" s="12" t="s">
        <v>756</v>
      </c>
      <c r="J37" s="84">
        <v>34877</v>
      </c>
      <c r="K37" s="84">
        <v>45835</v>
      </c>
      <c r="L37" s="12" t="s">
        <v>274</v>
      </c>
      <c r="M37" s="12" t="s">
        <v>874</v>
      </c>
      <c r="N37" s="75"/>
    </row>
    <row r="38" spans="1:14">
      <c r="A38" s="12">
        <v>35</v>
      </c>
      <c r="B38" s="12" t="s">
        <v>875</v>
      </c>
      <c r="C38" s="12" t="s">
        <v>752</v>
      </c>
      <c r="D38" s="12" t="s">
        <v>876</v>
      </c>
      <c r="E38" s="85">
        <v>73.790000000000006</v>
      </c>
      <c r="F38" s="6">
        <v>2086166</v>
      </c>
      <c r="G38" s="12" t="s">
        <v>877</v>
      </c>
      <c r="H38" s="12" t="s">
        <v>755</v>
      </c>
      <c r="I38" s="12" t="s">
        <v>756</v>
      </c>
      <c r="J38" s="84">
        <v>35593</v>
      </c>
      <c r="K38" s="84">
        <v>46550</v>
      </c>
      <c r="L38" s="12" t="s">
        <v>274</v>
      </c>
      <c r="M38" s="12" t="s">
        <v>790</v>
      </c>
      <c r="N38" s="75"/>
    </row>
    <row r="39" spans="1:14">
      <c r="A39" s="12">
        <v>36</v>
      </c>
      <c r="B39" s="12" t="s">
        <v>878</v>
      </c>
      <c r="C39" s="12" t="s">
        <v>752</v>
      </c>
      <c r="D39" s="12" t="s">
        <v>879</v>
      </c>
      <c r="E39" s="85">
        <v>40.64</v>
      </c>
      <c r="F39" s="6">
        <v>2094533</v>
      </c>
      <c r="G39" s="12" t="s">
        <v>847</v>
      </c>
      <c r="H39" s="12" t="s">
        <v>848</v>
      </c>
      <c r="I39" s="12" t="s">
        <v>849</v>
      </c>
      <c r="J39" s="84">
        <v>34906</v>
      </c>
      <c r="K39" s="84">
        <v>53169</v>
      </c>
      <c r="L39" s="12" t="s">
        <v>304</v>
      </c>
      <c r="M39" s="12" t="s">
        <v>141</v>
      </c>
      <c r="N39" s="75"/>
    </row>
    <row r="40" spans="1:14">
      <c r="A40" s="12">
        <v>37</v>
      </c>
      <c r="B40" s="12" t="s">
        <v>880</v>
      </c>
      <c r="C40" s="12" t="s">
        <v>881</v>
      </c>
      <c r="D40" s="12" t="s">
        <v>882</v>
      </c>
      <c r="E40" s="85">
        <v>2.0099999999999998</v>
      </c>
      <c r="F40" s="6">
        <v>2030624</v>
      </c>
      <c r="G40" s="12" t="s">
        <v>883</v>
      </c>
      <c r="H40" s="12" t="s">
        <v>755</v>
      </c>
      <c r="I40" s="12" t="s">
        <v>756</v>
      </c>
      <c r="J40" s="84">
        <v>35601</v>
      </c>
      <c r="K40" s="84">
        <v>46558</v>
      </c>
      <c r="L40" s="12" t="s">
        <v>329</v>
      </c>
      <c r="M40" s="12" t="s">
        <v>884</v>
      </c>
      <c r="N40" s="75"/>
    </row>
    <row r="41" spans="1:14">
      <c r="A41" s="12">
        <v>38</v>
      </c>
      <c r="B41" s="12" t="s">
        <v>885</v>
      </c>
      <c r="C41" s="12" t="s">
        <v>886</v>
      </c>
      <c r="D41" s="12" t="s">
        <v>887</v>
      </c>
      <c r="E41" s="85">
        <v>101.58</v>
      </c>
      <c r="F41" s="6">
        <v>2830213</v>
      </c>
      <c r="G41" s="12" t="s">
        <v>888</v>
      </c>
      <c r="H41" s="12" t="s">
        <v>848</v>
      </c>
      <c r="I41" s="12" t="s">
        <v>849</v>
      </c>
      <c r="J41" s="84">
        <v>35570</v>
      </c>
      <c r="K41" s="84">
        <v>46527</v>
      </c>
      <c r="L41" s="12" t="s">
        <v>123</v>
      </c>
      <c r="M41" s="12" t="s">
        <v>889</v>
      </c>
      <c r="N41" s="75"/>
    </row>
    <row r="42" spans="1:14">
      <c r="A42" s="12">
        <v>39</v>
      </c>
      <c r="B42" s="12" t="s">
        <v>890</v>
      </c>
      <c r="C42" s="12" t="s">
        <v>200</v>
      </c>
      <c r="D42" s="12" t="s">
        <v>891</v>
      </c>
      <c r="E42" s="85">
        <v>85.27</v>
      </c>
      <c r="F42" s="6">
        <v>5292026</v>
      </c>
      <c r="G42" s="12" t="s">
        <v>892</v>
      </c>
      <c r="H42" s="12" t="s">
        <v>755</v>
      </c>
      <c r="I42" s="12" t="s">
        <v>756</v>
      </c>
      <c r="J42" s="84">
        <v>35517</v>
      </c>
      <c r="K42" s="84">
        <v>46474</v>
      </c>
      <c r="L42" s="12" t="s">
        <v>375</v>
      </c>
      <c r="M42" s="12" t="s">
        <v>893</v>
      </c>
      <c r="N42" s="75"/>
    </row>
    <row r="43" spans="1:14">
      <c r="A43" s="12">
        <v>40</v>
      </c>
      <c r="B43" s="12" t="s">
        <v>894</v>
      </c>
      <c r="C43" s="12" t="s">
        <v>752</v>
      </c>
      <c r="D43" s="12" t="s">
        <v>895</v>
      </c>
      <c r="E43" s="85">
        <v>145.41999999999999</v>
      </c>
      <c r="F43" s="6">
        <v>2100231</v>
      </c>
      <c r="G43" s="12" t="s">
        <v>896</v>
      </c>
      <c r="H43" s="12" t="s">
        <v>755</v>
      </c>
      <c r="I43" s="12" t="s">
        <v>756</v>
      </c>
      <c r="J43" s="84">
        <v>35240</v>
      </c>
      <c r="K43" s="84">
        <v>46197</v>
      </c>
      <c r="L43" s="12" t="s">
        <v>836</v>
      </c>
      <c r="M43" s="12" t="s">
        <v>837</v>
      </c>
      <c r="N43" s="75"/>
    </row>
    <row r="44" spans="1:14">
      <c r="A44" s="12">
        <v>41</v>
      </c>
      <c r="B44" s="12" t="s">
        <v>897</v>
      </c>
      <c r="C44" s="12" t="s">
        <v>898</v>
      </c>
      <c r="D44" s="12" t="s">
        <v>899</v>
      </c>
      <c r="E44" s="85">
        <v>2.41</v>
      </c>
      <c r="F44" s="6">
        <v>5124913</v>
      </c>
      <c r="G44" s="12" t="s">
        <v>900</v>
      </c>
      <c r="H44" s="12" t="s">
        <v>901</v>
      </c>
      <c r="I44" s="12" t="s">
        <v>756</v>
      </c>
      <c r="J44" s="84">
        <v>35252</v>
      </c>
      <c r="K44" s="84">
        <v>46209</v>
      </c>
      <c r="L44" s="12" t="s">
        <v>288</v>
      </c>
      <c r="M44" s="12" t="s">
        <v>902</v>
      </c>
      <c r="N44" s="75"/>
    </row>
    <row r="45" spans="1:14">
      <c r="A45" s="12">
        <v>42</v>
      </c>
      <c r="B45" s="12" t="s">
        <v>903</v>
      </c>
      <c r="C45" s="12" t="s">
        <v>752</v>
      </c>
      <c r="D45" s="12" t="s">
        <v>904</v>
      </c>
      <c r="E45" s="85">
        <v>28.53</v>
      </c>
      <c r="F45" s="6">
        <v>6296424</v>
      </c>
      <c r="G45" s="12" t="s">
        <v>905</v>
      </c>
      <c r="H45" s="12" t="s">
        <v>755</v>
      </c>
      <c r="I45" s="12" t="s">
        <v>756</v>
      </c>
      <c r="J45" s="84">
        <v>35054</v>
      </c>
      <c r="K45" s="84">
        <v>46012</v>
      </c>
      <c r="L45" s="12" t="s">
        <v>180</v>
      </c>
      <c r="M45" s="12" t="s">
        <v>798</v>
      </c>
      <c r="N45" s="75"/>
    </row>
    <row r="46" spans="1:14">
      <c r="A46" s="12">
        <v>43</v>
      </c>
      <c r="B46" s="12" t="s">
        <v>906</v>
      </c>
      <c r="C46" s="12" t="s">
        <v>752</v>
      </c>
      <c r="D46" s="12" t="s">
        <v>907</v>
      </c>
      <c r="E46" s="85">
        <v>26.69</v>
      </c>
      <c r="F46" s="6">
        <v>5319331</v>
      </c>
      <c r="G46" s="12" t="s">
        <v>908</v>
      </c>
      <c r="H46" s="12" t="s">
        <v>755</v>
      </c>
      <c r="I46" s="12" t="s">
        <v>756</v>
      </c>
      <c r="J46" s="84">
        <v>34837</v>
      </c>
      <c r="K46" s="84">
        <v>45795</v>
      </c>
      <c r="L46" s="12" t="s">
        <v>768</v>
      </c>
      <c r="M46" s="12" t="s">
        <v>867</v>
      </c>
      <c r="N46" s="75"/>
    </row>
    <row r="47" spans="1:14">
      <c r="A47" s="12">
        <v>44</v>
      </c>
      <c r="B47" s="12" t="s">
        <v>909</v>
      </c>
      <c r="C47" s="12" t="s">
        <v>752</v>
      </c>
      <c r="D47" s="12" t="s">
        <v>910</v>
      </c>
      <c r="E47" s="85">
        <v>224.99</v>
      </c>
      <c r="F47" s="6">
        <v>3557588</v>
      </c>
      <c r="G47" s="12" t="s">
        <v>911</v>
      </c>
      <c r="H47" s="12" t="s">
        <v>755</v>
      </c>
      <c r="I47" s="12" t="s">
        <v>756</v>
      </c>
      <c r="J47" s="84">
        <v>34859</v>
      </c>
      <c r="K47" s="84">
        <v>53122</v>
      </c>
      <c r="L47" s="12" t="s">
        <v>123</v>
      </c>
      <c r="M47" s="12" t="s">
        <v>272</v>
      </c>
      <c r="N47" s="75"/>
    </row>
    <row r="48" spans="1:14">
      <c r="A48" s="12">
        <v>45</v>
      </c>
      <c r="B48" s="12" t="s">
        <v>912</v>
      </c>
      <c r="C48" s="12" t="s">
        <v>122</v>
      </c>
      <c r="D48" s="12" t="s">
        <v>913</v>
      </c>
      <c r="E48" s="85">
        <v>276.91000000000003</v>
      </c>
      <c r="F48" s="6">
        <v>2016656</v>
      </c>
      <c r="G48" s="12" t="s">
        <v>913</v>
      </c>
      <c r="H48" s="12" t="s">
        <v>914</v>
      </c>
      <c r="I48" s="12" t="s">
        <v>756</v>
      </c>
      <c r="J48" s="84">
        <v>34950</v>
      </c>
      <c r="K48" s="84">
        <v>53213</v>
      </c>
      <c r="L48" s="12" t="s">
        <v>233</v>
      </c>
      <c r="M48" s="12" t="s">
        <v>252</v>
      </c>
      <c r="N48" s="75"/>
    </row>
    <row r="49" spans="1:14">
      <c r="A49" s="12">
        <v>46</v>
      </c>
      <c r="B49" s="12" t="s">
        <v>915</v>
      </c>
      <c r="C49" s="12" t="s">
        <v>916</v>
      </c>
      <c r="D49" s="12" t="s">
        <v>917</v>
      </c>
      <c r="E49" s="85">
        <v>56.09</v>
      </c>
      <c r="F49" s="6">
        <v>5292026</v>
      </c>
      <c r="G49" s="12" t="s">
        <v>892</v>
      </c>
      <c r="H49" s="12" t="s">
        <v>755</v>
      </c>
      <c r="I49" s="12" t="s">
        <v>756</v>
      </c>
      <c r="J49" s="84">
        <v>35268</v>
      </c>
      <c r="K49" s="84">
        <v>46225</v>
      </c>
      <c r="L49" s="12" t="s">
        <v>170</v>
      </c>
      <c r="M49" s="12" t="s">
        <v>280</v>
      </c>
      <c r="N49" s="75"/>
    </row>
    <row r="50" spans="1:14">
      <c r="A50" s="12">
        <v>47</v>
      </c>
      <c r="B50" s="12" t="s">
        <v>918</v>
      </c>
      <c r="C50" s="12" t="s">
        <v>752</v>
      </c>
      <c r="D50" s="12" t="s">
        <v>919</v>
      </c>
      <c r="E50" s="85">
        <v>368.3</v>
      </c>
      <c r="F50" s="6">
        <v>5906865</v>
      </c>
      <c r="G50" s="12" t="s">
        <v>920</v>
      </c>
      <c r="H50" s="12" t="s">
        <v>755</v>
      </c>
      <c r="I50" s="12" t="s">
        <v>756</v>
      </c>
      <c r="J50" s="84">
        <v>35268</v>
      </c>
      <c r="K50" s="84">
        <v>46225</v>
      </c>
      <c r="L50" s="12" t="s">
        <v>274</v>
      </c>
      <c r="M50" s="12" t="s">
        <v>275</v>
      </c>
      <c r="N50" s="75"/>
    </row>
    <row r="51" spans="1:14">
      <c r="A51" s="12">
        <v>48</v>
      </c>
      <c r="B51" s="12" t="s">
        <v>921</v>
      </c>
      <c r="C51" s="12" t="s">
        <v>200</v>
      </c>
      <c r="D51" s="12" t="s">
        <v>922</v>
      </c>
      <c r="E51" s="85">
        <v>16</v>
      </c>
      <c r="F51" s="6">
        <v>2027194</v>
      </c>
      <c r="G51" s="12" t="s">
        <v>923</v>
      </c>
      <c r="H51" s="12" t="s">
        <v>755</v>
      </c>
      <c r="I51" s="12" t="s">
        <v>756</v>
      </c>
      <c r="J51" s="84">
        <v>35138</v>
      </c>
      <c r="K51" s="84">
        <v>46095</v>
      </c>
      <c r="L51" s="12" t="s">
        <v>170</v>
      </c>
      <c r="M51" s="12" t="s">
        <v>924</v>
      </c>
      <c r="N51" s="75"/>
    </row>
    <row r="52" spans="1:14">
      <c r="A52" s="12">
        <v>49</v>
      </c>
      <c r="B52" s="12" t="s">
        <v>925</v>
      </c>
      <c r="C52" s="12" t="s">
        <v>221</v>
      </c>
      <c r="D52" s="12" t="s">
        <v>926</v>
      </c>
      <c r="E52" s="85">
        <v>40.31</v>
      </c>
      <c r="F52" s="6">
        <v>2027194</v>
      </c>
      <c r="G52" s="12" t="s">
        <v>923</v>
      </c>
      <c r="H52" s="12" t="s">
        <v>755</v>
      </c>
      <c r="I52" s="12" t="s">
        <v>756</v>
      </c>
      <c r="J52" s="84">
        <v>34837</v>
      </c>
      <c r="K52" s="84">
        <v>53100</v>
      </c>
      <c r="L52" s="12" t="s">
        <v>180</v>
      </c>
      <c r="M52" s="12" t="s">
        <v>927</v>
      </c>
      <c r="N52" s="75"/>
    </row>
    <row r="53" spans="1:14">
      <c r="A53" s="12">
        <v>50</v>
      </c>
      <c r="B53" s="12" t="s">
        <v>928</v>
      </c>
      <c r="C53" s="12" t="s">
        <v>752</v>
      </c>
      <c r="D53" s="12" t="s">
        <v>929</v>
      </c>
      <c r="E53" s="85">
        <v>228.21</v>
      </c>
      <c r="F53" s="6">
        <v>5396786</v>
      </c>
      <c r="G53" s="12" t="s">
        <v>930</v>
      </c>
      <c r="H53" s="12" t="s">
        <v>755</v>
      </c>
      <c r="I53" s="12" t="s">
        <v>756</v>
      </c>
      <c r="J53" s="84">
        <v>34986</v>
      </c>
      <c r="K53" s="84">
        <v>53249</v>
      </c>
      <c r="L53" s="12" t="s">
        <v>274</v>
      </c>
      <c r="M53" s="12" t="s">
        <v>275</v>
      </c>
      <c r="N53" s="75"/>
    </row>
    <row r="54" spans="1:14">
      <c r="A54" s="12">
        <v>51</v>
      </c>
      <c r="B54" s="12" t="s">
        <v>931</v>
      </c>
      <c r="C54" s="12" t="s">
        <v>752</v>
      </c>
      <c r="D54" s="12" t="s">
        <v>932</v>
      </c>
      <c r="E54" s="85">
        <v>167.59</v>
      </c>
      <c r="F54" s="6">
        <v>2550245</v>
      </c>
      <c r="G54" s="12" t="s">
        <v>765</v>
      </c>
      <c r="H54" s="12" t="s">
        <v>766</v>
      </c>
      <c r="I54" s="12" t="s">
        <v>767</v>
      </c>
      <c r="J54" s="84">
        <v>34730</v>
      </c>
      <c r="K54" s="84">
        <v>45688</v>
      </c>
      <c r="L54" s="12" t="s">
        <v>768</v>
      </c>
      <c r="M54" s="12" t="s">
        <v>933</v>
      </c>
      <c r="N54" s="75"/>
    </row>
    <row r="55" spans="1:14">
      <c r="A55" s="12">
        <v>52</v>
      </c>
      <c r="B55" s="12" t="s">
        <v>934</v>
      </c>
      <c r="C55" s="12" t="s">
        <v>752</v>
      </c>
      <c r="D55" s="12" t="s">
        <v>935</v>
      </c>
      <c r="E55" s="85">
        <v>1015.26</v>
      </c>
      <c r="F55" s="6">
        <v>2029278</v>
      </c>
      <c r="G55" s="12" t="s">
        <v>840</v>
      </c>
      <c r="H55" s="12" t="s">
        <v>755</v>
      </c>
      <c r="I55" s="12" t="s">
        <v>756</v>
      </c>
      <c r="J55" s="84">
        <v>35352</v>
      </c>
      <c r="K55" s="84">
        <v>46309</v>
      </c>
      <c r="L55" s="12" t="s">
        <v>831</v>
      </c>
      <c r="M55" s="12" t="s">
        <v>832</v>
      </c>
      <c r="N55" s="75"/>
    </row>
    <row r="56" spans="1:14">
      <c r="A56" s="12">
        <v>53</v>
      </c>
      <c r="B56" s="12" t="s">
        <v>936</v>
      </c>
      <c r="C56" s="12" t="s">
        <v>937</v>
      </c>
      <c r="D56" s="12" t="s">
        <v>938</v>
      </c>
      <c r="E56" s="85">
        <v>265.49</v>
      </c>
      <c r="F56" s="6">
        <v>2027194</v>
      </c>
      <c r="G56" s="12" t="s">
        <v>923</v>
      </c>
      <c r="H56" s="12" t="s">
        <v>755</v>
      </c>
      <c r="I56" s="12" t="s">
        <v>756</v>
      </c>
      <c r="J56" s="84">
        <v>35490</v>
      </c>
      <c r="K56" s="84">
        <v>46447</v>
      </c>
      <c r="L56" s="12" t="s">
        <v>939</v>
      </c>
      <c r="M56" s="12" t="s">
        <v>940</v>
      </c>
      <c r="N56" s="75"/>
    </row>
    <row r="57" spans="1:14">
      <c r="A57" s="12">
        <v>54</v>
      </c>
      <c r="B57" s="12" t="s">
        <v>941</v>
      </c>
      <c r="C57" s="12" t="s">
        <v>942</v>
      </c>
      <c r="D57" s="12" t="s">
        <v>943</v>
      </c>
      <c r="E57" s="85">
        <v>104.91</v>
      </c>
      <c r="F57" s="6">
        <v>2027194</v>
      </c>
      <c r="G57" s="12" t="s">
        <v>923</v>
      </c>
      <c r="H57" s="12" t="s">
        <v>755</v>
      </c>
      <c r="I57" s="12" t="s">
        <v>756</v>
      </c>
      <c r="J57" s="84">
        <v>35268</v>
      </c>
      <c r="K57" s="84">
        <v>46225</v>
      </c>
      <c r="L57" s="12" t="s">
        <v>274</v>
      </c>
      <c r="M57" s="12" t="s">
        <v>944</v>
      </c>
      <c r="N57" s="75"/>
    </row>
    <row r="58" spans="1:14">
      <c r="A58" s="12">
        <v>55</v>
      </c>
      <c r="B58" s="12" t="s">
        <v>945</v>
      </c>
      <c r="C58" s="12" t="s">
        <v>752</v>
      </c>
      <c r="D58" s="12" t="s">
        <v>946</v>
      </c>
      <c r="E58" s="85">
        <v>730.52</v>
      </c>
      <c r="F58" s="6">
        <v>3555763</v>
      </c>
      <c r="G58" s="12" t="s">
        <v>947</v>
      </c>
      <c r="H58" s="12" t="s">
        <v>755</v>
      </c>
      <c r="I58" s="12" t="s">
        <v>756</v>
      </c>
      <c r="J58" s="84">
        <v>34859</v>
      </c>
      <c r="K58" s="84">
        <v>53122</v>
      </c>
      <c r="L58" s="12" t="s">
        <v>163</v>
      </c>
      <c r="M58" s="12" t="s">
        <v>948</v>
      </c>
      <c r="N58" s="75"/>
    </row>
    <row r="59" spans="1:14">
      <c r="A59" s="12">
        <v>56</v>
      </c>
      <c r="B59" s="12" t="s">
        <v>949</v>
      </c>
      <c r="C59" s="12" t="s">
        <v>122</v>
      </c>
      <c r="D59" s="12" t="s">
        <v>950</v>
      </c>
      <c r="E59" s="85">
        <v>581.74</v>
      </c>
      <c r="F59" s="6">
        <v>2014491</v>
      </c>
      <c r="G59" s="12" t="s">
        <v>950</v>
      </c>
      <c r="H59" s="12" t="s">
        <v>781</v>
      </c>
      <c r="I59" s="12" t="s">
        <v>756</v>
      </c>
      <c r="J59" s="84">
        <v>35091</v>
      </c>
      <c r="K59" s="84">
        <v>46049</v>
      </c>
      <c r="L59" s="12" t="s">
        <v>163</v>
      </c>
      <c r="M59" s="12" t="s">
        <v>164</v>
      </c>
      <c r="N59" s="75"/>
    </row>
    <row r="60" spans="1:14">
      <c r="A60" s="12">
        <v>57</v>
      </c>
      <c r="B60" s="12" t="s">
        <v>951</v>
      </c>
      <c r="C60" s="12" t="s">
        <v>122</v>
      </c>
      <c r="D60" s="12" t="s">
        <v>952</v>
      </c>
      <c r="E60" s="85">
        <v>89.73</v>
      </c>
      <c r="F60" s="6">
        <v>2034859</v>
      </c>
      <c r="G60" s="12" t="s">
        <v>952</v>
      </c>
      <c r="H60" s="12" t="s">
        <v>781</v>
      </c>
      <c r="I60" s="12" t="s">
        <v>756</v>
      </c>
      <c r="J60" s="84">
        <v>34878</v>
      </c>
      <c r="K60" s="84">
        <v>45836</v>
      </c>
      <c r="L60" s="12" t="s">
        <v>205</v>
      </c>
      <c r="M60" s="12" t="s">
        <v>206</v>
      </c>
      <c r="N60" s="75"/>
    </row>
    <row r="61" spans="1:14">
      <c r="A61" s="12">
        <v>58</v>
      </c>
      <c r="B61" s="12" t="s">
        <v>953</v>
      </c>
      <c r="C61" s="12" t="s">
        <v>221</v>
      </c>
      <c r="D61" s="12" t="s">
        <v>954</v>
      </c>
      <c r="E61" s="85">
        <v>4.3499999999999996</v>
      </c>
      <c r="F61" s="6">
        <v>2027194</v>
      </c>
      <c r="G61" s="12" t="s">
        <v>923</v>
      </c>
      <c r="H61" s="12" t="s">
        <v>755</v>
      </c>
      <c r="I61" s="12" t="s">
        <v>756</v>
      </c>
      <c r="J61" s="84">
        <v>34837</v>
      </c>
      <c r="K61" s="84">
        <v>53100</v>
      </c>
      <c r="L61" s="12" t="s">
        <v>180</v>
      </c>
      <c r="M61" s="12" t="s">
        <v>181</v>
      </c>
      <c r="N61" s="75"/>
    </row>
    <row r="62" spans="1:14">
      <c r="A62" s="12">
        <v>59</v>
      </c>
      <c r="B62" s="12" t="s">
        <v>955</v>
      </c>
      <c r="C62" s="12" t="s">
        <v>752</v>
      </c>
      <c r="D62" s="12" t="s">
        <v>956</v>
      </c>
      <c r="E62" s="85">
        <v>54.53</v>
      </c>
      <c r="F62" s="6">
        <v>2839385</v>
      </c>
      <c r="G62" s="12" t="s">
        <v>957</v>
      </c>
      <c r="H62" s="12" t="s">
        <v>755</v>
      </c>
      <c r="I62" s="12" t="s">
        <v>756</v>
      </c>
      <c r="J62" s="84">
        <v>35095</v>
      </c>
      <c r="K62" s="84">
        <v>46053</v>
      </c>
      <c r="L62" s="12" t="s">
        <v>180</v>
      </c>
      <c r="M62" s="12" t="s">
        <v>798</v>
      </c>
      <c r="N62" s="75"/>
    </row>
    <row r="63" spans="1:14">
      <c r="A63" s="12">
        <v>60</v>
      </c>
      <c r="B63" s="12" t="s">
        <v>958</v>
      </c>
      <c r="C63" s="12" t="s">
        <v>752</v>
      </c>
      <c r="D63" s="12" t="s">
        <v>309</v>
      </c>
      <c r="E63" s="85">
        <v>13.36</v>
      </c>
      <c r="F63" s="6">
        <v>5179173</v>
      </c>
      <c r="G63" s="12" t="s">
        <v>959</v>
      </c>
      <c r="H63" s="12" t="s">
        <v>755</v>
      </c>
      <c r="I63" s="12" t="s">
        <v>756</v>
      </c>
      <c r="J63" s="84">
        <v>35051</v>
      </c>
      <c r="K63" s="84">
        <v>46009</v>
      </c>
      <c r="L63" s="12" t="s">
        <v>180</v>
      </c>
      <c r="M63" s="12" t="s">
        <v>960</v>
      </c>
      <c r="N63" s="75"/>
    </row>
    <row r="64" spans="1:14">
      <c r="A64" s="12">
        <v>61</v>
      </c>
      <c r="B64" s="12" t="s">
        <v>961</v>
      </c>
      <c r="C64" s="12" t="s">
        <v>752</v>
      </c>
      <c r="D64" s="12" t="s">
        <v>910</v>
      </c>
      <c r="E64" s="85">
        <v>103.47</v>
      </c>
      <c r="F64" s="6">
        <v>2618532</v>
      </c>
      <c r="G64" s="12" t="s">
        <v>962</v>
      </c>
      <c r="H64" s="12" t="s">
        <v>755</v>
      </c>
      <c r="I64" s="12" t="s">
        <v>756</v>
      </c>
      <c r="J64" s="84">
        <v>34859</v>
      </c>
      <c r="K64" s="84">
        <v>53122</v>
      </c>
      <c r="L64" s="12" t="s">
        <v>123</v>
      </c>
      <c r="M64" s="12" t="s">
        <v>272</v>
      </c>
      <c r="N64" s="75"/>
    </row>
    <row r="65" spans="1:14">
      <c r="A65" s="12">
        <v>62</v>
      </c>
      <c r="B65" s="12" t="s">
        <v>963</v>
      </c>
      <c r="C65" s="12" t="s">
        <v>752</v>
      </c>
      <c r="D65" s="12" t="s">
        <v>964</v>
      </c>
      <c r="E65" s="85">
        <v>156.28</v>
      </c>
      <c r="F65" s="6">
        <v>5007127</v>
      </c>
      <c r="G65" s="12" t="s">
        <v>965</v>
      </c>
      <c r="H65" s="12" t="s">
        <v>848</v>
      </c>
      <c r="I65" s="12" t="s">
        <v>849</v>
      </c>
      <c r="J65" s="84">
        <v>35594</v>
      </c>
      <c r="K65" s="84">
        <v>46551</v>
      </c>
      <c r="L65" s="12" t="s">
        <v>304</v>
      </c>
      <c r="M65" s="12" t="s">
        <v>773</v>
      </c>
      <c r="N65" s="75"/>
    </row>
    <row r="66" spans="1:14">
      <c r="A66" s="12">
        <v>63</v>
      </c>
      <c r="B66" s="12" t="s">
        <v>966</v>
      </c>
      <c r="C66" s="12" t="s">
        <v>752</v>
      </c>
      <c r="D66" s="12" t="s">
        <v>967</v>
      </c>
      <c r="E66" s="85">
        <v>40.64</v>
      </c>
      <c r="F66" s="6">
        <v>6862578</v>
      </c>
      <c r="G66" s="12" t="s">
        <v>968</v>
      </c>
      <c r="H66" s="12" t="s">
        <v>755</v>
      </c>
      <c r="I66" s="12" t="s">
        <v>756</v>
      </c>
      <c r="J66" s="84">
        <v>35593</v>
      </c>
      <c r="K66" s="84">
        <v>46550</v>
      </c>
      <c r="L66" s="12" t="s">
        <v>163</v>
      </c>
      <c r="M66" s="12" t="s">
        <v>969</v>
      </c>
      <c r="N66" s="75"/>
    </row>
    <row r="67" spans="1:14">
      <c r="A67" s="12">
        <v>64</v>
      </c>
      <c r="B67" s="12" t="s">
        <v>970</v>
      </c>
      <c r="C67" s="12" t="s">
        <v>752</v>
      </c>
      <c r="D67" s="12" t="s">
        <v>971</v>
      </c>
      <c r="E67" s="85">
        <v>55.76</v>
      </c>
      <c r="F67" s="6">
        <v>5443431</v>
      </c>
      <c r="G67" s="12" t="s">
        <v>972</v>
      </c>
      <c r="H67" s="12" t="s">
        <v>755</v>
      </c>
      <c r="I67" s="12" t="s">
        <v>756</v>
      </c>
      <c r="J67" s="84">
        <v>34889</v>
      </c>
      <c r="K67" s="84">
        <v>45847</v>
      </c>
      <c r="L67" s="12" t="s">
        <v>180</v>
      </c>
      <c r="M67" s="12" t="s">
        <v>927</v>
      </c>
      <c r="N67" s="75"/>
    </row>
    <row r="68" spans="1:14">
      <c r="A68" s="12">
        <v>65</v>
      </c>
      <c r="B68" s="12" t="s">
        <v>973</v>
      </c>
      <c r="C68" s="12" t="s">
        <v>752</v>
      </c>
      <c r="D68" s="12" t="s">
        <v>974</v>
      </c>
      <c r="E68" s="85">
        <v>829.5</v>
      </c>
      <c r="F68" s="6">
        <v>2550245</v>
      </c>
      <c r="G68" s="12" t="s">
        <v>765</v>
      </c>
      <c r="H68" s="12" t="s">
        <v>766</v>
      </c>
      <c r="I68" s="12" t="s">
        <v>767</v>
      </c>
      <c r="J68" s="84">
        <v>35107</v>
      </c>
      <c r="K68" s="84">
        <v>46065</v>
      </c>
      <c r="L68" s="12" t="s">
        <v>768</v>
      </c>
      <c r="M68" s="12" t="s">
        <v>867</v>
      </c>
      <c r="N68" s="75"/>
    </row>
    <row r="69" spans="1:14">
      <c r="A69" s="12">
        <v>66</v>
      </c>
      <c r="B69" s="12" t="s">
        <v>975</v>
      </c>
      <c r="C69" s="12" t="s">
        <v>752</v>
      </c>
      <c r="D69" s="12" t="s">
        <v>976</v>
      </c>
      <c r="E69" s="85">
        <v>369.47</v>
      </c>
      <c r="F69" s="6">
        <v>2819996</v>
      </c>
      <c r="G69" s="12" t="s">
        <v>977</v>
      </c>
      <c r="H69" s="12" t="s">
        <v>755</v>
      </c>
      <c r="I69" s="12" t="s">
        <v>756</v>
      </c>
      <c r="J69" s="84">
        <v>35632</v>
      </c>
      <c r="K69" s="84">
        <v>46589</v>
      </c>
      <c r="L69" s="12" t="s">
        <v>274</v>
      </c>
      <c r="M69" s="12" t="s">
        <v>275</v>
      </c>
      <c r="N69" s="75"/>
    </row>
    <row r="70" spans="1:14">
      <c r="A70" s="12">
        <v>67</v>
      </c>
      <c r="B70" s="12" t="s">
        <v>978</v>
      </c>
      <c r="C70" s="12" t="s">
        <v>979</v>
      </c>
      <c r="D70" s="12" t="s">
        <v>980</v>
      </c>
      <c r="E70" s="85">
        <v>375.18</v>
      </c>
      <c r="F70" s="6">
        <v>2839717</v>
      </c>
      <c r="G70" s="12" t="s">
        <v>981</v>
      </c>
      <c r="H70" s="12" t="s">
        <v>848</v>
      </c>
      <c r="I70" s="12" t="s">
        <v>849</v>
      </c>
      <c r="J70" s="84">
        <v>35641</v>
      </c>
      <c r="K70" s="84">
        <v>46598</v>
      </c>
      <c r="L70" s="12" t="s">
        <v>274</v>
      </c>
      <c r="M70" s="12" t="s">
        <v>982</v>
      </c>
      <c r="N70" s="75"/>
    </row>
    <row r="71" spans="1:14">
      <c r="A71" s="12">
        <v>68</v>
      </c>
      <c r="B71" s="12" t="s">
        <v>983</v>
      </c>
      <c r="C71" s="12" t="s">
        <v>122</v>
      </c>
      <c r="D71" s="12" t="s">
        <v>984</v>
      </c>
      <c r="E71" s="85">
        <v>19.07</v>
      </c>
      <c r="F71" s="6">
        <v>2095025</v>
      </c>
      <c r="G71" s="12" t="s">
        <v>870</v>
      </c>
      <c r="H71" s="12" t="s">
        <v>755</v>
      </c>
      <c r="I71" s="12" t="s">
        <v>756</v>
      </c>
      <c r="J71" s="84">
        <v>35642</v>
      </c>
      <c r="K71" s="84">
        <v>46599</v>
      </c>
      <c r="L71" s="12" t="s">
        <v>170</v>
      </c>
      <c r="M71" s="12" t="s">
        <v>171</v>
      </c>
      <c r="N71" s="75"/>
    </row>
    <row r="72" spans="1:14">
      <c r="A72" s="12">
        <v>69</v>
      </c>
      <c r="B72" s="12" t="s">
        <v>985</v>
      </c>
      <c r="C72" s="12" t="s">
        <v>302</v>
      </c>
      <c r="D72" s="12" t="s">
        <v>986</v>
      </c>
      <c r="E72" s="85">
        <v>38.78</v>
      </c>
      <c r="F72" s="6">
        <v>2548747</v>
      </c>
      <c r="G72" s="12" t="s">
        <v>987</v>
      </c>
      <c r="H72" s="12" t="s">
        <v>766</v>
      </c>
      <c r="I72" s="12" t="s">
        <v>767</v>
      </c>
      <c r="J72" s="84">
        <v>35655</v>
      </c>
      <c r="K72" s="84">
        <v>46612</v>
      </c>
      <c r="L72" s="12" t="s">
        <v>138</v>
      </c>
      <c r="M72" s="12" t="s">
        <v>138</v>
      </c>
      <c r="N72" s="75"/>
    </row>
    <row r="73" spans="1:14">
      <c r="A73" s="12">
        <v>70</v>
      </c>
      <c r="B73" s="12" t="s">
        <v>988</v>
      </c>
      <c r="C73" s="12" t="s">
        <v>752</v>
      </c>
      <c r="D73" s="12" t="s">
        <v>989</v>
      </c>
      <c r="E73" s="85">
        <v>218.02</v>
      </c>
      <c r="F73" s="6">
        <v>4280474</v>
      </c>
      <c r="G73" s="12" t="s">
        <v>990</v>
      </c>
      <c r="H73" s="12" t="s">
        <v>755</v>
      </c>
      <c r="I73" s="12" t="s">
        <v>756</v>
      </c>
      <c r="J73" s="84">
        <v>36018</v>
      </c>
      <c r="K73" s="84">
        <v>46976</v>
      </c>
      <c r="L73" s="12" t="s">
        <v>304</v>
      </c>
      <c r="M73" s="12" t="s">
        <v>773</v>
      </c>
      <c r="N73" s="75"/>
    </row>
    <row r="74" spans="1:14">
      <c r="A74" s="12">
        <v>71</v>
      </c>
      <c r="B74" s="12" t="s">
        <v>991</v>
      </c>
      <c r="C74" s="12" t="s">
        <v>752</v>
      </c>
      <c r="D74" s="12" t="s">
        <v>992</v>
      </c>
      <c r="E74" s="85">
        <v>9.0299999999999994</v>
      </c>
      <c r="F74" s="6">
        <v>5271126</v>
      </c>
      <c r="G74" s="12" t="s">
        <v>993</v>
      </c>
      <c r="H74" s="12" t="s">
        <v>755</v>
      </c>
      <c r="I74" s="12" t="s">
        <v>756</v>
      </c>
      <c r="J74" s="84">
        <v>35748</v>
      </c>
      <c r="K74" s="84">
        <v>46705</v>
      </c>
      <c r="L74" s="12" t="s">
        <v>304</v>
      </c>
      <c r="M74" s="12" t="s">
        <v>777</v>
      </c>
      <c r="N74" s="75"/>
    </row>
    <row r="75" spans="1:14">
      <c r="A75" s="12">
        <v>72</v>
      </c>
      <c r="B75" s="12" t="s">
        <v>994</v>
      </c>
      <c r="C75" s="12" t="s">
        <v>995</v>
      </c>
      <c r="D75" s="12" t="s">
        <v>996</v>
      </c>
      <c r="E75" s="85">
        <v>53.81</v>
      </c>
      <c r="F75" s="6">
        <v>2027194</v>
      </c>
      <c r="G75" s="12" t="s">
        <v>923</v>
      </c>
      <c r="H75" s="12" t="s">
        <v>755</v>
      </c>
      <c r="I75" s="12" t="s">
        <v>756</v>
      </c>
      <c r="J75" s="84">
        <v>35777</v>
      </c>
      <c r="K75" s="84">
        <v>46734</v>
      </c>
      <c r="L75" s="12" t="s">
        <v>128</v>
      </c>
      <c r="M75" s="12" t="s">
        <v>291</v>
      </c>
      <c r="N75" s="75"/>
    </row>
    <row r="76" spans="1:14">
      <c r="A76" s="12">
        <v>73</v>
      </c>
      <c r="B76" s="12" t="s">
        <v>997</v>
      </c>
      <c r="C76" s="12" t="s">
        <v>122</v>
      </c>
      <c r="D76" s="12" t="s">
        <v>998</v>
      </c>
      <c r="E76" s="85">
        <v>55.01</v>
      </c>
      <c r="F76" s="6">
        <v>2012251</v>
      </c>
      <c r="G76" s="12" t="s">
        <v>999</v>
      </c>
      <c r="H76" s="12" t="s">
        <v>755</v>
      </c>
      <c r="I76" s="12" t="s">
        <v>756</v>
      </c>
      <c r="J76" s="84">
        <v>35777</v>
      </c>
      <c r="K76" s="84">
        <v>46734</v>
      </c>
      <c r="L76" s="12" t="s">
        <v>375</v>
      </c>
      <c r="M76" s="12" t="s">
        <v>1000</v>
      </c>
      <c r="N76" s="75"/>
    </row>
    <row r="77" spans="1:14">
      <c r="A77" s="12">
        <v>74</v>
      </c>
      <c r="B77" s="12" t="s">
        <v>1001</v>
      </c>
      <c r="C77" s="12" t="s">
        <v>1002</v>
      </c>
      <c r="D77" s="12" t="s">
        <v>1003</v>
      </c>
      <c r="E77" s="85">
        <v>22.71</v>
      </c>
      <c r="F77" s="6">
        <v>2067684</v>
      </c>
      <c r="G77" s="12" t="s">
        <v>1004</v>
      </c>
      <c r="H77" s="12" t="s">
        <v>755</v>
      </c>
      <c r="I77" s="12" t="s">
        <v>756</v>
      </c>
      <c r="J77" s="84">
        <v>35789</v>
      </c>
      <c r="K77" s="84">
        <v>46746</v>
      </c>
      <c r="L77" s="12" t="s">
        <v>782</v>
      </c>
      <c r="M77" s="12" t="s">
        <v>1005</v>
      </c>
      <c r="N77" s="75"/>
    </row>
    <row r="78" spans="1:14">
      <c r="A78" s="12">
        <v>75</v>
      </c>
      <c r="B78" s="12" t="s">
        <v>1006</v>
      </c>
      <c r="C78" s="12" t="s">
        <v>937</v>
      </c>
      <c r="D78" s="12" t="s">
        <v>1007</v>
      </c>
      <c r="E78" s="85">
        <v>24.68</v>
      </c>
      <c r="F78" s="6">
        <v>2044838</v>
      </c>
      <c r="G78" s="12" t="s">
        <v>1008</v>
      </c>
      <c r="H78" s="12" t="s">
        <v>755</v>
      </c>
      <c r="I78" s="12" t="s">
        <v>756</v>
      </c>
      <c r="J78" s="84">
        <v>35794</v>
      </c>
      <c r="K78" s="84">
        <v>46751</v>
      </c>
      <c r="L78" s="12" t="s">
        <v>128</v>
      </c>
      <c r="M78" s="12" t="s">
        <v>862</v>
      </c>
      <c r="N78" s="75"/>
    </row>
    <row r="79" spans="1:14">
      <c r="A79" s="12">
        <v>76</v>
      </c>
      <c r="B79" s="12" t="s">
        <v>1009</v>
      </c>
      <c r="C79" s="12" t="s">
        <v>122</v>
      </c>
      <c r="D79" s="12" t="s">
        <v>1010</v>
      </c>
      <c r="E79" s="85">
        <v>90.94</v>
      </c>
      <c r="F79" s="6">
        <v>2004879</v>
      </c>
      <c r="G79" s="12" t="s">
        <v>1010</v>
      </c>
      <c r="H79" s="12" t="s">
        <v>914</v>
      </c>
      <c r="I79" s="12" t="s">
        <v>756</v>
      </c>
      <c r="J79" s="84">
        <v>35794</v>
      </c>
      <c r="K79" s="84">
        <v>46751</v>
      </c>
      <c r="L79" s="12" t="s">
        <v>312</v>
      </c>
      <c r="M79" s="12" t="s">
        <v>313</v>
      </c>
      <c r="N79" s="75"/>
    </row>
    <row r="80" spans="1:14">
      <c r="A80" s="12">
        <v>77</v>
      </c>
      <c r="B80" s="12" t="s">
        <v>1011</v>
      </c>
      <c r="C80" s="12" t="s">
        <v>122</v>
      </c>
      <c r="D80" s="12" t="s">
        <v>1012</v>
      </c>
      <c r="E80" s="85">
        <v>25</v>
      </c>
      <c r="F80" s="6">
        <v>2862468</v>
      </c>
      <c r="G80" s="12" t="s">
        <v>1013</v>
      </c>
      <c r="H80" s="12" t="s">
        <v>766</v>
      </c>
      <c r="I80" s="12" t="s">
        <v>767</v>
      </c>
      <c r="J80" s="84">
        <v>35794</v>
      </c>
      <c r="K80" s="84">
        <v>46751</v>
      </c>
      <c r="L80" s="12" t="s">
        <v>1014</v>
      </c>
      <c r="M80" s="12" t="s">
        <v>1015</v>
      </c>
      <c r="N80" s="75"/>
    </row>
    <row r="81" spans="1:14">
      <c r="A81" s="12">
        <v>78</v>
      </c>
      <c r="B81" s="12" t="s">
        <v>1016</v>
      </c>
      <c r="C81" s="12" t="s">
        <v>1017</v>
      </c>
      <c r="D81" s="12" t="s">
        <v>1018</v>
      </c>
      <c r="E81" s="85">
        <v>31.2</v>
      </c>
      <c r="F81" s="6">
        <v>2053179</v>
      </c>
      <c r="G81" s="12" t="s">
        <v>1019</v>
      </c>
      <c r="H81" s="12" t="s">
        <v>755</v>
      </c>
      <c r="I81" s="12" t="s">
        <v>756</v>
      </c>
      <c r="J81" s="84">
        <v>35810</v>
      </c>
      <c r="K81" s="84">
        <v>46767</v>
      </c>
      <c r="L81" s="12" t="s">
        <v>274</v>
      </c>
      <c r="M81" s="12" t="s">
        <v>874</v>
      </c>
      <c r="N81" s="75"/>
    </row>
    <row r="82" spans="1:14">
      <c r="A82" s="12">
        <v>79</v>
      </c>
      <c r="B82" s="12" t="s">
        <v>1020</v>
      </c>
      <c r="C82" s="12" t="s">
        <v>221</v>
      </c>
      <c r="D82" s="12" t="s">
        <v>1021</v>
      </c>
      <c r="E82" s="85">
        <v>25.7</v>
      </c>
      <c r="F82" s="6">
        <v>2025833</v>
      </c>
      <c r="G82" s="12" t="s">
        <v>1022</v>
      </c>
      <c r="H82" s="12" t="s">
        <v>755</v>
      </c>
      <c r="I82" s="12" t="s">
        <v>756</v>
      </c>
      <c r="J82" s="84">
        <v>35810</v>
      </c>
      <c r="K82" s="84">
        <v>46767</v>
      </c>
      <c r="L82" s="12" t="s">
        <v>274</v>
      </c>
      <c r="M82" s="12" t="s">
        <v>1023</v>
      </c>
      <c r="N82" s="75"/>
    </row>
    <row r="83" spans="1:14">
      <c r="A83" s="12">
        <v>80</v>
      </c>
      <c r="B83" s="12" t="s">
        <v>1024</v>
      </c>
      <c r="C83" s="12" t="s">
        <v>752</v>
      </c>
      <c r="D83" s="12" t="s">
        <v>1025</v>
      </c>
      <c r="E83" s="85">
        <v>829.22</v>
      </c>
      <c r="F83" s="6">
        <v>2819996</v>
      </c>
      <c r="G83" s="12" t="s">
        <v>977</v>
      </c>
      <c r="H83" s="12" t="s">
        <v>755</v>
      </c>
      <c r="I83" s="12" t="s">
        <v>756</v>
      </c>
      <c r="J83" s="84">
        <v>35810</v>
      </c>
      <c r="K83" s="84">
        <v>46767</v>
      </c>
      <c r="L83" s="12" t="s">
        <v>274</v>
      </c>
      <c r="M83" s="12" t="s">
        <v>275</v>
      </c>
      <c r="N83" s="75"/>
    </row>
    <row r="84" spans="1:14">
      <c r="A84" s="12">
        <v>81</v>
      </c>
      <c r="B84" s="12" t="s">
        <v>1026</v>
      </c>
      <c r="C84" s="12" t="s">
        <v>1027</v>
      </c>
      <c r="D84" s="12" t="s">
        <v>862</v>
      </c>
      <c r="E84" s="85">
        <v>25.72</v>
      </c>
      <c r="F84" s="6">
        <v>2025736</v>
      </c>
      <c r="G84" s="12" t="s">
        <v>1028</v>
      </c>
      <c r="H84" s="12" t="s">
        <v>755</v>
      </c>
      <c r="I84" s="12" t="s">
        <v>756</v>
      </c>
      <c r="J84" s="84">
        <v>35846</v>
      </c>
      <c r="K84" s="84">
        <v>46803</v>
      </c>
      <c r="L84" s="12" t="s">
        <v>128</v>
      </c>
      <c r="M84" s="12" t="s">
        <v>862</v>
      </c>
      <c r="N84" s="75"/>
    </row>
    <row r="85" spans="1:14">
      <c r="A85" s="12">
        <v>82</v>
      </c>
      <c r="B85" s="12" t="s">
        <v>1029</v>
      </c>
      <c r="C85" s="12" t="s">
        <v>122</v>
      </c>
      <c r="D85" s="12" t="s">
        <v>1030</v>
      </c>
      <c r="E85" s="85">
        <v>37.119999999999997</v>
      </c>
      <c r="F85" s="6">
        <v>2121174</v>
      </c>
      <c r="G85" s="12" t="s">
        <v>1031</v>
      </c>
      <c r="H85" s="12" t="s">
        <v>755</v>
      </c>
      <c r="I85" s="12" t="s">
        <v>756</v>
      </c>
      <c r="J85" s="84">
        <v>35852</v>
      </c>
      <c r="K85" s="84">
        <v>46809</v>
      </c>
      <c r="L85" s="12" t="s">
        <v>782</v>
      </c>
      <c r="M85" s="12" t="s">
        <v>783</v>
      </c>
      <c r="N85" s="75"/>
    </row>
    <row r="86" spans="1:14">
      <c r="A86" s="12">
        <v>83</v>
      </c>
      <c r="B86" s="12" t="s">
        <v>1032</v>
      </c>
      <c r="C86" s="12" t="s">
        <v>1002</v>
      </c>
      <c r="D86" s="12" t="s">
        <v>1033</v>
      </c>
      <c r="E86" s="85">
        <v>65.59</v>
      </c>
      <c r="F86" s="6">
        <v>2121174</v>
      </c>
      <c r="G86" s="12" t="s">
        <v>1031</v>
      </c>
      <c r="H86" s="12" t="s">
        <v>755</v>
      </c>
      <c r="I86" s="12" t="s">
        <v>756</v>
      </c>
      <c r="J86" s="84">
        <v>35911</v>
      </c>
      <c r="K86" s="84">
        <v>46869</v>
      </c>
      <c r="L86" s="12" t="s">
        <v>782</v>
      </c>
      <c r="M86" s="12" t="s">
        <v>233</v>
      </c>
      <c r="N86" s="75"/>
    </row>
    <row r="87" spans="1:14">
      <c r="A87" s="12">
        <v>84</v>
      </c>
      <c r="B87" s="12" t="s">
        <v>1034</v>
      </c>
      <c r="C87" s="12" t="s">
        <v>1035</v>
      </c>
      <c r="D87" s="12" t="s">
        <v>1036</v>
      </c>
      <c r="E87" s="85">
        <v>49.2</v>
      </c>
      <c r="F87" s="6">
        <v>2587645</v>
      </c>
      <c r="G87" s="12" t="s">
        <v>1037</v>
      </c>
      <c r="H87" s="12" t="s">
        <v>755</v>
      </c>
      <c r="I87" s="12" t="s">
        <v>756</v>
      </c>
      <c r="J87" s="84">
        <v>35874</v>
      </c>
      <c r="K87" s="84">
        <v>46832</v>
      </c>
      <c r="L87" s="12" t="s">
        <v>288</v>
      </c>
      <c r="M87" s="12" t="s">
        <v>1038</v>
      </c>
      <c r="N87" s="75"/>
    </row>
    <row r="88" spans="1:14">
      <c r="A88" s="12">
        <v>85</v>
      </c>
      <c r="B88" s="12" t="s">
        <v>1039</v>
      </c>
      <c r="C88" s="12" t="s">
        <v>212</v>
      </c>
      <c r="D88" s="12" t="s">
        <v>1040</v>
      </c>
      <c r="E88" s="85">
        <v>104.47</v>
      </c>
      <c r="F88" s="6">
        <v>5051134</v>
      </c>
      <c r="G88" s="12" t="s">
        <v>1041</v>
      </c>
      <c r="H88" s="12" t="s">
        <v>755</v>
      </c>
      <c r="I88" s="12" t="s">
        <v>756</v>
      </c>
      <c r="J88" s="84">
        <v>35892</v>
      </c>
      <c r="K88" s="84">
        <v>46850</v>
      </c>
      <c r="L88" s="12" t="s">
        <v>274</v>
      </c>
      <c r="M88" s="12" t="s">
        <v>1042</v>
      </c>
      <c r="N88" s="75"/>
    </row>
    <row r="89" spans="1:14">
      <c r="A89" s="12">
        <v>86</v>
      </c>
      <c r="B89" s="12" t="s">
        <v>1043</v>
      </c>
      <c r="C89" s="12" t="s">
        <v>881</v>
      </c>
      <c r="D89" s="12" t="s">
        <v>1044</v>
      </c>
      <c r="E89" s="85">
        <v>22.62</v>
      </c>
      <c r="F89" s="6">
        <v>2076675</v>
      </c>
      <c r="G89" s="12" t="s">
        <v>1045</v>
      </c>
      <c r="H89" s="12" t="s">
        <v>1046</v>
      </c>
      <c r="I89" s="12" t="s">
        <v>767</v>
      </c>
      <c r="J89" s="84">
        <v>35901</v>
      </c>
      <c r="K89" s="84">
        <v>46859</v>
      </c>
      <c r="L89" s="12" t="s">
        <v>170</v>
      </c>
      <c r="M89" s="12" t="s">
        <v>171</v>
      </c>
      <c r="N89" s="75"/>
    </row>
    <row r="90" spans="1:14">
      <c r="A90" s="12">
        <v>87</v>
      </c>
      <c r="B90" s="12" t="s">
        <v>1047</v>
      </c>
      <c r="C90" s="12" t="s">
        <v>752</v>
      </c>
      <c r="D90" s="12" t="s">
        <v>1048</v>
      </c>
      <c r="E90" s="85">
        <v>241.2</v>
      </c>
      <c r="F90" s="6">
        <v>5076285</v>
      </c>
      <c r="G90" s="12" t="s">
        <v>835</v>
      </c>
      <c r="H90" s="12" t="s">
        <v>755</v>
      </c>
      <c r="I90" s="12" t="s">
        <v>756</v>
      </c>
      <c r="J90" s="84">
        <v>35906</v>
      </c>
      <c r="K90" s="84">
        <v>46864</v>
      </c>
      <c r="L90" s="12" t="s">
        <v>274</v>
      </c>
      <c r="M90" s="12" t="s">
        <v>275</v>
      </c>
      <c r="N90" s="75"/>
    </row>
    <row r="91" spans="1:14">
      <c r="A91" s="12">
        <v>88</v>
      </c>
      <c r="B91" s="12" t="s">
        <v>1049</v>
      </c>
      <c r="C91" s="12" t="s">
        <v>752</v>
      </c>
      <c r="D91" s="12" t="s">
        <v>1050</v>
      </c>
      <c r="E91" s="85">
        <v>89.3</v>
      </c>
      <c r="F91" s="6">
        <v>2571498</v>
      </c>
      <c r="G91" s="12" t="s">
        <v>860</v>
      </c>
      <c r="H91" s="12" t="s">
        <v>755</v>
      </c>
      <c r="I91" s="12" t="s">
        <v>756</v>
      </c>
      <c r="J91" s="84">
        <v>35051</v>
      </c>
      <c r="K91" s="84">
        <v>46009</v>
      </c>
      <c r="L91" s="12" t="s">
        <v>274</v>
      </c>
      <c r="M91" s="12" t="s">
        <v>275</v>
      </c>
      <c r="N91" s="75"/>
    </row>
    <row r="92" spans="1:14">
      <c r="A92" s="12">
        <v>89</v>
      </c>
      <c r="B92" s="12" t="s">
        <v>1051</v>
      </c>
      <c r="C92" s="12" t="s">
        <v>122</v>
      </c>
      <c r="D92" s="12" t="s">
        <v>1052</v>
      </c>
      <c r="E92" s="85">
        <v>37.76</v>
      </c>
      <c r="F92" s="6">
        <v>5068827</v>
      </c>
      <c r="G92" s="12" t="s">
        <v>1053</v>
      </c>
      <c r="H92" s="12" t="s">
        <v>755</v>
      </c>
      <c r="I92" s="12" t="s">
        <v>756</v>
      </c>
      <c r="J92" s="84">
        <v>35945</v>
      </c>
      <c r="K92" s="84">
        <v>46903</v>
      </c>
      <c r="L92" s="12" t="s">
        <v>304</v>
      </c>
      <c r="M92" s="12" t="s">
        <v>1054</v>
      </c>
      <c r="N92" s="75"/>
    </row>
    <row r="93" spans="1:14">
      <c r="A93" s="12">
        <v>90</v>
      </c>
      <c r="B93" s="12" t="s">
        <v>1055</v>
      </c>
      <c r="C93" s="12" t="s">
        <v>1002</v>
      </c>
      <c r="D93" s="12" t="s">
        <v>1056</v>
      </c>
      <c r="E93" s="85">
        <v>46.98</v>
      </c>
      <c r="F93" s="6">
        <v>2585367</v>
      </c>
      <c r="G93" s="12" t="s">
        <v>1057</v>
      </c>
      <c r="H93" s="12" t="s">
        <v>755</v>
      </c>
      <c r="I93" s="12" t="s">
        <v>756</v>
      </c>
      <c r="J93" s="84">
        <v>35971</v>
      </c>
      <c r="K93" s="84">
        <v>46929</v>
      </c>
      <c r="L93" s="12" t="s">
        <v>123</v>
      </c>
      <c r="M93" s="12" t="s">
        <v>1058</v>
      </c>
      <c r="N93" s="75"/>
    </row>
    <row r="94" spans="1:14">
      <c r="A94" s="12">
        <v>91</v>
      </c>
      <c r="B94" s="12" t="s">
        <v>1059</v>
      </c>
      <c r="C94" s="12" t="s">
        <v>1060</v>
      </c>
      <c r="D94" s="12" t="s">
        <v>1061</v>
      </c>
      <c r="E94" s="85">
        <v>13.44</v>
      </c>
      <c r="F94" s="6">
        <v>2064766</v>
      </c>
      <c r="G94" s="12" t="s">
        <v>1062</v>
      </c>
      <c r="H94" s="12" t="s">
        <v>755</v>
      </c>
      <c r="I94" s="12" t="s">
        <v>756</v>
      </c>
      <c r="J94" s="84">
        <v>36048</v>
      </c>
      <c r="K94" s="84">
        <v>53352</v>
      </c>
      <c r="L94" s="12" t="s">
        <v>128</v>
      </c>
      <c r="M94" s="12" t="s">
        <v>191</v>
      </c>
      <c r="N94" s="75"/>
    </row>
    <row r="95" spans="1:14">
      <c r="A95" s="12">
        <v>92</v>
      </c>
      <c r="B95" s="12" t="s">
        <v>1063</v>
      </c>
      <c r="C95" s="12" t="s">
        <v>122</v>
      </c>
      <c r="D95" s="12" t="s">
        <v>1064</v>
      </c>
      <c r="E95" s="85">
        <v>23.29</v>
      </c>
      <c r="F95" s="6">
        <v>2067544</v>
      </c>
      <c r="G95" s="12" t="s">
        <v>1065</v>
      </c>
      <c r="H95" s="12" t="s">
        <v>755</v>
      </c>
      <c r="I95" s="12" t="s">
        <v>756</v>
      </c>
      <c r="J95" s="84">
        <v>36067</v>
      </c>
      <c r="K95" s="84">
        <v>47025</v>
      </c>
      <c r="L95" s="12" t="s">
        <v>205</v>
      </c>
      <c r="M95" s="12" t="s">
        <v>1066</v>
      </c>
      <c r="N95" s="75"/>
    </row>
    <row r="96" spans="1:14">
      <c r="A96" s="12">
        <v>93</v>
      </c>
      <c r="B96" s="12" t="s">
        <v>1067</v>
      </c>
      <c r="C96" s="12" t="s">
        <v>122</v>
      </c>
      <c r="D96" s="12" t="s">
        <v>1068</v>
      </c>
      <c r="E96" s="85">
        <v>74.08</v>
      </c>
      <c r="F96" s="6">
        <v>2010895</v>
      </c>
      <c r="G96" s="12" t="s">
        <v>1069</v>
      </c>
      <c r="H96" s="12" t="s">
        <v>755</v>
      </c>
      <c r="I96" s="12" t="s">
        <v>756</v>
      </c>
      <c r="J96" s="84">
        <v>36069</v>
      </c>
      <c r="K96" s="84">
        <v>47027</v>
      </c>
      <c r="L96" s="12" t="s">
        <v>123</v>
      </c>
      <c r="M96" s="12" t="s">
        <v>1070</v>
      </c>
      <c r="N96" s="75"/>
    </row>
    <row r="97" spans="1:14">
      <c r="A97" s="12">
        <v>94</v>
      </c>
      <c r="B97" s="12" t="s">
        <v>1071</v>
      </c>
      <c r="C97" s="12" t="s">
        <v>122</v>
      </c>
      <c r="D97" s="12" t="s">
        <v>1072</v>
      </c>
      <c r="E97" s="85">
        <v>24.82</v>
      </c>
      <c r="F97" s="6">
        <v>2001454</v>
      </c>
      <c r="G97" s="12" t="s">
        <v>780</v>
      </c>
      <c r="H97" s="12" t="s">
        <v>781</v>
      </c>
      <c r="I97" s="12" t="s">
        <v>756</v>
      </c>
      <c r="J97" s="84">
        <v>36070</v>
      </c>
      <c r="K97" s="84">
        <v>47028</v>
      </c>
      <c r="L97" s="12" t="s">
        <v>782</v>
      </c>
      <c r="M97" s="12" t="s">
        <v>783</v>
      </c>
      <c r="N97" s="75"/>
    </row>
    <row r="98" spans="1:14">
      <c r="A98" s="12">
        <v>95</v>
      </c>
      <c r="B98" s="12" t="s">
        <v>1073</v>
      </c>
      <c r="C98" s="12" t="s">
        <v>1074</v>
      </c>
      <c r="D98" s="12" t="s">
        <v>1075</v>
      </c>
      <c r="E98" s="85">
        <v>1444.06</v>
      </c>
      <c r="F98" s="6">
        <v>2008572</v>
      </c>
      <c r="G98" s="12" t="s">
        <v>1076</v>
      </c>
      <c r="H98" s="12" t="s">
        <v>781</v>
      </c>
      <c r="I98" s="12" t="s">
        <v>756</v>
      </c>
      <c r="J98" s="84">
        <v>36077</v>
      </c>
      <c r="K98" s="84">
        <v>47035</v>
      </c>
      <c r="L98" s="12" t="s">
        <v>1077</v>
      </c>
      <c r="M98" s="12" t="s">
        <v>1078</v>
      </c>
      <c r="N98" s="75"/>
    </row>
    <row r="99" spans="1:14">
      <c r="A99" s="12">
        <v>96</v>
      </c>
      <c r="B99" s="12" t="s">
        <v>1079</v>
      </c>
      <c r="C99" s="12" t="s">
        <v>122</v>
      </c>
      <c r="D99" s="12" t="s">
        <v>1080</v>
      </c>
      <c r="E99" s="85">
        <v>92.01</v>
      </c>
      <c r="F99" s="6">
        <v>2011239</v>
      </c>
      <c r="G99" s="12" t="s">
        <v>1081</v>
      </c>
      <c r="H99" s="12" t="s">
        <v>914</v>
      </c>
      <c r="I99" s="12" t="s">
        <v>756</v>
      </c>
      <c r="J99" s="84">
        <v>36097</v>
      </c>
      <c r="K99" s="84">
        <v>47055</v>
      </c>
      <c r="L99" s="12" t="s">
        <v>123</v>
      </c>
      <c r="M99" s="12" t="s">
        <v>124</v>
      </c>
      <c r="N99" s="75"/>
    </row>
    <row r="100" spans="1:14">
      <c r="A100" s="12">
        <v>97</v>
      </c>
      <c r="B100" s="12" t="s">
        <v>1082</v>
      </c>
      <c r="C100" s="12" t="s">
        <v>122</v>
      </c>
      <c r="D100" s="12" t="s">
        <v>1083</v>
      </c>
      <c r="E100" s="85">
        <v>27.09</v>
      </c>
      <c r="F100" s="6">
        <v>2639815</v>
      </c>
      <c r="G100" s="12" t="s">
        <v>1084</v>
      </c>
      <c r="H100" s="12" t="s">
        <v>755</v>
      </c>
      <c r="I100" s="12" t="s">
        <v>756</v>
      </c>
      <c r="J100" s="84">
        <v>36101</v>
      </c>
      <c r="K100" s="84">
        <v>47059</v>
      </c>
      <c r="L100" s="12" t="s">
        <v>375</v>
      </c>
      <c r="M100" s="12" t="s">
        <v>1085</v>
      </c>
      <c r="N100" s="75"/>
    </row>
    <row r="101" spans="1:14">
      <c r="A101" s="12">
        <v>98</v>
      </c>
      <c r="B101" s="12" t="s">
        <v>1086</v>
      </c>
      <c r="C101" s="12" t="s">
        <v>752</v>
      </c>
      <c r="D101" s="12" t="s">
        <v>1087</v>
      </c>
      <c r="E101" s="85">
        <v>17.329999999999998</v>
      </c>
      <c r="F101" s="6">
        <v>2108291</v>
      </c>
      <c r="G101" s="12" t="s">
        <v>1088</v>
      </c>
      <c r="H101" s="12" t="s">
        <v>848</v>
      </c>
      <c r="I101" s="12" t="s">
        <v>849</v>
      </c>
      <c r="J101" s="84">
        <v>34902</v>
      </c>
      <c r="K101" s="84">
        <v>45860</v>
      </c>
      <c r="L101" s="12" t="s">
        <v>304</v>
      </c>
      <c r="M101" s="12" t="s">
        <v>773</v>
      </c>
      <c r="N101" s="75"/>
    </row>
    <row r="102" spans="1:14">
      <c r="A102" s="12">
        <v>99</v>
      </c>
      <c r="B102" s="12" t="s">
        <v>1089</v>
      </c>
      <c r="C102" s="12" t="s">
        <v>752</v>
      </c>
      <c r="D102" s="12" t="s">
        <v>1090</v>
      </c>
      <c r="E102" s="85">
        <v>8.92</v>
      </c>
      <c r="F102" s="6">
        <v>2108291</v>
      </c>
      <c r="G102" s="12" t="s">
        <v>1088</v>
      </c>
      <c r="H102" s="12" t="s">
        <v>848</v>
      </c>
      <c r="I102" s="12" t="s">
        <v>849</v>
      </c>
      <c r="J102" s="84">
        <v>34902</v>
      </c>
      <c r="K102" s="84">
        <v>45860</v>
      </c>
      <c r="L102" s="12" t="s">
        <v>304</v>
      </c>
      <c r="M102" s="12" t="s">
        <v>773</v>
      </c>
      <c r="N102" s="75"/>
    </row>
    <row r="103" spans="1:14">
      <c r="A103" s="12">
        <v>100</v>
      </c>
      <c r="B103" s="12" t="s">
        <v>1091</v>
      </c>
      <c r="C103" s="12" t="s">
        <v>752</v>
      </c>
      <c r="D103" s="12" t="s">
        <v>1092</v>
      </c>
      <c r="E103" s="85">
        <v>87.42</v>
      </c>
      <c r="F103" s="6">
        <v>2544938</v>
      </c>
      <c r="G103" s="12" t="s">
        <v>1093</v>
      </c>
      <c r="H103" s="12" t="s">
        <v>766</v>
      </c>
      <c r="I103" s="12" t="s">
        <v>767</v>
      </c>
      <c r="J103" s="84">
        <v>36136</v>
      </c>
      <c r="K103" s="84">
        <v>47094</v>
      </c>
      <c r="L103" s="12" t="s">
        <v>304</v>
      </c>
      <c r="M103" s="12" t="s">
        <v>843</v>
      </c>
      <c r="N103" s="75"/>
    </row>
    <row r="104" spans="1:14">
      <c r="A104" s="12">
        <v>101</v>
      </c>
      <c r="B104" s="12" t="s">
        <v>1094</v>
      </c>
      <c r="C104" s="12" t="s">
        <v>752</v>
      </c>
      <c r="D104" s="12" t="s">
        <v>1095</v>
      </c>
      <c r="E104" s="85">
        <v>2422.9</v>
      </c>
      <c r="F104" s="6">
        <v>2801299</v>
      </c>
      <c r="G104" s="12" t="s">
        <v>1096</v>
      </c>
      <c r="H104" s="12" t="s">
        <v>755</v>
      </c>
      <c r="I104" s="12" t="s">
        <v>756</v>
      </c>
      <c r="J104" s="84">
        <v>36126</v>
      </c>
      <c r="K104" s="84">
        <v>47424</v>
      </c>
      <c r="L104" s="12" t="s">
        <v>1097</v>
      </c>
      <c r="M104" s="12" t="s">
        <v>1098</v>
      </c>
      <c r="N104" s="75"/>
    </row>
    <row r="105" spans="1:14">
      <c r="A105" s="12">
        <v>102</v>
      </c>
      <c r="B105" s="12" t="s">
        <v>1099</v>
      </c>
      <c r="C105" s="12" t="s">
        <v>122</v>
      </c>
      <c r="D105" s="12" t="s">
        <v>1100</v>
      </c>
      <c r="E105" s="85">
        <v>28.8</v>
      </c>
      <c r="F105" s="6">
        <v>5141583</v>
      </c>
      <c r="G105" s="12" t="s">
        <v>1101</v>
      </c>
      <c r="H105" s="12" t="s">
        <v>848</v>
      </c>
      <c r="I105" s="12" t="s">
        <v>849</v>
      </c>
      <c r="J105" s="84">
        <v>36159</v>
      </c>
      <c r="K105" s="84">
        <v>47117</v>
      </c>
      <c r="L105" s="12" t="s">
        <v>1102</v>
      </c>
      <c r="M105" s="12" t="s">
        <v>1103</v>
      </c>
      <c r="N105" s="75"/>
    </row>
    <row r="106" spans="1:14">
      <c r="A106" s="12">
        <v>103</v>
      </c>
      <c r="B106" s="12" t="s">
        <v>1104</v>
      </c>
      <c r="C106" s="12" t="s">
        <v>752</v>
      </c>
      <c r="D106" s="12" t="s">
        <v>1105</v>
      </c>
      <c r="E106" s="85">
        <v>25.21</v>
      </c>
      <c r="F106" s="6">
        <v>2551764</v>
      </c>
      <c r="G106" s="12" t="s">
        <v>793</v>
      </c>
      <c r="H106" s="12" t="s">
        <v>755</v>
      </c>
      <c r="I106" s="12" t="s">
        <v>756</v>
      </c>
      <c r="J106" s="84">
        <v>36229</v>
      </c>
      <c r="K106" s="84">
        <v>47187</v>
      </c>
      <c r="L106" s="12" t="s">
        <v>293</v>
      </c>
      <c r="M106" s="12" t="s">
        <v>794</v>
      </c>
      <c r="N106" s="75"/>
    </row>
    <row r="107" spans="1:14">
      <c r="A107" s="12">
        <v>104</v>
      </c>
      <c r="B107" s="12" t="s">
        <v>1106</v>
      </c>
      <c r="C107" s="12" t="s">
        <v>122</v>
      </c>
      <c r="D107" s="12" t="s">
        <v>1107</v>
      </c>
      <c r="E107" s="85">
        <v>39.200000000000003</v>
      </c>
      <c r="F107" s="6">
        <v>2661128</v>
      </c>
      <c r="G107" s="12" t="s">
        <v>1108</v>
      </c>
      <c r="H107" s="12" t="s">
        <v>755</v>
      </c>
      <c r="I107" s="12" t="s">
        <v>756</v>
      </c>
      <c r="J107" s="84">
        <v>36234</v>
      </c>
      <c r="K107" s="84">
        <v>47192</v>
      </c>
      <c r="L107" s="12" t="s">
        <v>782</v>
      </c>
      <c r="M107" s="12" t="s">
        <v>1109</v>
      </c>
      <c r="N107" s="75"/>
    </row>
    <row r="108" spans="1:14">
      <c r="A108" s="12">
        <v>105</v>
      </c>
      <c r="B108" s="12" t="s">
        <v>1110</v>
      </c>
      <c r="C108" s="12" t="s">
        <v>212</v>
      </c>
      <c r="D108" s="12" t="s">
        <v>1111</v>
      </c>
      <c r="E108" s="85">
        <v>40.369999999999997</v>
      </c>
      <c r="F108" s="6">
        <v>2885565</v>
      </c>
      <c r="G108" s="12" t="s">
        <v>1112</v>
      </c>
      <c r="H108" s="12" t="s">
        <v>755</v>
      </c>
      <c r="I108" s="12" t="s">
        <v>756</v>
      </c>
      <c r="J108" s="84">
        <v>36250</v>
      </c>
      <c r="K108" s="84">
        <v>47208</v>
      </c>
      <c r="L108" s="12" t="s">
        <v>375</v>
      </c>
      <c r="M108" s="12" t="s">
        <v>944</v>
      </c>
      <c r="N108" s="75"/>
    </row>
    <row r="109" spans="1:14">
      <c r="A109" s="12">
        <v>106</v>
      </c>
      <c r="B109" s="12" t="s">
        <v>1113</v>
      </c>
      <c r="C109" s="12" t="s">
        <v>1002</v>
      </c>
      <c r="D109" s="12" t="s">
        <v>1114</v>
      </c>
      <c r="E109" s="85">
        <v>28.5</v>
      </c>
      <c r="F109" s="6">
        <v>2295954</v>
      </c>
      <c r="G109" s="12" t="s">
        <v>1115</v>
      </c>
      <c r="H109" s="12" t="s">
        <v>755</v>
      </c>
      <c r="I109" s="12" t="s">
        <v>756</v>
      </c>
      <c r="J109" s="84">
        <v>36270</v>
      </c>
      <c r="K109" s="84">
        <v>47830</v>
      </c>
      <c r="L109" s="12" t="s">
        <v>233</v>
      </c>
      <c r="M109" s="12" t="s">
        <v>237</v>
      </c>
      <c r="N109" s="75"/>
    </row>
    <row r="110" spans="1:14">
      <c r="A110" s="12">
        <v>107</v>
      </c>
      <c r="B110" s="12" t="s">
        <v>1116</v>
      </c>
      <c r="C110" s="12" t="s">
        <v>1117</v>
      </c>
      <c r="D110" s="12" t="s">
        <v>309</v>
      </c>
      <c r="E110" s="85">
        <v>1767.19</v>
      </c>
      <c r="F110" s="6">
        <v>2050374</v>
      </c>
      <c r="G110" s="12" t="s">
        <v>309</v>
      </c>
      <c r="H110" s="12" t="s">
        <v>781</v>
      </c>
      <c r="I110" s="12" t="s">
        <v>756</v>
      </c>
      <c r="J110" s="84">
        <v>36270</v>
      </c>
      <c r="K110" s="84">
        <v>47228</v>
      </c>
      <c r="L110" s="12" t="s">
        <v>180</v>
      </c>
      <c r="M110" s="12" t="s">
        <v>798</v>
      </c>
      <c r="N110" s="75"/>
    </row>
    <row r="111" spans="1:14">
      <c r="A111" s="12">
        <v>108</v>
      </c>
      <c r="B111" s="12" t="s">
        <v>1118</v>
      </c>
      <c r="C111" s="12" t="s">
        <v>212</v>
      </c>
      <c r="D111" s="12" t="s">
        <v>1119</v>
      </c>
      <c r="E111" s="85">
        <v>33.24</v>
      </c>
      <c r="F111" s="6">
        <v>5006864</v>
      </c>
      <c r="G111" s="12" t="s">
        <v>1120</v>
      </c>
      <c r="H111" s="12" t="s">
        <v>848</v>
      </c>
      <c r="I111" s="12" t="s">
        <v>849</v>
      </c>
      <c r="J111" s="84">
        <v>36297</v>
      </c>
      <c r="K111" s="84">
        <v>47255</v>
      </c>
      <c r="L111" s="12" t="s">
        <v>170</v>
      </c>
      <c r="M111" s="12" t="s">
        <v>802</v>
      </c>
      <c r="N111" s="75"/>
    </row>
    <row r="112" spans="1:14">
      <c r="A112" s="12">
        <v>109</v>
      </c>
      <c r="B112" s="12" t="s">
        <v>1121</v>
      </c>
      <c r="C112" s="12" t="s">
        <v>122</v>
      </c>
      <c r="D112" s="12" t="s">
        <v>1122</v>
      </c>
      <c r="E112" s="85">
        <v>40.869999999999997</v>
      </c>
      <c r="F112" s="6">
        <v>5141583</v>
      </c>
      <c r="G112" s="12" t="s">
        <v>1101</v>
      </c>
      <c r="H112" s="12" t="s">
        <v>848</v>
      </c>
      <c r="I112" s="12" t="s">
        <v>849</v>
      </c>
      <c r="J112" s="84">
        <v>36305</v>
      </c>
      <c r="K112" s="84">
        <v>47263</v>
      </c>
      <c r="L112" s="12" t="s">
        <v>1102</v>
      </c>
      <c r="M112" s="12" t="s">
        <v>1103</v>
      </c>
      <c r="N112" s="75"/>
    </row>
    <row r="113" spans="1:14">
      <c r="A113" s="12">
        <v>110</v>
      </c>
      <c r="B113" s="12" t="s">
        <v>1123</v>
      </c>
      <c r="C113" s="12" t="s">
        <v>1124</v>
      </c>
      <c r="D113" s="12" t="s">
        <v>1125</v>
      </c>
      <c r="E113" s="85">
        <v>54.27</v>
      </c>
      <c r="F113" s="6">
        <v>2030861</v>
      </c>
      <c r="G113" s="12" t="s">
        <v>1126</v>
      </c>
      <c r="H113" s="12" t="s">
        <v>755</v>
      </c>
      <c r="I113" s="12" t="s">
        <v>756</v>
      </c>
      <c r="J113" s="84">
        <v>36333</v>
      </c>
      <c r="K113" s="84">
        <v>48387</v>
      </c>
      <c r="L113" s="12" t="s">
        <v>1127</v>
      </c>
      <c r="M113" s="12" t="s">
        <v>1128</v>
      </c>
      <c r="N113" s="75"/>
    </row>
    <row r="114" spans="1:14">
      <c r="A114" s="12">
        <v>111</v>
      </c>
      <c r="B114" s="12" t="s">
        <v>1129</v>
      </c>
      <c r="C114" s="12" t="s">
        <v>122</v>
      </c>
      <c r="D114" s="12" t="s">
        <v>1130</v>
      </c>
      <c r="E114" s="85">
        <v>42.69</v>
      </c>
      <c r="F114" s="6">
        <v>5294495</v>
      </c>
      <c r="G114" s="12" t="s">
        <v>1131</v>
      </c>
      <c r="H114" s="12" t="s">
        <v>755</v>
      </c>
      <c r="I114" s="12" t="s">
        <v>756</v>
      </c>
      <c r="J114" s="84">
        <v>36342</v>
      </c>
      <c r="K114" s="84">
        <v>47300</v>
      </c>
      <c r="L114" s="12" t="s">
        <v>1014</v>
      </c>
      <c r="M114" s="12" t="s">
        <v>1132</v>
      </c>
      <c r="N114" s="75"/>
    </row>
    <row r="115" spans="1:14">
      <c r="A115" s="12">
        <v>112</v>
      </c>
      <c r="B115" s="12" t="s">
        <v>1133</v>
      </c>
      <c r="C115" s="12" t="s">
        <v>221</v>
      </c>
      <c r="D115" s="12" t="s">
        <v>1134</v>
      </c>
      <c r="E115" s="85">
        <v>26.52</v>
      </c>
      <c r="F115" s="6">
        <v>5034868</v>
      </c>
      <c r="G115" s="12" t="s">
        <v>1135</v>
      </c>
      <c r="H115" s="12" t="s">
        <v>755</v>
      </c>
      <c r="I115" s="12" t="s">
        <v>756</v>
      </c>
      <c r="J115" s="84">
        <v>36357</v>
      </c>
      <c r="K115" s="84">
        <v>47315</v>
      </c>
      <c r="L115" s="12" t="s">
        <v>274</v>
      </c>
      <c r="M115" s="12" t="s">
        <v>874</v>
      </c>
      <c r="N115" s="75"/>
    </row>
    <row r="116" spans="1:14">
      <c r="A116" s="12">
        <v>113</v>
      </c>
      <c r="B116" s="12" t="s">
        <v>1136</v>
      </c>
      <c r="C116" s="12" t="s">
        <v>1137</v>
      </c>
      <c r="D116" s="12" t="s">
        <v>1138</v>
      </c>
      <c r="E116" s="85">
        <v>132.1</v>
      </c>
      <c r="F116" s="6">
        <v>2067439</v>
      </c>
      <c r="G116" s="12" t="s">
        <v>1139</v>
      </c>
      <c r="H116" s="12" t="s">
        <v>755</v>
      </c>
      <c r="I116" s="12" t="s">
        <v>756</v>
      </c>
      <c r="J116" s="84">
        <v>36360</v>
      </c>
      <c r="K116" s="84">
        <v>47318</v>
      </c>
      <c r="L116" s="12" t="s">
        <v>138</v>
      </c>
      <c r="M116" s="12" t="s">
        <v>899</v>
      </c>
      <c r="N116" s="75"/>
    </row>
    <row r="117" spans="1:14">
      <c r="A117" s="12">
        <v>114</v>
      </c>
      <c r="B117" s="12" t="s">
        <v>1140</v>
      </c>
      <c r="C117" s="12" t="s">
        <v>221</v>
      </c>
      <c r="D117" s="12" t="s">
        <v>775</v>
      </c>
      <c r="E117" s="85">
        <v>103.08</v>
      </c>
      <c r="F117" s="6">
        <v>2027194</v>
      </c>
      <c r="G117" s="12" t="s">
        <v>923</v>
      </c>
      <c r="H117" s="12" t="s">
        <v>755</v>
      </c>
      <c r="I117" s="12" t="s">
        <v>756</v>
      </c>
      <c r="J117" s="84">
        <v>36364</v>
      </c>
      <c r="K117" s="84">
        <v>47322</v>
      </c>
      <c r="L117" s="12" t="s">
        <v>170</v>
      </c>
      <c r="M117" s="12" t="s">
        <v>171</v>
      </c>
      <c r="N117" s="75"/>
    </row>
    <row r="118" spans="1:14">
      <c r="A118" s="12">
        <v>115</v>
      </c>
      <c r="B118" s="12" t="s">
        <v>1141</v>
      </c>
      <c r="C118" s="12" t="s">
        <v>979</v>
      </c>
      <c r="D118" s="12" t="s">
        <v>1142</v>
      </c>
      <c r="E118" s="85">
        <v>153.41</v>
      </c>
      <c r="F118" s="6">
        <v>5005094</v>
      </c>
      <c r="G118" s="12" t="s">
        <v>1143</v>
      </c>
      <c r="H118" s="12" t="s">
        <v>755</v>
      </c>
      <c r="I118" s="12" t="s">
        <v>756</v>
      </c>
      <c r="J118" s="84">
        <v>36369</v>
      </c>
      <c r="K118" s="84">
        <v>47327</v>
      </c>
      <c r="L118" s="12" t="s">
        <v>836</v>
      </c>
      <c r="M118" s="12" t="s">
        <v>1144</v>
      </c>
      <c r="N118" s="75"/>
    </row>
    <row r="119" spans="1:14">
      <c r="A119" s="12">
        <v>116</v>
      </c>
      <c r="B119" s="12" t="s">
        <v>1145</v>
      </c>
      <c r="C119" s="12" t="s">
        <v>995</v>
      </c>
      <c r="D119" s="12" t="s">
        <v>1146</v>
      </c>
      <c r="E119" s="85">
        <v>27.45</v>
      </c>
      <c r="F119" s="6">
        <v>2051273</v>
      </c>
      <c r="G119" s="12" t="s">
        <v>1147</v>
      </c>
      <c r="H119" s="12" t="s">
        <v>755</v>
      </c>
      <c r="I119" s="12" t="s">
        <v>756</v>
      </c>
      <c r="J119" s="84">
        <v>36382</v>
      </c>
      <c r="K119" s="84">
        <v>47340</v>
      </c>
      <c r="L119" s="12" t="s">
        <v>180</v>
      </c>
      <c r="M119" s="12" t="s">
        <v>181</v>
      </c>
      <c r="N119" s="75"/>
    </row>
    <row r="120" spans="1:14">
      <c r="A120" s="12">
        <v>117</v>
      </c>
      <c r="B120" s="12" t="s">
        <v>1148</v>
      </c>
      <c r="C120" s="12" t="s">
        <v>979</v>
      </c>
      <c r="D120" s="12" t="s">
        <v>1149</v>
      </c>
      <c r="E120" s="85">
        <v>25.24</v>
      </c>
      <c r="F120" s="6">
        <v>2590565</v>
      </c>
      <c r="G120" s="12" t="s">
        <v>1150</v>
      </c>
      <c r="H120" s="12" t="s">
        <v>755</v>
      </c>
      <c r="I120" s="12" t="s">
        <v>756</v>
      </c>
      <c r="J120" s="84">
        <v>36392</v>
      </c>
      <c r="K120" s="84">
        <v>47350</v>
      </c>
      <c r="L120" s="12" t="s">
        <v>304</v>
      </c>
      <c r="M120" s="12" t="s">
        <v>141</v>
      </c>
      <c r="N120" s="75"/>
    </row>
    <row r="121" spans="1:14">
      <c r="A121" s="12">
        <v>118</v>
      </c>
      <c r="B121" s="12" t="s">
        <v>1151</v>
      </c>
      <c r="C121" s="12" t="s">
        <v>1152</v>
      </c>
      <c r="D121" s="12" t="s">
        <v>1153</v>
      </c>
      <c r="E121" s="85">
        <v>15.92</v>
      </c>
      <c r="F121" s="6">
        <v>2774771</v>
      </c>
      <c r="G121" s="12" t="s">
        <v>1154</v>
      </c>
      <c r="H121" s="12" t="s">
        <v>755</v>
      </c>
      <c r="I121" s="12" t="s">
        <v>756</v>
      </c>
      <c r="J121" s="84">
        <v>36397</v>
      </c>
      <c r="K121" s="84">
        <v>48031</v>
      </c>
      <c r="L121" s="12" t="s">
        <v>180</v>
      </c>
      <c r="M121" s="12" t="s">
        <v>927</v>
      </c>
      <c r="N121" s="75"/>
    </row>
    <row r="122" spans="1:14">
      <c r="A122" s="12">
        <v>119</v>
      </c>
      <c r="B122" s="12" t="s">
        <v>1155</v>
      </c>
      <c r="C122" s="12" t="s">
        <v>221</v>
      </c>
      <c r="D122" s="12" t="s">
        <v>1156</v>
      </c>
      <c r="E122" s="85">
        <v>27.3</v>
      </c>
      <c r="F122" s="6">
        <v>2577992</v>
      </c>
      <c r="G122" s="12" t="s">
        <v>1157</v>
      </c>
      <c r="H122" s="12" t="s">
        <v>755</v>
      </c>
      <c r="I122" s="12" t="s">
        <v>756</v>
      </c>
      <c r="J122" s="84">
        <v>36403</v>
      </c>
      <c r="K122" s="84">
        <v>47361</v>
      </c>
      <c r="L122" s="12" t="s">
        <v>274</v>
      </c>
      <c r="M122" s="12" t="s">
        <v>1023</v>
      </c>
      <c r="N122" s="75"/>
    </row>
    <row r="123" spans="1:14">
      <c r="A123" s="12">
        <v>120</v>
      </c>
      <c r="B123" s="12" t="s">
        <v>1158</v>
      </c>
      <c r="C123" s="12" t="s">
        <v>937</v>
      </c>
      <c r="D123" s="12" t="s">
        <v>1159</v>
      </c>
      <c r="E123" s="85">
        <v>11.48</v>
      </c>
      <c r="F123" s="6">
        <v>2741288</v>
      </c>
      <c r="G123" s="12" t="s">
        <v>1160</v>
      </c>
      <c r="H123" s="12" t="s">
        <v>755</v>
      </c>
      <c r="I123" s="12" t="s">
        <v>756</v>
      </c>
      <c r="J123" s="84">
        <v>36453</v>
      </c>
      <c r="K123" s="84">
        <v>47411</v>
      </c>
      <c r="L123" s="12" t="s">
        <v>128</v>
      </c>
      <c r="M123" s="12" t="s">
        <v>862</v>
      </c>
      <c r="N123" s="75"/>
    </row>
    <row r="124" spans="1:14">
      <c r="A124" s="12">
        <v>121</v>
      </c>
      <c r="B124" s="12" t="s">
        <v>1161</v>
      </c>
      <c r="C124" s="12" t="s">
        <v>979</v>
      </c>
      <c r="D124" s="12" t="s">
        <v>1162</v>
      </c>
      <c r="E124" s="85">
        <v>530.24</v>
      </c>
      <c r="F124" s="6">
        <v>2094533</v>
      </c>
      <c r="G124" s="12" t="s">
        <v>847</v>
      </c>
      <c r="H124" s="12" t="s">
        <v>848</v>
      </c>
      <c r="I124" s="12" t="s">
        <v>849</v>
      </c>
      <c r="J124" s="84">
        <v>36492</v>
      </c>
      <c r="K124" s="84">
        <v>47450</v>
      </c>
      <c r="L124" s="12" t="s">
        <v>304</v>
      </c>
      <c r="M124" s="12" t="s">
        <v>141</v>
      </c>
      <c r="N124" s="75"/>
    </row>
    <row r="125" spans="1:14">
      <c r="A125" s="12">
        <v>122</v>
      </c>
      <c r="B125" s="12" t="s">
        <v>1163</v>
      </c>
      <c r="C125" s="12" t="s">
        <v>845</v>
      </c>
      <c r="D125" s="12" t="s">
        <v>1162</v>
      </c>
      <c r="E125" s="85">
        <v>642.64</v>
      </c>
      <c r="F125" s="6">
        <v>2094533</v>
      </c>
      <c r="G125" s="12" t="s">
        <v>847</v>
      </c>
      <c r="H125" s="12" t="s">
        <v>848</v>
      </c>
      <c r="I125" s="12" t="s">
        <v>849</v>
      </c>
      <c r="J125" s="84">
        <v>36500</v>
      </c>
      <c r="K125" s="84">
        <v>47458</v>
      </c>
      <c r="L125" s="12" t="s">
        <v>304</v>
      </c>
      <c r="M125" s="12" t="s">
        <v>850</v>
      </c>
      <c r="N125" s="75"/>
    </row>
    <row r="126" spans="1:14">
      <c r="A126" s="12">
        <v>123</v>
      </c>
      <c r="B126" s="12" t="s">
        <v>1164</v>
      </c>
      <c r="C126" s="12" t="s">
        <v>752</v>
      </c>
      <c r="D126" s="12" t="s">
        <v>1165</v>
      </c>
      <c r="E126" s="85">
        <v>136.46</v>
      </c>
      <c r="F126" s="6">
        <v>6174248</v>
      </c>
      <c r="G126" s="12" t="s">
        <v>1166</v>
      </c>
      <c r="H126" s="12" t="s">
        <v>848</v>
      </c>
      <c r="I126" s="12" t="s">
        <v>849</v>
      </c>
      <c r="J126" s="84">
        <v>36511</v>
      </c>
      <c r="K126" s="84">
        <v>47719</v>
      </c>
      <c r="L126" s="12" t="s">
        <v>274</v>
      </c>
      <c r="M126" s="12" t="s">
        <v>790</v>
      </c>
      <c r="N126" s="75"/>
    </row>
    <row r="127" spans="1:14">
      <c r="A127" s="12">
        <v>124</v>
      </c>
      <c r="B127" s="12" t="s">
        <v>1167</v>
      </c>
      <c r="C127" s="12" t="s">
        <v>752</v>
      </c>
      <c r="D127" s="12" t="s">
        <v>1168</v>
      </c>
      <c r="E127" s="85">
        <v>178.08</v>
      </c>
      <c r="F127" s="6">
        <v>5320798</v>
      </c>
      <c r="G127" s="12" t="s">
        <v>1169</v>
      </c>
      <c r="H127" s="12" t="s">
        <v>755</v>
      </c>
      <c r="I127" s="12" t="s">
        <v>756</v>
      </c>
      <c r="J127" s="84">
        <v>36651</v>
      </c>
      <c r="K127" s="84">
        <v>47608</v>
      </c>
      <c r="L127" s="12" t="s">
        <v>768</v>
      </c>
      <c r="M127" s="12" t="s">
        <v>769</v>
      </c>
      <c r="N127" s="75"/>
    </row>
    <row r="128" spans="1:14">
      <c r="A128" s="12">
        <v>125</v>
      </c>
      <c r="B128" s="12" t="s">
        <v>1170</v>
      </c>
      <c r="C128" s="12" t="s">
        <v>995</v>
      </c>
      <c r="D128" s="12" t="s">
        <v>1171</v>
      </c>
      <c r="E128" s="85">
        <v>28.28</v>
      </c>
      <c r="F128" s="6">
        <v>2574209</v>
      </c>
      <c r="G128" s="12" t="s">
        <v>1172</v>
      </c>
      <c r="H128" s="12" t="s">
        <v>755</v>
      </c>
      <c r="I128" s="12" t="s">
        <v>756</v>
      </c>
      <c r="J128" s="84">
        <v>36651</v>
      </c>
      <c r="K128" s="84">
        <v>47608</v>
      </c>
      <c r="L128" s="12" t="s">
        <v>304</v>
      </c>
      <c r="M128" s="12" t="s">
        <v>777</v>
      </c>
      <c r="N128" s="75"/>
    </row>
    <row r="129" spans="1:14">
      <c r="A129" s="12">
        <v>126</v>
      </c>
      <c r="B129" s="12" t="s">
        <v>1173</v>
      </c>
      <c r="C129" s="12" t="s">
        <v>122</v>
      </c>
      <c r="D129" s="12" t="s">
        <v>1174</v>
      </c>
      <c r="E129" s="85">
        <v>39.36</v>
      </c>
      <c r="F129" s="6">
        <v>5182212</v>
      </c>
      <c r="G129" s="12" t="s">
        <v>1175</v>
      </c>
      <c r="H129" s="12" t="s">
        <v>848</v>
      </c>
      <c r="I129" s="12" t="s">
        <v>849</v>
      </c>
      <c r="J129" s="84">
        <v>36686</v>
      </c>
      <c r="K129" s="84">
        <v>47643</v>
      </c>
      <c r="L129" s="12" t="s">
        <v>836</v>
      </c>
      <c r="M129" s="12" t="s">
        <v>305</v>
      </c>
      <c r="N129" s="75"/>
    </row>
    <row r="130" spans="1:14">
      <c r="A130" s="12">
        <v>127</v>
      </c>
      <c r="B130" s="12" t="s">
        <v>1176</v>
      </c>
      <c r="C130" s="12" t="s">
        <v>752</v>
      </c>
      <c r="D130" s="12" t="s">
        <v>1177</v>
      </c>
      <c r="E130" s="85">
        <v>201.83</v>
      </c>
      <c r="F130" s="6">
        <v>5282586</v>
      </c>
      <c r="G130" s="12" t="s">
        <v>1178</v>
      </c>
      <c r="H130" s="12" t="s">
        <v>755</v>
      </c>
      <c r="I130" s="12" t="s">
        <v>756</v>
      </c>
      <c r="J130" s="84">
        <v>36696</v>
      </c>
      <c r="K130" s="84">
        <v>47653</v>
      </c>
      <c r="L130" s="12" t="s">
        <v>274</v>
      </c>
      <c r="M130" s="12" t="s">
        <v>790</v>
      </c>
      <c r="N130" s="75"/>
    </row>
    <row r="131" spans="1:14">
      <c r="A131" s="12">
        <v>128</v>
      </c>
      <c r="B131" s="12" t="s">
        <v>1179</v>
      </c>
      <c r="C131" s="12" t="s">
        <v>221</v>
      </c>
      <c r="D131" s="12" t="s">
        <v>1180</v>
      </c>
      <c r="E131" s="85">
        <v>28.9</v>
      </c>
      <c r="F131" s="6">
        <v>2569477</v>
      </c>
      <c r="G131" s="12" t="s">
        <v>1181</v>
      </c>
      <c r="H131" s="12" t="s">
        <v>755</v>
      </c>
      <c r="I131" s="12" t="s">
        <v>756</v>
      </c>
      <c r="J131" s="84">
        <v>36717</v>
      </c>
      <c r="K131" s="84">
        <v>47674</v>
      </c>
      <c r="L131" s="12" t="s">
        <v>170</v>
      </c>
      <c r="M131" s="12" t="s">
        <v>811</v>
      </c>
      <c r="N131" s="75"/>
    </row>
    <row r="132" spans="1:14">
      <c r="A132" s="12">
        <v>129</v>
      </c>
      <c r="B132" s="12" t="s">
        <v>1182</v>
      </c>
      <c r="C132" s="12" t="s">
        <v>122</v>
      </c>
      <c r="D132" s="12" t="s">
        <v>1183</v>
      </c>
      <c r="E132" s="85">
        <v>118.43</v>
      </c>
      <c r="F132" s="6">
        <v>2095025</v>
      </c>
      <c r="G132" s="12" t="s">
        <v>870</v>
      </c>
      <c r="H132" s="12" t="s">
        <v>755</v>
      </c>
      <c r="I132" s="12" t="s">
        <v>756</v>
      </c>
      <c r="J132" s="84">
        <v>36755</v>
      </c>
      <c r="K132" s="84">
        <v>47713</v>
      </c>
      <c r="L132" s="12" t="s">
        <v>170</v>
      </c>
      <c r="M132" s="12" t="s">
        <v>171</v>
      </c>
      <c r="N132" s="75"/>
    </row>
    <row r="133" spans="1:14">
      <c r="A133" s="12">
        <v>130</v>
      </c>
      <c r="B133" s="12" t="s">
        <v>1184</v>
      </c>
      <c r="C133" s="12" t="s">
        <v>221</v>
      </c>
      <c r="D133" s="12" t="s">
        <v>1185</v>
      </c>
      <c r="E133" s="85">
        <v>25.75</v>
      </c>
      <c r="F133" s="6">
        <v>4377443</v>
      </c>
      <c r="G133" s="12" t="s">
        <v>1186</v>
      </c>
      <c r="H133" s="12" t="s">
        <v>755</v>
      </c>
      <c r="I133" s="12" t="s">
        <v>756</v>
      </c>
      <c r="J133" s="84">
        <v>36791</v>
      </c>
      <c r="K133" s="84">
        <v>47748</v>
      </c>
      <c r="L133" s="12" t="s">
        <v>836</v>
      </c>
      <c r="M133" s="12" t="s">
        <v>329</v>
      </c>
      <c r="N133" s="75"/>
    </row>
    <row r="134" spans="1:14">
      <c r="A134" s="12">
        <v>131</v>
      </c>
      <c r="B134" s="12" t="s">
        <v>1187</v>
      </c>
      <c r="C134" s="12" t="s">
        <v>979</v>
      </c>
      <c r="D134" s="12" t="s">
        <v>1188</v>
      </c>
      <c r="E134" s="85">
        <v>50.6</v>
      </c>
      <c r="F134" s="6">
        <v>2663937</v>
      </c>
      <c r="G134" s="12" t="s">
        <v>1189</v>
      </c>
      <c r="H134" s="12" t="s">
        <v>755</v>
      </c>
      <c r="I134" s="12" t="s">
        <v>756</v>
      </c>
      <c r="J134" s="84">
        <v>36794</v>
      </c>
      <c r="K134" s="84">
        <v>47751</v>
      </c>
      <c r="L134" s="12" t="s">
        <v>304</v>
      </c>
      <c r="M134" s="12" t="s">
        <v>777</v>
      </c>
      <c r="N134" s="75"/>
    </row>
    <row r="135" spans="1:14">
      <c r="A135" s="12">
        <v>132</v>
      </c>
      <c r="B135" s="12" t="s">
        <v>1190</v>
      </c>
      <c r="C135" s="12" t="s">
        <v>221</v>
      </c>
      <c r="D135" s="12" t="s">
        <v>806</v>
      </c>
      <c r="E135" s="85">
        <v>26.64</v>
      </c>
      <c r="F135" s="6">
        <v>2738961</v>
      </c>
      <c r="G135" s="12" t="s">
        <v>1191</v>
      </c>
      <c r="H135" s="12" t="s">
        <v>755</v>
      </c>
      <c r="I135" s="12" t="s">
        <v>756</v>
      </c>
      <c r="J135" s="84">
        <v>36913</v>
      </c>
      <c r="K135" s="84">
        <v>47870</v>
      </c>
      <c r="L135" s="12" t="s">
        <v>304</v>
      </c>
      <c r="M135" s="12" t="s">
        <v>329</v>
      </c>
      <c r="N135" s="75"/>
    </row>
    <row r="136" spans="1:14">
      <c r="A136" s="12">
        <v>133</v>
      </c>
      <c r="B136" s="12" t="s">
        <v>1192</v>
      </c>
      <c r="C136" s="12" t="s">
        <v>122</v>
      </c>
      <c r="D136" s="12" t="s">
        <v>1193</v>
      </c>
      <c r="E136" s="85">
        <v>38.200000000000003</v>
      </c>
      <c r="F136" s="6">
        <v>5141583</v>
      </c>
      <c r="G136" s="12" t="s">
        <v>1101</v>
      </c>
      <c r="H136" s="12" t="s">
        <v>848</v>
      </c>
      <c r="I136" s="12" t="s">
        <v>849</v>
      </c>
      <c r="J136" s="84">
        <v>36917</v>
      </c>
      <c r="K136" s="84">
        <v>47874</v>
      </c>
      <c r="L136" s="12" t="s">
        <v>1102</v>
      </c>
      <c r="M136" s="12" t="s">
        <v>1194</v>
      </c>
      <c r="N136" s="75"/>
    </row>
    <row r="137" spans="1:14">
      <c r="A137" s="12">
        <v>134</v>
      </c>
      <c r="B137" s="12" t="s">
        <v>1195</v>
      </c>
      <c r="C137" s="12" t="s">
        <v>752</v>
      </c>
      <c r="D137" s="12" t="s">
        <v>1196</v>
      </c>
      <c r="E137" s="85">
        <v>235.57</v>
      </c>
      <c r="F137" s="6">
        <v>5407761</v>
      </c>
      <c r="G137" s="12" t="s">
        <v>1197</v>
      </c>
      <c r="H137" s="12" t="s">
        <v>755</v>
      </c>
      <c r="I137" s="12" t="s">
        <v>756</v>
      </c>
      <c r="J137" s="84">
        <v>36958</v>
      </c>
      <c r="K137" s="84">
        <v>47915</v>
      </c>
      <c r="L137" s="12" t="s">
        <v>768</v>
      </c>
      <c r="M137" s="12" t="s">
        <v>1198</v>
      </c>
      <c r="N137" s="75"/>
    </row>
    <row r="138" spans="1:14">
      <c r="A138" s="12">
        <v>135</v>
      </c>
      <c r="B138" s="12" t="s">
        <v>1199</v>
      </c>
      <c r="C138" s="12" t="s">
        <v>1027</v>
      </c>
      <c r="D138" s="12" t="s">
        <v>1200</v>
      </c>
      <c r="E138" s="85">
        <v>13.13</v>
      </c>
      <c r="F138" s="6">
        <v>2703068</v>
      </c>
      <c r="G138" s="12" t="s">
        <v>1201</v>
      </c>
      <c r="H138" s="12" t="s">
        <v>755</v>
      </c>
      <c r="I138" s="12" t="s">
        <v>756</v>
      </c>
      <c r="J138" s="84">
        <v>36962</v>
      </c>
      <c r="K138" s="84">
        <v>47935</v>
      </c>
      <c r="L138" s="12" t="s">
        <v>128</v>
      </c>
      <c r="M138" s="12" t="s">
        <v>862</v>
      </c>
      <c r="N138" s="75"/>
    </row>
    <row r="139" spans="1:14">
      <c r="A139" s="12">
        <v>136</v>
      </c>
      <c r="B139" s="12" t="s">
        <v>1202</v>
      </c>
      <c r="C139" s="12" t="s">
        <v>1203</v>
      </c>
      <c r="D139" s="12" t="s">
        <v>1204</v>
      </c>
      <c r="E139" s="85">
        <v>628.16</v>
      </c>
      <c r="F139" s="6">
        <v>5068762</v>
      </c>
      <c r="G139" s="12" t="s">
        <v>1205</v>
      </c>
      <c r="H139" s="12" t="s">
        <v>848</v>
      </c>
      <c r="I139" s="12" t="s">
        <v>849</v>
      </c>
      <c r="J139" s="84">
        <v>36962</v>
      </c>
      <c r="K139" s="84">
        <v>48367</v>
      </c>
      <c r="L139" s="12" t="s">
        <v>293</v>
      </c>
      <c r="M139" s="12" t="s">
        <v>1206</v>
      </c>
      <c r="N139" s="75"/>
    </row>
    <row r="140" spans="1:14">
      <c r="A140" s="12">
        <v>137</v>
      </c>
      <c r="B140" s="12" t="s">
        <v>1207</v>
      </c>
      <c r="C140" s="12" t="s">
        <v>752</v>
      </c>
      <c r="D140" s="12" t="s">
        <v>1208</v>
      </c>
      <c r="E140" s="85">
        <v>380.32</v>
      </c>
      <c r="F140" s="6">
        <v>2763788</v>
      </c>
      <c r="G140" s="12" t="s">
        <v>1209</v>
      </c>
      <c r="H140" s="12" t="s">
        <v>755</v>
      </c>
      <c r="I140" s="12" t="s">
        <v>756</v>
      </c>
      <c r="J140" s="84">
        <v>36976</v>
      </c>
      <c r="K140" s="84">
        <v>47933</v>
      </c>
      <c r="L140" s="12" t="s">
        <v>123</v>
      </c>
      <c r="M140" s="12" t="s">
        <v>272</v>
      </c>
      <c r="N140" s="75"/>
    </row>
    <row r="141" spans="1:14">
      <c r="A141" s="12">
        <v>138</v>
      </c>
      <c r="B141" s="12" t="s">
        <v>1210</v>
      </c>
      <c r="C141" s="12" t="s">
        <v>221</v>
      </c>
      <c r="D141" s="12" t="s">
        <v>1211</v>
      </c>
      <c r="E141" s="85">
        <v>25.87</v>
      </c>
      <c r="F141" s="6">
        <v>2812886</v>
      </c>
      <c r="G141" s="12" t="s">
        <v>1212</v>
      </c>
      <c r="H141" s="12" t="s">
        <v>755</v>
      </c>
      <c r="I141" s="12" t="s">
        <v>756</v>
      </c>
      <c r="J141" s="84">
        <v>36994</v>
      </c>
      <c r="K141" s="84">
        <v>47951</v>
      </c>
      <c r="L141" s="12" t="s">
        <v>180</v>
      </c>
      <c r="M141" s="12" t="s">
        <v>927</v>
      </c>
      <c r="N141" s="75"/>
    </row>
    <row r="142" spans="1:14">
      <c r="A142" s="12">
        <v>139</v>
      </c>
      <c r="B142" s="12" t="s">
        <v>1213</v>
      </c>
      <c r="C142" s="12" t="s">
        <v>979</v>
      </c>
      <c r="D142" s="12" t="s">
        <v>1214</v>
      </c>
      <c r="E142" s="85">
        <v>118.6</v>
      </c>
      <c r="F142" s="6">
        <v>5122392</v>
      </c>
      <c r="G142" s="12" t="s">
        <v>1215</v>
      </c>
      <c r="H142" s="12" t="s">
        <v>848</v>
      </c>
      <c r="I142" s="12" t="s">
        <v>849</v>
      </c>
      <c r="J142" s="84">
        <v>37001</v>
      </c>
      <c r="K142" s="84">
        <v>47958</v>
      </c>
      <c r="L142" s="12" t="s">
        <v>138</v>
      </c>
      <c r="M142" s="12" t="s">
        <v>1216</v>
      </c>
      <c r="N142" s="75"/>
    </row>
    <row r="143" spans="1:14">
      <c r="A143" s="12">
        <v>140</v>
      </c>
      <c r="B143" s="12" t="s">
        <v>1217</v>
      </c>
      <c r="C143" s="12" t="s">
        <v>221</v>
      </c>
      <c r="D143" s="12" t="s">
        <v>1218</v>
      </c>
      <c r="E143" s="85">
        <v>37.619999999999997</v>
      </c>
      <c r="F143" s="6">
        <v>2744937</v>
      </c>
      <c r="G143" s="12" t="s">
        <v>1219</v>
      </c>
      <c r="H143" s="12" t="s">
        <v>755</v>
      </c>
      <c r="I143" s="12" t="s">
        <v>756</v>
      </c>
      <c r="J143" s="84">
        <v>37001</v>
      </c>
      <c r="K143" s="84">
        <v>47958</v>
      </c>
      <c r="L143" s="12" t="s">
        <v>304</v>
      </c>
      <c r="M143" s="12" t="s">
        <v>329</v>
      </c>
      <c r="N143" s="75"/>
    </row>
    <row r="144" spans="1:14">
      <c r="A144" s="12">
        <v>141</v>
      </c>
      <c r="B144" s="12" t="s">
        <v>1220</v>
      </c>
      <c r="C144" s="12" t="s">
        <v>752</v>
      </c>
      <c r="D144" s="12" t="s">
        <v>1221</v>
      </c>
      <c r="E144" s="85">
        <v>27.61</v>
      </c>
      <c r="F144" s="6">
        <v>2881934</v>
      </c>
      <c r="G144" s="12" t="s">
        <v>1222</v>
      </c>
      <c r="H144" s="12" t="s">
        <v>755</v>
      </c>
      <c r="I144" s="12" t="s">
        <v>756</v>
      </c>
      <c r="J144" s="84">
        <v>37011</v>
      </c>
      <c r="K144" s="84">
        <v>49438</v>
      </c>
      <c r="L144" s="12" t="s">
        <v>304</v>
      </c>
      <c r="M144" s="12" t="s">
        <v>773</v>
      </c>
      <c r="N144" s="75"/>
    </row>
    <row r="145" spans="1:14">
      <c r="A145" s="12">
        <v>142</v>
      </c>
      <c r="B145" s="12" t="s">
        <v>1223</v>
      </c>
      <c r="C145" s="12" t="s">
        <v>221</v>
      </c>
      <c r="D145" s="12" t="s">
        <v>1224</v>
      </c>
      <c r="E145" s="85">
        <v>25.24</v>
      </c>
      <c r="F145" s="6">
        <v>4377443</v>
      </c>
      <c r="G145" s="12" t="s">
        <v>1186</v>
      </c>
      <c r="H145" s="12" t="s">
        <v>755</v>
      </c>
      <c r="I145" s="12" t="s">
        <v>756</v>
      </c>
      <c r="J145" s="84">
        <v>37021</v>
      </c>
      <c r="K145" s="84">
        <v>47978</v>
      </c>
      <c r="L145" s="12" t="s">
        <v>836</v>
      </c>
      <c r="M145" s="12" t="s">
        <v>329</v>
      </c>
      <c r="N145" s="75"/>
    </row>
    <row r="146" spans="1:14">
      <c r="A146" s="12">
        <v>143</v>
      </c>
      <c r="B146" s="12" t="s">
        <v>1225</v>
      </c>
      <c r="C146" s="12" t="s">
        <v>212</v>
      </c>
      <c r="D146" s="12" t="s">
        <v>1226</v>
      </c>
      <c r="E146" s="85">
        <v>32.65</v>
      </c>
      <c r="F146" s="6">
        <v>5051134</v>
      </c>
      <c r="G146" s="12" t="s">
        <v>1041</v>
      </c>
      <c r="H146" s="12" t="s">
        <v>755</v>
      </c>
      <c r="I146" s="12" t="s">
        <v>756</v>
      </c>
      <c r="J146" s="84">
        <v>37022</v>
      </c>
      <c r="K146" s="84">
        <v>47979</v>
      </c>
      <c r="L146" s="12" t="s">
        <v>274</v>
      </c>
      <c r="M146" s="12" t="s">
        <v>1042</v>
      </c>
      <c r="N146" s="75"/>
    </row>
    <row r="147" spans="1:14">
      <c r="A147" s="12">
        <v>144</v>
      </c>
      <c r="B147" s="12" t="s">
        <v>1227</v>
      </c>
      <c r="C147" s="12" t="s">
        <v>212</v>
      </c>
      <c r="D147" s="12" t="s">
        <v>1228</v>
      </c>
      <c r="E147" s="85">
        <v>32.99</v>
      </c>
      <c r="F147" s="6">
        <v>2609436</v>
      </c>
      <c r="G147" s="12" t="s">
        <v>1229</v>
      </c>
      <c r="H147" s="12" t="s">
        <v>755</v>
      </c>
      <c r="I147" s="12" t="s">
        <v>756</v>
      </c>
      <c r="J147" s="84">
        <v>37054</v>
      </c>
      <c r="K147" s="84">
        <v>48011</v>
      </c>
      <c r="L147" s="12" t="s">
        <v>293</v>
      </c>
      <c r="M147" s="12" t="s">
        <v>181</v>
      </c>
      <c r="N147" s="75"/>
    </row>
    <row r="148" spans="1:14">
      <c r="A148" s="12">
        <v>145</v>
      </c>
      <c r="B148" s="12" t="s">
        <v>1230</v>
      </c>
      <c r="C148" s="12" t="s">
        <v>1035</v>
      </c>
      <c r="D148" s="12" t="s">
        <v>1231</v>
      </c>
      <c r="E148" s="85">
        <v>29.29</v>
      </c>
      <c r="F148" s="6">
        <v>5286808</v>
      </c>
      <c r="G148" s="12" t="s">
        <v>1232</v>
      </c>
      <c r="H148" s="12" t="s">
        <v>848</v>
      </c>
      <c r="I148" s="12" t="s">
        <v>849</v>
      </c>
      <c r="J148" s="84">
        <v>37081</v>
      </c>
      <c r="K148" s="84">
        <v>48038</v>
      </c>
      <c r="L148" s="12" t="s">
        <v>288</v>
      </c>
      <c r="M148" s="12" t="s">
        <v>902</v>
      </c>
      <c r="N148" s="75"/>
    </row>
    <row r="149" spans="1:14">
      <c r="A149" s="12">
        <v>146</v>
      </c>
      <c r="B149" s="12" t="s">
        <v>1233</v>
      </c>
      <c r="C149" s="12" t="s">
        <v>122</v>
      </c>
      <c r="D149" s="12" t="s">
        <v>1234</v>
      </c>
      <c r="E149" s="85">
        <v>814.5</v>
      </c>
      <c r="F149" s="6">
        <v>2662647</v>
      </c>
      <c r="G149" s="12" t="s">
        <v>1235</v>
      </c>
      <c r="H149" s="12" t="s">
        <v>766</v>
      </c>
      <c r="I149" s="12" t="s">
        <v>767</v>
      </c>
      <c r="J149" s="84">
        <v>37081</v>
      </c>
      <c r="K149" s="84">
        <v>48038</v>
      </c>
      <c r="L149" s="12" t="s">
        <v>782</v>
      </c>
      <c r="M149" s="12" t="s">
        <v>1109</v>
      </c>
      <c r="N149" s="75"/>
    </row>
    <row r="150" spans="1:14">
      <c r="A150" s="12">
        <v>147</v>
      </c>
      <c r="B150" s="12" t="s">
        <v>1236</v>
      </c>
      <c r="C150" s="12" t="s">
        <v>212</v>
      </c>
      <c r="D150" s="12" t="s">
        <v>1237</v>
      </c>
      <c r="E150" s="85">
        <v>29.21</v>
      </c>
      <c r="F150" s="6">
        <v>5201152</v>
      </c>
      <c r="G150" s="12" t="s">
        <v>1238</v>
      </c>
      <c r="H150" s="12" t="s">
        <v>755</v>
      </c>
      <c r="I150" s="12" t="s">
        <v>756</v>
      </c>
      <c r="J150" s="84">
        <v>37088</v>
      </c>
      <c r="K150" s="84">
        <v>48045</v>
      </c>
      <c r="L150" s="12" t="s">
        <v>293</v>
      </c>
      <c r="M150" s="12" t="s">
        <v>181</v>
      </c>
      <c r="N150" s="75"/>
    </row>
    <row r="151" spans="1:14">
      <c r="A151" s="12">
        <v>148</v>
      </c>
      <c r="B151" s="12" t="s">
        <v>1239</v>
      </c>
      <c r="C151" s="12" t="s">
        <v>752</v>
      </c>
      <c r="D151" s="12" t="s">
        <v>1240</v>
      </c>
      <c r="E151" s="85">
        <v>399.88</v>
      </c>
      <c r="F151" s="6">
        <v>2008726</v>
      </c>
      <c r="G151" s="12" t="s">
        <v>1241</v>
      </c>
      <c r="H151" s="12" t="s">
        <v>755</v>
      </c>
      <c r="I151" s="12" t="s">
        <v>756</v>
      </c>
      <c r="J151" s="84">
        <v>37228</v>
      </c>
      <c r="K151" s="84">
        <v>48185</v>
      </c>
      <c r="L151" s="12" t="s">
        <v>1242</v>
      </c>
      <c r="M151" s="12" t="s">
        <v>1243</v>
      </c>
      <c r="N151" s="75"/>
    </row>
    <row r="152" spans="1:14">
      <c r="A152" s="12">
        <v>149</v>
      </c>
      <c r="B152" s="12" t="s">
        <v>1244</v>
      </c>
      <c r="C152" s="12" t="s">
        <v>1245</v>
      </c>
      <c r="D152" s="12" t="s">
        <v>862</v>
      </c>
      <c r="E152" s="85">
        <v>25.75</v>
      </c>
      <c r="F152" s="6">
        <v>5017386</v>
      </c>
      <c r="G152" s="12" t="s">
        <v>1246</v>
      </c>
      <c r="H152" s="12" t="s">
        <v>755</v>
      </c>
      <c r="I152" s="12" t="s">
        <v>756</v>
      </c>
      <c r="J152" s="84">
        <v>37245</v>
      </c>
      <c r="K152" s="84">
        <v>48202</v>
      </c>
      <c r="L152" s="12" t="s">
        <v>128</v>
      </c>
      <c r="M152" s="12" t="s">
        <v>862</v>
      </c>
      <c r="N152" s="75"/>
    </row>
    <row r="153" spans="1:14">
      <c r="A153" s="12">
        <v>150</v>
      </c>
      <c r="B153" s="12" t="s">
        <v>1247</v>
      </c>
      <c r="C153" s="12" t="s">
        <v>259</v>
      </c>
      <c r="D153" s="12" t="s">
        <v>1248</v>
      </c>
      <c r="E153" s="85">
        <v>51.89</v>
      </c>
      <c r="F153" s="6">
        <v>2663813</v>
      </c>
      <c r="G153" s="12" t="s">
        <v>1249</v>
      </c>
      <c r="H153" s="12" t="s">
        <v>755</v>
      </c>
      <c r="I153" s="12" t="s">
        <v>756</v>
      </c>
      <c r="J153" s="84">
        <v>37251</v>
      </c>
      <c r="K153" s="84">
        <v>49535</v>
      </c>
      <c r="L153" s="12" t="s">
        <v>205</v>
      </c>
      <c r="M153" s="12" t="s">
        <v>1066</v>
      </c>
      <c r="N153" s="75"/>
    </row>
    <row r="154" spans="1:14">
      <c r="A154" s="12">
        <v>151</v>
      </c>
      <c r="B154" s="12" t="s">
        <v>1250</v>
      </c>
      <c r="C154" s="12" t="s">
        <v>752</v>
      </c>
      <c r="D154" s="12" t="s">
        <v>1251</v>
      </c>
      <c r="E154" s="85">
        <v>33.53</v>
      </c>
      <c r="F154" s="6">
        <v>2784262</v>
      </c>
      <c r="G154" s="12" t="s">
        <v>1252</v>
      </c>
      <c r="H154" s="12" t="s">
        <v>755</v>
      </c>
      <c r="I154" s="12" t="s">
        <v>756</v>
      </c>
      <c r="J154" s="84">
        <v>37288</v>
      </c>
      <c r="K154" s="84">
        <v>48245</v>
      </c>
      <c r="L154" s="12" t="s">
        <v>274</v>
      </c>
      <c r="M154" s="12" t="s">
        <v>275</v>
      </c>
      <c r="N154" s="75"/>
    </row>
    <row r="155" spans="1:14">
      <c r="A155" s="12">
        <v>152</v>
      </c>
      <c r="B155" s="12" t="s">
        <v>1253</v>
      </c>
      <c r="C155" s="12" t="s">
        <v>221</v>
      </c>
      <c r="D155" s="12" t="s">
        <v>1254</v>
      </c>
      <c r="E155" s="85">
        <v>26.85</v>
      </c>
      <c r="F155" s="6">
        <v>2633086</v>
      </c>
      <c r="G155" s="12" t="s">
        <v>1255</v>
      </c>
      <c r="H155" s="12" t="s">
        <v>755</v>
      </c>
      <c r="I155" s="12" t="s">
        <v>756</v>
      </c>
      <c r="J155" s="84">
        <v>37294</v>
      </c>
      <c r="K155" s="84">
        <v>48251</v>
      </c>
      <c r="L155" s="12" t="s">
        <v>123</v>
      </c>
      <c r="M155" s="12" t="s">
        <v>1256</v>
      </c>
      <c r="N155" s="75"/>
    </row>
    <row r="156" spans="1:14">
      <c r="A156" s="12">
        <v>153</v>
      </c>
      <c r="B156" s="12" t="s">
        <v>1257</v>
      </c>
      <c r="C156" s="12" t="s">
        <v>212</v>
      </c>
      <c r="D156" s="12" t="s">
        <v>1258</v>
      </c>
      <c r="E156" s="85">
        <v>26.75</v>
      </c>
      <c r="F156" s="6">
        <v>5288703</v>
      </c>
      <c r="G156" s="12" t="s">
        <v>1259</v>
      </c>
      <c r="H156" s="12" t="s">
        <v>766</v>
      </c>
      <c r="I156" s="12" t="s">
        <v>767</v>
      </c>
      <c r="J156" s="84">
        <v>37299</v>
      </c>
      <c r="K156" s="84">
        <v>48256</v>
      </c>
      <c r="L156" s="12" t="s">
        <v>293</v>
      </c>
      <c r="M156" s="12" t="s">
        <v>294</v>
      </c>
      <c r="N156" s="75"/>
    </row>
    <row r="157" spans="1:14">
      <c r="A157" s="12">
        <v>154</v>
      </c>
      <c r="B157" s="12" t="s">
        <v>1260</v>
      </c>
      <c r="C157" s="12" t="s">
        <v>752</v>
      </c>
      <c r="D157" s="12" t="s">
        <v>1261</v>
      </c>
      <c r="E157" s="85">
        <v>166.9</v>
      </c>
      <c r="F157" s="6">
        <v>5213789</v>
      </c>
      <c r="G157" s="12" t="s">
        <v>1262</v>
      </c>
      <c r="H157" s="12" t="s">
        <v>755</v>
      </c>
      <c r="I157" s="12" t="s">
        <v>756</v>
      </c>
      <c r="J157" s="84">
        <v>37330</v>
      </c>
      <c r="K157" s="84">
        <v>51689</v>
      </c>
      <c r="L157" s="12" t="s">
        <v>304</v>
      </c>
      <c r="M157" s="12" t="s">
        <v>843</v>
      </c>
      <c r="N157" s="75"/>
    </row>
    <row r="158" spans="1:14">
      <c r="A158" s="12">
        <v>155</v>
      </c>
      <c r="B158" s="12" t="s">
        <v>1263</v>
      </c>
      <c r="C158" s="12" t="s">
        <v>1264</v>
      </c>
      <c r="D158" s="12" t="s">
        <v>1265</v>
      </c>
      <c r="E158" s="85">
        <v>18.600000000000001</v>
      </c>
      <c r="F158" s="6">
        <v>2047764</v>
      </c>
      <c r="G158" s="12" t="s">
        <v>1266</v>
      </c>
      <c r="H158" s="12" t="s">
        <v>755</v>
      </c>
      <c r="I158" s="12" t="s">
        <v>756</v>
      </c>
      <c r="J158" s="84">
        <v>37333</v>
      </c>
      <c r="K158" s="84">
        <v>48291</v>
      </c>
      <c r="L158" s="12" t="s">
        <v>274</v>
      </c>
      <c r="M158" s="12" t="s">
        <v>1267</v>
      </c>
      <c r="N158" s="75"/>
    </row>
    <row r="159" spans="1:14">
      <c r="A159" s="12">
        <v>156</v>
      </c>
      <c r="B159" s="12" t="s">
        <v>1268</v>
      </c>
      <c r="C159" s="12" t="s">
        <v>979</v>
      </c>
      <c r="D159" s="12" t="s">
        <v>1269</v>
      </c>
      <c r="E159" s="85">
        <v>50.66</v>
      </c>
      <c r="F159" s="6">
        <v>2663937</v>
      </c>
      <c r="G159" s="12" t="s">
        <v>1189</v>
      </c>
      <c r="H159" s="12" t="s">
        <v>755</v>
      </c>
      <c r="I159" s="12" t="s">
        <v>756</v>
      </c>
      <c r="J159" s="84">
        <v>37357</v>
      </c>
      <c r="K159" s="84">
        <v>48315</v>
      </c>
      <c r="L159" s="12" t="s">
        <v>304</v>
      </c>
      <c r="M159" s="12" t="s">
        <v>777</v>
      </c>
      <c r="N159" s="75"/>
    </row>
    <row r="160" spans="1:14">
      <c r="A160" s="12">
        <v>157</v>
      </c>
      <c r="B160" s="12" t="s">
        <v>1270</v>
      </c>
      <c r="C160" s="12" t="s">
        <v>212</v>
      </c>
      <c r="D160" s="12" t="s">
        <v>1271</v>
      </c>
      <c r="E160" s="85">
        <v>92.49</v>
      </c>
      <c r="F160" s="6">
        <v>2550466</v>
      </c>
      <c r="G160" s="12" t="s">
        <v>801</v>
      </c>
      <c r="H160" s="12" t="s">
        <v>761</v>
      </c>
      <c r="I160" s="12" t="s">
        <v>756</v>
      </c>
      <c r="J160" s="84">
        <v>37365</v>
      </c>
      <c r="K160" s="84">
        <v>48323</v>
      </c>
      <c r="L160" s="12" t="s">
        <v>375</v>
      </c>
      <c r="M160" s="12" t="s">
        <v>944</v>
      </c>
      <c r="N160" s="75"/>
    </row>
    <row r="161" spans="1:14">
      <c r="A161" s="12">
        <v>158</v>
      </c>
      <c r="B161" s="12" t="s">
        <v>1272</v>
      </c>
      <c r="C161" s="12" t="s">
        <v>1152</v>
      </c>
      <c r="D161" s="12" t="s">
        <v>1265</v>
      </c>
      <c r="E161" s="85">
        <v>24.34</v>
      </c>
      <c r="F161" s="6">
        <v>2565803</v>
      </c>
      <c r="G161" s="12" t="s">
        <v>1273</v>
      </c>
      <c r="H161" s="12" t="s">
        <v>755</v>
      </c>
      <c r="I161" s="12" t="s">
        <v>756</v>
      </c>
      <c r="J161" s="84">
        <v>37368</v>
      </c>
      <c r="K161" s="84">
        <v>48326</v>
      </c>
      <c r="L161" s="12" t="s">
        <v>274</v>
      </c>
      <c r="M161" s="12" t="s">
        <v>1267</v>
      </c>
      <c r="N161" s="75"/>
    </row>
    <row r="162" spans="1:14">
      <c r="A162" s="12">
        <v>159</v>
      </c>
      <c r="B162" s="12" t="s">
        <v>1274</v>
      </c>
      <c r="C162" s="12" t="s">
        <v>122</v>
      </c>
      <c r="D162" s="12" t="s">
        <v>1275</v>
      </c>
      <c r="E162" s="85">
        <v>53.97</v>
      </c>
      <c r="F162" s="6">
        <v>5141583</v>
      </c>
      <c r="G162" s="12" t="s">
        <v>1101</v>
      </c>
      <c r="H162" s="12" t="s">
        <v>848</v>
      </c>
      <c r="I162" s="12" t="s">
        <v>849</v>
      </c>
      <c r="J162" s="84">
        <v>37369</v>
      </c>
      <c r="K162" s="84">
        <v>48327</v>
      </c>
      <c r="L162" s="12" t="s">
        <v>1102</v>
      </c>
      <c r="M162" s="12" t="s">
        <v>1103</v>
      </c>
      <c r="N162" s="75"/>
    </row>
    <row r="163" spans="1:14">
      <c r="A163" s="12">
        <v>160</v>
      </c>
      <c r="B163" s="12" t="s">
        <v>1276</v>
      </c>
      <c r="C163" s="12" t="s">
        <v>212</v>
      </c>
      <c r="D163" s="12" t="s">
        <v>1277</v>
      </c>
      <c r="E163" s="85">
        <v>36.020000000000003</v>
      </c>
      <c r="F163" s="6">
        <v>2787318</v>
      </c>
      <c r="G163" s="12" t="s">
        <v>1278</v>
      </c>
      <c r="H163" s="12" t="s">
        <v>766</v>
      </c>
      <c r="I163" s="12" t="s">
        <v>767</v>
      </c>
      <c r="J163" s="84">
        <v>37385</v>
      </c>
      <c r="K163" s="84">
        <v>48343</v>
      </c>
      <c r="L163" s="12" t="s">
        <v>375</v>
      </c>
      <c r="M163" s="12" t="s">
        <v>1279</v>
      </c>
      <c r="N163" s="75"/>
    </row>
    <row r="164" spans="1:14">
      <c r="A164" s="12">
        <v>161</v>
      </c>
      <c r="B164" s="12" t="s">
        <v>1280</v>
      </c>
      <c r="C164" s="12" t="s">
        <v>898</v>
      </c>
      <c r="D164" s="12" t="s">
        <v>1281</v>
      </c>
      <c r="E164" s="85">
        <v>37.03</v>
      </c>
      <c r="F164" s="6">
        <v>5124913</v>
      </c>
      <c r="G164" s="12" t="s">
        <v>900</v>
      </c>
      <c r="H164" s="12" t="s">
        <v>901</v>
      </c>
      <c r="I164" s="12" t="s">
        <v>756</v>
      </c>
      <c r="J164" s="84">
        <v>37385</v>
      </c>
      <c r="K164" s="84">
        <v>48343</v>
      </c>
      <c r="L164" s="12" t="s">
        <v>288</v>
      </c>
      <c r="M164" s="12" t="s">
        <v>902</v>
      </c>
      <c r="N164" s="75"/>
    </row>
    <row r="165" spans="1:14">
      <c r="A165" s="12">
        <v>162</v>
      </c>
      <c r="B165" s="12" t="s">
        <v>1282</v>
      </c>
      <c r="C165" s="12" t="s">
        <v>752</v>
      </c>
      <c r="D165" s="12" t="s">
        <v>1283</v>
      </c>
      <c r="E165" s="85">
        <v>28.47</v>
      </c>
      <c r="F165" s="6">
        <v>5076021</v>
      </c>
      <c r="G165" s="12" t="s">
        <v>1284</v>
      </c>
      <c r="H165" s="12" t="s">
        <v>755</v>
      </c>
      <c r="I165" s="12" t="s">
        <v>756</v>
      </c>
      <c r="J165" s="84">
        <v>37389</v>
      </c>
      <c r="K165" s="84">
        <v>48347</v>
      </c>
      <c r="L165" s="12" t="s">
        <v>180</v>
      </c>
      <c r="M165" s="12" t="s">
        <v>960</v>
      </c>
      <c r="N165" s="75"/>
    </row>
    <row r="166" spans="1:14">
      <c r="A166" s="12">
        <v>163</v>
      </c>
      <c r="B166" s="12" t="s">
        <v>1285</v>
      </c>
      <c r="C166" s="12" t="s">
        <v>752</v>
      </c>
      <c r="D166" s="12" t="s">
        <v>1286</v>
      </c>
      <c r="E166" s="85">
        <v>215.34</v>
      </c>
      <c r="F166" s="6">
        <v>2841002</v>
      </c>
      <c r="G166" s="12" t="s">
        <v>1287</v>
      </c>
      <c r="H166" s="12" t="s">
        <v>755</v>
      </c>
      <c r="I166" s="12" t="s">
        <v>756</v>
      </c>
      <c r="J166" s="84">
        <v>37390</v>
      </c>
      <c r="K166" s="84">
        <v>48348</v>
      </c>
      <c r="L166" s="12" t="s">
        <v>274</v>
      </c>
      <c r="M166" s="12" t="s">
        <v>1288</v>
      </c>
      <c r="N166" s="75"/>
    </row>
    <row r="167" spans="1:14">
      <c r="A167" s="12">
        <v>164</v>
      </c>
      <c r="B167" s="12" t="s">
        <v>1289</v>
      </c>
      <c r="C167" s="12" t="s">
        <v>752</v>
      </c>
      <c r="D167" s="12" t="s">
        <v>1290</v>
      </c>
      <c r="E167" s="85">
        <v>236.15</v>
      </c>
      <c r="F167" s="6">
        <v>6268048</v>
      </c>
      <c r="G167" s="12" t="s">
        <v>1291</v>
      </c>
      <c r="H167" s="12" t="s">
        <v>755</v>
      </c>
      <c r="I167" s="12" t="s">
        <v>756</v>
      </c>
      <c r="J167" s="84">
        <v>37391</v>
      </c>
      <c r="K167" s="84">
        <v>48349</v>
      </c>
      <c r="L167" s="12" t="s">
        <v>274</v>
      </c>
      <c r="M167" s="12" t="s">
        <v>275</v>
      </c>
      <c r="N167" s="75"/>
    </row>
    <row r="168" spans="1:14">
      <c r="A168" s="12">
        <v>165</v>
      </c>
      <c r="B168" s="12" t="s">
        <v>1292</v>
      </c>
      <c r="C168" s="12" t="s">
        <v>752</v>
      </c>
      <c r="D168" s="12" t="s">
        <v>1290</v>
      </c>
      <c r="E168" s="85">
        <v>530.12</v>
      </c>
      <c r="F168" s="6">
        <v>5073189</v>
      </c>
      <c r="G168" s="12" t="s">
        <v>1293</v>
      </c>
      <c r="H168" s="12" t="s">
        <v>755</v>
      </c>
      <c r="I168" s="12" t="s">
        <v>756</v>
      </c>
      <c r="J168" s="84">
        <v>37391</v>
      </c>
      <c r="K168" s="84">
        <v>48349</v>
      </c>
      <c r="L168" s="12" t="s">
        <v>274</v>
      </c>
      <c r="M168" s="12" t="s">
        <v>275</v>
      </c>
      <c r="N168" s="75"/>
    </row>
    <row r="169" spans="1:14">
      <c r="A169" s="12">
        <v>166</v>
      </c>
      <c r="B169" s="12" t="s">
        <v>1294</v>
      </c>
      <c r="C169" s="12" t="s">
        <v>212</v>
      </c>
      <c r="D169" s="12" t="s">
        <v>1295</v>
      </c>
      <c r="E169" s="85">
        <v>28.39</v>
      </c>
      <c r="F169" s="6">
        <v>2697734</v>
      </c>
      <c r="G169" s="12" t="s">
        <v>1296</v>
      </c>
      <c r="H169" s="12" t="s">
        <v>755</v>
      </c>
      <c r="I169" s="12" t="s">
        <v>756</v>
      </c>
      <c r="J169" s="84">
        <v>37396</v>
      </c>
      <c r="K169" s="84">
        <v>48354</v>
      </c>
      <c r="L169" s="12" t="s">
        <v>170</v>
      </c>
      <c r="M169" s="12" t="s">
        <v>807</v>
      </c>
      <c r="N169" s="75"/>
    </row>
    <row r="170" spans="1:14">
      <c r="A170" s="12">
        <v>167</v>
      </c>
      <c r="B170" s="12" t="s">
        <v>1297</v>
      </c>
      <c r="C170" s="12" t="s">
        <v>122</v>
      </c>
      <c r="D170" s="12" t="s">
        <v>1298</v>
      </c>
      <c r="E170" s="85">
        <v>36.31</v>
      </c>
      <c r="F170" s="6">
        <v>5095638</v>
      </c>
      <c r="G170" s="12" t="s">
        <v>1299</v>
      </c>
      <c r="H170" s="12" t="s">
        <v>755</v>
      </c>
      <c r="I170" s="12" t="s">
        <v>756</v>
      </c>
      <c r="J170" s="84">
        <v>37404</v>
      </c>
      <c r="K170" s="84">
        <v>48362</v>
      </c>
      <c r="L170" s="12" t="s">
        <v>233</v>
      </c>
      <c r="M170" s="12" t="s">
        <v>1300</v>
      </c>
      <c r="N170" s="75"/>
    </row>
    <row r="171" spans="1:14">
      <c r="A171" s="12">
        <v>168</v>
      </c>
      <c r="B171" s="12" t="s">
        <v>1301</v>
      </c>
      <c r="C171" s="12" t="s">
        <v>212</v>
      </c>
      <c r="D171" s="12" t="s">
        <v>1302</v>
      </c>
      <c r="E171" s="85">
        <v>92.5</v>
      </c>
      <c r="F171" s="6">
        <v>2550466</v>
      </c>
      <c r="G171" s="12" t="s">
        <v>801</v>
      </c>
      <c r="H171" s="12" t="s">
        <v>761</v>
      </c>
      <c r="I171" s="12" t="s">
        <v>756</v>
      </c>
      <c r="J171" s="84">
        <v>37407</v>
      </c>
      <c r="K171" s="84">
        <v>48365</v>
      </c>
      <c r="L171" s="12" t="s">
        <v>375</v>
      </c>
      <c r="M171" s="12" t="s">
        <v>944</v>
      </c>
      <c r="N171" s="75"/>
    </row>
    <row r="172" spans="1:14">
      <c r="A172" s="12">
        <v>169</v>
      </c>
      <c r="B172" s="12" t="s">
        <v>1303</v>
      </c>
      <c r="C172" s="12" t="s">
        <v>995</v>
      </c>
      <c r="D172" s="12" t="s">
        <v>1304</v>
      </c>
      <c r="E172" s="85">
        <v>28.97</v>
      </c>
      <c r="F172" s="6">
        <v>2718375</v>
      </c>
      <c r="G172" s="12" t="s">
        <v>1305</v>
      </c>
      <c r="H172" s="12" t="s">
        <v>848</v>
      </c>
      <c r="I172" s="12" t="s">
        <v>849</v>
      </c>
      <c r="J172" s="84">
        <v>37413</v>
      </c>
      <c r="K172" s="84">
        <v>48371</v>
      </c>
      <c r="L172" s="12" t="s">
        <v>128</v>
      </c>
      <c r="M172" s="12" t="s">
        <v>862</v>
      </c>
      <c r="N172" s="75"/>
    </row>
    <row r="173" spans="1:14">
      <c r="A173" s="12">
        <v>170</v>
      </c>
      <c r="B173" s="12" t="s">
        <v>1306</v>
      </c>
      <c r="C173" s="12" t="s">
        <v>212</v>
      </c>
      <c r="D173" s="12" t="s">
        <v>1307</v>
      </c>
      <c r="E173" s="85">
        <v>25.2</v>
      </c>
      <c r="F173" s="6">
        <v>2568683</v>
      </c>
      <c r="G173" s="12" t="s">
        <v>1308</v>
      </c>
      <c r="H173" s="12" t="s">
        <v>755</v>
      </c>
      <c r="I173" s="12" t="s">
        <v>756</v>
      </c>
      <c r="J173" s="84">
        <v>37420</v>
      </c>
      <c r="K173" s="84">
        <v>48378</v>
      </c>
      <c r="L173" s="12" t="s">
        <v>138</v>
      </c>
      <c r="M173" s="12" t="s">
        <v>1216</v>
      </c>
      <c r="N173" s="75"/>
    </row>
    <row r="174" spans="1:14">
      <c r="A174" s="12">
        <v>171</v>
      </c>
      <c r="B174" s="12" t="s">
        <v>1309</v>
      </c>
      <c r="C174" s="12" t="s">
        <v>752</v>
      </c>
      <c r="D174" s="12" t="s">
        <v>1310</v>
      </c>
      <c r="E174" s="85">
        <v>26.2</v>
      </c>
      <c r="F174" s="6">
        <v>5131618</v>
      </c>
      <c r="G174" s="12" t="s">
        <v>1311</v>
      </c>
      <c r="H174" s="12" t="s">
        <v>848</v>
      </c>
      <c r="I174" s="12" t="s">
        <v>849</v>
      </c>
      <c r="J174" s="84">
        <v>37428</v>
      </c>
      <c r="K174" s="84">
        <v>50129</v>
      </c>
      <c r="L174" s="12" t="s">
        <v>304</v>
      </c>
      <c r="M174" s="12" t="s">
        <v>773</v>
      </c>
      <c r="N174" s="75"/>
    </row>
    <row r="175" spans="1:14">
      <c r="A175" s="12">
        <v>172</v>
      </c>
      <c r="B175" s="12" t="s">
        <v>1312</v>
      </c>
      <c r="C175" s="12" t="s">
        <v>122</v>
      </c>
      <c r="D175" s="12" t="s">
        <v>1313</v>
      </c>
      <c r="E175" s="85">
        <v>43.75</v>
      </c>
      <c r="F175" s="6">
        <v>2643928</v>
      </c>
      <c r="G175" s="12" t="s">
        <v>1314</v>
      </c>
      <c r="H175" s="12" t="s">
        <v>781</v>
      </c>
      <c r="I175" s="12" t="s">
        <v>756</v>
      </c>
      <c r="J175" s="84">
        <v>37438</v>
      </c>
      <c r="K175" s="84">
        <v>48396</v>
      </c>
      <c r="L175" s="12" t="s">
        <v>293</v>
      </c>
      <c r="M175" s="12" t="s">
        <v>1315</v>
      </c>
      <c r="N175" s="75"/>
    </row>
    <row r="176" spans="1:14">
      <c r="A176" s="12">
        <v>173</v>
      </c>
      <c r="B176" s="12" t="s">
        <v>1316</v>
      </c>
      <c r="C176" s="12" t="s">
        <v>212</v>
      </c>
      <c r="D176" s="12" t="s">
        <v>1317</v>
      </c>
      <c r="E176" s="85">
        <v>32.97</v>
      </c>
      <c r="F176" s="6">
        <v>5248809</v>
      </c>
      <c r="G176" s="12" t="s">
        <v>1318</v>
      </c>
      <c r="H176" s="12" t="s">
        <v>848</v>
      </c>
      <c r="I176" s="12" t="s">
        <v>849</v>
      </c>
      <c r="J176" s="84">
        <v>37446</v>
      </c>
      <c r="K176" s="84">
        <v>48404</v>
      </c>
      <c r="L176" s="12" t="s">
        <v>170</v>
      </c>
      <c r="M176" s="12" t="s">
        <v>802</v>
      </c>
      <c r="N176" s="75"/>
    </row>
    <row r="177" spans="1:14">
      <c r="A177" s="12">
        <v>174</v>
      </c>
      <c r="B177" s="12" t="s">
        <v>1319</v>
      </c>
      <c r="C177" s="12" t="s">
        <v>221</v>
      </c>
      <c r="D177" s="12" t="s">
        <v>1320</v>
      </c>
      <c r="E177" s="85">
        <v>30.78</v>
      </c>
      <c r="F177" s="6">
        <v>2169967</v>
      </c>
      <c r="G177" s="12" t="s">
        <v>1321</v>
      </c>
      <c r="H177" s="12" t="s">
        <v>755</v>
      </c>
      <c r="I177" s="12" t="s">
        <v>756</v>
      </c>
      <c r="J177" s="84">
        <v>37447</v>
      </c>
      <c r="K177" s="84">
        <v>48405</v>
      </c>
      <c r="L177" s="12" t="s">
        <v>180</v>
      </c>
      <c r="M177" s="12" t="s">
        <v>927</v>
      </c>
      <c r="N177" s="75"/>
    </row>
    <row r="178" spans="1:14">
      <c r="A178" s="12">
        <v>175</v>
      </c>
      <c r="B178" s="12" t="s">
        <v>1322</v>
      </c>
      <c r="C178" s="12" t="s">
        <v>752</v>
      </c>
      <c r="D178" s="12" t="s">
        <v>1323</v>
      </c>
      <c r="E178" s="85">
        <v>235.57</v>
      </c>
      <c r="F178" s="6">
        <v>5407761</v>
      </c>
      <c r="G178" s="12" t="s">
        <v>1197</v>
      </c>
      <c r="H178" s="12" t="s">
        <v>755</v>
      </c>
      <c r="I178" s="12" t="s">
        <v>756</v>
      </c>
      <c r="J178" s="84">
        <v>37456</v>
      </c>
      <c r="K178" s="84">
        <v>48414</v>
      </c>
      <c r="L178" s="12" t="s">
        <v>768</v>
      </c>
      <c r="M178" s="12" t="s">
        <v>1198</v>
      </c>
      <c r="N178" s="75"/>
    </row>
    <row r="179" spans="1:14">
      <c r="A179" s="12">
        <v>176</v>
      </c>
      <c r="B179" s="12" t="s">
        <v>1324</v>
      </c>
      <c r="C179" s="12" t="s">
        <v>752</v>
      </c>
      <c r="D179" s="12" t="s">
        <v>1325</v>
      </c>
      <c r="E179" s="85">
        <v>73.63</v>
      </c>
      <c r="F179" s="6">
        <v>2819996</v>
      </c>
      <c r="G179" s="12" t="s">
        <v>977</v>
      </c>
      <c r="H179" s="12" t="s">
        <v>755</v>
      </c>
      <c r="I179" s="12" t="s">
        <v>756</v>
      </c>
      <c r="J179" s="84">
        <v>37466</v>
      </c>
      <c r="K179" s="84">
        <v>48424</v>
      </c>
      <c r="L179" s="12" t="s">
        <v>831</v>
      </c>
      <c r="M179" s="12" t="s">
        <v>1326</v>
      </c>
      <c r="N179" s="75"/>
    </row>
    <row r="180" spans="1:14">
      <c r="A180" s="12">
        <v>177</v>
      </c>
      <c r="B180" s="12" t="s">
        <v>1327</v>
      </c>
      <c r="C180" s="12" t="s">
        <v>1328</v>
      </c>
      <c r="D180" s="12" t="s">
        <v>1329</v>
      </c>
      <c r="E180" s="85">
        <v>35.89</v>
      </c>
      <c r="F180" s="6">
        <v>2711818</v>
      </c>
      <c r="G180" s="12" t="s">
        <v>1330</v>
      </c>
      <c r="H180" s="12" t="s">
        <v>755</v>
      </c>
      <c r="I180" s="12" t="s">
        <v>756</v>
      </c>
      <c r="J180" s="84">
        <v>37489</v>
      </c>
      <c r="K180" s="84">
        <v>48447</v>
      </c>
      <c r="L180" s="12" t="s">
        <v>274</v>
      </c>
      <c r="M180" s="12" t="s">
        <v>275</v>
      </c>
      <c r="N180" s="75"/>
    </row>
    <row r="181" spans="1:14">
      <c r="A181" s="12">
        <v>178</v>
      </c>
      <c r="B181" s="12" t="s">
        <v>1331</v>
      </c>
      <c r="C181" s="12" t="s">
        <v>752</v>
      </c>
      <c r="D181" s="12" t="s">
        <v>1332</v>
      </c>
      <c r="E181" s="85">
        <v>738.59</v>
      </c>
      <c r="F181" s="6">
        <v>5045894</v>
      </c>
      <c r="G181" s="12" t="s">
        <v>1333</v>
      </c>
      <c r="H181" s="12" t="s">
        <v>755</v>
      </c>
      <c r="I181" s="12" t="s">
        <v>756</v>
      </c>
      <c r="J181" s="84">
        <v>37494</v>
      </c>
      <c r="K181" s="84">
        <v>49083</v>
      </c>
      <c r="L181" s="12" t="s">
        <v>1097</v>
      </c>
      <c r="M181" s="12" t="s">
        <v>1098</v>
      </c>
      <c r="N181" s="75"/>
    </row>
    <row r="182" spans="1:14">
      <c r="A182" s="12">
        <v>179</v>
      </c>
      <c r="B182" s="12" t="s">
        <v>1334</v>
      </c>
      <c r="C182" s="12" t="s">
        <v>979</v>
      </c>
      <c r="D182" s="12" t="s">
        <v>129</v>
      </c>
      <c r="E182" s="85">
        <v>55.89</v>
      </c>
      <c r="F182" s="6">
        <v>2112868</v>
      </c>
      <c r="G182" s="12" t="s">
        <v>1335</v>
      </c>
      <c r="H182" s="12" t="s">
        <v>848</v>
      </c>
      <c r="I182" s="12" t="s">
        <v>849</v>
      </c>
      <c r="J182" s="84">
        <v>37502</v>
      </c>
      <c r="K182" s="84">
        <v>48460</v>
      </c>
      <c r="L182" s="12" t="s">
        <v>163</v>
      </c>
      <c r="M182" s="12" t="s">
        <v>164</v>
      </c>
      <c r="N182" s="75"/>
    </row>
    <row r="183" spans="1:14">
      <c r="A183" s="12">
        <v>180</v>
      </c>
      <c r="B183" s="12" t="s">
        <v>1336</v>
      </c>
      <c r="C183" s="12" t="s">
        <v>212</v>
      </c>
      <c r="D183" s="12" t="s">
        <v>1337</v>
      </c>
      <c r="E183" s="85">
        <v>29.43</v>
      </c>
      <c r="F183" s="6">
        <v>2098482</v>
      </c>
      <c r="G183" s="12" t="s">
        <v>1338</v>
      </c>
      <c r="H183" s="12" t="s">
        <v>755</v>
      </c>
      <c r="I183" s="12" t="s">
        <v>756</v>
      </c>
      <c r="J183" s="84">
        <v>37505</v>
      </c>
      <c r="K183" s="84">
        <v>48462</v>
      </c>
      <c r="L183" s="12" t="s">
        <v>170</v>
      </c>
      <c r="M183" s="12" t="s">
        <v>811</v>
      </c>
      <c r="N183" s="75"/>
    </row>
    <row r="184" spans="1:14">
      <c r="A184" s="12">
        <v>181</v>
      </c>
      <c r="B184" s="12" t="s">
        <v>1339</v>
      </c>
      <c r="C184" s="12" t="s">
        <v>122</v>
      </c>
      <c r="D184" s="12" t="s">
        <v>1340</v>
      </c>
      <c r="E184" s="85">
        <v>81.489999999999995</v>
      </c>
      <c r="F184" s="6">
        <v>2824302</v>
      </c>
      <c r="G184" s="12" t="s">
        <v>1341</v>
      </c>
      <c r="H184" s="12" t="s">
        <v>755</v>
      </c>
      <c r="I184" s="12" t="s">
        <v>756</v>
      </c>
      <c r="J184" s="84">
        <v>37512</v>
      </c>
      <c r="K184" s="84">
        <v>48470</v>
      </c>
      <c r="L184" s="12" t="s">
        <v>293</v>
      </c>
      <c r="M184" s="12" t="s">
        <v>1342</v>
      </c>
      <c r="N184" s="75"/>
    </row>
    <row r="185" spans="1:14">
      <c r="A185" s="12">
        <v>182</v>
      </c>
      <c r="B185" s="12" t="s">
        <v>1343</v>
      </c>
      <c r="C185" s="12" t="s">
        <v>752</v>
      </c>
      <c r="D185" s="12" t="s">
        <v>1344</v>
      </c>
      <c r="E185" s="85">
        <v>66.47</v>
      </c>
      <c r="F185" s="6">
        <v>2550466</v>
      </c>
      <c r="G185" s="12" t="s">
        <v>801</v>
      </c>
      <c r="H185" s="12" t="s">
        <v>761</v>
      </c>
      <c r="I185" s="12" t="s">
        <v>756</v>
      </c>
      <c r="J185" s="84">
        <v>37516</v>
      </c>
      <c r="K185" s="84">
        <v>48474</v>
      </c>
      <c r="L185" s="12" t="s">
        <v>274</v>
      </c>
      <c r="M185" s="12" t="s">
        <v>275</v>
      </c>
      <c r="N185" s="75"/>
    </row>
    <row r="186" spans="1:14">
      <c r="A186" s="12">
        <v>183</v>
      </c>
      <c r="B186" s="12" t="s">
        <v>1345</v>
      </c>
      <c r="C186" s="12" t="s">
        <v>752</v>
      </c>
      <c r="D186" s="12" t="s">
        <v>1346</v>
      </c>
      <c r="E186" s="85">
        <v>772.68</v>
      </c>
      <c r="F186" s="6">
        <v>2554518</v>
      </c>
      <c r="G186" s="12" t="s">
        <v>1347</v>
      </c>
      <c r="H186" s="12" t="s">
        <v>755</v>
      </c>
      <c r="I186" s="12" t="s">
        <v>756</v>
      </c>
      <c r="J186" s="84">
        <v>37518</v>
      </c>
      <c r="K186" s="84">
        <v>48476</v>
      </c>
      <c r="L186" s="12" t="s">
        <v>274</v>
      </c>
      <c r="M186" s="12" t="s">
        <v>275</v>
      </c>
      <c r="N186" s="75"/>
    </row>
    <row r="187" spans="1:14">
      <c r="A187" s="12">
        <v>184</v>
      </c>
      <c r="B187" s="12" t="s">
        <v>1348</v>
      </c>
      <c r="C187" s="12" t="s">
        <v>752</v>
      </c>
      <c r="D187" s="12" t="s">
        <v>964</v>
      </c>
      <c r="E187" s="85">
        <v>169.22</v>
      </c>
      <c r="F187" s="6">
        <v>5180252</v>
      </c>
      <c r="G187" s="12" t="s">
        <v>1349</v>
      </c>
      <c r="H187" s="12" t="s">
        <v>755</v>
      </c>
      <c r="I187" s="12" t="s">
        <v>756</v>
      </c>
      <c r="J187" s="84">
        <v>37532</v>
      </c>
      <c r="K187" s="84">
        <v>48490</v>
      </c>
      <c r="L187" s="12" t="s">
        <v>768</v>
      </c>
      <c r="M187" s="12" t="s">
        <v>1350</v>
      </c>
      <c r="N187" s="75"/>
    </row>
    <row r="188" spans="1:14">
      <c r="A188" s="12">
        <v>185</v>
      </c>
      <c r="B188" s="12" t="s">
        <v>1351</v>
      </c>
      <c r="C188" s="12" t="s">
        <v>122</v>
      </c>
      <c r="D188" s="12" t="s">
        <v>1352</v>
      </c>
      <c r="E188" s="85">
        <v>25.88</v>
      </c>
      <c r="F188" s="6">
        <v>2049902</v>
      </c>
      <c r="G188" s="12" t="s">
        <v>1353</v>
      </c>
      <c r="H188" s="12" t="s">
        <v>755</v>
      </c>
      <c r="I188" s="12" t="s">
        <v>756</v>
      </c>
      <c r="J188" s="84">
        <v>37008</v>
      </c>
      <c r="K188" s="84">
        <v>47965</v>
      </c>
      <c r="L188" s="12" t="s">
        <v>128</v>
      </c>
      <c r="M188" s="12" t="s">
        <v>862</v>
      </c>
      <c r="N188" s="75"/>
    </row>
    <row r="189" spans="1:14">
      <c r="A189" s="12">
        <v>186</v>
      </c>
      <c r="B189" s="12" t="s">
        <v>1354</v>
      </c>
      <c r="C189" s="12" t="s">
        <v>752</v>
      </c>
      <c r="D189" s="12" t="s">
        <v>1355</v>
      </c>
      <c r="E189" s="85">
        <v>1252.5999999999999</v>
      </c>
      <c r="F189" s="6">
        <v>6195598</v>
      </c>
      <c r="G189" s="12" t="s">
        <v>1356</v>
      </c>
      <c r="H189" s="12" t="s">
        <v>755</v>
      </c>
      <c r="I189" s="12" t="s">
        <v>756</v>
      </c>
      <c r="J189" s="84">
        <v>37552</v>
      </c>
      <c r="K189" s="84">
        <v>48510</v>
      </c>
      <c r="L189" s="12" t="s">
        <v>274</v>
      </c>
      <c r="M189" s="12" t="s">
        <v>275</v>
      </c>
      <c r="N189" s="75"/>
    </row>
    <row r="190" spans="1:14">
      <c r="A190" s="12">
        <v>187</v>
      </c>
      <c r="B190" s="12" t="s">
        <v>1357</v>
      </c>
      <c r="C190" s="12" t="s">
        <v>122</v>
      </c>
      <c r="D190" s="12" t="s">
        <v>1358</v>
      </c>
      <c r="E190" s="85">
        <v>50.73</v>
      </c>
      <c r="F190" s="6">
        <v>5294495</v>
      </c>
      <c r="G190" s="12" t="s">
        <v>1131</v>
      </c>
      <c r="H190" s="12" t="s">
        <v>755</v>
      </c>
      <c r="I190" s="12" t="s">
        <v>756</v>
      </c>
      <c r="J190" s="84">
        <v>37557</v>
      </c>
      <c r="K190" s="84">
        <v>48515</v>
      </c>
      <c r="L190" s="12" t="s">
        <v>1014</v>
      </c>
      <c r="M190" s="12" t="s">
        <v>1132</v>
      </c>
      <c r="N190" s="75"/>
    </row>
    <row r="191" spans="1:14">
      <c r="A191" s="12">
        <v>188</v>
      </c>
      <c r="B191" s="12" t="s">
        <v>1359</v>
      </c>
      <c r="C191" s="12" t="s">
        <v>752</v>
      </c>
      <c r="D191" s="12" t="s">
        <v>1360</v>
      </c>
      <c r="E191" s="85">
        <v>36.93</v>
      </c>
      <c r="F191" s="6">
        <v>3863689</v>
      </c>
      <c r="G191" s="12" t="s">
        <v>754</v>
      </c>
      <c r="H191" s="12" t="s">
        <v>755</v>
      </c>
      <c r="I191" s="12" t="s">
        <v>756</v>
      </c>
      <c r="J191" s="84">
        <v>37568</v>
      </c>
      <c r="K191" s="84">
        <v>48526</v>
      </c>
      <c r="L191" s="12" t="s">
        <v>274</v>
      </c>
      <c r="M191" s="12" t="s">
        <v>275</v>
      </c>
      <c r="N191" s="75"/>
    </row>
    <row r="192" spans="1:14">
      <c r="A192" s="12">
        <v>189</v>
      </c>
      <c r="B192" s="12" t="s">
        <v>1361</v>
      </c>
      <c r="C192" s="12" t="s">
        <v>122</v>
      </c>
      <c r="D192" s="12" t="s">
        <v>1362</v>
      </c>
      <c r="E192" s="85">
        <v>27.33</v>
      </c>
      <c r="F192" s="6">
        <v>5294495</v>
      </c>
      <c r="G192" s="12" t="s">
        <v>1131</v>
      </c>
      <c r="H192" s="12" t="s">
        <v>755</v>
      </c>
      <c r="I192" s="12" t="s">
        <v>756</v>
      </c>
      <c r="J192" s="84">
        <v>37571</v>
      </c>
      <c r="K192" s="84">
        <v>48529</v>
      </c>
      <c r="L192" s="12" t="s">
        <v>1014</v>
      </c>
      <c r="M192" s="12" t="s">
        <v>1132</v>
      </c>
      <c r="N192" s="75"/>
    </row>
    <row r="193" spans="1:14">
      <c r="A193" s="12">
        <v>190</v>
      </c>
      <c r="B193" s="12" t="s">
        <v>1363</v>
      </c>
      <c r="C193" s="12" t="s">
        <v>1002</v>
      </c>
      <c r="D193" s="12" t="s">
        <v>1364</v>
      </c>
      <c r="E193" s="85">
        <v>42.18</v>
      </c>
      <c r="F193" s="6">
        <v>2096277</v>
      </c>
      <c r="G193" s="12" t="s">
        <v>1365</v>
      </c>
      <c r="H193" s="12" t="s">
        <v>755</v>
      </c>
      <c r="I193" s="12" t="s">
        <v>756</v>
      </c>
      <c r="J193" s="84">
        <v>37578</v>
      </c>
      <c r="K193" s="84">
        <v>48536</v>
      </c>
      <c r="L193" s="12" t="s">
        <v>782</v>
      </c>
      <c r="M193" s="12" t="s">
        <v>1366</v>
      </c>
      <c r="N193" s="75"/>
    </row>
    <row r="194" spans="1:14">
      <c r="A194" s="12">
        <v>191</v>
      </c>
      <c r="B194" s="12" t="s">
        <v>1367</v>
      </c>
      <c r="C194" s="12" t="s">
        <v>1152</v>
      </c>
      <c r="D194" s="12" t="s">
        <v>1368</v>
      </c>
      <c r="E194" s="85">
        <v>52.79</v>
      </c>
      <c r="F194" s="6">
        <v>2608073</v>
      </c>
      <c r="G194" s="12" t="s">
        <v>1369</v>
      </c>
      <c r="H194" s="12" t="s">
        <v>755</v>
      </c>
      <c r="I194" s="12" t="s">
        <v>756</v>
      </c>
      <c r="J194" s="84">
        <v>37580</v>
      </c>
      <c r="K194" s="84">
        <v>48538</v>
      </c>
      <c r="L194" s="12" t="s">
        <v>304</v>
      </c>
      <c r="M194" s="12" t="s">
        <v>305</v>
      </c>
      <c r="N194" s="75"/>
    </row>
    <row r="195" spans="1:14">
      <c r="A195" s="12">
        <v>192</v>
      </c>
      <c r="B195" s="12" t="s">
        <v>1370</v>
      </c>
      <c r="C195" s="12" t="s">
        <v>212</v>
      </c>
      <c r="D195" s="12" t="s">
        <v>1371</v>
      </c>
      <c r="E195" s="85">
        <v>28.1</v>
      </c>
      <c r="F195" s="6">
        <v>2871114</v>
      </c>
      <c r="G195" s="12" t="s">
        <v>1372</v>
      </c>
      <c r="H195" s="12" t="s">
        <v>755</v>
      </c>
      <c r="I195" s="12" t="s">
        <v>756</v>
      </c>
      <c r="J195" s="84">
        <v>37601</v>
      </c>
      <c r="K195" s="84">
        <v>48559</v>
      </c>
      <c r="L195" s="12" t="s">
        <v>293</v>
      </c>
      <c r="M195" s="12" t="s">
        <v>294</v>
      </c>
      <c r="N195" s="75"/>
    </row>
    <row r="196" spans="1:14">
      <c r="A196" s="12">
        <v>193</v>
      </c>
      <c r="B196" s="12" t="s">
        <v>1373</v>
      </c>
      <c r="C196" s="12" t="s">
        <v>752</v>
      </c>
      <c r="D196" s="12" t="s">
        <v>1374</v>
      </c>
      <c r="E196" s="85">
        <v>45.06</v>
      </c>
      <c r="F196" s="6">
        <v>2723344</v>
      </c>
      <c r="G196" s="12" t="s">
        <v>1375</v>
      </c>
      <c r="H196" s="12" t="s">
        <v>755</v>
      </c>
      <c r="I196" s="12" t="s">
        <v>756</v>
      </c>
      <c r="J196" s="84">
        <v>37602</v>
      </c>
      <c r="K196" s="84">
        <v>48560</v>
      </c>
      <c r="L196" s="12" t="s">
        <v>304</v>
      </c>
      <c r="M196" s="12" t="s">
        <v>141</v>
      </c>
      <c r="N196" s="75"/>
    </row>
    <row r="197" spans="1:14">
      <c r="A197" s="12">
        <v>194</v>
      </c>
      <c r="B197" s="12" t="s">
        <v>1376</v>
      </c>
      <c r="C197" s="12" t="s">
        <v>995</v>
      </c>
      <c r="D197" s="12" t="s">
        <v>1377</v>
      </c>
      <c r="E197" s="85">
        <v>25.12</v>
      </c>
      <c r="F197" s="6">
        <v>9103619</v>
      </c>
      <c r="G197" s="12" t="s">
        <v>1378</v>
      </c>
      <c r="H197" s="12" t="s">
        <v>901</v>
      </c>
      <c r="I197" s="12" t="s">
        <v>756</v>
      </c>
      <c r="J197" s="84">
        <v>37613</v>
      </c>
      <c r="K197" s="84">
        <v>48571</v>
      </c>
      <c r="L197" s="12" t="s">
        <v>274</v>
      </c>
      <c r="M197" s="12" t="s">
        <v>1379</v>
      </c>
      <c r="N197" s="75"/>
    </row>
    <row r="198" spans="1:14">
      <c r="A198" s="12">
        <v>195</v>
      </c>
      <c r="B198" s="12" t="s">
        <v>1380</v>
      </c>
      <c r="C198" s="12" t="s">
        <v>212</v>
      </c>
      <c r="D198" s="12" t="s">
        <v>1381</v>
      </c>
      <c r="E198" s="85">
        <v>28.22</v>
      </c>
      <c r="F198" s="6">
        <v>2874482</v>
      </c>
      <c r="G198" s="12" t="s">
        <v>1382</v>
      </c>
      <c r="H198" s="12" t="s">
        <v>755</v>
      </c>
      <c r="I198" s="12" t="s">
        <v>756</v>
      </c>
      <c r="J198" s="84">
        <v>37627</v>
      </c>
      <c r="K198" s="84">
        <v>48585</v>
      </c>
      <c r="L198" s="12" t="s">
        <v>170</v>
      </c>
      <c r="M198" s="12" t="s">
        <v>171</v>
      </c>
      <c r="N198" s="75"/>
    </row>
    <row r="199" spans="1:14">
      <c r="A199" s="12">
        <v>196</v>
      </c>
      <c r="B199" s="12" t="s">
        <v>1383</v>
      </c>
      <c r="C199" s="12" t="s">
        <v>752</v>
      </c>
      <c r="D199" s="12" t="s">
        <v>1384</v>
      </c>
      <c r="E199" s="85">
        <v>272.39</v>
      </c>
      <c r="F199" s="6">
        <v>5517176</v>
      </c>
      <c r="G199" s="12" t="s">
        <v>1385</v>
      </c>
      <c r="H199" s="12" t="s">
        <v>755</v>
      </c>
      <c r="I199" s="12" t="s">
        <v>756</v>
      </c>
      <c r="J199" s="84">
        <v>37665</v>
      </c>
      <c r="K199" s="84">
        <v>48623</v>
      </c>
      <c r="L199" s="12" t="s">
        <v>768</v>
      </c>
      <c r="M199" s="12" t="s">
        <v>1386</v>
      </c>
      <c r="N199" s="75"/>
    </row>
    <row r="200" spans="1:14">
      <c r="A200" s="12">
        <v>197</v>
      </c>
      <c r="B200" s="12" t="s">
        <v>1387</v>
      </c>
      <c r="C200" s="12" t="s">
        <v>122</v>
      </c>
      <c r="D200" s="12" t="s">
        <v>869</v>
      </c>
      <c r="E200" s="85">
        <v>131.4</v>
      </c>
      <c r="F200" s="6">
        <v>2095025</v>
      </c>
      <c r="G200" s="12" t="s">
        <v>870</v>
      </c>
      <c r="H200" s="12" t="s">
        <v>755</v>
      </c>
      <c r="I200" s="12" t="s">
        <v>756</v>
      </c>
      <c r="J200" s="84">
        <v>37677</v>
      </c>
      <c r="K200" s="84">
        <v>48635</v>
      </c>
      <c r="L200" s="12" t="s">
        <v>233</v>
      </c>
      <c r="M200" s="12" t="s">
        <v>237</v>
      </c>
      <c r="N200" s="75"/>
    </row>
    <row r="201" spans="1:14">
      <c r="A201" s="12">
        <v>198</v>
      </c>
      <c r="B201" s="12" t="s">
        <v>1388</v>
      </c>
      <c r="C201" s="12" t="s">
        <v>122</v>
      </c>
      <c r="D201" s="12" t="s">
        <v>1389</v>
      </c>
      <c r="E201" s="85">
        <v>70.47</v>
      </c>
      <c r="F201" s="6">
        <v>2697947</v>
      </c>
      <c r="G201" s="12" t="s">
        <v>1390</v>
      </c>
      <c r="H201" s="12" t="s">
        <v>755</v>
      </c>
      <c r="I201" s="12" t="s">
        <v>756</v>
      </c>
      <c r="J201" s="84">
        <v>37677</v>
      </c>
      <c r="K201" s="84">
        <v>48635</v>
      </c>
      <c r="L201" s="12" t="s">
        <v>233</v>
      </c>
      <c r="M201" s="12" t="s">
        <v>237</v>
      </c>
      <c r="N201" s="75"/>
    </row>
    <row r="202" spans="1:14">
      <c r="A202" s="12">
        <v>199</v>
      </c>
      <c r="B202" s="12" t="s">
        <v>1391</v>
      </c>
      <c r="C202" s="12" t="s">
        <v>752</v>
      </c>
      <c r="D202" s="12" t="s">
        <v>1392</v>
      </c>
      <c r="E202" s="85">
        <v>149.56</v>
      </c>
      <c r="F202" s="6">
        <v>6159737</v>
      </c>
      <c r="G202" s="12" t="s">
        <v>1393</v>
      </c>
      <c r="H202" s="12" t="s">
        <v>755</v>
      </c>
      <c r="I202" s="12" t="s">
        <v>756</v>
      </c>
      <c r="J202" s="84">
        <v>37690</v>
      </c>
      <c r="K202" s="84">
        <v>48648</v>
      </c>
      <c r="L202" s="12" t="s">
        <v>180</v>
      </c>
      <c r="M202" s="12" t="s">
        <v>927</v>
      </c>
      <c r="N202" s="75"/>
    </row>
    <row r="203" spans="1:14">
      <c r="A203" s="12">
        <v>200</v>
      </c>
      <c r="B203" s="12" t="s">
        <v>1394</v>
      </c>
      <c r="C203" s="12" t="s">
        <v>752</v>
      </c>
      <c r="D203" s="12" t="s">
        <v>1395</v>
      </c>
      <c r="E203" s="85">
        <v>31.97</v>
      </c>
      <c r="F203" s="6">
        <v>2682702</v>
      </c>
      <c r="G203" s="12" t="s">
        <v>1396</v>
      </c>
      <c r="H203" s="12" t="s">
        <v>755</v>
      </c>
      <c r="I203" s="12" t="s">
        <v>756</v>
      </c>
      <c r="J203" s="84">
        <v>34889</v>
      </c>
      <c r="K203" s="84">
        <v>45847</v>
      </c>
      <c r="L203" s="12" t="s">
        <v>180</v>
      </c>
      <c r="M203" s="12" t="s">
        <v>798</v>
      </c>
      <c r="N203" s="75"/>
    </row>
    <row r="204" spans="1:14">
      <c r="A204" s="12">
        <v>201</v>
      </c>
      <c r="B204" s="12" t="s">
        <v>1397</v>
      </c>
      <c r="C204" s="12" t="s">
        <v>1035</v>
      </c>
      <c r="D204" s="12" t="s">
        <v>1344</v>
      </c>
      <c r="E204" s="85">
        <v>37.51</v>
      </c>
      <c r="F204" s="6">
        <v>2844001</v>
      </c>
      <c r="G204" s="12" t="s">
        <v>1398</v>
      </c>
      <c r="H204" s="12" t="s">
        <v>848</v>
      </c>
      <c r="I204" s="12" t="s">
        <v>849</v>
      </c>
      <c r="J204" s="84">
        <v>37695</v>
      </c>
      <c r="K204" s="84">
        <v>48653</v>
      </c>
      <c r="L204" s="12" t="s">
        <v>288</v>
      </c>
      <c r="M204" s="12" t="s">
        <v>902</v>
      </c>
      <c r="N204" s="75"/>
    </row>
    <row r="205" spans="1:14">
      <c r="A205" s="12">
        <v>202</v>
      </c>
      <c r="B205" s="12" t="s">
        <v>1399</v>
      </c>
      <c r="C205" s="12" t="s">
        <v>752</v>
      </c>
      <c r="D205" s="12" t="s">
        <v>1400</v>
      </c>
      <c r="E205" s="85">
        <v>302.8</v>
      </c>
      <c r="F205" s="6">
        <v>6131999</v>
      </c>
      <c r="G205" s="12" t="s">
        <v>1401</v>
      </c>
      <c r="H205" s="12" t="s">
        <v>755</v>
      </c>
      <c r="I205" s="12" t="s">
        <v>756</v>
      </c>
      <c r="J205" s="84">
        <v>36483</v>
      </c>
      <c r="K205" s="84">
        <v>48036</v>
      </c>
      <c r="L205" s="12" t="s">
        <v>1097</v>
      </c>
      <c r="M205" s="12" t="s">
        <v>1098</v>
      </c>
      <c r="N205" s="75"/>
    </row>
    <row r="206" spans="1:14">
      <c r="A206" s="12">
        <v>203</v>
      </c>
      <c r="B206" s="12" t="s">
        <v>1402</v>
      </c>
      <c r="C206" s="12" t="s">
        <v>752</v>
      </c>
      <c r="D206" s="12" t="s">
        <v>1403</v>
      </c>
      <c r="E206" s="85">
        <v>397.65</v>
      </c>
      <c r="F206" s="6">
        <v>2010933</v>
      </c>
      <c r="G206" s="12" t="s">
        <v>1404</v>
      </c>
      <c r="H206" s="12" t="s">
        <v>755</v>
      </c>
      <c r="I206" s="12" t="s">
        <v>756</v>
      </c>
      <c r="J206" s="84">
        <v>37728</v>
      </c>
      <c r="K206" s="84">
        <v>48686</v>
      </c>
      <c r="L206" s="12" t="s">
        <v>123</v>
      </c>
      <c r="M206" s="12" t="s">
        <v>272</v>
      </c>
      <c r="N206" s="75"/>
    </row>
    <row r="207" spans="1:14">
      <c r="A207" s="12">
        <v>204</v>
      </c>
      <c r="B207" s="12" t="s">
        <v>1405</v>
      </c>
      <c r="C207" s="12" t="s">
        <v>212</v>
      </c>
      <c r="D207" s="12" t="s">
        <v>1406</v>
      </c>
      <c r="E207" s="85">
        <v>111.97</v>
      </c>
      <c r="F207" s="6">
        <v>6302513</v>
      </c>
      <c r="G207" s="12" t="s">
        <v>1407</v>
      </c>
      <c r="H207" s="12" t="s">
        <v>848</v>
      </c>
      <c r="I207" s="12" t="s">
        <v>849</v>
      </c>
      <c r="J207" s="84">
        <v>37739</v>
      </c>
      <c r="K207" s="84">
        <v>48697</v>
      </c>
      <c r="L207" s="12" t="s">
        <v>170</v>
      </c>
      <c r="M207" s="12" t="s">
        <v>807</v>
      </c>
      <c r="N207" s="75"/>
    </row>
    <row r="208" spans="1:14">
      <c r="A208" s="12">
        <v>205</v>
      </c>
      <c r="B208" s="12" t="s">
        <v>1408</v>
      </c>
      <c r="C208" s="12" t="s">
        <v>122</v>
      </c>
      <c r="D208" s="12" t="s">
        <v>1107</v>
      </c>
      <c r="E208" s="85">
        <v>29.01</v>
      </c>
      <c r="F208" s="6">
        <v>2003821</v>
      </c>
      <c r="G208" s="12" t="s">
        <v>1409</v>
      </c>
      <c r="H208" s="12" t="s">
        <v>914</v>
      </c>
      <c r="I208" s="12" t="s">
        <v>756</v>
      </c>
      <c r="J208" s="84">
        <v>37742</v>
      </c>
      <c r="K208" s="84">
        <v>48700</v>
      </c>
      <c r="L208" s="12" t="s">
        <v>782</v>
      </c>
      <c r="M208" s="12" t="s">
        <v>1109</v>
      </c>
      <c r="N208" s="75"/>
    </row>
    <row r="209" spans="1:14">
      <c r="A209" s="12">
        <v>206</v>
      </c>
      <c r="B209" s="12" t="s">
        <v>1410</v>
      </c>
      <c r="C209" s="12" t="s">
        <v>979</v>
      </c>
      <c r="D209" s="12" t="s">
        <v>1411</v>
      </c>
      <c r="E209" s="85">
        <v>45.6</v>
      </c>
      <c r="F209" s="6">
        <v>5215757</v>
      </c>
      <c r="G209" s="12" t="s">
        <v>1412</v>
      </c>
      <c r="H209" s="12" t="s">
        <v>755</v>
      </c>
      <c r="I209" s="12" t="s">
        <v>756</v>
      </c>
      <c r="J209" s="84">
        <v>37746</v>
      </c>
      <c r="K209" s="84">
        <v>48704</v>
      </c>
      <c r="L209" s="12" t="s">
        <v>274</v>
      </c>
      <c r="M209" s="12" t="s">
        <v>1413</v>
      </c>
      <c r="N209" s="75"/>
    </row>
    <row r="210" spans="1:14">
      <c r="A210" s="12">
        <v>207</v>
      </c>
      <c r="B210" s="12" t="s">
        <v>1414</v>
      </c>
      <c r="C210" s="12" t="s">
        <v>979</v>
      </c>
      <c r="D210" s="12" t="s">
        <v>1415</v>
      </c>
      <c r="E210" s="85">
        <v>50.15</v>
      </c>
      <c r="F210" s="6">
        <v>5132061</v>
      </c>
      <c r="G210" s="12" t="s">
        <v>1416</v>
      </c>
      <c r="H210" s="12" t="s">
        <v>755</v>
      </c>
      <c r="I210" s="12" t="s">
        <v>756</v>
      </c>
      <c r="J210" s="84">
        <v>37757</v>
      </c>
      <c r="K210" s="84">
        <v>48715</v>
      </c>
      <c r="L210" s="12" t="s">
        <v>163</v>
      </c>
      <c r="M210" s="12" t="s">
        <v>1417</v>
      </c>
      <c r="N210" s="75"/>
    </row>
    <row r="211" spans="1:14">
      <c r="A211" s="12">
        <v>208</v>
      </c>
      <c r="B211" s="12" t="s">
        <v>1418</v>
      </c>
      <c r="C211" s="12" t="s">
        <v>752</v>
      </c>
      <c r="D211" s="12" t="s">
        <v>1419</v>
      </c>
      <c r="E211" s="85">
        <v>54.06</v>
      </c>
      <c r="F211" s="6">
        <v>5029635</v>
      </c>
      <c r="G211" s="12" t="s">
        <v>1420</v>
      </c>
      <c r="H211" s="12" t="s">
        <v>755</v>
      </c>
      <c r="I211" s="12" t="s">
        <v>756</v>
      </c>
      <c r="J211" s="84">
        <v>37760</v>
      </c>
      <c r="K211" s="84">
        <v>48718</v>
      </c>
      <c r="L211" s="12" t="s">
        <v>274</v>
      </c>
      <c r="M211" s="12" t="s">
        <v>275</v>
      </c>
      <c r="N211" s="75"/>
    </row>
    <row r="212" spans="1:14">
      <c r="A212" s="12">
        <v>209</v>
      </c>
      <c r="B212" s="12" t="s">
        <v>1421</v>
      </c>
      <c r="C212" s="12" t="s">
        <v>752</v>
      </c>
      <c r="D212" s="12" t="s">
        <v>1422</v>
      </c>
      <c r="E212" s="85">
        <v>81.319999999999993</v>
      </c>
      <c r="F212" s="6">
        <v>2723344</v>
      </c>
      <c r="G212" s="12" t="s">
        <v>1375</v>
      </c>
      <c r="H212" s="12" t="s">
        <v>755</v>
      </c>
      <c r="I212" s="12" t="s">
        <v>756</v>
      </c>
      <c r="J212" s="84">
        <v>37761</v>
      </c>
      <c r="K212" s="84">
        <v>50932</v>
      </c>
      <c r="L212" s="12" t="s">
        <v>304</v>
      </c>
      <c r="M212" s="12" t="s">
        <v>141</v>
      </c>
      <c r="N212" s="75"/>
    </row>
    <row r="213" spans="1:14">
      <c r="A213" s="12">
        <v>210</v>
      </c>
      <c r="B213" s="12" t="s">
        <v>1423</v>
      </c>
      <c r="C213" s="12" t="s">
        <v>212</v>
      </c>
      <c r="D213" s="12" t="s">
        <v>1424</v>
      </c>
      <c r="E213" s="85">
        <v>30.01</v>
      </c>
      <c r="F213" s="6">
        <v>6292747</v>
      </c>
      <c r="G213" s="12" t="s">
        <v>1425</v>
      </c>
      <c r="H213" s="12" t="s">
        <v>848</v>
      </c>
      <c r="I213" s="12" t="s">
        <v>849</v>
      </c>
      <c r="J213" s="84">
        <v>37763</v>
      </c>
      <c r="K213" s="84">
        <v>48721</v>
      </c>
      <c r="L213" s="12" t="s">
        <v>170</v>
      </c>
      <c r="M213" s="12" t="s">
        <v>1426</v>
      </c>
      <c r="N213" s="75"/>
    </row>
    <row r="214" spans="1:14">
      <c r="A214" s="12">
        <v>211</v>
      </c>
      <c r="B214" s="12" t="s">
        <v>1427</v>
      </c>
      <c r="C214" s="12" t="s">
        <v>881</v>
      </c>
      <c r="D214" s="12" t="s">
        <v>1428</v>
      </c>
      <c r="E214" s="85">
        <v>46.46</v>
      </c>
      <c r="F214" s="6">
        <v>2041588</v>
      </c>
      <c r="G214" s="12" t="s">
        <v>1429</v>
      </c>
      <c r="H214" s="12" t="s">
        <v>755</v>
      </c>
      <c r="I214" s="12" t="s">
        <v>756</v>
      </c>
      <c r="J214" s="84">
        <v>37763</v>
      </c>
      <c r="K214" s="84">
        <v>48721</v>
      </c>
      <c r="L214" s="12" t="s">
        <v>180</v>
      </c>
      <c r="M214" s="12" t="s">
        <v>181</v>
      </c>
      <c r="N214" s="75"/>
    </row>
    <row r="215" spans="1:14">
      <c r="A215" s="12">
        <v>212</v>
      </c>
      <c r="B215" s="12" t="s">
        <v>1430</v>
      </c>
      <c r="C215" s="12" t="s">
        <v>212</v>
      </c>
      <c r="D215" s="12" t="s">
        <v>1431</v>
      </c>
      <c r="E215" s="85">
        <v>27.72</v>
      </c>
      <c r="F215" s="6">
        <v>5639034</v>
      </c>
      <c r="G215" s="12" t="s">
        <v>1432</v>
      </c>
      <c r="H215" s="12" t="s">
        <v>755</v>
      </c>
      <c r="I215" s="12" t="s">
        <v>756</v>
      </c>
      <c r="J215" s="84">
        <v>37770</v>
      </c>
      <c r="K215" s="84">
        <v>48728</v>
      </c>
      <c r="L215" s="12" t="s">
        <v>170</v>
      </c>
      <c r="M215" s="12" t="s">
        <v>807</v>
      </c>
      <c r="N215" s="75"/>
    </row>
    <row r="216" spans="1:14">
      <c r="A216" s="12">
        <v>213</v>
      </c>
      <c r="B216" s="12" t="s">
        <v>1433</v>
      </c>
      <c r="C216" s="12" t="s">
        <v>1002</v>
      </c>
      <c r="D216" s="12" t="s">
        <v>1364</v>
      </c>
      <c r="E216" s="85">
        <v>20.3</v>
      </c>
      <c r="F216" s="6">
        <v>2103869</v>
      </c>
      <c r="G216" s="12" t="s">
        <v>1434</v>
      </c>
      <c r="H216" s="12" t="s">
        <v>755</v>
      </c>
      <c r="I216" s="12" t="s">
        <v>756</v>
      </c>
      <c r="J216" s="84">
        <v>37777</v>
      </c>
      <c r="K216" s="84">
        <v>48735</v>
      </c>
      <c r="L216" s="12" t="s">
        <v>1435</v>
      </c>
      <c r="M216" s="12" t="s">
        <v>1436</v>
      </c>
      <c r="N216" s="75"/>
    </row>
    <row r="217" spans="1:14">
      <c r="A217" s="12">
        <v>214</v>
      </c>
      <c r="B217" s="12" t="s">
        <v>1437</v>
      </c>
      <c r="C217" s="12" t="s">
        <v>752</v>
      </c>
      <c r="D217" s="12" t="s">
        <v>1438</v>
      </c>
      <c r="E217" s="85">
        <v>26.43</v>
      </c>
      <c r="F217" s="6">
        <v>3737373</v>
      </c>
      <c r="G217" s="12" t="s">
        <v>1439</v>
      </c>
      <c r="H217" s="12" t="s">
        <v>755</v>
      </c>
      <c r="I217" s="12" t="s">
        <v>756</v>
      </c>
      <c r="J217" s="84">
        <v>34936</v>
      </c>
      <c r="K217" s="84">
        <v>53199</v>
      </c>
      <c r="L217" s="12" t="s">
        <v>304</v>
      </c>
      <c r="M217" s="12" t="s">
        <v>773</v>
      </c>
      <c r="N217" s="75"/>
    </row>
    <row r="218" spans="1:14">
      <c r="A218" s="12">
        <v>215</v>
      </c>
      <c r="B218" s="12" t="s">
        <v>1440</v>
      </c>
      <c r="C218" s="12" t="s">
        <v>752</v>
      </c>
      <c r="D218" s="12" t="s">
        <v>1441</v>
      </c>
      <c r="E218" s="85">
        <v>40.450000000000003</v>
      </c>
      <c r="F218" s="6">
        <v>5340195</v>
      </c>
      <c r="G218" s="12" t="s">
        <v>1442</v>
      </c>
      <c r="H218" s="12" t="s">
        <v>755</v>
      </c>
      <c r="I218" s="12" t="s">
        <v>756</v>
      </c>
      <c r="J218" s="84">
        <v>37796</v>
      </c>
      <c r="K218" s="84">
        <v>48754</v>
      </c>
      <c r="L218" s="12" t="s">
        <v>274</v>
      </c>
      <c r="M218" s="12" t="s">
        <v>1443</v>
      </c>
      <c r="N218" s="75"/>
    </row>
    <row r="219" spans="1:14">
      <c r="A219" s="12">
        <v>216</v>
      </c>
      <c r="B219" s="12" t="s">
        <v>1444</v>
      </c>
      <c r="C219" s="12" t="s">
        <v>752</v>
      </c>
      <c r="D219" s="12" t="s">
        <v>1445</v>
      </c>
      <c r="E219" s="85">
        <v>59.29</v>
      </c>
      <c r="F219" s="6">
        <v>2868687</v>
      </c>
      <c r="G219" s="12" t="s">
        <v>1446</v>
      </c>
      <c r="H219" s="12" t="s">
        <v>755</v>
      </c>
      <c r="I219" s="12" t="s">
        <v>756</v>
      </c>
      <c r="J219" s="84">
        <v>37796</v>
      </c>
      <c r="K219" s="84">
        <v>48754</v>
      </c>
      <c r="L219" s="12" t="s">
        <v>180</v>
      </c>
      <c r="M219" s="12" t="s">
        <v>927</v>
      </c>
      <c r="N219" s="75"/>
    </row>
    <row r="220" spans="1:14">
      <c r="A220" s="12">
        <v>217</v>
      </c>
      <c r="B220" s="12" t="s">
        <v>1447</v>
      </c>
      <c r="C220" s="12" t="s">
        <v>752</v>
      </c>
      <c r="D220" s="12" t="s">
        <v>1448</v>
      </c>
      <c r="E220" s="85">
        <v>74.599999999999994</v>
      </c>
      <c r="F220" s="6">
        <v>5250218</v>
      </c>
      <c r="G220" s="12" t="s">
        <v>1449</v>
      </c>
      <c r="H220" s="12" t="s">
        <v>848</v>
      </c>
      <c r="I220" s="12" t="s">
        <v>849</v>
      </c>
      <c r="J220" s="84">
        <v>37824</v>
      </c>
      <c r="K220" s="84">
        <v>48782</v>
      </c>
      <c r="L220" s="12" t="s">
        <v>304</v>
      </c>
      <c r="M220" s="12" t="s">
        <v>843</v>
      </c>
      <c r="N220" s="75"/>
    </row>
    <row r="221" spans="1:14">
      <c r="A221" s="12">
        <v>218</v>
      </c>
      <c r="B221" s="12" t="s">
        <v>1450</v>
      </c>
      <c r="C221" s="12" t="s">
        <v>1451</v>
      </c>
      <c r="D221" s="12" t="s">
        <v>1452</v>
      </c>
      <c r="E221" s="85">
        <v>35.880000000000003</v>
      </c>
      <c r="F221" s="6">
        <v>2744821</v>
      </c>
      <c r="G221" s="12" t="s">
        <v>1453</v>
      </c>
      <c r="H221" s="12" t="s">
        <v>755</v>
      </c>
      <c r="I221" s="12" t="s">
        <v>756</v>
      </c>
      <c r="J221" s="84">
        <v>37825</v>
      </c>
      <c r="K221" s="84">
        <v>48783</v>
      </c>
      <c r="L221" s="12" t="s">
        <v>128</v>
      </c>
      <c r="M221" s="12" t="s">
        <v>291</v>
      </c>
      <c r="N221" s="75"/>
    </row>
    <row r="222" spans="1:14">
      <c r="A222" s="12">
        <v>219</v>
      </c>
      <c r="B222" s="12" t="s">
        <v>1454</v>
      </c>
      <c r="C222" s="12" t="s">
        <v>886</v>
      </c>
      <c r="D222" s="12" t="s">
        <v>1455</v>
      </c>
      <c r="E222" s="85">
        <v>995.58</v>
      </c>
      <c r="F222" s="6">
        <v>2830213</v>
      </c>
      <c r="G222" s="12" t="s">
        <v>888</v>
      </c>
      <c r="H222" s="12" t="s">
        <v>848</v>
      </c>
      <c r="I222" s="12" t="s">
        <v>849</v>
      </c>
      <c r="J222" s="84">
        <v>37830</v>
      </c>
      <c r="K222" s="84">
        <v>48788</v>
      </c>
      <c r="L222" s="12" t="s">
        <v>123</v>
      </c>
      <c r="M222" s="12" t="s">
        <v>1256</v>
      </c>
      <c r="N222" s="75"/>
    </row>
    <row r="223" spans="1:14">
      <c r="A223" s="12">
        <v>220</v>
      </c>
      <c r="B223" s="12" t="s">
        <v>1456</v>
      </c>
      <c r="C223" s="12" t="s">
        <v>328</v>
      </c>
      <c r="D223" s="12" t="s">
        <v>1457</v>
      </c>
      <c r="E223" s="85">
        <v>27.99</v>
      </c>
      <c r="F223" s="6">
        <v>2057174</v>
      </c>
      <c r="G223" s="12" t="s">
        <v>1458</v>
      </c>
      <c r="H223" s="12" t="s">
        <v>755</v>
      </c>
      <c r="I223" s="12" t="s">
        <v>756</v>
      </c>
      <c r="J223" s="84">
        <v>37854</v>
      </c>
      <c r="K223" s="84">
        <v>48812</v>
      </c>
      <c r="L223" s="12" t="s">
        <v>768</v>
      </c>
      <c r="M223" s="12" t="s">
        <v>1459</v>
      </c>
      <c r="N223" s="75"/>
    </row>
    <row r="224" spans="1:14">
      <c r="A224" s="12">
        <v>221</v>
      </c>
      <c r="B224" s="12" t="s">
        <v>1460</v>
      </c>
      <c r="C224" s="12" t="s">
        <v>752</v>
      </c>
      <c r="D224" s="12" t="s">
        <v>1461</v>
      </c>
      <c r="E224" s="85">
        <v>65.150000000000006</v>
      </c>
      <c r="F224" s="6">
        <v>2003732</v>
      </c>
      <c r="G224" s="12" t="s">
        <v>1462</v>
      </c>
      <c r="H224" s="12" t="s">
        <v>755</v>
      </c>
      <c r="I224" s="12" t="s">
        <v>756</v>
      </c>
      <c r="J224" s="84">
        <v>37861</v>
      </c>
      <c r="K224" s="84">
        <v>48819</v>
      </c>
      <c r="L224" s="12" t="s">
        <v>288</v>
      </c>
      <c r="M224" s="12" t="s">
        <v>836</v>
      </c>
      <c r="N224" s="75"/>
    </row>
    <row r="225" spans="1:14">
      <c r="A225" s="12">
        <v>222</v>
      </c>
      <c r="B225" s="12" t="s">
        <v>1463</v>
      </c>
      <c r="C225" s="12" t="s">
        <v>979</v>
      </c>
      <c r="D225" s="12" t="s">
        <v>1464</v>
      </c>
      <c r="E225" s="85">
        <v>364.88</v>
      </c>
      <c r="F225" s="6">
        <v>5131871</v>
      </c>
      <c r="G225" s="12" t="s">
        <v>1465</v>
      </c>
      <c r="H225" s="12" t="s">
        <v>755</v>
      </c>
      <c r="I225" s="12" t="s">
        <v>756</v>
      </c>
      <c r="J225" s="84">
        <v>37894</v>
      </c>
      <c r="K225" s="84">
        <v>48852</v>
      </c>
      <c r="L225" s="12" t="s">
        <v>274</v>
      </c>
      <c r="M225" s="12" t="s">
        <v>275</v>
      </c>
      <c r="N225" s="75"/>
    </row>
    <row r="226" spans="1:14">
      <c r="A226" s="12">
        <v>223</v>
      </c>
      <c r="B226" s="12" t="s">
        <v>1466</v>
      </c>
      <c r="C226" s="12" t="s">
        <v>122</v>
      </c>
      <c r="D226" s="12" t="s">
        <v>1467</v>
      </c>
      <c r="E226" s="85">
        <v>26.66</v>
      </c>
      <c r="F226" s="6">
        <v>2023202</v>
      </c>
      <c r="G226" s="12" t="s">
        <v>1468</v>
      </c>
      <c r="H226" s="12" t="s">
        <v>755</v>
      </c>
      <c r="I226" s="12" t="s">
        <v>756</v>
      </c>
      <c r="J226" s="84">
        <v>37898</v>
      </c>
      <c r="K226" s="84">
        <v>48856</v>
      </c>
      <c r="L226" s="12" t="s">
        <v>1014</v>
      </c>
      <c r="M226" s="12" t="s">
        <v>1132</v>
      </c>
      <c r="N226" s="75"/>
    </row>
    <row r="227" spans="1:14">
      <c r="A227" s="12">
        <v>224</v>
      </c>
      <c r="B227" s="12" t="s">
        <v>1469</v>
      </c>
      <c r="C227" s="12" t="s">
        <v>212</v>
      </c>
      <c r="D227" s="12" t="s">
        <v>1470</v>
      </c>
      <c r="E227" s="85">
        <v>112.73</v>
      </c>
      <c r="F227" s="6">
        <v>2065606</v>
      </c>
      <c r="G227" s="12" t="s">
        <v>1471</v>
      </c>
      <c r="H227" s="12" t="s">
        <v>755</v>
      </c>
      <c r="I227" s="12" t="s">
        <v>756</v>
      </c>
      <c r="J227" s="84">
        <v>37898</v>
      </c>
      <c r="K227" s="84">
        <v>48856</v>
      </c>
      <c r="L227" s="12" t="s">
        <v>123</v>
      </c>
      <c r="M227" s="12" t="s">
        <v>1472</v>
      </c>
      <c r="N227" s="75"/>
    </row>
    <row r="228" spans="1:14">
      <c r="A228" s="12">
        <v>225</v>
      </c>
      <c r="B228" s="12" t="s">
        <v>1473</v>
      </c>
      <c r="C228" s="12" t="s">
        <v>212</v>
      </c>
      <c r="D228" s="12" t="s">
        <v>1474</v>
      </c>
      <c r="E228" s="85">
        <v>43.06</v>
      </c>
      <c r="F228" s="6">
        <v>2707969</v>
      </c>
      <c r="G228" s="12" t="s">
        <v>1475</v>
      </c>
      <c r="H228" s="12" t="s">
        <v>766</v>
      </c>
      <c r="I228" s="12" t="s">
        <v>767</v>
      </c>
      <c r="J228" s="84">
        <v>37898</v>
      </c>
      <c r="K228" s="84">
        <v>48856</v>
      </c>
      <c r="L228" s="12" t="s">
        <v>375</v>
      </c>
      <c r="M228" s="12" t="s">
        <v>1476</v>
      </c>
      <c r="N228" s="75"/>
    </row>
    <row r="229" spans="1:14">
      <c r="A229" s="12">
        <v>226</v>
      </c>
      <c r="B229" s="12" t="s">
        <v>1477</v>
      </c>
      <c r="C229" s="12" t="s">
        <v>979</v>
      </c>
      <c r="D229" s="12" t="s">
        <v>1478</v>
      </c>
      <c r="E229" s="85">
        <v>147.04</v>
      </c>
      <c r="F229" s="6">
        <v>2590565</v>
      </c>
      <c r="G229" s="12" t="s">
        <v>1150</v>
      </c>
      <c r="H229" s="12" t="s">
        <v>755</v>
      </c>
      <c r="I229" s="12" t="s">
        <v>756</v>
      </c>
      <c r="J229" s="84">
        <v>37908</v>
      </c>
      <c r="K229" s="84">
        <v>48866</v>
      </c>
      <c r="L229" s="12" t="s">
        <v>304</v>
      </c>
      <c r="M229" s="12" t="s">
        <v>141</v>
      </c>
      <c r="N229" s="75"/>
    </row>
    <row r="230" spans="1:14">
      <c r="A230" s="12">
        <v>227</v>
      </c>
      <c r="B230" s="12" t="s">
        <v>1479</v>
      </c>
      <c r="C230" s="12" t="s">
        <v>752</v>
      </c>
      <c r="D230" s="12" t="s">
        <v>1480</v>
      </c>
      <c r="E230" s="85">
        <v>46.74</v>
      </c>
      <c r="F230" s="6">
        <v>2723344</v>
      </c>
      <c r="G230" s="12" t="s">
        <v>1375</v>
      </c>
      <c r="H230" s="12" t="s">
        <v>755</v>
      </c>
      <c r="I230" s="12" t="s">
        <v>756</v>
      </c>
      <c r="J230" s="84">
        <v>37916</v>
      </c>
      <c r="K230" s="84">
        <v>48874</v>
      </c>
      <c r="L230" s="12" t="s">
        <v>180</v>
      </c>
      <c r="M230" s="12" t="s">
        <v>927</v>
      </c>
      <c r="N230" s="75"/>
    </row>
    <row r="231" spans="1:14">
      <c r="A231" s="12">
        <v>228</v>
      </c>
      <c r="B231" s="12" t="s">
        <v>1481</v>
      </c>
      <c r="C231" s="12" t="s">
        <v>122</v>
      </c>
      <c r="D231" s="12" t="s">
        <v>1482</v>
      </c>
      <c r="E231" s="85">
        <v>29.41</v>
      </c>
      <c r="F231" s="6">
        <v>2681471</v>
      </c>
      <c r="G231" s="12" t="s">
        <v>1483</v>
      </c>
      <c r="H231" s="12" t="s">
        <v>755</v>
      </c>
      <c r="I231" s="12" t="s">
        <v>756</v>
      </c>
      <c r="J231" s="84">
        <v>37916</v>
      </c>
      <c r="K231" s="84">
        <v>48874</v>
      </c>
      <c r="L231" s="12" t="s">
        <v>274</v>
      </c>
      <c r="M231" s="12" t="s">
        <v>874</v>
      </c>
      <c r="N231" s="75"/>
    </row>
    <row r="232" spans="1:14">
      <c r="A232" s="12">
        <v>229</v>
      </c>
      <c r="B232" s="12" t="s">
        <v>1484</v>
      </c>
      <c r="C232" s="12" t="s">
        <v>122</v>
      </c>
      <c r="D232" s="12" t="s">
        <v>1485</v>
      </c>
      <c r="E232" s="85">
        <v>55.06</v>
      </c>
      <c r="F232" s="6">
        <v>5685311</v>
      </c>
      <c r="G232" s="12" t="s">
        <v>1486</v>
      </c>
      <c r="H232" s="12" t="s">
        <v>755</v>
      </c>
      <c r="I232" s="12" t="s">
        <v>756</v>
      </c>
      <c r="J232" s="84">
        <v>37916</v>
      </c>
      <c r="K232" s="84">
        <v>48874</v>
      </c>
      <c r="L232" s="12" t="s">
        <v>274</v>
      </c>
      <c r="M232" s="12" t="s">
        <v>874</v>
      </c>
      <c r="N232" s="75"/>
    </row>
    <row r="233" spans="1:14">
      <c r="A233" s="12">
        <v>230</v>
      </c>
      <c r="B233" s="12" t="s">
        <v>1487</v>
      </c>
      <c r="C233" s="12" t="s">
        <v>212</v>
      </c>
      <c r="D233" s="12" t="s">
        <v>1488</v>
      </c>
      <c r="E233" s="85">
        <v>25.35</v>
      </c>
      <c r="F233" s="6">
        <v>2609436</v>
      </c>
      <c r="G233" s="12" t="s">
        <v>1229</v>
      </c>
      <c r="H233" s="12" t="s">
        <v>755</v>
      </c>
      <c r="I233" s="12" t="s">
        <v>756</v>
      </c>
      <c r="J233" s="84">
        <v>37916</v>
      </c>
      <c r="K233" s="84">
        <v>48874</v>
      </c>
      <c r="L233" s="12" t="s">
        <v>293</v>
      </c>
      <c r="M233" s="12" t="s">
        <v>181</v>
      </c>
      <c r="N233" s="75"/>
    </row>
    <row r="234" spans="1:14">
      <c r="A234" s="12">
        <v>231</v>
      </c>
      <c r="B234" s="12" t="s">
        <v>1489</v>
      </c>
      <c r="C234" s="12" t="s">
        <v>752</v>
      </c>
      <c r="D234" s="12" t="s">
        <v>952</v>
      </c>
      <c r="E234" s="85">
        <v>62.86</v>
      </c>
      <c r="F234" s="6">
        <v>2668548</v>
      </c>
      <c r="G234" s="12" t="s">
        <v>1490</v>
      </c>
      <c r="H234" s="12" t="s">
        <v>755</v>
      </c>
      <c r="I234" s="12" t="s">
        <v>756</v>
      </c>
      <c r="J234" s="84">
        <v>37925</v>
      </c>
      <c r="K234" s="84">
        <v>48883</v>
      </c>
      <c r="L234" s="12" t="s">
        <v>304</v>
      </c>
      <c r="M234" s="12" t="s">
        <v>773</v>
      </c>
      <c r="N234" s="75"/>
    </row>
    <row r="235" spans="1:14">
      <c r="A235" s="12">
        <v>232</v>
      </c>
      <c r="B235" s="12" t="s">
        <v>1491</v>
      </c>
      <c r="C235" s="12" t="s">
        <v>752</v>
      </c>
      <c r="D235" s="12" t="s">
        <v>1492</v>
      </c>
      <c r="E235" s="85">
        <v>378.49</v>
      </c>
      <c r="F235" s="6">
        <v>5029953</v>
      </c>
      <c r="G235" s="12" t="s">
        <v>1493</v>
      </c>
      <c r="H235" s="12" t="s">
        <v>755</v>
      </c>
      <c r="I235" s="12" t="s">
        <v>756</v>
      </c>
      <c r="J235" s="84">
        <v>37925</v>
      </c>
      <c r="K235" s="84">
        <v>48883</v>
      </c>
      <c r="L235" s="12" t="s">
        <v>293</v>
      </c>
      <c r="M235" s="12" t="s">
        <v>1494</v>
      </c>
      <c r="N235" s="75"/>
    </row>
    <row r="236" spans="1:14">
      <c r="A236" s="12">
        <v>233</v>
      </c>
      <c r="B236" s="12" t="s">
        <v>1495</v>
      </c>
      <c r="C236" s="12" t="s">
        <v>212</v>
      </c>
      <c r="D236" s="12" t="s">
        <v>1496</v>
      </c>
      <c r="E236" s="85">
        <v>203.47</v>
      </c>
      <c r="F236" s="6">
        <v>2800497</v>
      </c>
      <c r="G236" s="12" t="s">
        <v>1497</v>
      </c>
      <c r="H236" s="12" t="s">
        <v>755</v>
      </c>
      <c r="I236" s="12" t="s">
        <v>756</v>
      </c>
      <c r="J236" s="84">
        <v>37925</v>
      </c>
      <c r="K236" s="84">
        <v>48883</v>
      </c>
      <c r="L236" s="12" t="s">
        <v>274</v>
      </c>
      <c r="M236" s="12" t="s">
        <v>1379</v>
      </c>
      <c r="N236" s="75"/>
    </row>
    <row r="237" spans="1:14">
      <c r="A237" s="12">
        <v>234</v>
      </c>
      <c r="B237" s="12" t="s">
        <v>1498</v>
      </c>
      <c r="C237" s="12" t="s">
        <v>122</v>
      </c>
      <c r="D237" s="12" t="s">
        <v>1499</v>
      </c>
      <c r="E237" s="85">
        <v>45.79</v>
      </c>
      <c r="F237" s="6">
        <v>5141583</v>
      </c>
      <c r="G237" s="12" t="s">
        <v>1101</v>
      </c>
      <c r="H237" s="12" t="s">
        <v>848</v>
      </c>
      <c r="I237" s="12" t="s">
        <v>849</v>
      </c>
      <c r="J237" s="84">
        <v>37932</v>
      </c>
      <c r="K237" s="84">
        <v>48890</v>
      </c>
      <c r="L237" s="12" t="s">
        <v>1102</v>
      </c>
      <c r="M237" s="12" t="s">
        <v>1103</v>
      </c>
      <c r="N237" s="75"/>
    </row>
    <row r="238" spans="1:14">
      <c r="A238" s="12">
        <v>235</v>
      </c>
      <c r="B238" s="12" t="s">
        <v>1500</v>
      </c>
      <c r="C238" s="12" t="s">
        <v>752</v>
      </c>
      <c r="D238" s="12" t="s">
        <v>1501</v>
      </c>
      <c r="E238" s="85">
        <v>215.67</v>
      </c>
      <c r="F238" s="6">
        <v>2086166</v>
      </c>
      <c r="G238" s="12" t="s">
        <v>877</v>
      </c>
      <c r="H238" s="12" t="s">
        <v>755</v>
      </c>
      <c r="I238" s="12" t="s">
        <v>756</v>
      </c>
      <c r="J238" s="84">
        <v>37956</v>
      </c>
      <c r="K238" s="84">
        <v>48914</v>
      </c>
      <c r="L238" s="12" t="s">
        <v>274</v>
      </c>
      <c r="M238" s="12" t="s">
        <v>790</v>
      </c>
      <c r="N238" s="75"/>
    </row>
    <row r="239" spans="1:14">
      <c r="A239" s="12">
        <v>236</v>
      </c>
      <c r="B239" s="12" t="s">
        <v>1502</v>
      </c>
      <c r="C239" s="12" t="s">
        <v>752</v>
      </c>
      <c r="D239" s="12" t="s">
        <v>1503</v>
      </c>
      <c r="E239" s="85">
        <v>47.83</v>
      </c>
      <c r="F239" s="6">
        <v>5089417</v>
      </c>
      <c r="G239" s="12" t="s">
        <v>1504</v>
      </c>
      <c r="H239" s="12" t="s">
        <v>755</v>
      </c>
      <c r="I239" s="12" t="s">
        <v>756</v>
      </c>
      <c r="J239" s="84">
        <v>37957</v>
      </c>
      <c r="K239" s="84">
        <v>48915</v>
      </c>
      <c r="L239" s="12" t="s">
        <v>274</v>
      </c>
      <c r="M239" s="12" t="s">
        <v>275</v>
      </c>
      <c r="N239" s="75"/>
    </row>
    <row r="240" spans="1:14">
      <c r="A240" s="12">
        <v>237</v>
      </c>
      <c r="B240" s="12" t="s">
        <v>1505</v>
      </c>
      <c r="C240" s="12" t="s">
        <v>1506</v>
      </c>
      <c r="D240" s="12" t="s">
        <v>1507</v>
      </c>
      <c r="E240" s="85">
        <v>377.21</v>
      </c>
      <c r="F240" s="6">
        <v>2830213</v>
      </c>
      <c r="G240" s="12" t="s">
        <v>888</v>
      </c>
      <c r="H240" s="12" t="s">
        <v>848</v>
      </c>
      <c r="I240" s="12" t="s">
        <v>849</v>
      </c>
      <c r="J240" s="84">
        <v>37960</v>
      </c>
      <c r="K240" s="84">
        <v>48918</v>
      </c>
      <c r="L240" s="12" t="s">
        <v>123</v>
      </c>
      <c r="M240" s="12" t="s">
        <v>1508</v>
      </c>
      <c r="N240" s="75"/>
    </row>
    <row r="241" spans="1:14">
      <c r="A241" s="12">
        <v>238</v>
      </c>
      <c r="B241" s="12" t="s">
        <v>1509</v>
      </c>
      <c r="C241" s="12" t="s">
        <v>752</v>
      </c>
      <c r="D241" s="12" t="s">
        <v>1510</v>
      </c>
      <c r="E241" s="85">
        <v>117.33</v>
      </c>
      <c r="F241" s="6">
        <v>2617749</v>
      </c>
      <c r="G241" s="12" t="s">
        <v>1511</v>
      </c>
      <c r="H241" s="12" t="s">
        <v>755</v>
      </c>
      <c r="I241" s="12" t="s">
        <v>756</v>
      </c>
      <c r="J241" s="84">
        <v>37977</v>
      </c>
      <c r="K241" s="84">
        <v>48935</v>
      </c>
      <c r="L241" s="12" t="s">
        <v>836</v>
      </c>
      <c r="M241" s="12" t="s">
        <v>837</v>
      </c>
      <c r="N241" s="75"/>
    </row>
    <row r="242" spans="1:14">
      <c r="A242" s="12">
        <v>239</v>
      </c>
      <c r="B242" s="12" t="s">
        <v>1512</v>
      </c>
      <c r="C242" s="12" t="s">
        <v>752</v>
      </c>
      <c r="D242" s="12" t="s">
        <v>1513</v>
      </c>
      <c r="E242" s="85">
        <v>856.39</v>
      </c>
      <c r="F242" s="6">
        <v>2054701</v>
      </c>
      <c r="G242" s="12" t="s">
        <v>776</v>
      </c>
      <c r="H242" s="12" t="s">
        <v>755</v>
      </c>
      <c r="I242" s="12" t="s">
        <v>756</v>
      </c>
      <c r="J242" s="84">
        <v>37978</v>
      </c>
      <c r="K242" s="84">
        <v>48936</v>
      </c>
      <c r="L242" s="12" t="s">
        <v>163</v>
      </c>
      <c r="M242" s="12" t="s">
        <v>1514</v>
      </c>
      <c r="N242" s="75"/>
    </row>
    <row r="243" spans="1:14">
      <c r="A243" s="12">
        <v>240</v>
      </c>
      <c r="B243" s="12" t="s">
        <v>1515</v>
      </c>
      <c r="C243" s="12" t="s">
        <v>137</v>
      </c>
      <c r="D243" s="12" t="s">
        <v>1516</v>
      </c>
      <c r="E243" s="85">
        <v>59.54</v>
      </c>
      <c r="F243" s="6">
        <v>5002486</v>
      </c>
      <c r="G243" s="12" t="s">
        <v>1517</v>
      </c>
      <c r="H243" s="12" t="s">
        <v>848</v>
      </c>
      <c r="I243" s="12" t="s">
        <v>849</v>
      </c>
      <c r="J243" s="84">
        <v>37979</v>
      </c>
      <c r="K243" s="84">
        <v>48937</v>
      </c>
      <c r="L243" s="12" t="s">
        <v>1518</v>
      </c>
      <c r="M243" s="12" t="s">
        <v>1519</v>
      </c>
      <c r="N243" s="75"/>
    </row>
    <row r="244" spans="1:14">
      <c r="A244" s="12">
        <v>241</v>
      </c>
      <c r="B244" s="12" t="s">
        <v>1520</v>
      </c>
      <c r="C244" s="12" t="s">
        <v>979</v>
      </c>
      <c r="D244" s="12" t="s">
        <v>1521</v>
      </c>
      <c r="E244" s="85">
        <v>32.46</v>
      </c>
      <c r="F244" s="6">
        <v>5122392</v>
      </c>
      <c r="G244" s="12" t="s">
        <v>1215</v>
      </c>
      <c r="H244" s="12" t="s">
        <v>848</v>
      </c>
      <c r="I244" s="12" t="s">
        <v>849</v>
      </c>
      <c r="J244" s="84">
        <v>37979</v>
      </c>
      <c r="K244" s="84">
        <v>48937</v>
      </c>
      <c r="L244" s="12" t="s">
        <v>138</v>
      </c>
      <c r="M244" s="12" t="s">
        <v>1216</v>
      </c>
      <c r="N244" s="75"/>
    </row>
    <row r="245" spans="1:14">
      <c r="A245" s="12">
        <v>242</v>
      </c>
      <c r="B245" s="12" t="s">
        <v>1522</v>
      </c>
      <c r="C245" s="12" t="s">
        <v>1523</v>
      </c>
      <c r="D245" s="12" t="s">
        <v>1524</v>
      </c>
      <c r="E245" s="85">
        <v>4533.32</v>
      </c>
      <c r="F245" s="6">
        <v>2657457</v>
      </c>
      <c r="G245" s="12" t="s">
        <v>1525</v>
      </c>
      <c r="H245" s="12" t="s">
        <v>766</v>
      </c>
      <c r="I245" s="12" t="s">
        <v>767</v>
      </c>
      <c r="J245" s="84">
        <v>37981</v>
      </c>
      <c r="K245" s="84">
        <v>48939</v>
      </c>
      <c r="L245" s="12" t="s">
        <v>233</v>
      </c>
      <c r="M245" s="12" t="s">
        <v>234</v>
      </c>
      <c r="N245" s="75"/>
    </row>
    <row r="246" spans="1:14">
      <c r="A246" s="12">
        <v>243</v>
      </c>
      <c r="B246" s="12" t="s">
        <v>1526</v>
      </c>
      <c r="C246" s="12" t="s">
        <v>1527</v>
      </c>
      <c r="D246" s="12" t="s">
        <v>1528</v>
      </c>
      <c r="E246" s="85">
        <v>8489.92</v>
      </c>
      <c r="F246" s="6">
        <v>2657457</v>
      </c>
      <c r="G246" s="12" t="s">
        <v>1525</v>
      </c>
      <c r="H246" s="12" t="s">
        <v>766</v>
      </c>
      <c r="I246" s="12" t="s">
        <v>767</v>
      </c>
      <c r="J246" s="84">
        <v>37981</v>
      </c>
      <c r="K246" s="84">
        <v>48936</v>
      </c>
      <c r="L246" s="12" t="s">
        <v>233</v>
      </c>
      <c r="M246" s="12" t="s">
        <v>234</v>
      </c>
      <c r="N246" s="75"/>
    </row>
    <row r="247" spans="1:14">
      <c r="A247" s="12">
        <v>244</v>
      </c>
      <c r="B247" s="12" t="s">
        <v>1529</v>
      </c>
      <c r="C247" s="12" t="s">
        <v>1530</v>
      </c>
      <c r="D247" s="12" t="s">
        <v>1531</v>
      </c>
      <c r="E247" s="85">
        <v>1762.7</v>
      </c>
      <c r="F247" s="6">
        <v>2657457</v>
      </c>
      <c r="G247" s="12" t="s">
        <v>1525</v>
      </c>
      <c r="H247" s="12" t="s">
        <v>766</v>
      </c>
      <c r="I247" s="12" t="s">
        <v>767</v>
      </c>
      <c r="J247" s="84">
        <v>37981</v>
      </c>
      <c r="K247" s="84">
        <v>48936</v>
      </c>
      <c r="L247" s="12" t="s">
        <v>233</v>
      </c>
      <c r="M247" s="12" t="s">
        <v>234</v>
      </c>
      <c r="N247" s="75"/>
    </row>
    <row r="248" spans="1:14">
      <c r="A248" s="12">
        <v>245</v>
      </c>
      <c r="B248" s="12" t="s">
        <v>1532</v>
      </c>
      <c r="C248" s="12" t="s">
        <v>979</v>
      </c>
      <c r="D248" s="12" t="s">
        <v>1533</v>
      </c>
      <c r="E248" s="85">
        <v>755.2</v>
      </c>
      <c r="F248" s="6">
        <v>5295858</v>
      </c>
      <c r="G248" s="12" t="s">
        <v>1534</v>
      </c>
      <c r="H248" s="12" t="s">
        <v>848</v>
      </c>
      <c r="I248" s="12" t="s">
        <v>849</v>
      </c>
      <c r="J248" s="84">
        <v>37984</v>
      </c>
      <c r="K248" s="84">
        <v>48942</v>
      </c>
      <c r="L248" s="12" t="s">
        <v>768</v>
      </c>
      <c r="M248" s="12" t="s">
        <v>933</v>
      </c>
      <c r="N248" s="75"/>
    </row>
    <row r="249" spans="1:14">
      <c r="A249" s="12">
        <v>246</v>
      </c>
      <c r="B249" s="12" t="s">
        <v>1535</v>
      </c>
      <c r="C249" s="12" t="s">
        <v>1152</v>
      </c>
      <c r="D249" s="12" t="s">
        <v>1368</v>
      </c>
      <c r="E249" s="85">
        <v>37.270000000000003</v>
      </c>
      <c r="F249" s="6">
        <v>2041588</v>
      </c>
      <c r="G249" s="12" t="s">
        <v>1429</v>
      </c>
      <c r="H249" s="12" t="s">
        <v>755</v>
      </c>
      <c r="I249" s="12" t="s">
        <v>756</v>
      </c>
      <c r="J249" s="84">
        <v>37985</v>
      </c>
      <c r="K249" s="84">
        <v>48943</v>
      </c>
      <c r="L249" s="12" t="s">
        <v>1536</v>
      </c>
      <c r="M249" s="12" t="s">
        <v>1537</v>
      </c>
      <c r="N249" s="75"/>
    </row>
    <row r="250" spans="1:14">
      <c r="A250" s="12">
        <v>247</v>
      </c>
      <c r="B250" s="12" t="s">
        <v>1538</v>
      </c>
      <c r="C250" s="12" t="s">
        <v>979</v>
      </c>
      <c r="D250" s="12" t="s">
        <v>1539</v>
      </c>
      <c r="E250" s="85">
        <v>172.07</v>
      </c>
      <c r="F250" s="6">
        <v>2555409</v>
      </c>
      <c r="G250" s="12" t="s">
        <v>1540</v>
      </c>
      <c r="H250" s="12" t="s">
        <v>755</v>
      </c>
      <c r="I250" s="12" t="s">
        <v>756</v>
      </c>
      <c r="J250" s="84">
        <v>38012</v>
      </c>
      <c r="K250" s="84">
        <v>48970</v>
      </c>
      <c r="L250" s="12" t="s">
        <v>274</v>
      </c>
      <c r="M250" s="12" t="s">
        <v>275</v>
      </c>
      <c r="N250" s="75"/>
    </row>
    <row r="251" spans="1:14">
      <c r="A251" s="12">
        <v>248</v>
      </c>
      <c r="B251" s="12" t="s">
        <v>1541</v>
      </c>
      <c r="C251" s="12" t="s">
        <v>122</v>
      </c>
      <c r="D251" s="12" t="s">
        <v>1542</v>
      </c>
      <c r="E251" s="85">
        <v>30.91</v>
      </c>
      <c r="F251" s="6">
        <v>2095025</v>
      </c>
      <c r="G251" s="12" t="s">
        <v>870</v>
      </c>
      <c r="H251" s="12" t="s">
        <v>755</v>
      </c>
      <c r="I251" s="12" t="s">
        <v>756</v>
      </c>
      <c r="J251" s="84">
        <v>38014</v>
      </c>
      <c r="K251" s="84">
        <v>48972</v>
      </c>
      <c r="L251" s="12" t="s">
        <v>233</v>
      </c>
      <c r="M251" s="12" t="s">
        <v>237</v>
      </c>
      <c r="N251" s="75"/>
    </row>
    <row r="252" spans="1:14">
      <c r="A252" s="12">
        <v>249</v>
      </c>
      <c r="B252" s="12" t="s">
        <v>1543</v>
      </c>
      <c r="C252" s="12" t="s">
        <v>752</v>
      </c>
      <c r="D252" s="12" t="s">
        <v>1544</v>
      </c>
      <c r="E252" s="85">
        <v>174.21</v>
      </c>
      <c r="F252" s="6">
        <v>5180252</v>
      </c>
      <c r="G252" s="12" t="s">
        <v>1349</v>
      </c>
      <c r="H252" s="12" t="s">
        <v>755</v>
      </c>
      <c r="I252" s="12" t="s">
        <v>756</v>
      </c>
      <c r="J252" s="84">
        <v>38014</v>
      </c>
      <c r="K252" s="84">
        <v>48972</v>
      </c>
      <c r="L252" s="12" t="s">
        <v>768</v>
      </c>
      <c r="M252" s="12" t="s">
        <v>769</v>
      </c>
      <c r="N252" s="75"/>
    </row>
    <row r="253" spans="1:14">
      <c r="A253" s="12">
        <v>250</v>
      </c>
      <c r="B253" s="12" t="s">
        <v>1545</v>
      </c>
      <c r="C253" s="12" t="s">
        <v>979</v>
      </c>
      <c r="D253" s="12" t="s">
        <v>998</v>
      </c>
      <c r="E253" s="85">
        <v>298.13</v>
      </c>
      <c r="F253" s="6">
        <v>5295858</v>
      </c>
      <c r="G253" s="12" t="s">
        <v>1534</v>
      </c>
      <c r="H253" s="12" t="s">
        <v>848</v>
      </c>
      <c r="I253" s="12" t="s">
        <v>849</v>
      </c>
      <c r="J253" s="84">
        <v>38022</v>
      </c>
      <c r="K253" s="84">
        <v>48980</v>
      </c>
      <c r="L253" s="12" t="s">
        <v>768</v>
      </c>
      <c r="M253" s="12" t="s">
        <v>933</v>
      </c>
      <c r="N253" s="75"/>
    </row>
    <row r="254" spans="1:14">
      <c r="A254" s="12">
        <v>251</v>
      </c>
      <c r="B254" s="12" t="s">
        <v>1546</v>
      </c>
      <c r="C254" s="12" t="s">
        <v>1547</v>
      </c>
      <c r="D254" s="12" t="s">
        <v>1548</v>
      </c>
      <c r="E254" s="85">
        <v>175.24</v>
      </c>
      <c r="F254" s="6">
        <v>5401801</v>
      </c>
      <c r="G254" s="12" t="s">
        <v>1549</v>
      </c>
      <c r="H254" s="12" t="s">
        <v>755</v>
      </c>
      <c r="I254" s="12" t="s">
        <v>756</v>
      </c>
      <c r="J254" s="84">
        <v>38022</v>
      </c>
      <c r="K254" s="84">
        <v>48980</v>
      </c>
      <c r="L254" s="12" t="s">
        <v>1102</v>
      </c>
      <c r="M254" s="12" t="s">
        <v>1550</v>
      </c>
      <c r="N254" s="75"/>
    </row>
    <row r="255" spans="1:14">
      <c r="A255" s="12">
        <v>252</v>
      </c>
      <c r="B255" s="12" t="s">
        <v>1551</v>
      </c>
      <c r="C255" s="12" t="s">
        <v>995</v>
      </c>
      <c r="D255" s="12" t="s">
        <v>1552</v>
      </c>
      <c r="E255" s="85">
        <v>25.62</v>
      </c>
      <c r="F255" s="6">
        <v>2669218</v>
      </c>
      <c r="G255" s="12" t="s">
        <v>1553</v>
      </c>
      <c r="H255" s="12" t="s">
        <v>755</v>
      </c>
      <c r="I255" s="12" t="s">
        <v>756</v>
      </c>
      <c r="J255" s="84">
        <v>37406</v>
      </c>
      <c r="K255" s="84">
        <v>48364</v>
      </c>
      <c r="L255" s="12" t="s">
        <v>128</v>
      </c>
      <c r="M255" s="12" t="s">
        <v>291</v>
      </c>
      <c r="N255" s="75"/>
    </row>
    <row r="256" spans="1:14">
      <c r="A256" s="12">
        <v>253</v>
      </c>
      <c r="B256" s="12" t="s">
        <v>1554</v>
      </c>
      <c r="C256" s="12" t="s">
        <v>752</v>
      </c>
      <c r="D256" s="12" t="s">
        <v>1555</v>
      </c>
      <c r="E256" s="85">
        <v>94.21</v>
      </c>
      <c r="F256" s="6">
        <v>2774666</v>
      </c>
      <c r="G256" s="12" t="s">
        <v>1556</v>
      </c>
      <c r="H256" s="12" t="s">
        <v>755</v>
      </c>
      <c r="I256" s="12" t="s">
        <v>756</v>
      </c>
      <c r="J256" s="84">
        <v>38051</v>
      </c>
      <c r="K256" s="84">
        <v>49008</v>
      </c>
      <c r="L256" s="12" t="s">
        <v>274</v>
      </c>
      <c r="M256" s="12" t="s">
        <v>790</v>
      </c>
      <c r="N256" s="75"/>
    </row>
    <row r="257" spans="1:14">
      <c r="A257" s="12">
        <v>254</v>
      </c>
      <c r="B257" s="12" t="s">
        <v>1557</v>
      </c>
      <c r="C257" s="12" t="s">
        <v>752</v>
      </c>
      <c r="D257" s="12" t="s">
        <v>1558</v>
      </c>
      <c r="E257" s="85">
        <v>184.1</v>
      </c>
      <c r="F257" s="6">
        <v>2681404</v>
      </c>
      <c r="G257" s="12" t="s">
        <v>1559</v>
      </c>
      <c r="H257" s="12" t="s">
        <v>755</v>
      </c>
      <c r="I257" s="12" t="s">
        <v>756</v>
      </c>
      <c r="J257" s="84">
        <v>38065</v>
      </c>
      <c r="K257" s="84">
        <v>49022</v>
      </c>
      <c r="L257" s="12" t="s">
        <v>163</v>
      </c>
      <c r="M257" s="12" t="s">
        <v>948</v>
      </c>
      <c r="N257" s="75"/>
    </row>
    <row r="258" spans="1:14">
      <c r="A258" s="12">
        <v>255</v>
      </c>
      <c r="B258" s="12" t="s">
        <v>1560</v>
      </c>
      <c r="C258" s="12" t="s">
        <v>1451</v>
      </c>
      <c r="D258" s="12" t="s">
        <v>1561</v>
      </c>
      <c r="E258" s="85">
        <v>125.03</v>
      </c>
      <c r="F258" s="6">
        <v>2804816</v>
      </c>
      <c r="G258" s="12" t="s">
        <v>1562</v>
      </c>
      <c r="H258" s="12" t="s">
        <v>755</v>
      </c>
      <c r="I258" s="12" t="s">
        <v>756</v>
      </c>
      <c r="J258" s="84">
        <v>38069</v>
      </c>
      <c r="K258" s="84">
        <v>49026</v>
      </c>
      <c r="L258" s="12" t="s">
        <v>128</v>
      </c>
      <c r="M258" s="12" t="s">
        <v>191</v>
      </c>
      <c r="N258" s="75"/>
    </row>
    <row r="259" spans="1:14">
      <c r="A259" s="12">
        <v>256</v>
      </c>
      <c r="B259" s="12" t="s">
        <v>1563</v>
      </c>
      <c r="C259" s="12" t="s">
        <v>752</v>
      </c>
      <c r="D259" s="12" t="s">
        <v>1564</v>
      </c>
      <c r="E259" s="85">
        <v>113.26</v>
      </c>
      <c r="F259" s="6">
        <v>2550466</v>
      </c>
      <c r="G259" s="12" t="s">
        <v>801</v>
      </c>
      <c r="H259" s="12" t="s">
        <v>761</v>
      </c>
      <c r="I259" s="12" t="s">
        <v>756</v>
      </c>
      <c r="J259" s="84">
        <v>38069</v>
      </c>
      <c r="K259" s="84">
        <v>49026</v>
      </c>
      <c r="L259" s="12" t="s">
        <v>274</v>
      </c>
      <c r="M259" s="12" t="s">
        <v>275</v>
      </c>
      <c r="N259" s="75"/>
    </row>
    <row r="260" spans="1:14">
      <c r="A260" s="12">
        <v>257</v>
      </c>
      <c r="B260" s="12" t="s">
        <v>1565</v>
      </c>
      <c r="C260" s="12" t="s">
        <v>995</v>
      </c>
      <c r="D260" s="12" t="s">
        <v>1566</v>
      </c>
      <c r="E260" s="85">
        <v>10.42</v>
      </c>
      <c r="F260" s="6">
        <v>2152924</v>
      </c>
      <c r="G260" s="12" t="s">
        <v>1567</v>
      </c>
      <c r="H260" s="12" t="s">
        <v>848</v>
      </c>
      <c r="I260" s="12" t="s">
        <v>849</v>
      </c>
      <c r="J260" s="84">
        <v>35898</v>
      </c>
      <c r="K260" s="84">
        <v>46856</v>
      </c>
      <c r="L260" s="12" t="s">
        <v>128</v>
      </c>
      <c r="M260" s="12" t="s">
        <v>862</v>
      </c>
      <c r="N260" s="75"/>
    </row>
    <row r="261" spans="1:14">
      <c r="A261" s="12">
        <v>258</v>
      </c>
      <c r="B261" s="12" t="s">
        <v>1568</v>
      </c>
      <c r="C261" s="12" t="s">
        <v>752</v>
      </c>
      <c r="D261" s="12" t="s">
        <v>1569</v>
      </c>
      <c r="E261" s="85">
        <v>49.52</v>
      </c>
      <c r="F261" s="6">
        <v>2550466</v>
      </c>
      <c r="G261" s="12" t="s">
        <v>801</v>
      </c>
      <c r="H261" s="12" t="s">
        <v>761</v>
      </c>
      <c r="I261" s="12" t="s">
        <v>756</v>
      </c>
      <c r="J261" s="84">
        <v>38079</v>
      </c>
      <c r="K261" s="84">
        <v>49036</v>
      </c>
      <c r="L261" s="12" t="s">
        <v>274</v>
      </c>
      <c r="M261" s="12" t="s">
        <v>275</v>
      </c>
      <c r="N261" s="75"/>
    </row>
    <row r="262" spans="1:14">
      <c r="A262" s="12">
        <v>259</v>
      </c>
      <c r="B262" s="12" t="s">
        <v>1570</v>
      </c>
      <c r="C262" s="12" t="s">
        <v>221</v>
      </c>
      <c r="D262" s="12" t="s">
        <v>1134</v>
      </c>
      <c r="E262" s="85">
        <v>58.5</v>
      </c>
      <c r="F262" s="6">
        <v>2053152</v>
      </c>
      <c r="G262" s="12" t="s">
        <v>1571</v>
      </c>
      <c r="H262" s="12" t="s">
        <v>901</v>
      </c>
      <c r="I262" s="12" t="s">
        <v>756</v>
      </c>
      <c r="J262" s="84">
        <v>38089</v>
      </c>
      <c r="K262" s="84">
        <v>49046</v>
      </c>
      <c r="L262" s="12" t="s">
        <v>274</v>
      </c>
      <c r="M262" s="12" t="s">
        <v>874</v>
      </c>
      <c r="N262" s="75"/>
    </row>
    <row r="263" spans="1:14">
      <c r="A263" s="12">
        <v>260</v>
      </c>
      <c r="B263" s="12" t="s">
        <v>1572</v>
      </c>
      <c r="C263" s="12" t="s">
        <v>752</v>
      </c>
      <c r="D263" s="12" t="s">
        <v>1573</v>
      </c>
      <c r="E263" s="85">
        <v>26.65</v>
      </c>
      <c r="F263" s="6">
        <v>5959306</v>
      </c>
      <c r="G263" s="12" t="s">
        <v>1574</v>
      </c>
      <c r="H263" s="12" t="s">
        <v>755</v>
      </c>
      <c r="I263" s="12" t="s">
        <v>756</v>
      </c>
      <c r="J263" s="84">
        <v>37760</v>
      </c>
      <c r="K263" s="84">
        <v>48718</v>
      </c>
      <c r="L263" s="12" t="s">
        <v>288</v>
      </c>
      <c r="M263" s="12" t="s">
        <v>1575</v>
      </c>
      <c r="N263" s="75"/>
    </row>
    <row r="264" spans="1:14">
      <c r="A264" s="12">
        <v>261</v>
      </c>
      <c r="B264" s="12" t="s">
        <v>1576</v>
      </c>
      <c r="C264" s="12" t="s">
        <v>752</v>
      </c>
      <c r="D264" s="12" t="s">
        <v>1577</v>
      </c>
      <c r="E264" s="85">
        <v>96.94</v>
      </c>
      <c r="F264" s="6">
        <v>2808226</v>
      </c>
      <c r="G264" s="12" t="s">
        <v>1578</v>
      </c>
      <c r="H264" s="12" t="s">
        <v>848</v>
      </c>
      <c r="I264" s="12" t="s">
        <v>849</v>
      </c>
      <c r="J264" s="84">
        <v>38107</v>
      </c>
      <c r="K264" s="84">
        <v>50083</v>
      </c>
      <c r="L264" s="12" t="s">
        <v>1097</v>
      </c>
      <c r="M264" s="12" t="s">
        <v>1579</v>
      </c>
      <c r="N264" s="75"/>
    </row>
    <row r="265" spans="1:14">
      <c r="A265" s="12">
        <v>262</v>
      </c>
      <c r="B265" s="12" t="s">
        <v>1580</v>
      </c>
      <c r="C265" s="12" t="s">
        <v>221</v>
      </c>
      <c r="D265" s="12" t="s">
        <v>1581</v>
      </c>
      <c r="E265" s="85">
        <v>27.63</v>
      </c>
      <c r="F265" s="6">
        <v>2063123</v>
      </c>
      <c r="G265" s="12" t="s">
        <v>1582</v>
      </c>
      <c r="H265" s="12" t="s">
        <v>755</v>
      </c>
      <c r="I265" s="12" t="s">
        <v>756</v>
      </c>
      <c r="J265" s="84">
        <v>38114</v>
      </c>
      <c r="K265" s="84">
        <v>49071</v>
      </c>
      <c r="L265" s="12" t="s">
        <v>274</v>
      </c>
      <c r="M265" s="12" t="s">
        <v>874</v>
      </c>
      <c r="N265" s="75"/>
    </row>
    <row r="266" spans="1:14">
      <c r="A266" s="12">
        <v>263</v>
      </c>
      <c r="B266" s="12" t="s">
        <v>1583</v>
      </c>
      <c r="C266" s="12" t="s">
        <v>752</v>
      </c>
      <c r="D266" s="12" t="s">
        <v>1584</v>
      </c>
      <c r="E266" s="85">
        <v>93.46</v>
      </c>
      <c r="F266" s="6">
        <v>2816555</v>
      </c>
      <c r="G266" s="12" t="s">
        <v>1585</v>
      </c>
      <c r="H266" s="12" t="s">
        <v>755</v>
      </c>
      <c r="I266" s="12" t="s">
        <v>756</v>
      </c>
      <c r="J266" s="84">
        <v>36605</v>
      </c>
      <c r="K266" s="84">
        <v>47562</v>
      </c>
      <c r="L266" s="12" t="s">
        <v>274</v>
      </c>
      <c r="M266" s="12" t="s">
        <v>790</v>
      </c>
      <c r="N266" s="75"/>
    </row>
    <row r="267" spans="1:14">
      <c r="A267" s="12">
        <v>264</v>
      </c>
      <c r="B267" s="12" t="s">
        <v>1586</v>
      </c>
      <c r="C267" s="12" t="s">
        <v>752</v>
      </c>
      <c r="D267" s="12" t="s">
        <v>1587</v>
      </c>
      <c r="E267" s="85">
        <v>97.55</v>
      </c>
      <c r="F267" s="6">
        <v>2054701</v>
      </c>
      <c r="G267" s="12" t="s">
        <v>776</v>
      </c>
      <c r="H267" s="12" t="s">
        <v>755</v>
      </c>
      <c r="I267" s="12" t="s">
        <v>756</v>
      </c>
      <c r="J267" s="84">
        <v>34842</v>
      </c>
      <c r="K267" s="84">
        <v>45800</v>
      </c>
      <c r="L267" s="12" t="s">
        <v>304</v>
      </c>
      <c r="M267" s="12" t="s">
        <v>773</v>
      </c>
      <c r="N267" s="75"/>
    </row>
    <row r="268" spans="1:14">
      <c r="A268" s="12">
        <v>265</v>
      </c>
      <c r="B268" s="12" t="s">
        <v>1588</v>
      </c>
      <c r="C268" s="12" t="s">
        <v>752</v>
      </c>
      <c r="D268" s="12" t="s">
        <v>1589</v>
      </c>
      <c r="E268" s="85">
        <v>75.150000000000006</v>
      </c>
      <c r="F268" s="6">
        <v>5180252</v>
      </c>
      <c r="G268" s="12" t="s">
        <v>1349</v>
      </c>
      <c r="H268" s="12" t="s">
        <v>755</v>
      </c>
      <c r="I268" s="12" t="s">
        <v>756</v>
      </c>
      <c r="J268" s="84">
        <v>38119</v>
      </c>
      <c r="K268" s="84">
        <v>49076</v>
      </c>
      <c r="L268" s="12" t="s">
        <v>768</v>
      </c>
      <c r="M268" s="12" t="s">
        <v>1350</v>
      </c>
      <c r="N268" s="75"/>
    </row>
    <row r="269" spans="1:14">
      <c r="A269" s="12">
        <v>266</v>
      </c>
      <c r="B269" s="12" t="s">
        <v>1590</v>
      </c>
      <c r="C269" s="12" t="s">
        <v>212</v>
      </c>
      <c r="D269" s="12" t="s">
        <v>1476</v>
      </c>
      <c r="E269" s="85">
        <v>130.99</v>
      </c>
      <c r="F269" s="6">
        <v>2067439</v>
      </c>
      <c r="G269" s="12" t="s">
        <v>1139</v>
      </c>
      <c r="H269" s="12" t="s">
        <v>755</v>
      </c>
      <c r="I269" s="12" t="s">
        <v>756</v>
      </c>
      <c r="J269" s="84">
        <v>38126</v>
      </c>
      <c r="K269" s="84">
        <v>49083</v>
      </c>
      <c r="L269" s="12" t="s">
        <v>138</v>
      </c>
      <c r="M269" s="12" t="s">
        <v>1591</v>
      </c>
      <c r="N269" s="75"/>
    </row>
    <row r="270" spans="1:14">
      <c r="A270" s="12">
        <v>267</v>
      </c>
      <c r="B270" s="12" t="s">
        <v>1592</v>
      </c>
      <c r="C270" s="12" t="s">
        <v>995</v>
      </c>
      <c r="D270" s="12" t="s">
        <v>1593</v>
      </c>
      <c r="E270" s="85">
        <v>38.630000000000003</v>
      </c>
      <c r="F270" s="6">
        <v>2829541</v>
      </c>
      <c r="G270" s="12" t="s">
        <v>1594</v>
      </c>
      <c r="H270" s="12" t="s">
        <v>848</v>
      </c>
      <c r="I270" s="12" t="s">
        <v>849</v>
      </c>
      <c r="J270" s="84">
        <v>37202</v>
      </c>
      <c r="K270" s="84">
        <v>48159</v>
      </c>
      <c r="L270" s="12" t="s">
        <v>274</v>
      </c>
      <c r="M270" s="12" t="s">
        <v>790</v>
      </c>
      <c r="N270" s="75"/>
    </row>
    <row r="271" spans="1:14">
      <c r="A271" s="12">
        <v>268</v>
      </c>
      <c r="B271" s="12" t="s">
        <v>1595</v>
      </c>
      <c r="C271" s="12" t="s">
        <v>752</v>
      </c>
      <c r="D271" s="12" t="s">
        <v>1596</v>
      </c>
      <c r="E271" s="85">
        <v>1146.3599999999999</v>
      </c>
      <c r="F271" s="6">
        <v>2054701</v>
      </c>
      <c r="G271" s="12" t="s">
        <v>776</v>
      </c>
      <c r="H271" s="12" t="s">
        <v>755</v>
      </c>
      <c r="I271" s="12" t="s">
        <v>756</v>
      </c>
      <c r="J271" s="84">
        <v>38148</v>
      </c>
      <c r="K271" s="84">
        <v>49105</v>
      </c>
      <c r="L271" s="12" t="s">
        <v>1597</v>
      </c>
      <c r="M271" s="12" t="s">
        <v>1598</v>
      </c>
      <c r="N271" s="75"/>
    </row>
    <row r="272" spans="1:14">
      <c r="A272" s="12">
        <v>269</v>
      </c>
      <c r="B272" s="12" t="s">
        <v>1599</v>
      </c>
      <c r="C272" s="12" t="s">
        <v>752</v>
      </c>
      <c r="D272" s="12" t="s">
        <v>1600</v>
      </c>
      <c r="E272" s="85">
        <v>1220.47</v>
      </c>
      <c r="F272" s="6">
        <v>2054701</v>
      </c>
      <c r="G272" s="12" t="s">
        <v>776</v>
      </c>
      <c r="H272" s="12" t="s">
        <v>755</v>
      </c>
      <c r="I272" s="12" t="s">
        <v>756</v>
      </c>
      <c r="J272" s="84">
        <v>38148</v>
      </c>
      <c r="K272" s="84">
        <v>49105</v>
      </c>
      <c r="L272" s="12" t="s">
        <v>1597</v>
      </c>
      <c r="M272" s="12" t="s">
        <v>1598</v>
      </c>
      <c r="N272" s="75"/>
    </row>
    <row r="273" spans="1:14">
      <c r="A273" s="12">
        <v>270</v>
      </c>
      <c r="B273" s="12" t="s">
        <v>1601</v>
      </c>
      <c r="C273" s="12" t="s">
        <v>752</v>
      </c>
      <c r="D273" s="12" t="s">
        <v>1602</v>
      </c>
      <c r="E273" s="85">
        <v>284.31</v>
      </c>
      <c r="F273" s="6">
        <v>2054701</v>
      </c>
      <c r="G273" s="12" t="s">
        <v>776</v>
      </c>
      <c r="H273" s="12" t="s">
        <v>755</v>
      </c>
      <c r="I273" s="12" t="s">
        <v>756</v>
      </c>
      <c r="J273" s="84">
        <v>38148</v>
      </c>
      <c r="K273" s="84">
        <v>49105</v>
      </c>
      <c r="L273" s="12" t="s">
        <v>163</v>
      </c>
      <c r="M273" s="12" t="s">
        <v>1514</v>
      </c>
      <c r="N273" s="75"/>
    </row>
    <row r="274" spans="1:14">
      <c r="A274" s="12">
        <v>271</v>
      </c>
      <c r="B274" s="12" t="s">
        <v>1603</v>
      </c>
      <c r="C274" s="12" t="s">
        <v>752</v>
      </c>
      <c r="D274" s="12" t="s">
        <v>1604</v>
      </c>
      <c r="E274" s="85">
        <v>88.14</v>
      </c>
      <c r="F274" s="6">
        <v>2054701</v>
      </c>
      <c r="G274" s="12" t="s">
        <v>776</v>
      </c>
      <c r="H274" s="12" t="s">
        <v>755</v>
      </c>
      <c r="I274" s="12" t="s">
        <v>756</v>
      </c>
      <c r="J274" s="84">
        <v>38148</v>
      </c>
      <c r="K274" s="84">
        <v>49105</v>
      </c>
      <c r="L274" s="12" t="s">
        <v>1597</v>
      </c>
      <c r="M274" s="12" t="s">
        <v>1598</v>
      </c>
      <c r="N274" s="75"/>
    </row>
    <row r="275" spans="1:14">
      <c r="A275" s="12">
        <v>272</v>
      </c>
      <c r="B275" s="12" t="s">
        <v>1605</v>
      </c>
      <c r="C275" s="12" t="s">
        <v>979</v>
      </c>
      <c r="D275" s="12" t="s">
        <v>1464</v>
      </c>
      <c r="E275" s="85">
        <v>376.4</v>
      </c>
      <c r="F275" s="6">
        <v>5131871</v>
      </c>
      <c r="G275" s="12" t="s">
        <v>1465</v>
      </c>
      <c r="H275" s="12" t="s">
        <v>755</v>
      </c>
      <c r="I275" s="12" t="s">
        <v>756</v>
      </c>
      <c r="J275" s="84">
        <v>38148</v>
      </c>
      <c r="K275" s="84">
        <v>49105</v>
      </c>
      <c r="L275" s="12" t="s">
        <v>274</v>
      </c>
      <c r="M275" s="12" t="s">
        <v>275</v>
      </c>
      <c r="N275" s="75"/>
    </row>
    <row r="276" spans="1:14">
      <c r="A276" s="12">
        <v>273</v>
      </c>
      <c r="B276" s="12" t="s">
        <v>1606</v>
      </c>
      <c r="C276" s="12" t="s">
        <v>752</v>
      </c>
      <c r="D276" s="12" t="s">
        <v>1607</v>
      </c>
      <c r="E276" s="85">
        <v>512.96</v>
      </c>
      <c r="F276" s="6">
        <v>5722942</v>
      </c>
      <c r="G276" s="12" t="s">
        <v>1608</v>
      </c>
      <c r="H276" s="12" t="s">
        <v>755</v>
      </c>
      <c r="I276" s="12" t="s">
        <v>756</v>
      </c>
      <c r="J276" s="84">
        <v>38149</v>
      </c>
      <c r="K276" s="84">
        <v>49106</v>
      </c>
      <c r="L276" s="12" t="s">
        <v>274</v>
      </c>
      <c r="M276" s="12" t="s">
        <v>275</v>
      </c>
      <c r="N276" s="75"/>
    </row>
    <row r="277" spans="1:14">
      <c r="A277" s="12">
        <v>274</v>
      </c>
      <c r="B277" s="12" t="s">
        <v>1609</v>
      </c>
      <c r="C277" s="12" t="s">
        <v>752</v>
      </c>
      <c r="D277" s="12" t="s">
        <v>1610</v>
      </c>
      <c r="E277" s="85">
        <v>264.10000000000002</v>
      </c>
      <c r="F277" s="6">
        <v>5722942</v>
      </c>
      <c r="G277" s="12" t="s">
        <v>1608</v>
      </c>
      <c r="H277" s="12" t="s">
        <v>755</v>
      </c>
      <c r="I277" s="12" t="s">
        <v>756</v>
      </c>
      <c r="J277" s="84">
        <v>38149</v>
      </c>
      <c r="K277" s="84">
        <v>49106</v>
      </c>
      <c r="L277" s="12" t="s">
        <v>831</v>
      </c>
      <c r="M277" s="12" t="s">
        <v>832</v>
      </c>
      <c r="N277" s="75"/>
    </row>
    <row r="278" spans="1:14">
      <c r="A278" s="12">
        <v>275</v>
      </c>
      <c r="B278" s="12" t="s">
        <v>1611</v>
      </c>
      <c r="C278" s="12" t="s">
        <v>752</v>
      </c>
      <c r="D278" s="12" t="s">
        <v>1499</v>
      </c>
      <c r="E278" s="85">
        <v>25.05</v>
      </c>
      <c r="F278" s="6">
        <v>2723344</v>
      </c>
      <c r="G278" s="12" t="s">
        <v>1375</v>
      </c>
      <c r="H278" s="12" t="s">
        <v>755</v>
      </c>
      <c r="I278" s="12" t="s">
        <v>756</v>
      </c>
      <c r="J278" s="84">
        <v>38149</v>
      </c>
      <c r="K278" s="84">
        <v>49106</v>
      </c>
      <c r="L278" s="12" t="s">
        <v>304</v>
      </c>
      <c r="M278" s="12" t="s">
        <v>773</v>
      </c>
      <c r="N278" s="75"/>
    </row>
    <row r="279" spans="1:14">
      <c r="A279" s="12">
        <v>276</v>
      </c>
      <c r="B279" s="12" t="s">
        <v>1612</v>
      </c>
      <c r="C279" s="12" t="s">
        <v>221</v>
      </c>
      <c r="D279" s="12" t="s">
        <v>1613</v>
      </c>
      <c r="E279" s="85">
        <v>27.98</v>
      </c>
      <c r="F279" s="6">
        <v>2076624</v>
      </c>
      <c r="G279" s="12" t="s">
        <v>1614</v>
      </c>
      <c r="H279" s="12" t="s">
        <v>755</v>
      </c>
      <c r="I279" s="12" t="s">
        <v>756</v>
      </c>
      <c r="J279" s="84">
        <v>38156</v>
      </c>
      <c r="K279" s="84">
        <v>49113</v>
      </c>
      <c r="L279" s="12" t="s">
        <v>180</v>
      </c>
      <c r="M279" s="12" t="s">
        <v>927</v>
      </c>
      <c r="N279" s="75"/>
    </row>
    <row r="280" spans="1:14">
      <c r="A280" s="12">
        <v>277</v>
      </c>
      <c r="B280" s="12" t="s">
        <v>1615</v>
      </c>
      <c r="C280" s="12" t="s">
        <v>752</v>
      </c>
      <c r="D280" s="12" t="s">
        <v>1616</v>
      </c>
      <c r="E280" s="85">
        <v>254.79</v>
      </c>
      <c r="F280" s="6">
        <v>2800128</v>
      </c>
      <c r="G280" s="12" t="s">
        <v>1617</v>
      </c>
      <c r="H280" s="12" t="s">
        <v>755</v>
      </c>
      <c r="I280" s="12" t="s">
        <v>756</v>
      </c>
      <c r="J280" s="84">
        <v>38176</v>
      </c>
      <c r="K280" s="84">
        <v>49133</v>
      </c>
      <c r="L280" s="12" t="s">
        <v>304</v>
      </c>
      <c r="M280" s="12" t="s">
        <v>773</v>
      </c>
      <c r="N280" s="75"/>
    </row>
    <row r="281" spans="1:14">
      <c r="A281" s="12">
        <v>278</v>
      </c>
      <c r="B281" s="12" t="s">
        <v>1618</v>
      </c>
      <c r="C281" s="12" t="s">
        <v>212</v>
      </c>
      <c r="D281" s="12" t="s">
        <v>806</v>
      </c>
      <c r="E281" s="85">
        <v>26.45</v>
      </c>
      <c r="F281" s="6">
        <v>2638185</v>
      </c>
      <c r="G281" s="12" t="s">
        <v>1619</v>
      </c>
      <c r="H281" s="12" t="s">
        <v>755</v>
      </c>
      <c r="I281" s="12" t="s">
        <v>756</v>
      </c>
      <c r="J281" s="84">
        <v>38182</v>
      </c>
      <c r="K281" s="84">
        <v>50235</v>
      </c>
      <c r="L281" s="12" t="s">
        <v>170</v>
      </c>
      <c r="M281" s="12" t="s">
        <v>811</v>
      </c>
      <c r="N281" s="75"/>
    </row>
    <row r="282" spans="1:14">
      <c r="A282" s="12">
        <v>279</v>
      </c>
      <c r="B282" s="12" t="s">
        <v>1620</v>
      </c>
      <c r="C282" s="12" t="s">
        <v>122</v>
      </c>
      <c r="D282" s="12" t="s">
        <v>1621</v>
      </c>
      <c r="E282" s="85">
        <v>55.66</v>
      </c>
      <c r="F282" s="6">
        <v>5369223</v>
      </c>
      <c r="G282" s="12" t="s">
        <v>1622</v>
      </c>
      <c r="H282" s="12" t="s">
        <v>755</v>
      </c>
      <c r="I282" s="12" t="s">
        <v>756</v>
      </c>
      <c r="J282" s="84">
        <v>38184</v>
      </c>
      <c r="K282" s="84">
        <v>49141</v>
      </c>
      <c r="L282" s="12" t="s">
        <v>375</v>
      </c>
      <c r="M282" s="12" t="s">
        <v>944</v>
      </c>
      <c r="N282" s="75"/>
    </row>
    <row r="283" spans="1:14">
      <c r="A283" s="12">
        <v>280</v>
      </c>
      <c r="B283" s="12" t="s">
        <v>1623</v>
      </c>
      <c r="C283" s="12" t="s">
        <v>752</v>
      </c>
      <c r="D283" s="12" t="s">
        <v>1624</v>
      </c>
      <c r="E283" s="85">
        <v>202.71</v>
      </c>
      <c r="F283" s="6">
        <v>4251148</v>
      </c>
      <c r="G283" s="12" t="s">
        <v>1625</v>
      </c>
      <c r="H283" s="12" t="s">
        <v>755</v>
      </c>
      <c r="I283" s="12" t="s">
        <v>756</v>
      </c>
      <c r="J283" s="84">
        <v>38189</v>
      </c>
      <c r="K283" s="84">
        <v>49146</v>
      </c>
      <c r="L283" s="12" t="s">
        <v>304</v>
      </c>
      <c r="M283" s="12" t="s">
        <v>773</v>
      </c>
      <c r="N283" s="75"/>
    </row>
    <row r="284" spans="1:14">
      <c r="A284" s="12">
        <v>281</v>
      </c>
      <c r="B284" s="12" t="s">
        <v>1626</v>
      </c>
      <c r="C284" s="12" t="s">
        <v>752</v>
      </c>
      <c r="D284" s="12" t="s">
        <v>1627</v>
      </c>
      <c r="E284" s="85">
        <v>149.79</v>
      </c>
      <c r="F284" s="6">
        <v>2069849</v>
      </c>
      <c r="G284" s="12" t="s">
        <v>1628</v>
      </c>
      <c r="H284" s="12" t="s">
        <v>755</v>
      </c>
      <c r="I284" s="12" t="s">
        <v>756</v>
      </c>
      <c r="J284" s="84">
        <v>38189</v>
      </c>
      <c r="K284" s="84">
        <v>49143</v>
      </c>
      <c r="L284" s="12" t="s">
        <v>304</v>
      </c>
      <c r="M284" s="12" t="s">
        <v>773</v>
      </c>
      <c r="N284" s="75"/>
    </row>
    <row r="285" spans="1:14">
      <c r="A285" s="12">
        <v>282</v>
      </c>
      <c r="B285" s="12" t="s">
        <v>1629</v>
      </c>
      <c r="C285" s="12" t="s">
        <v>122</v>
      </c>
      <c r="D285" s="12" t="s">
        <v>862</v>
      </c>
      <c r="E285" s="85">
        <v>30.74</v>
      </c>
      <c r="F285" s="6">
        <v>2786893</v>
      </c>
      <c r="G285" s="12" t="s">
        <v>1630</v>
      </c>
      <c r="H285" s="12" t="s">
        <v>766</v>
      </c>
      <c r="I285" s="12" t="s">
        <v>767</v>
      </c>
      <c r="J285" s="84">
        <v>38191</v>
      </c>
      <c r="K285" s="84">
        <v>49148</v>
      </c>
      <c r="L285" s="12" t="s">
        <v>128</v>
      </c>
      <c r="M285" s="12" t="s">
        <v>862</v>
      </c>
      <c r="N285" s="75"/>
    </row>
    <row r="286" spans="1:14">
      <c r="A286" s="12">
        <v>283</v>
      </c>
      <c r="B286" s="12" t="s">
        <v>1631</v>
      </c>
      <c r="C286" s="12" t="s">
        <v>752</v>
      </c>
      <c r="D286" s="12" t="s">
        <v>1632</v>
      </c>
      <c r="E286" s="85">
        <v>232.1</v>
      </c>
      <c r="F286" s="6">
        <v>5533538</v>
      </c>
      <c r="G286" s="12" t="s">
        <v>1633</v>
      </c>
      <c r="H286" s="12" t="s">
        <v>755</v>
      </c>
      <c r="I286" s="12" t="s">
        <v>756</v>
      </c>
      <c r="J286" s="84">
        <v>38191</v>
      </c>
      <c r="K286" s="84">
        <v>49148</v>
      </c>
      <c r="L286" s="12" t="s">
        <v>304</v>
      </c>
      <c r="M286" s="12" t="s">
        <v>1634</v>
      </c>
      <c r="N286" s="75"/>
    </row>
    <row r="287" spans="1:14">
      <c r="A287" s="12">
        <v>284</v>
      </c>
      <c r="B287" s="12" t="s">
        <v>1635</v>
      </c>
      <c r="C287" s="12" t="s">
        <v>979</v>
      </c>
      <c r="D287" s="12" t="s">
        <v>1636</v>
      </c>
      <c r="E287" s="85">
        <v>412.84</v>
      </c>
      <c r="F287" s="6">
        <v>5073642</v>
      </c>
      <c r="G287" s="12" t="s">
        <v>1637</v>
      </c>
      <c r="H287" s="12" t="s">
        <v>766</v>
      </c>
      <c r="I287" s="12" t="s">
        <v>767</v>
      </c>
      <c r="J287" s="84">
        <v>38203</v>
      </c>
      <c r="K287" s="84">
        <v>49160</v>
      </c>
      <c r="L287" s="12" t="s">
        <v>304</v>
      </c>
      <c r="M287" s="12" t="s">
        <v>773</v>
      </c>
      <c r="N287" s="75"/>
    </row>
    <row r="288" spans="1:14">
      <c r="A288" s="12">
        <v>285</v>
      </c>
      <c r="B288" s="12" t="s">
        <v>1638</v>
      </c>
      <c r="C288" s="12" t="s">
        <v>752</v>
      </c>
      <c r="D288" s="12" t="s">
        <v>1639</v>
      </c>
      <c r="E288" s="85">
        <v>77.48</v>
      </c>
      <c r="F288" s="6">
        <v>2549204</v>
      </c>
      <c r="G288" s="12" t="s">
        <v>1640</v>
      </c>
      <c r="H288" s="12" t="s">
        <v>755</v>
      </c>
      <c r="I288" s="12" t="s">
        <v>756</v>
      </c>
      <c r="J288" s="84">
        <v>38203</v>
      </c>
      <c r="K288" s="84">
        <v>49160</v>
      </c>
      <c r="L288" s="12" t="s">
        <v>274</v>
      </c>
      <c r="M288" s="12" t="s">
        <v>790</v>
      </c>
      <c r="N288" s="75"/>
    </row>
    <row r="289" spans="1:14">
      <c r="A289" s="12">
        <v>286</v>
      </c>
      <c r="B289" s="12" t="s">
        <v>1641</v>
      </c>
      <c r="C289" s="12" t="s">
        <v>212</v>
      </c>
      <c r="D289" s="12" t="s">
        <v>1642</v>
      </c>
      <c r="E289" s="85">
        <v>30.62</v>
      </c>
      <c r="F289" s="6">
        <v>2582457</v>
      </c>
      <c r="G289" s="12" t="s">
        <v>1643</v>
      </c>
      <c r="H289" s="12" t="s">
        <v>755</v>
      </c>
      <c r="I289" s="12" t="s">
        <v>756</v>
      </c>
      <c r="J289" s="84">
        <v>38208</v>
      </c>
      <c r="K289" s="84">
        <v>49165</v>
      </c>
      <c r="L289" s="12" t="s">
        <v>170</v>
      </c>
      <c r="M289" s="12" t="s">
        <v>171</v>
      </c>
      <c r="N289" s="75"/>
    </row>
    <row r="290" spans="1:14">
      <c r="A290" s="12">
        <v>287</v>
      </c>
      <c r="B290" s="12" t="s">
        <v>1644</v>
      </c>
      <c r="C290" s="12" t="s">
        <v>752</v>
      </c>
      <c r="D290" s="12" t="s">
        <v>1645</v>
      </c>
      <c r="E290" s="85">
        <v>282.83999999999997</v>
      </c>
      <c r="F290" s="6">
        <v>2825457</v>
      </c>
      <c r="G290" s="12" t="s">
        <v>1646</v>
      </c>
      <c r="H290" s="12" t="s">
        <v>766</v>
      </c>
      <c r="I290" s="12" t="s">
        <v>767</v>
      </c>
      <c r="J290" s="84">
        <v>38212</v>
      </c>
      <c r="K290" s="84">
        <v>49169</v>
      </c>
      <c r="L290" s="12" t="s">
        <v>180</v>
      </c>
      <c r="M290" s="12" t="s">
        <v>960</v>
      </c>
      <c r="N290" s="75"/>
    </row>
    <row r="291" spans="1:14">
      <c r="A291" s="12">
        <v>288</v>
      </c>
      <c r="B291" s="12" t="s">
        <v>1647</v>
      </c>
      <c r="C291" s="12" t="s">
        <v>898</v>
      </c>
      <c r="D291" s="12" t="s">
        <v>1648</v>
      </c>
      <c r="E291" s="85">
        <v>390.28</v>
      </c>
      <c r="F291" s="6">
        <v>5124913</v>
      </c>
      <c r="G291" s="12" t="s">
        <v>900</v>
      </c>
      <c r="H291" s="12" t="s">
        <v>901</v>
      </c>
      <c r="I291" s="12" t="s">
        <v>756</v>
      </c>
      <c r="J291" s="84">
        <v>38215</v>
      </c>
      <c r="K291" s="84">
        <v>49172</v>
      </c>
      <c r="L291" s="12" t="s">
        <v>288</v>
      </c>
      <c r="M291" s="12" t="s">
        <v>902</v>
      </c>
      <c r="N291" s="75"/>
    </row>
    <row r="292" spans="1:14">
      <c r="A292" s="12">
        <v>289</v>
      </c>
      <c r="B292" s="12" t="s">
        <v>1649</v>
      </c>
      <c r="C292" s="12" t="s">
        <v>752</v>
      </c>
      <c r="D292" s="12" t="s">
        <v>1650</v>
      </c>
      <c r="E292" s="85">
        <v>120.83</v>
      </c>
      <c r="F292" s="6">
        <v>2054701</v>
      </c>
      <c r="G292" s="12" t="s">
        <v>776</v>
      </c>
      <c r="H292" s="12" t="s">
        <v>755</v>
      </c>
      <c r="I292" s="12" t="s">
        <v>756</v>
      </c>
      <c r="J292" s="84">
        <v>38257</v>
      </c>
      <c r="K292" s="84">
        <v>49214</v>
      </c>
      <c r="L292" s="12" t="s">
        <v>163</v>
      </c>
      <c r="M292" s="12" t="s">
        <v>1514</v>
      </c>
      <c r="N292" s="75"/>
    </row>
    <row r="293" spans="1:14">
      <c r="A293" s="12">
        <v>290</v>
      </c>
      <c r="B293" s="12" t="s">
        <v>1651</v>
      </c>
      <c r="C293" s="12" t="s">
        <v>752</v>
      </c>
      <c r="D293" s="12" t="s">
        <v>1652</v>
      </c>
      <c r="E293" s="85">
        <v>588.21</v>
      </c>
      <c r="F293" s="6">
        <v>2054701</v>
      </c>
      <c r="G293" s="12" t="s">
        <v>776</v>
      </c>
      <c r="H293" s="12" t="s">
        <v>755</v>
      </c>
      <c r="I293" s="12" t="s">
        <v>756</v>
      </c>
      <c r="J293" s="84">
        <v>38257</v>
      </c>
      <c r="K293" s="84">
        <v>49214</v>
      </c>
      <c r="L293" s="12" t="s">
        <v>163</v>
      </c>
      <c r="M293" s="12" t="s">
        <v>1514</v>
      </c>
      <c r="N293" s="75"/>
    </row>
    <row r="294" spans="1:14">
      <c r="A294" s="12">
        <v>291</v>
      </c>
      <c r="B294" s="12" t="s">
        <v>1653</v>
      </c>
      <c r="C294" s="12" t="s">
        <v>752</v>
      </c>
      <c r="D294" s="12" t="s">
        <v>1654</v>
      </c>
      <c r="E294" s="85">
        <v>189.54</v>
      </c>
      <c r="F294" s="6">
        <v>5048486</v>
      </c>
      <c r="G294" s="12" t="s">
        <v>1655</v>
      </c>
      <c r="H294" s="12" t="s">
        <v>848</v>
      </c>
      <c r="I294" s="12" t="s">
        <v>849</v>
      </c>
      <c r="J294" s="84">
        <v>38265</v>
      </c>
      <c r="K294" s="84">
        <v>49222</v>
      </c>
      <c r="L294" s="12" t="s">
        <v>304</v>
      </c>
      <c r="M294" s="12" t="s">
        <v>777</v>
      </c>
      <c r="N294" s="75"/>
    </row>
    <row r="295" spans="1:14">
      <c r="A295" s="12">
        <v>292</v>
      </c>
      <c r="B295" s="12" t="s">
        <v>1656</v>
      </c>
      <c r="C295" s="12" t="s">
        <v>212</v>
      </c>
      <c r="D295" s="12" t="s">
        <v>1657</v>
      </c>
      <c r="E295" s="85">
        <v>89.3</v>
      </c>
      <c r="F295" s="6">
        <v>2696304</v>
      </c>
      <c r="G295" s="12" t="s">
        <v>1658</v>
      </c>
      <c r="H295" s="12" t="s">
        <v>755</v>
      </c>
      <c r="I295" s="12" t="s">
        <v>756</v>
      </c>
      <c r="J295" s="84">
        <v>38275</v>
      </c>
      <c r="K295" s="84">
        <v>49232</v>
      </c>
      <c r="L295" s="12" t="s">
        <v>274</v>
      </c>
      <c r="M295" s="12" t="s">
        <v>1042</v>
      </c>
      <c r="N295" s="75"/>
    </row>
    <row r="296" spans="1:14">
      <c r="A296" s="12">
        <v>293</v>
      </c>
      <c r="B296" s="12" t="s">
        <v>1659</v>
      </c>
      <c r="C296" s="12" t="s">
        <v>898</v>
      </c>
      <c r="D296" s="12" t="s">
        <v>1660</v>
      </c>
      <c r="E296" s="85">
        <v>620.63</v>
      </c>
      <c r="F296" s="6">
        <v>5124913</v>
      </c>
      <c r="G296" s="12" t="s">
        <v>900</v>
      </c>
      <c r="H296" s="12" t="s">
        <v>901</v>
      </c>
      <c r="I296" s="12" t="s">
        <v>756</v>
      </c>
      <c r="J296" s="84">
        <v>38288</v>
      </c>
      <c r="K296" s="84">
        <v>49245</v>
      </c>
      <c r="L296" s="12" t="s">
        <v>288</v>
      </c>
      <c r="M296" s="12" t="s">
        <v>902</v>
      </c>
      <c r="N296" s="75"/>
    </row>
    <row r="297" spans="1:14">
      <c r="A297" s="12">
        <v>294</v>
      </c>
      <c r="B297" s="12" t="s">
        <v>1661</v>
      </c>
      <c r="C297" s="12" t="s">
        <v>212</v>
      </c>
      <c r="D297" s="12" t="s">
        <v>1662</v>
      </c>
      <c r="E297" s="85">
        <v>164.14</v>
      </c>
      <c r="F297" s="6">
        <v>2812231</v>
      </c>
      <c r="G297" s="12" t="s">
        <v>1663</v>
      </c>
      <c r="H297" s="12" t="s">
        <v>848</v>
      </c>
      <c r="I297" s="12" t="s">
        <v>849</v>
      </c>
      <c r="J297" s="84">
        <v>38288</v>
      </c>
      <c r="K297" s="84">
        <v>49245</v>
      </c>
      <c r="L297" s="12" t="s">
        <v>375</v>
      </c>
      <c r="M297" s="12" t="s">
        <v>944</v>
      </c>
      <c r="N297" s="75"/>
    </row>
    <row r="298" spans="1:14">
      <c r="A298" s="12">
        <v>295</v>
      </c>
      <c r="B298" s="12" t="s">
        <v>1664</v>
      </c>
      <c r="C298" s="12" t="s">
        <v>212</v>
      </c>
      <c r="D298" s="12" t="s">
        <v>1665</v>
      </c>
      <c r="E298" s="85">
        <v>49.55</v>
      </c>
      <c r="F298" s="6">
        <v>2609436</v>
      </c>
      <c r="G298" s="12" t="s">
        <v>1229</v>
      </c>
      <c r="H298" s="12" t="s">
        <v>755</v>
      </c>
      <c r="I298" s="12" t="s">
        <v>756</v>
      </c>
      <c r="J298" s="84">
        <v>38292</v>
      </c>
      <c r="K298" s="84">
        <v>49249</v>
      </c>
      <c r="L298" s="12" t="s">
        <v>293</v>
      </c>
      <c r="M298" s="12" t="s">
        <v>294</v>
      </c>
      <c r="N298" s="75"/>
    </row>
    <row r="299" spans="1:14">
      <c r="A299" s="12">
        <v>296</v>
      </c>
      <c r="B299" s="12" t="s">
        <v>1666</v>
      </c>
      <c r="C299" s="12" t="s">
        <v>752</v>
      </c>
      <c r="D299" s="12" t="s">
        <v>1667</v>
      </c>
      <c r="E299" s="85">
        <v>344.84</v>
      </c>
      <c r="F299" s="6">
        <v>5762529</v>
      </c>
      <c r="G299" s="12" t="s">
        <v>1668</v>
      </c>
      <c r="H299" s="12" t="s">
        <v>755</v>
      </c>
      <c r="I299" s="12" t="s">
        <v>756</v>
      </c>
      <c r="J299" s="84">
        <v>38293</v>
      </c>
      <c r="K299" s="84">
        <v>49250</v>
      </c>
      <c r="L299" s="12" t="s">
        <v>1536</v>
      </c>
      <c r="M299" s="12" t="s">
        <v>1669</v>
      </c>
      <c r="N299" s="75"/>
    </row>
    <row r="300" spans="1:14">
      <c r="A300" s="12">
        <v>297</v>
      </c>
      <c r="B300" s="12" t="s">
        <v>1670</v>
      </c>
      <c r="C300" s="12" t="s">
        <v>995</v>
      </c>
      <c r="D300" s="12" t="s">
        <v>1671</v>
      </c>
      <c r="E300" s="85">
        <v>64.78</v>
      </c>
      <c r="F300" s="6">
        <v>2775093</v>
      </c>
      <c r="G300" s="12" t="s">
        <v>1672</v>
      </c>
      <c r="H300" s="12" t="s">
        <v>755</v>
      </c>
      <c r="I300" s="12" t="s">
        <v>756</v>
      </c>
      <c r="J300" s="84">
        <v>38300</v>
      </c>
      <c r="K300" s="84">
        <v>49257</v>
      </c>
      <c r="L300" s="12" t="s">
        <v>180</v>
      </c>
      <c r="M300" s="12" t="s">
        <v>181</v>
      </c>
      <c r="N300" s="75"/>
    </row>
    <row r="301" spans="1:14">
      <c r="A301" s="12">
        <v>298</v>
      </c>
      <c r="B301" s="12" t="s">
        <v>1673</v>
      </c>
      <c r="C301" s="12" t="s">
        <v>752</v>
      </c>
      <c r="D301" s="12" t="s">
        <v>1674</v>
      </c>
      <c r="E301" s="85">
        <v>55.09</v>
      </c>
      <c r="F301" s="6">
        <v>5149703</v>
      </c>
      <c r="G301" s="12" t="s">
        <v>1675</v>
      </c>
      <c r="H301" s="12" t="s">
        <v>766</v>
      </c>
      <c r="I301" s="12" t="s">
        <v>767</v>
      </c>
      <c r="J301" s="84">
        <v>38301</v>
      </c>
      <c r="K301" s="84">
        <v>49258</v>
      </c>
      <c r="L301" s="12" t="s">
        <v>304</v>
      </c>
      <c r="M301" s="12" t="s">
        <v>141</v>
      </c>
      <c r="N301" s="75"/>
    </row>
    <row r="302" spans="1:14">
      <c r="A302" s="12">
        <v>299</v>
      </c>
      <c r="B302" s="12" t="s">
        <v>1676</v>
      </c>
      <c r="C302" s="12" t="s">
        <v>752</v>
      </c>
      <c r="D302" s="12" t="s">
        <v>1677</v>
      </c>
      <c r="E302" s="85">
        <v>1120.94</v>
      </c>
      <c r="F302" s="6">
        <v>2784165</v>
      </c>
      <c r="G302" s="12" t="s">
        <v>1678</v>
      </c>
      <c r="H302" s="12" t="s">
        <v>755</v>
      </c>
      <c r="I302" s="12" t="s">
        <v>756</v>
      </c>
      <c r="J302" s="84">
        <v>38329</v>
      </c>
      <c r="K302" s="84">
        <v>49286</v>
      </c>
      <c r="L302" s="12" t="s">
        <v>831</v>
      </c>
      <c r="M302" s="12" t="s">
        <v>832</v>
      </c>
      <c r="N302" s="75"/>
    </row>
    <row r="303" spans="1:14">
      <c r="A303" s="12">
        <v>300</v>
      </c>
      <c r="B303" s="12" t="s">
        <v>1679</v>
      </c>
      <c r="C303" s="12" t="s">
        <v>752</v>
      </c>
      <c r="D303" s="12" t="s">
        <v>1680</v>
      </c>
      <c r="E303" s="85">
        <v>641.83000000000004</v>
      </c>
      <c r="F303" s="6">
        <v>2100231</v>
      </c>
      <c r="G303" s="12" t="s">
        <v>896</v>
      </c>
      <c r="H303" s="12" t="s">
        <v>755</v>
      </c>
      <c r="I303" s="12" t="s">
        <v>756</v>
      </c>
      <c r="J303" s="84">
        <v>38329</v>
      </c>
      <c r="K303" s="84">
        <v>49286</v>
      </c>
      <c r="L303" s="12" t="s">
        <v>836</v>
      </c>
      <c r="M303" s="12" t="s">
        <v>837</v>
      </c>
      <c r="N303" s="75"/>
    </row>
    <row r="304" spans="1:14">
      <c r="A304" s="12">
        <v>301</v>
      </c>
      <c r="B304" s="12" t="s">
        <v>1681</v>
      </c>
      <c r="C304" s="12" t="s">
        <v>752</v>
      </c>
      <c r="D304" s="12" t="s">
        <v>1682</v>
      </c>
      <c r="E304" s="85">
        <v>66.91</v>
      </c>
      <c r="F304" s="6">
        <v>2840995</v>
      </c>
      <c r="G304" s="12" t="s">
        <v>1683</v>
      </c>
      <c r="H304" s="12" t="s">
        <v>755</v>
      </c>
      <c r="I304" s="12" t="s">
        <v>756</v>
      </c>
      <c r="J304" s="84">
        <v>38329</v>
      </c>
      <c r="K304" s="84">
        <v>49179</v>
      </c>
      <c r="L304" s="12" t="s">
        <v>304</v>
      </c>
      <c r="M304" s="12" t="s">
        <v>843</v>
      </c>
      <c r="N304" s="75"/>
    </row>
    <row r="305" spans="1:14">
      <c r="A305" s="12">
        <v>302</v>
      </c>
      <c r="B305" s="12" t="s">
        <v>1684</v>
      </c>
      <c r="C305" s="12" t="s">
        <v>137</v>
      </c>
      <c r="D305" s="12" t="s">
        <v>141</v>
      </c>
      <c r="E305" s="85">
        <v>1405.41</v>
      </c>
      <c r="F305" s="6">
        <v>2855119</v>
      </c>
      <c r="G305" s="12" t="s">
        <v>1685</v>
      </c>
      <c r="H305" s="12" t="s">
        <v>848</v>
      </c>
      <c r="I305" s="12" t="s">
        <v>849</v>
      </c>
      <c r="J305" s="84">
        <v>38330</v>
      </c>
      <c r="K305" s="84">
        <v>49287</v>
      </c>
      <c r="L305" s="12" t="s">
        <v>304</v>
      </c>
      <c r="M305" s="12" t="s">
        <v>773</v>
      </c>
      <c r="N305" s="75"/>
    </row>
    <row r="306" spans="1:14">
      <c r="A306" s="12">
        <v>303</v>
      </c>
      <c r="B306" s="12" t="s">
        <v>1686</v>
      </c>
      <c r="C306" s="12" t="s">
        <v>752</v>
      </c>
      <c r="D306" s="12" t="s">
        <v>1510</v>
      </c>
      <c r="E306" s="85">
        <v>252.02</v>
      </c>
      <c r="F306" s="6">
        <v>2615797</v>
      </c>
      <c r="G306" s="12" t="s">
        <v>1687</v>
      </c>
      <c r="H306" s="12" t="s">
        <v>755</v>
      </c>
      <c r="I306" s="12" t="s">
        <v>756</v>
      </c>
      <c r="J306" s="84">
        <v>38342</v>
      </c>
      <c r="K306" s="84">
        <v>49299</v>
      </c>
      <c r="L306" s="12" t="s">
        <v>836</v>
      </c>
      <c r="M306" s="12" t="s">
        <v>837</v>
      </c>
      <c r="N306" s="75"/>
    </row>
    <row r="307" spans="1:14">
      <c r="A307" s="12">
        <v>304</v>
      </c>
      <c r="B307" s="12" t="s">
        <v>1688</v>
      </c>
      <c r="C307" s="12" t="s">
        <v>752</v>
      </c>
      <c r="D307" s="12" t="s">
        <v>1689</v>
      </c>
      <c r="E307" s="85">
        <v>447.7</v>
      </c>
      <c r="F307" s="6">
        <v>5313341</v>
      </c>
      <c r="G307" s="12" t="s">
        <v>1690</v>
      </c>
      <c r="H307" s="12" t="s">
        <v>766</v>
      </c>
      <c r="I307" s="12" t="s">
        <v>767</v>
      </c>
      <c r="J307" s="84">
        <v>38355</v>
      </c>
      <c r="K307" s="84">
        <v>49312</v>
      </c>
      <c r="L307" s="12" t="s">
        <v>1102</v>
      </c>
      <c r="M307" s="12" t="s">
        <v>1691</v>
      </c>
      <c r="N307" s="75"/>
    </row>
    <row r="308" spans="1:14">
      <c r="A308" s="12">
        <v>305</v>
      </c>
      <c r="B308" s="12" t="s">
        <v>1692</v>
      </c>
      <c r="C308" s="12" t="s">
        <v>122</v>
      </c>
      <c r="D308" s="12" t="s">
        <v>1693</v>
      </c>
      <c r="E308" s="85">
        <v>39.229999999999997</v>
      </c>
      <c r="F308" s="6">
        <v>2811138</v>
      </c>
      <c r="G308" s="12" t="s">
        <v>1694</v>
      </c>
      <c r="H308" s="12" t="s">
        <v>766</v>
      </c>
      <c r="I308" s="12" t="s">
        <v>767</v>
      </c>
      <c r="J308" s="84">
        <v>38357</v>
      </c>
      <c r="K308" s="84">
        <v>49314</v>
      </c>
      <c r="L308" s="12" t="s">
        <v>274</v>
      </c>
      <c r="M308" s="12" t="s">
        <v>874</v>
      </c>
      <c r="N308" s="75"/>
    </row>
    <row r="309" spans="1:14">
      <c r="A309" s="12">
        <v>306</v>
      </c>
      <c r="B309" s="12" t="s">
        <v>1695</v>
      </c>
      <c r="C309" s="12" t="s">
        <v>1696</v>
      </c>
      <c r="D309" s="12" t="s">
        <v>1697</v>
      </c>
      <c r="E309" s="85">
        <v>26.5</v>
      </c>
      <c r="F309" s="6">
        <v>5442893</v>
      </c>
      <c r="G309" s="12" t="s">
        <v>1698</v>
      </c>
      <c r="H309" s="12" t="s">
        <v>755</v>
      </c>
      <c r="I309" s="12" t="s">
        <v>756</v>
      </c>
      <c r="J309" s="84">
        <v>38362</v>
      </c>
      <c r="K309" s="84">
        <v>49319</v>
      </c>
      <c r="L309" s="12" t="s">
        <v>1014</v>
      </c>
      <c r="M309" s="12" t="s">
        <v>1699</v>
      </c>
      <c r="N309" s="75"/>
    </row>
    <row r="310" spans="1:14">
      <c r="A310" s="12">
        <v>307</v>
      </c>
      <c r="B310" s="12" t="s">
        <v>1700</v>
      </c>
      <c r="C310" s="12" t="s">
        <v>1027</v>
      </c>
      <c r="D310" s="12" t="s">
        <v>1701</v>
      </c>
      <c r="E310" s="85">
        <v>4.04</v>
      </c>
      <c r="F310" s="6">
        <v>2745534</v>
      </c>
      <c r="G310" s="12" t="s">
        <v>1702</v>
      </c>
      <c r="H310" s="12" t="s">
        <v>848</v>
      </c>
      <c r="I310" s="12" t="s">
        <v>849</v>
      </c>
      <c r="J310" s="84">
        <v>38376</v>
      </c>
      <c r="K310" s="84">
        <v>49333</v>
      </c>
      <c r="L310" s="12" t="s">
        <v>128</v>
      </c>
      <c r="M310" s="12" t="s">
        <v>862</v>
      </c>
      <c r="N310" s="75"/>
    </row>
    <row r="311" spans="1:14">
      <c r="A311" s="12">
        <v>308</v>
      </c>
      <c r="B311" s="12" t="s">
        <v>1703</v>
      </c>
      <c r="C311" s="12" t="s">
        <v>752</v>
      </c>
      <c r="D311" s="12" t="s">
        <v>1704</v>
      </c>
      <c r="E311" s="85">
        <v>1950.09</v>
      </c>
      <c r="F311" s="6">
        <v>2054701</v>
      </c>
      <c r="G311" s="12" t="s">
        <v>776</v>
      </c>
      <c r="H311" s="12" t="s">
        <v>755</v>
      </c>
      <c r="I311" s="12" t="s">
        <v>756</v>
      </c>
      <c r="J311" s="84">
        <v>38378</v>
      </c>
      <c r="K311" s="84">
        <v>49335</v>
      </c>
      <c r="L311" s="12" t="s">
        <v>163</v>
      </c>
      <c r="M311" s="12" t="s">
        <v>164</v>
      </c>
      <c r="N311" s="75"/>
    </row>
    <row r="312" spans="1:14">
      <c r="A312" s="12">
        <v>309</v>
      </c>
      <c r="B312" s="12" t="s">
        <v>1705</v>
      </c>
      <c r="C312" s="12" t="s">
        <v>752</v>
      </c>
      <c r="D312" s="12" t="s">
        <v>1706</v>
      </c>
      <c r="E312" s="85">
        <v>263.82</v>
      </c>
      <c r="F312" s="6">
        <v>2054701</v>
      </c>
      <c r="G312" s="12" t="s">
        <v>776</v>
      </c>
      <c r="H312" s="12" t="s">
        <v>755</v>
      </c>
      <c r="I312" s="12" t="s">
        <v>756</v>
      </c>
      <c r="J312" s="84">
        <v>38378</v>
      </c>
      <c r="K312" s="84">
        <v>49335</v>
      </c>
      <c r="L312" s="12" t="s">
        <v>163</v>
      </c>
      <c r="M312" s="12" t="s">
        <v>164</v>
      </c>
      <c r="N312" s="75"/>
    </row>
    <row r="313" spans="1:14">
      <c r="A313" s="12">
        <v>310</v>
      </c>
      <c r="B313" s="12" t="s">
        <v>1707</v>
      </c>
      <c r="C313" s="12" t="s">
        <v>752</v>
      </c>
      <c r="D313" s="12" t="s">
        <v>1708</v>
      </c>
      <c r="E313" s="85">
        <v>167.68</v>
      </c>
      <c r="F313" s="6">
        <v>2819996</v>
      </c>
      <c r="G313" s="12" t="s">
        <v>977</v>
      </c>
      <c r="H313" s="12" t="s">
        <v>755</v>
      </c>
      <c r="I313" s="12" t="s">
        <v>756</v>
      </c>
      <c r="J313" s="84">
        <v>38400</v>
      </c>
      <c r="K313" s="84">
        <v>49357</v>
      </c>
      <c r="L313" s="12" t="s">
        <v>274</v>
      </c>
      <c r="M313" s="12" t="s">
        <v>275</v>
      </c>
      <c r="N313" s="75"/>
    </row>
    <row r="314" spans="1:14">
      <c r="A314" s="12">
        <v>311</v>
      </c>
      <c r="B314" s="12" t="s">
        <v>1709</v>
      </c>
      <c r="C314" s="12" t="s">
        <v>221</v>
      </c>
      <c r="D314" s="12" t="s">
        <v>1185</v>
      </c>
      <c r="E314" s="85">
        <v>62.47</v>
      </c>
      <c r="F314" s="6">
        <v>9011706</v>
      </c>
      <c r="G314" s="12" t="s">
        <v>1710</v>
      </c>
      <c r="H314" s="12" t="s">
        <v>901</v>
      </c>
      <c r="I314" s="12" t="s">
        <v>756</v>
      </c>
      <c r="J314" s="84">
        <v>38418</v>
      </c>
      <c r="K314" s="84">
        <v>49375</v>
      </c>
      <c r="L314" s="12" t="s">
        <v>836</v>
      </c>
      <c r="M314" s="12" t="s">
        <v>329</v>
      </c>
      <c r="N314" s="75"/>
    </row>
    <row r="315" spans="1:14">
      <c r="A315" s="12">
        <v>312</v>
      </c>
      <c r="B315" s="12" t="s">
        <v>1711</v>
      </c>
      <c r="C315" s="12" t="s">
        <v>221</v>
      </c>
      <c r="D315" s="12" t="s">
        <v>775</v>
      </c>
      <c r="E315" s="85">
        <v>272.69</v>
      </c>
      <c r="F315" s="6">
        <v>5830974</v>
      </c>
      <c r="G315" s="12" t="s">
        <v>1712</v>
      </c>
      <c r="H315" s="12" t="s">
        <v>755</v>
      </c>
      <c r="I315" s="12" t="s">
        <v>756</v>
      </c>
      <c r="J315" s="84">
        <v>38425</v>
      </c>
      <c r="K315" s="84">
        <v>49382</v>
      </c>
      <c r="L315" s="12" t="s">
        <v>170</v>
      </c>
      <c r="M315" s="12" t="s">
        <v>171</v>
      </c>
      <c r="N315" s="75"/>
    </row>
    <row r="316" spans="1:14">
      <c r="A316" s="12">
        <v>313</v>
      </c>
      <c r="B316" s="12" t="s">
        <v>1713</v>
      </c>
      <c r="C316" s="12" t="s">
        <v>1152</v>
      </c>
      <c r="D316" s="12" t="s">
        <v>1714</v>
      </c>
      <c r="E316" s="85">
        <v>31.43</v>
      </c>
      <c r="F316" s="6">
        <v>2822601</v>
      </c>
      <c r="G316" s="12" t="s">
        <v>1715</v>
      </c>
      <c r="H316" s="12" t="s">
        <v>755</v>
      </c>
      <c r="I316" s="12" t="s">
        <v>756</v>
      </c>
      <c r="J316" s="84">
        <v>38427</v>
      </c>
      <c r="K316" s="84">
        <v>49384</v>
      </c>
      <c r="L316" s="12" t="s">
        <v>274</v>
      </c>
      <c r="M316" s="12" t="s">
        <v>1267</v>
      </c>
      <c r="N316" s="75"/>
    </row>
    <row r="317" spans="1:14">
      <c r="A317" s="12">
        <v>314</v>
      </c>
      <c r="B317" s="12" t="s">
        <v>1716</v>
      </c>
      <c r="C317" s="12" t="s">
        <v>752</v>
      </c>
      <c r="D317" s="12" t="s">
        <v>1395</v>
      </c>
      <c r="E317" s="85">
        <v>556.15</v>
      </c>
      <c r="F317" s="6">
        <v>2878216</v>
      </c>
      <c r="G317" s="12" t="s">
        <v>1717</v>
      </c>
      <c r="H317" s="12" t="s">
        <v>848</v>
      </c>
      <c r="I317" s="12" t="s">
        <v>849</v>
      </c>
      <c r="J317" s="84">
        <v>38427</v>
      </c>
      <c r="K317" s="84">
        <v>49384</v>
      </c>
      <c r="L317" s="12" t="s">
        <v>180</v>
      </c>
      <c r="M317" s="12" t="s">
        <v>960</v>
      </c>
      <c r="N317" s="75"/>
    </row>
    <row r="318" spans="1:14">
      <c r="A318" s="12">
        <v>315</v>
      </c>
      <c r="B318" s="12" t="s">
        <v>1718</v>
      </c>
      <c r="C318" s="12" t="s">
        <v>221</v>
      </c>
      <c r="D318" s="12" t="s">
        <v>1719</v>
      </c>
      <c r="E318" s="85">
        <v>28.2</v>
      </c>
      <c r="F318" s="6">
        <v>2824752</v>
      </c>
      <c r="G318" s="12" t="s">
        <v>1720</v>
      </c>
      <c r="H318" s="12" t="s">
        <v>755</v>
      </c>
      <c r="I318" s="12" t="s">
        <v>756</v>
      </c>
      <c r="J318" s="84">
        <v>38429</v>
      </c>
      <c r="K318" s="84">
        <v>49386</v>
      </c>
      <c r="L318" s="12" t="s">
        <v>304</v>
      </c>
      <c r="M318" s="12" t="s">
        <v>329</v>
      </c>
      <c r="N318" s="75"/>
    </row>
    <row r="319" spans="1:14">
      <c r="A319" s="12">
        <v>316</v>
      </c>
      <c r="B319" s="12" t="s">
        <v>1721</v>
      </c>
      <c r="C319" s="12" t="s">
        <v>752</v>
      </c>
      <c r="D319" s="12" t="s">
        <v>1722</v>
      </c>
      <c r="E319" s="85">
        <v>65.989999999999995</v>
      </c>
      <c r="F319" s="6">
        <v>6188419</v>
      </c>
      <c r="G319" s="12" t="s">
        <v>1723</v>
      </c>
      <c r="H319" s="12" t="s">
        <v>755</v>
      </c>
      <c r="I319" s="12" t="s">
        <v>756</v>
      </c>
      <c r="J319" s="84">
        <v>38435</v>
      </c>
      <c r="K319" s="84">
        <v>49392</v>
      </c>
      <c r="L319" s="12" t="s">
        <v>274</v>
      </c>
      <c r="M319" s="12" t="s">
        <v>275</v>
      </c>
      <c r="N319" s="75"/>
    </row>
    <row r="320" spans="1:14">
      <c r="A320" s="12">
        <v>317</v>
      </c>
      <c r="B320" s="12" t="s">
        <v>1724</v>
      </c>
      <c r="C320" s="12" t="s">
        <v>137</v>
      </c>
      <c r="D320" s="12" t="s">
        <v>1725</v>
      </c>
      <c r="E320" s="85">
        <v>210.84</v>
      </c>
      <c r="F320" s="6">
        <v>5924766</v>
      </c>
      <c r="G320" s="12" t="s">
        <v>1726</v>
      </c>
      <c r="H320" s="12" t="s">
        <v>848</v>
      </c>
      <c r="I320" s="12" t="s">
        <v>849</v>
      </c>
      <c r="J320" s="84">
        <v>38441</v>
      </c>
      <c r="K320" s="84">
        <v>49398</v>
      </c>
      <c r="L320" s="12" t="s">
        <v>274</v>
      </c>
      <c r="M320" s="12" t="s">
        <v>944</v>
      </c>
      <c r="N320" s="75"/>
    </row>
    <row r="321" spans="1:14">
      <c r="A321" s="12">
        <v>318</v>
      </c>
      <c r="B321" s="12" t="s">
        <v>1727</v>
      </c>
      <c r="C321" s="12" t="s">
        <v>221</v>
      </c>
      <c r="D321" s="12" t="s">
        <v>1728</v>
      </c>
      <c r="E321" s="85">
        <v>3.24</v>
      </c>
      <c r="F321" s="6">
        <v>2812886</v>
      </c>
      <c r="G321" s="12" t="s">
        <v>1212</v>
      </c>
      <c r="H321" s="12" t="s">
        <v>755</v>
      </c>
      <c r="I321" s="12" t="s">
        <v>756</v>
      </c>
      <c r="J321" s="84">
        <v>38449</v>
      </c>
      <c r="K321" s="84">
        <v>49406</v>
      </c>
      <c r="L321" s="12" t="s">
        <v>180</v>
      </c>
      <c r="M321" s="12" t="s">
        <v>927</v>
      </c>
      <c r="N321" s="75"/>
    </row>
    <row r="322" spans="1:14">
      <c r="A322" s="12">
        <v>319</v>
      </c>
      <c r="B322" s="12" t="s">
        <v>1729</v>
      </c>
      <c r="C322" s="12" t="s">
        <v>995</v>
      </c>
      <c r="D322" s="12" t="s">
        <v>1730</v>
      </c>
      <c r="E322" s="85">
        <v>28.64</v>
      </c>
      <c r="F322" s="6">
        <v>2086999</v>
      </c>
      <c r="G322" s="12" t="s">
        <v>1731</v>
      </c>
      <c r="H322" s="12" t="s">
        <v>755</v>
      </c>
      <c r="I322" s="12" t="s">
        <v>756</v>
      </c>
      <c r="J322" s="84">
        <v>38454</v>
      </c>
      <c r="K322" s="84">
        <v>49411</v>
      </c>
      <c r="L322" s="12" t="s">
        <v>1102</v>
      </c>
      <c r="M322" s="12" t="s">
        <v>1550</v>
      </c>
      <c r="N322" s="75"/>
    </row>
    <row r="323" spans="1:14">
      <c r="A323" s="12">
        <v>320</v>
      </c>
      <c r="B323" s="12" t="s">
        <v>1732</v>
      </c>
      <c r="C323" s="12" t="s">
        <v>752</v>
      </c>
      <c r="D323" s="12" t="s">
        <v>1733</v>
      </c>
      <c r="E323" s="85">
        <v>417.97</v>
      </c>
      <c r="F323" s="6">
        <v>5515882</v>
      </c>
      <c r="G323" s="12" t="s">
        <v>1734</v>
      </c>
      <c r="H323" s="12" t="s">
        <v>755</v>
      </c>
      <c r="I323" s="12" t="s">
        <v>756</v>
      </c>
      <c r="J323" s="84">
        <v>38329</v>
      </c>
      <c r="K323" s="84">
        <v>49286</v>
      </c>
      <c r="L323" s="12" t="s">
        <v>836</v>
      </c>
      <c r="M323" s="12" t="s">
        <v>837</v>
      </c>
      <c r="N323" s="75"/>
    </row>
    <row r="324" spans="1:14">
      <c r="A324" s="12">
        <v>321</v>
      </c>
      <c r="B324" s="12" t="s">
        <v>1735</v>
      </c>
      <c r="C324" s="12" t="s">
        <v>758</v>
      </c>
      <c r="D324" s="12" t="s">
        <v>1736</v>
      </c>
      <c r="E324" s="85">
        <v>132.38999999999999</v>
      </c>
      <c r="F324" s="6">
        <v>5824826</v>
      </c>
      <c r="G324" s="12" t="s">
        <v>1737</v>
      </c>
      <c r="H324" s="12" t="s">
        <v>755</v>
      </c>
      <c r="I324" s="12" t="s">
        <v>756</v>
      </c>
      <c r="J324" s="84">
        <v>38460</v>
      </c>
      <c r="K324" s="84">
        <v>49417</v>
      </c>
      <c r="L324" s="12" t="s">
        <v>170</v>
      </c>
      <c r="M324" s="12" t="s">
        <v>1738</v>
      </c>
      <c r="N324" s="75"/>
    </row>
    <row r="325" spans="1:14">
      <c r="A325" s="12">
        <v>322</v>
      </c>
      <c r="B325" s="12" t="s">
        <v>1739</v>
      </c>
      <c r="C325" s="12" t="s">
        <v>212</v>
      </c>
      <c r="D325" s="12" t="s">
        <v>1740</v>
      </c>
      <c r="E325" s="85">
        <v>20.29</v>
      </c>
      <c r="F325" s="6">
        <v>2884259</v>
      </c>
      <c r="G325" s="12" t="s">
        <v>1741</v>
      </c>
      <c r="H325" s="12" t="s">
        <v>755</v>
      </c>
      <c r="I325" s="12" t="s">
        <v>756</v>
      </c>
      <c r="J325" s="84">
        <v>36682</v>
      </c>
      <c r="K325" s="84">
        <v>47639</v>
      </c>
      <c r="L325" s="12" t="s">
        <v>170</v>
      </c>
      <c r="M325" s="12" t="s">
        <v>811</v>
      </c>
      <c r="N325" s="75"/>
    </row>
    <row r="326" spans="1:14">
      <c r="A326" s="12">
        <v>323</v>
      </c>
      <c r="B326" s="12" t="s">
        <v>1742</v>
      </c>
      <c r="C326" s="12" t="s">
        <v>137</v>
      </c>
      <c r="D326" s="12" t="s">
        <v>1743</v>
      </c>
      <c r="E326" s="85">
        <v>407.91</v>
      </c>
      <c r="F326" s="6">
        <v>2886219</v>
      </c>
      <c r="G326" s="12" t="s">
        <v>1744</v>
      </c>
      <c r="H326" s="12" t="s">
        <v>766</v>
      </c>
      <c r="I326" s="12" t="s">
        <v>767</v>
      </c>
      <c r="J326" s="84">
        <v>38484</v>
      </c>
      <c r="K326" s="84">
        <v>49441</v>
      </c>
      <c r="L326" s="12" t="s">
        <v>1097</v>
      </c>
      <c r="M326" s="12" t="s">
        <v>1745</v>
      </c>
      <c r="N326" s="75"/>
    </row>
    <row r="327" spans="1:14">
      <c r="A327" s="12">
        <v>324</v>
      </c>
      <c r="B327" s="12" t="s">
        <v>1746</v>
      </c>
      <c r="C327" s="12" t="s">
        <v>221</v>
      </c>
      <c r="D327" s="12" t="s">
        <v>1747</v>
      </c>
      <c r="E327" s="85">
        <v>47.62</v>
      </c>
      <c r="F327" s="6">
        <v>2797836</v>
      </c>
      <c r="G327" s="12" t="s">
        <v>1748</v>
      </c>
      <c r="H327" s="12" t="s">
        <v>755</v>
      </c>
      <c r="I327" s="12" t="s">
        <v>756</v>
      </c>
      <c r="J327" s="84">
        <v>38489</v>
      </c>
      <c r="K327" s="84">
        <v>49446</v>
      </c>
      <c r="L327" s="12" t="s">
        <v>304</v>
      </c>
      <c r="M327" s="12" t="s">
        <v>1749</v>
      </c>
      <c r="N327" s="75"/>
    </row>
    <row r="328" spans="1:14">
      <c r="A328" s="12">
        <v>325</v>
      </c>
      <c r="B328" s="12" t="s">
        <v>1750</v>
      </c>
      <c r="C328" s="12" t="s">
        <v>752</v>
      </c>
      <c r="D328" s="12" t="s">
        <v>1751</v>
      </c>
      <c r="E328" s="85">
        <v>48.75</v>
      </c>
      <c r="F328" s="6">
        <v>5179173</v>
      </c>
      <c r="G328" s="12" t="s">
        <v>959</v>
      </c>
      <c r="H328" s="12" t="s">
        <v>755</v>
      </c>
      <c r="I328" s="12" t="s">
        <v>756</v>
      </c>
      <c r="J328" s="84">
        <v>38490</v>
      </c>
      <c r="K328" s="84">
        <v>49447</v>
      </c>
      <c r="L328" s="12" t="s">
        <v>180</v>
      </c>
      <c r="M328" s="12" t="s">
        <v>960</v>
      </c>
      <c r="N328" s="75"/>
    </row>
    <row r="329" spans="1:14">
      <c r="A329" s="12">
        <v>326</v>
      </c>
      <c r="B329" s="12" t="s">
        <v>1752</v>
      </c>
      <c r="C329" s="12" t="s">
        <v>886</v>
      </c>
      <c r="D329" s="12" t="s">
        <v>1753</v>
      </c>
      <c r="E329" s="85">
        <v>53.13</v>
      </c>
      <c r="F329" s="6">
        <v>2724146</v>
      </c>
      <c r="G329" s="12" t="s">
        <v>1754</v>
      </c>
      <c r="H329" s="12" t="s">
        <v>848</v>
      </c>
      <c r="I329" s="12" t="s">
        <v>849</v>
      </c>
      <c r="J329" s="84">
        <v>38492</v>
      </c>
      <c r="K329" s="84">
        <v>49449</v>
      </c>
      <c r="L329" s="12" t="s">
        <v>233</v>
      </c>
      <c r="M329" s="12" t="s">
        <v>1755</v>
      </c>
      <c r="N329" s="75"/>
    </row>
    <row r="330" spans="1:14">
      <c r="A330" s="12">
        <v>327</v>
      </c>
      <c r="B330" s="12" t="s">
        <v>1756</v>
      </c>
      <c r="C330" s="12" t="s">
        <v>212</v>
      </c>
      <c r="D330" s="12" t="s">
        <v>1757</v>
      </c>
      <c r="E330" s="85">
        <v>39.35</v>
      </c>
      <c r="F330" s="6">
        <v>5524997</v>
      </c>
      <c r="G330" s="12" t="s">
        <v>1758</v>
      </c>
      <c r="H330" s="12" t="s">
        <v>848</v>
      </c>
      <c r="I330" s="12" t="s">
        <v>849</v>
      </c>
      <c r="J330" s="84">
        <v>38350</v>
      </c>
      <c r="K330" s="84">
        <v>49307</v>
      </c>
      <c r="L330" s="12" t="s">
        <v>138</v>
      </c>
      <c r="M330" s="12" t="s">
        <v>1759</v>
      </c>
      <c r="N330" s="75"/>
    </row>
    <row r="331" spans="1:14">
      <c r="A331" s="12">
        <v>328</v>
      </c>
      <c r="B331" s="12" t="s">
        <v>1760</v>
      </c>
      <c r="C331" s="12" t="s">
        <v>221</v>
      </c>
      <c r="D331" s="12" t="s">
        <v>1761</v>
      </c>
      <c r="E331" s="85">
        <v>25.87</v>
      </c>
      <c r="F331" s="6">
        <v>2705036</v>
      </c>
      <c r="G331" s="12" t="s">
        <v>1762</v>
      </c>
      <c r="H331" s="12" t="s">
        <v>755</v>
      </c>
      <c r="I331" s="12" t="s">
        <v>756</v>
      </c>
      <c r="J331" s="84">
        <v>38506</v>
      </c>
      <c r="K331" s="84">
        <v>49463</v>
      </c>
      <c r="L331" s="12" t="s">
        <v>205</v>
      </c>
      <c r="M331" s="12" t="s">
        <v>1315</v>
      </c>
      <c r="N331" s="75"/>
    </row>
    <row r="332" spans="1:14">
      <c r="A332" s="12">
        <v>329</v>
      </c>
      <c r="B332" s="12" t="s">
        <v>1763</v>
      </c>
      <c r="C332" s="12" t="s">
        <v>122</v>
      </c>
      <c r="D332" s="12" t="s">
        <v>1072</v>
      </c>
      <c r="E332" s="85">
        <v>13.96</v>
      </c>
      <c r="F332" s="6">
        <v>2001454</v>
      </c>
      <c r="G332" s="12" t="s">
        <v>780</v>
      </c>
      <c r="H332" s="12" t="s">
        <v>781</v>
      </c>
      <c r="I332" s="12" t="s">
        <v>756</v>
      </c>
      <c r="J332" s="84">
        <v>38511</v>
      </c>
      <c r="K332" s="84">
        <v>49468</v>
      </c>
      <c r="L332" s="12" t="s">
        <v>782</v>
      </c>
      <c r="M332" s="12" t="s">
        <v>783</v>
      </c>
      <c r="N332" s="75"/>
    </row>
    <row r="333" spans="1:14">
      <c r="A333" s="12">
        <v>330</v>
      </c>
      <c r="B333" s="12" t="s">
        <v>1764</v>
      </c>
      <c r="C333" s="12" t="s">
        <v>122</v>
      </c>
      <c r="D333" s="12" t="s">
        <v>1072</v>
      </c>
      <c r="E333" s="85">
        <v>100.88</v>
      </c>
      <c r="F333" s="6">
        <v>2001454</v>
      </c>
      <c r="G333" s="12" t="s">
        <v>780</v>
      </c>
      <c r="H333" s="12" t="s">
        <v>781</v>
      </c>
      <c r="I333" s="12" t="s">
        <v>756</v>
      </c>
      <c r="J333" s="84">
        <v>38511</v>
      </c>
      <c r="K333" s="84">
        <v>49468</v>
      </c>
      <c r="L333" s="12" t="s">
        <v>782</v>
      </c>
      <c r="M333" s="12" t="s">
        <v>783</v>
      </c>
      <c r="N333" s="75"/>
    </row>
    <row r="334" spans="1:14">
      <c r="A334" s="12">
        <v>331</v>
      </c>
      <c r="B334" s="12" t="s">
        <v>1765</v>
      </c>
      <c r="C334" s="12" t="s">
        <v>212</v>
      </c>
      <c r="D334" s="12" t="s">
        <v>1766</v>
      </c>
      <c r="E334" s="85">
        <v>31.68</v>
      </c>
      <c r="F334" s="6">
        <v>2028565</v>
      </c>
      <c r="G334" s="12" t="s">
        <v>1767</v>
      </c>
      <c r="H334" s="12" t="s">
        <v>766</v>
      </c>
      <c r="I334" s="12" t="s">
        <v>767</v>
      </c>
      <c r="J334" s="84">
        <v>37104</v>
      </c>
      <c r="K334" s="84">
        <v>48061</v>
      </c>
      <c r="L334" s="12" t="s">
        <v>170</v>
      </c>
      <c r="M334" s="12" t="s">
        <v>802</v>
      </c>
      <c r="N334" s="75"/>
    </row>
    <row r="335" spans="1:14">
      <c r="A335" s="12">
        <v>332</v>
      </c>
      <c r="B335" s="12" t="s">
        <v>1768</v>
      </c>
      <c r="C335" s="12" t="s">
        <v>758</v>
      </c>
      <c r="D335" s="12" t="s">
        <v>1769</v>
      </c>
      <c r="E335" s="85">
        <v>79.61</v>
      </c>
      <c r="F335" s="6">
        <v>5036496</v>
      </c>
      <c r="G335" s="12" t="s">
        <v>1770</v>
      </c>
      <c r="H335" s="12" t="s">
        <v>755</v>
      </c>
      <c r="I335" s="12" t="s">
        <v>756</v>
      </c>
      <c r="J335" s="84">
        <v>38512</v>
      </c>
      <c r="K335" s="84">
        <v>49469</v>
      </c>
      <c r="L335" s="12" t="s">
        <v>138</v>
      </c>
      <c r="M335" s="12" t="s">
        <v>138</v>
      </c>
      <c r="N335" s="75"/>
    </row>
    <row r="336" spans="1:14">
      <c r="A336" s="12">
        <v>333</v>
      </c>
      <c r="B336" s="12" t="s">
        <v>1771</v>
      </c>
      <c r="C336" s="12" t="s">
        <v>752</v>
      </c>
      <c r="D336" s="12" t="s">
        <v>261</v>
      </c>
      <c r="E336" s="85">
        <v>41.75</v>
      </c>
      <c r="F336" s="6">
        <v>2816555</v>
      </c>
      <c r="G336" s="12" t="s">
        <v>1585</v>
      </c>
      <c r="H336" s="12" t="s">
        <v>755</v>
      </c>
      <c r="I336" s="12" t="s">
        <v>756</v>
      </c>
      <c r="J336" s="84">
        <v>38512</v>
      </c>
      <c r="K336" s="84">
        <v>49469</v>
      </c>
      <c r="L336" s="12" t="s">
        <v>274</v>
      </c>
      <c r="M336" s="12" t="s">
        <v>790</v>
      </c>
      <c r="N336" s="75"/>
    </row>
    <row r="337" spans="1:14">
      <c r="A337" s="12">
        <v>334</v>
      </c>
      <c r="B337" s="12" t="s">
        <v>1772</v>
      </c>
      <c r="C337" s="12" t="s">
        <v>1002</v>
      </c>
      <c r="D337" s="12" t="s">
        <v>1773</v>
      </c>
      <c r="E337" s="85">
        <v>29.39</v>
      </c>
      <c r="F337" s="6">
        <v>5722616</v>
      </c>
      <c r="G337" s="12" t="s">
        <v>1774</v>
      </c>
      <c r="H337" s="12" t="s">
        <v>755</v>
      </c>
      <c r="I337" s="12" t="s">
        <v>756</v>
      </c>
      <c r="J337" s="84">
        <v>38530</v>
      </c>
      <c r="K337" s="84">
        <v>49574</v>
      </c>
      <c r="L337" s="12" t="s">
        <v>782</v>
      </c>
      <c r="M337" s="12" t="s">
        <v>1005</v>
      </c>
      <c r="N337" s="75"/>
    </row>
    <row r="338" spans="1:14">
      <c r="A338" s="12">
        <v>335</v>
      </c>
      <c r="B338" s="12" t="s">
        <v>1775</v>
      </c>
      <c r="C338" s="12" t="s">
        <v>137</v>
      </c>
      <c r="D338" s="12" t="s">
        <v>1776</v>
      </c>
      <c r="E338" s="85">
        <v>61.75</v>
      </c>
      <c r="F338" s="6">
        <v>5016665</v>
      </c>
      <c r="G338" s="12" t="s">
        <v>1777</v>
      </c>
      <c r="H338" s="12" t="s">
        <v>848</v>
      </c>
      <c r="I338" s="12" t="s">
        <v>849</v>
      </c>
      <c r="J338" s="84">
        <v>38532</v>
      </c>
      <c r="K338" s="84">
        <v>49489</v>
      </c>
      <c r="L338" s="12" t="s">
        <v>293</v>
      </c>
      <c r="M338" s="12" t="s">
        <v>181</v>
      </c>
      <c r="N338" s="75"/>
    </row>
    <row r="339" spans="1:14">
      <c r="A339" s="12">
        <v>336</v>
      </c>
      <c r="B339" s="12" t="s">
        <v>1778</v>
      </c>
      <c r="C339" s="12" t="s">
        <v>886</v>
      </c>
      <c r="D339" s="12" t="s">
        <v>1779</v>
      </c>
      <c r="E339" s="85">
        <v>125.42</v>
      </c>
      <c r="F339" s="6">
        <v>2830213</v>
      </c>
      <c r="G339" s="12" t="s">
        <v>888</v>
      </c>
      <c r="H339" s="12" t="s">
        <v>848</v>
      </c>
      <c r="I339" s="12" t="s">
        <v>849</v>
      </c>
      <c r="J339" s="84">
        <v>38534</v>
      </c>
      <c r="K339" s="84">
        <v>49491</v>
      </c>
      <c r="L339" s="12" t="s">
        <v>123</v>
      </c>
      <c r="M339" s="12" t="s">
        <v>1472</v>
      </c>
      <c r="N339" s="75"/>
    </row>
    <row r="340" spans="1:14">
      <c r="A340" s="12">
        <v>337</v>
      </c>
      <c r="B340" s="12" t="s">
        <v>1780</v>
      </c>
      <c r="C340" s="12" t="s">
        <v>122</v>
      </c>
      <c r="D340" s="12" t="s">
        <v>1781</v>
      </c>
      <c r="E340" s="85">
        <v>31.98</v>
      </c>
      <c r="F340" s="6">
        <v>5183308</v>
      </c>
      <c r="G340" s="12" t="s">
        <v>1782</v>
      </c>
      <c r="H340" s="12" t="s">
        <v>848</v>
      </c>
      <c r="I340" s="12" t="s">
        <v>849</v>
      </c>
      <c r="J340" s="84">
        <v>38541</v>
      </c>
      <c r="K340" s="84">
        <v>49498</v>
      </c>
      <c r="L340" s="12" t="s">
        <v>293</v>
      </c>
      <c r="M340" s="12" t="s">
        <v>1315</v>
      </c>
      <c r="N340" s="75"/>
    </row>
    <row r="341" spans="1:14">
      <c r="A341" s="12">
        <v>338</v>
      </c>
      <c r="B341" s="12" t="s">
        <v>1783</v>
      </c>
      <c r="C341" s="12" t="s">
        <v>995</v>
      </c>
      <c r="D341" s="12" t="s">
        <v>1784</v>
      </c>
      <c r="E341" s="85">
        <v>10.31</v>
      </c>
      <c r="F341" s="6">
        <v>2598256</v>
      </c>
      <c r="G341" s="12" t="s">
        <v>1785</v>
      </c>
      <c r="H341" s="12" t="s">
        <v>848</v>
      </c>
      <c r="I341" s="12" t="s">
        <v>849</v>
      </c>
      <c r="J341" s="84">
        <v>38552</v>
      </c>
      <c r="K341" s="84">
        <v>49509</v>
      </c>
      <c r="L341" s="12" t="s">
        <v>128</v>
      </c>
      <c r="M341" s="12" t="s">
        <v>862</v>
      </c>
      <c r="N341" s="75"/>
    </row>
    <row r="342" spans="1:14">
      <c r="A342" s="12">
        <v>339</v>
      </c>
      <c r="B342" s="12" t="s">
        <v>1786</v>
      </c>
      <c r="C342" s="12" t="s">
        <v>881</v>
      </c>
      <c r="D342" s="12" t="s">
        <v>1787</v>
      </c>
      <c r="E342" s="85">
        <v>24.05</v>
      </c>
      <c r="F342" s="6">
        <v>2068133</v>
      </c>
      <c r="G342" s="12" t="s">
        <v>1788</v>
      </c>
      <c r="H342" s="12" t="s">
        <v>755</v>
      </c>
      <c r="I342" s="12" t="s">
        <v>756</v>
      </c>
      <c r="J342" s="84">
        <v>38554</v>
      </c>
      <c r="K342" s="84">
        <v>49511</v>
      </c>
      <c r="L342" s="12" t="s">
        <v>128</v>
      </c>
      <c r="M342" s="12" t="s">
        <v>191</v>
      </c>
      <c r="N342" s="75"/>
    </row>
    <row r="343" spans="1:14">
      <c r="A343" s="12">
        <v>340</v>
      </c>
      <c r="B343" s="12" t="s">
        <v>1789</v>
      </c>
      <c r="C343" s="12" t="s">
        <v>752</v>
      </c>
      <c r="D343" s="12" t="s">
        <v>1790</v>
      </c>
      <c r="E343" s="85">
        <v>143.46</v>
      </c>
      <c r="F343" s="6">
        <v>5468582</v>
      </c>
      <c r="G343" s="12" t="s">
        <v>818</v>
      </c>
      <c r="H343" s="12" t="s">
        <v>755</v>
      </c>
      <c r="I343" s="12" t="s">
        <v>756</v>
      </c>
      <c r="J343" s="84">
        <v>38559</v>
      </c>
      <c r="K343" s="84">
        <v>49516</v>
      </c>
      <c r="L343" s="12" t="s">
        <v>293</v>
      </c>
      <c r="M343" s="12" t="s">
        <v>815</v>
      </c>
      <c r="N343" s="75"/>
    </row>
    <row r="344" spans="1:14">
      <c r="A344" s="12">
        <v>341</v>
      </c>
      <c r="B344" s="12" t="s">
        <v>1791</v>
      </c>
      <c r="C344" s="12" t="s">
        <v>137</v>
      </c>
      <c r="D344" s="12" t="s">
        <v>1792</v>
      </c>
      <c r="E344" s="85">
        <v>83.76</v>
      </c>
      <c r="F344" s="6">
        <v>5396662</v>
      </c>
      <c r="G344" s="12" t="s">
        <v>1793</v>
      </c>
      <c r="H344" s="12" t="s">
        <v>848</v>
      </c>
      <c r="I344" s="12" t="s">
        <v>849</v>
      </c>
      <c r="J344" s="84">
        <v>38559</v>
      </c>
      <c r="K344" s="84">
        <v>49516</v>
      </c>
      <c r="L344" s="12" t="s">
        <v>293</v>
      </c>
      <c r="M344" s="12" t="s">
        <v>181</v>
      </c>
      <c r="N344" s="75"/>
    </row>
    <row r="345" spans="1:14">
      <c r="A345" s="12">
        <v>342</v>
      </c>
      <c r="B345" s="12" t="s">
        <v>1794</v>
      </c>
      <c r="C345" s="12" t="s">
        <v>137</v>
      </c>
      <c r="D345" s="12" t="s">
        <v>1795</v>
      </c>
      <c r="E345" s="85">
        <v>108.71</v>
      </c>
      <c r="F345" s="6">
        <v>5396662</v>
      </c>
      <c r="G345" s="12" t="s">
        <v>1793</v>
      </c>
      <c r="H345" s="12" t="s">
        <v>848</v>
      </c>
      <c r="I345" s="12" t="s">
        <v>849</v>
      </c>
      <c r="J345" s="84">
        <v>38559</v>
      </c>
      <c r="K345" s="84">
        <v>49516</v>
      </c>
      <c r="L345" s="12" t="s">
        <v>293</v>
      </c>
      <c r="M345" s="12" t="s">
        <v>181</v>
      </c>
      <c r="N345" s="75"/>
    </row>
    <row r="346" spans="1:14">
      <c r="A346" s="12">
        <v>343</v>
      </c>
      <c r="B346" s="12" t="s">
        <v>1796</v>
      </c>
      <c r="C346" s="12" t="s">
        <v>752</v>
      </c>
      <c r="D346" s="12" t="s">
        <v>1797</v>
      </c>
      <c r="E346" s="85">
        <v>134.52000000000001</v>
      </c>
      <c r="F346" s="6">
        <v>3122212</v>
      </c>
      <c r="G346" s="12" t="s">
        <v>1798</v>
      </c>
      <c r="H346" s="12" t="s">
        <v>755</v>
      </c>
      <c r="I346" s="12" t="s">
        <v>756</v>
      </c>
      <c r="J346" s="84">
        <v>38561</v>
      </c>
      <c r="K346" s="84">
        <v>49518</v>
      </c>
      <c r="L346" s="12" t="s">
        <v>768</v>
      </c>
      <c r="M346" s="12" t="s">
        <v>769</v>
      </c>
      <c r="N346" s="75"/>
    </row>
    <row r="347" spans="1:14">
      <c r="A347" s="12">
        <v>344</v>
      </c>
      <c r="B347" s="12" t="s">
        <v>1799</v>
      </c>
      <c r="C347" s="12" t="s">
        <v>200</v>
      </c>
      <c r="D347" s="12" t="s">
        <v>1800</v>
      </c>
      <c r="E347" s="85">
        <v>70.959999999999994</v>
      </c>
      <c r="F347" s="6">
        <v>6112455</v>
      </c>
      <c r="G347" s="12" t="s">
        <v>1801</v>
      </c>
      <c r="H347" s="12" t="s">
        <v>755</v>
      </c>
      <c r="I347" s="12" t="s">
        <v>756</v>
      </c>
      <c r="J347" s="84">
        <v>35517</v>
      </c>
      <c r="K347" s="84">
        <v>46474</v>
      </c>
      <c r="L347" s="12" t="s">
        <v>375</v>
      </c>
      <c r="M347" s="12" t="s">
        <v>893</v>
      </c>
      <c r="N347" s="75"/>
    </row>
    <row r="348" spans="1:14">
      <c r="A348" s="12">
        <v>345</v>
      </c>
      <c r="B348" s="12" t="s">
        <v>1802</v>
      </c>
      <c r="C348" s="12" t="s">
        <v>1803</v>
      </c>
      <c r="D348" s="12" t="s">
        <v>1804</v>
      </c>
      <c r="E348" s="85">
        <v>79.8</v>
      </c>
      <c r="F348" s="6">
        <v>5211956</v>
      </c>
      <c r="G348" s="12" t="s">
        <v>1805</v>
      </c>
      <c r="H348" s="12" t="s">
        <v>755</v>
      </c>
      <c r="I348" s="12" t="s">
        <v>756</v>
      </c>
      <c r="J348" s="84">
        <v>38561</v>
      </c>
      <c r="K348" s="84">
        <v>49610</v>
      </c>
      <c r="L348" s="12" t="s">
        <v>138</v>
      </c>
      <c r="M348" s="12" t="s">
        <v>1806</v>
      </c>
      <c r="N348" s="75"/>
    </row>
    <row r="349" spans="1:14">
      <c r="A349" s="12">
        <v>346</v>
      </c>
      <c r="B349" s="12" t="s">
        <v>1807</v>
      </c>
      <c r="C349" s="12" t="s">
        <v>212</v>
      </c>
      <c r="D349" s="12" t="s">
        <v>1808</v>
      </c>
      <c r="E349" s="85">
        <v>73.760000000000005</v>
      </c>
      <c r="F349" s="6">
        <v>5467578</v>
      </c>
      <c r="G349" s="12" t="s">
        <v>1809</v>
      </c>
      <c r="H349" s="12" t="s">
        <v>848</v>
      </c>
      <c r="I349" s="12" t="s">
        <v>849</v>
      </c>
      <c r="J349" s="84">
        <v>38561</v>
      </c>
      <c r="K349" s="84">
        <v>49518</v>
      </c>
      <c r="L349" s="12" t="s">
        <v>170</v>
      </c>
      <c r="M349" s="12" t="s">
        <v>811</v>
      </c>
      <c r="N349" s="75"/>
    </row>
    <row r="350" spans="1:14">
      <c r="A350" s="12">
        <v>347</v>
      </c>
      <c r="B350" s="12" t="s">
        <v>1810</v>
      </c>
      <c r="C350" s="12" t="s">
        <v>212</v>
      </c>
      <c r="D350" s="12" t="s">
        <v>1811</v>
      </c>
      <c r="E350" s="85">
        <v>25.04</v>
      </c>
      <c r="F350" s="6">
        <v>2036231</v>
      </c>
      <c r="G350" s="12" t="s">
        <v>1812</v>
      </c>
      <c r="H350" s="12" t="s">
        <v>755</v>
      </c>
      <c r="I350" s="12" t="s">
        <v>756</v>
      </c>
      <c r="J350" s="84">
        <v>38567</v>
      </c>
      <c r="K350" s="84">
        <v>49524</v>
      </c>
      <c r="L350" s="12" t="s">
        <v>170</v>
      </c>
      <c r="M350" s="12" t="s">
        <v>171</v>
      </c>
      <c r="N350" s="75"/>
    </row>
    <row r="351" spans="1:14">
      <c r="A351" s="12">
        <v>348</v>
      </c>
      <c r="B351" s="12" t="s">
        <v>1813</v>
      </c>
      <c r="C351" s="12" t="s">
        <v>886</v>
      </c>
      <c r="D351" s="12" t="s">
        <v>1814</v>
      </c>
      <c r="E351" s="85">
        <v>173.17</v>
      </c>
      <c r="F351" s="6">
        <v>5006066</v>
      </c>
      <c r="G351" s="12" t="s">
        <v>1815</v>
      </c>
      <c r="H351" s="12" t="s">
        <v>755</v>
      </c>
      <c r="I351" s="12" t="s">
        <v>756</v>
      </c>
      <c r="J351" s="84">
        <v>38575</v>
      </c>
      <c r="K351" s="84">
        <v>49532</v>
      </c>
      <c r="L351" s="12" t="s">
        <v>293</v>
      </c>
      <c r="M351" s="12" t="s">
        <v>1816</v>
      </c>
      <c r="N351" s="75"/>
    </row>
    <row r="352" spans="1:14">
      <c r="A352" s="12">
        <v>349</v>
      </c>
      <c r="B352" s="12" t="s">
        <v>1817</v>
      </c>
      <c r="C352" s="12" t="s">
        <v>1818</v>
      </c>
      <c r="D352" s="12" t="s">
        <v>1819</v>
      </c>
      <c r="E352" s="85">
        <v>380.52</v>
      </c>
      <c r="F352" s="6">
        <v>2893193</v>
      </c>
      <c r="G352" s="12" t="s">
        <v>1820</v>
      </c>
      <c r="H352" s="12" t="s">
        <v>848</v>
      </c>
      <c r="I352" s="12" t="s">
        <v>849</v>
      </c>
      <c r="J352" s="84">
        <v>38580</v>
      </c>
      <c r="K352" s="84">
        <v>49537</v>
      </c>
      <c r="L352" s="12" t="s">
        <v>293</v>
      </c>
      <c r="M352" s="12" t="s">
        <v>1206</v>
      </c>
      <c r="N352" s="75"/>
    </row>
    <row r="353" spans="1:14">
      <c r="A353" s="12">
        <v>350</v>
      </c>
      <c r="B353" s="12" t="s">
        <v>1821</v>
      </c>
      <c r="C353" s="12" t="s">
        <v>995</v>
      </c>
      <c r="D353" s="12" t="s">
        <v>1787</v>
      </c>
      <c r="E353" s="85">
        <v>51.09</v>
      </c>
      <c r="F353" s="6">
        <v>2630028</v>
      </c>
      <c r="G353" s="12" t="s">
        <v>1822</v>
      </c>
      <c r="H353" s="12" t="s">
        <v>766</v>
      </c>
      <c r="I353" s="12" t="s">
        <v>767</v>
      </c>
      <c r="J353" s="84">
        <v>38583</v>
      </c>
      <c r="K353" s="84">
        <v>49540</v>
      </c>
      <c r="L353" s="12" t="s">
        <v>128</v>
      </c>
      <c r="M353" s="12" t="s">
        <v>1823</v>
      </c>
      <c r="N353" s="75"/>
    </row>
    <row r="354" spans="1:14">
      <c r="A354" s="12">
        <v>351</v>
      </c>
      <c r="B354" s="12" t="s">
        <v>1824</v>
      </c>
      <c r="C354" s="12" t="s">
        <v>212</v>
      </c>
      <c r="D354" s="12" t="s">
        <v>1825</v>
      </c>
      <c r="E354" s="85">
        <v>61.66</v>
      </c>
      <c r="F354" s="6">
        <v>2723344</v>
      </c>
      <c r="G354" s="12" t="s">
        <v>1375</v>
      </c>
      <c r="H354" s="12" t="s">
        <v>755</v>
      </c>
      <c r="I354" s="12" t="s">
        <v>756</v>
      </c>
      <c r="J354" s="84">
        <v>38586</v>
      </c>
      <c r="K354" s="84">
        <v>49543</v>
      </c>
      <c r="L354" s="12" t="s">
        <v>293</v>
      </c>
      <c r="M354" s="12" t="s">
        <v>1826</v>
      </c>
      <c r="N354" s="75"/>
    </row>
    <row r="355" spans="1:14">
      <c r="A355" s="12">
        <v>352</v>
      </c>
      <c r="B355" s="12" t="s">
        <v>1827</v>
      </c>
      <c r="C355" s="12" t="s">
        <v>212</v>
      </c>
      <c r="D355" s="12" t="s">
        <v>1828</v>
      </c>
      <c r="E355" s="85">
        <v>29.42</v>
      </c>
      <c r="F355" s="6">
        <v>6168825</v>
      </c>
      <c r="G355" s="12" t="s">
        <v>1829</v>
      </c>
      <c r="H355" s="12" t="s">
        <v>755</v>
      </c>
      <c r="I355" s="12" t="s">
        <v>756</v>
      </c>
      <c r="J355" s="84">
        <v>38596</v>
      </c>
      <c r="K355" s="84">
        <v>49553</v>
      </c>
      <c r="L355" s="12" t="s">
        <v>293</v>
      </c>
      <c r="M355" s="12" t="s">
        <v>1826</v>
      </c>
      <c r="N355" s="75"/>
    </row>
    <row r="356" spans="1:14">
      <c r="A356" s="12">
        <v>353</v>
      </c>
      <c r="B356" s="12" t="s">
        <v>1830</v>
      </c>
      <c r="C356" s="12" t="s">
        <v>752</v>
      </c>
      <c r="D356" s="12" t="s">
        <v>1831</v>
      </c>
      <c r="E356" s="85">
        <v>41.55</v>
      </c>
      <c r="F356" s="6">
        <v>2112868</v>
      </c>
      <c r="G356" s="12" t="s">
        <v>1335</v>
      </c>
      <c r="H356" s="12" t="s">
        <v>848</v>
      </c>
      <c r="I356" s="12" t="s">
        <v>849</v>
      </c>
      <c r="J356" s="84">
        <v>38609</v>
      </c>
      <c r="K356" s="84">
        <v>49566</v>
      </c>
      <c r="L356" s="12" t="s">
        <v>831</v>
      </c>
      <c r="M356" s="12" t="s">
        <v>832</v>
      </c>
      <c r="N356" s="75"/>
    </row>
    <row r="357" spans="1:14">
      <c r="A357" s="12">
        <v>354</v>
      </c>
      <c r="B357" s="12" t="s">
        <v>1832</v>
      </c>
      <c r="C357" s="12" t="s">
        <v>212</v>
      </c>
      <c r="D357" s="12" t="s">
        <v>1833</v>
      </c>
      <c r="E357" s="85">
        <v>41.7</v>
      </c>
      <c r="F357" s="6">
        <v>6191142</v>
      </c>
      <c r="G357" s="12" t="s">
        <v>1834</v>
      </c>
      <c r="H357" s="12" t="s">
        <v>766</v>
      </c>
      <c r="I357" s="12" t="s">
        <v>767</v>
      </c>
      <c r="J357" s="84">
        <v>38609</v>
      </c>
      <c r="K357" s="84">
        <v>49566</v>
      </c>
      <c r="L357" s="12" t="s">
        <v>293</v>
      </c>
      <c r="M357" s="12" t="s">
        <v>815</v>
      </c>
      <c r="N357" s="75"/>
    </row>
    <row r="358" spans="1:14">
      <c r="A358" s="12">
        <v>355</v>
      </c>
      <c r="B358" s="12" t="s">
        <v>1835</v>
      </c>
      <c r="C358" s="12" t="s">
        <v>881</v>
      </c>
      <c r="D358" s="12" t="s">
        <v>1836</v>
      </c>
      <c r="E358" s="85">
        <v>32.17</v>
      </c>
      <c r="F358" s="6">
        <v>2593009</v>
      </c>
      <c r="G358" s="12" t="s">
        <v>1837</v>
      </c>
      <c r="H358" s="12" t="s">
        <v>755</v>
      </c>
      <c r="I358" s="12" t="s">
        <v>756</v>
      </c>
      <c r="J358" s="84">
        <v>38614</v>
      </c>
      <c r="K358" s="84">
        <v>49571</v>
      </c>
      <c r="L358" s="12" t="s">
        <v>128</v>
      </c>
      <c r="M358" s="12" t="s">
        <v>1076</v>
      </c>
      <c r="N358" s="75"/>
    </row>
    <row r="359" spans="1:14">
      <c r="A359" s="12">
        <v>356</v>
      </c>
      <c r="B359" s="12" t="s">
        <v>1838</v>
      </c>
      <c r="C359" s="12" t="s">
        <v>995</v>
      </c>
      <c r="D359" s="12" t="s">
        <v>1839</v>
      </c>
      <c r="E359" s="85">
        <v>24.31</v>
      </c>
      <c r="F359" s="6">
        <v>2598256</v>
      </c>
      <c r="G359" s="12" t="s">
        <v>1785</v>
      </c>
      <c r="H359" s="12" t="s">
        <v>848</v>
      </c>
      <c r="I359" s="12" t="s">
        <v>849</v>
      </c>
      <c r="J359" s="84">
        <v>38615</v>
      </c>
      <c r="K359" s="84">
        <v>49572</v>
      </c>
      <c r="L359" s="12" t="s">
        <v>128</v>
      </c>
      <c r="M359" s="12" t="s">
        <v>862</v>
      </c>
      <c r="N359" s="75"/>
    </row>
    <row r="360" spans="1:14">
      <c r="A360" s="12">
        <v>357</v>
      </c>
      <c r="B360" s="12" t="s">
        <v>1840</v>
      </c>
      <c r="C360" s="12" t="s">
        <v>212</v>
      </c>
      <c r="D360" s="12" t="s">
        <v>1295</v>
      </c>
      <c r="E360" s="85">
        <v>50.2</v>
      </c>
      <c r="F360" s="6">
        <v>5530172</v>
      </c>
      <c r="G360" s="12" t="s">
        <v>1841</v>
      </c>
      <c r="H360" s="12" t="s">
        <v>766</v>
      </c>
      <c r="I360" s="12" t="s">
        <v>767</v>
      </c>
      <c r="J360" s="84">
        <v>38615</v>
      </c>
      <c r="K360" s="84">
        <v>49572</v>
      </c>
      <c r="L360" s="12" t="s">
        <v>170</v>
      </c>
      <c r="M360" s="12" t="s">
        <v>1426</v>
      </c>
      <c r="N360" s="75"/>
    </row>
    <row r="361" spans="1:14">
      <c r="A361" s="12">
        <v>358</v>
      </c>
      <c r="B361" s="12" t="s">
        <v>1842</v>
      </c>
      <c r="C361" s="12" t="s">
        <v>979</v>
      </c>
      <c r="D361" s="12" t="s">
        <v>1843</v>
      </c>
      <c r="E361" s="85">
        <v>1189.19</v>
      </c>
      <c r="F361" s="6">
        <v>5118611</v>
      </c>
      <c r="G361" s="12" t="s">
        <v>1844</v>
      </c>
      <c r="H361" s="12" t="s">
        <v>755</v>
      </c>
      <c r="I361" s="12" t="s">
        <v>756</v>
      </c>
      <c r="J361" s="84">
        <v>38618</v>
      </c>
      <c r="K361" s="84">
        <v>49575</v>
      </c>
      <c r="L361" s="12" t="s">
        <v>233</v>
      </c>
      <c r="M361" s="12" t="s">
        <v>1845</v>
      </c>
      <c r="N361" s="75"/>
    </row>
    <row r="362" spans="1:14">
      <c r="A362" s="12">
        <v>359</v>
      </c>
      <c r="B362" s="12" t="s">
        <v>1846</v>
      </c>
      <c r="C362" s="12" t="s">
        <v>137</v>
      </c>
      <c r="D362" s="12" t="s">
        <v>1847</v>
      </c>
      <c r="E362" s="85">
        <v>565.47</v>
      </c>
      <c r="F362" s="6">
        <v>2063182</v>
      </c>
      <c r="G362" s="12" t="s">
        <v>1848</v>
      </c>
      <c r="H362" s="12" t="s">
        <v>755</v>
      </c>
      <c r="I362" s="12" t="s">
        <v>756</v>
      </c>
      <c r="J362" s="84">
        <v>38624</v>
      </c>
      <c r="K362" s="84">
        <v>49581</v>
      </c>
      <c r="L362" s="12" t="s">
        <v>1097</v>
      </c>
      <c r="M362" s="12" t="s">
        <v>1849</v>
      </c>
      <c r="N362" s="75"/>
    </row>
    <row r="363" spans="1:14">
      <c r="A363" s="12">
        <v>360</v>
      </c>
      <c r="B363" s="12" t="s">
        <v>1850</v>
      </c>
      <c r="C363" s="12" t="s">
        <v>212</v>
      </c>
      <c r="D363" s="12" t="s">
        <v>1851</v>
      </c>
      <c r="E363" s="85">
        <v>25.17</v>
      </c>
      <c r="F363" s="6">
        <v>5018536</v>
      </c>
      <c r="G363" s="12" t="s">
        <v>1852</v>
      </c>
      <c r="H363" s="12" t="s">
        <v>766</v>
      </c>
      <c r="I363" s="12" t="s">
        <v>767</v>
      </c>
      <c r="J363" s="84">
        <v>38631</v>
      </c>
      <c r="K363" s="84">
        <v>49588</v>
      </c>
      <c r="L363" s="12" t="s">
        <v>375</v>
      </c>
      <c r="M363" s="12" t="s">
        <v>944</v>
      </c>
      <c r="N363" s="75"/>
    </row>
    <row r="364" spans="1:14">
      <c r="A364" s="12">
        <v>361</v>
      </c>
      <c r="B364" s="12" t="s">
        <v>1853</v>
      </c>
      <c r="C364" s="12" t="s">
        <v>1854</v>
      </c>
      <c r="D364" s="12" t="s">
        <v>1855</v>
      </c>
      <c r="E364" s="85">
        <v>64.84</v>
      </c>
      <c r="F364" s="6">
        <v>5197554</v>
      </c>
      <c r="G364" s="12" t="s">
        <v>1856</v>
      </c>
      <c r="H364" s="12" t="s">
        <v>755</v>
      </c>
      <c r="I364" s="12" t="s">
        <v>756</v>
      </c>
      <c r="J364" s="84">
        <v>38631</v>
      </c>
      <c r="K364" s="84">
        <v>49588</v>
      </c>
      <c r="L364" s="12" t="s">
        <v>170</v>
      </c>
      <c r="M364" s="12" t="s">
        <v>280</v>
      </c>
      <c r="N364" s="75"/>
    </row>
    <row r="365" spans="1:14">
      <c r="A365" s="12">
        <v>362</v>
      </c>
      <c r="B365" s="12" t="s">
        <v>1857</v>
      </c>
      <c r="C365" s="12" t="s">
        <v>752</v>
      </c>
      <c r="D365" s="12" t="s">
        <v>1858</v>
      </c>
      <c r="E365" s="85">
        <v>70.87</v>
      </c>
      <c r="F365" s="6">
        <v>5292638</v>
      </c>
      <c r="G365" s="12" t="s">
        <v>1859</v>
      </c>
      <c r="H365" s="12" t="s">
        <v>755</v>
      </c>
      <c r="I365" s="12" t="s">
        <v>756</v>
      </c>
      <c r="J365" s="84">
        <v>38632</v>
      </c>
      <c r="K365" s="84">
        <v>49589</v>
      </c>
      <c r="L365" s="12" t="s">
        <v>274</v>
      </c>
      <c r="M365" s="12" t="s">
        <v>275</v>
      </c>
      <c r="N365" s="75"/>
    </row>
    <row r="366" spans="1:14">
      <c r="A366" s="12">
        <v>363</v>
      </c>
      <c r="B366" s="12" t="s">
        <v>1860</v>
      </c>
      <c r="C366" s="12" t="s">
        <v>752</v>
      </c>
      <c r="D366" s="12" t="s">
        <v>1861</v>
      </c>
      <c r="E366" s="85">
        <v>163.72</v>
      </c>
      <c r="F366" s="6">
        <v>5292638</v>
      </c>
      <c r="G366" s="12" t="s">
        <v>1859</v>
      </c>
      <c r="H366" s="12" t="s">
        <v>755</v>
      </c>
      <c r="I366" s="12" t="s">
        <v>756</v>
      </c>
      <c r="J366" s="84">
        <v>38632</v>
      </c>
      <c r="K366" s="84">
        <v>49589</v>
      </c>
      <c r="L366" s="12" t="s">
        <v>274</v>
      </c>
      <c r="M366" s="12" t="s">
        <v>275</v>
      </c>
      <c r="N366" s="75"/>
    </row>
    <row r="367" spans="1:14">
      <c r="A367" s="12">
        <v>364</v>
      </c>
      <c r="B367" s="12" t="s">
        <v>1862</v>
      </c>
      <c r="C367" s="12" t="s">
        <v>752</v>
      </c>
      <c r="D367" s="12" t="s">
        <v>1325</v>
      </c>
      <c r="E367" s="85">
        <v>26.11</v>
      </c>
      <c r="F367" s="6">
        <v>2670801</v>
      </c>
      <c r="G367" s="12" t="s">
        <v>1863</v>
      </c>
      <c r="H367" s="12" t="s">
        <v>755</v>
      </c>
      <c r="I367" s="12" t="s">
        <v>756</v>
      </c>
      <c r="J367" s="84">
        <v>38632</v>
      </c>
      <c r="K367" s="84">
        <v>49589</v>
      </c>
      <c r="L367" s="12" t="s">
        <v>274</v>
      </c>
      <c r="M367" s="12" t="s">
        <v>275</v>
      </c>
      <c r="N367" s="75"/>
    </row>
    <row r="368" spans="1:14">
      <c r="A368" s="12">
        <v>365</v>
      </c>
      <c r="B368" s="12" t="s">
        <v>1864</v>
      </c>
      <c r="C368" s="12" t="s">
        <v>752</v>
      </c>
      <c r="D368" s="12" t="s">
        <v>779</v>
      </c>
      <c r="E368" s="85">
        <v>381.38</v>
      </c>
      <c r="F368" s="6">
        <v>2001454</v>
      </c>
      <c r="G368" s="12" t="s">
        <v>780</v>
      </c>
      <c r="H368" s="12" t="s">
        <v>781</v>
      </c>
      <c r="I368" s="12" t="s">
        <v>756</v>
      </c>
      <c r="J368" s="84">
        <v>38636</v>
      </c>
      <c r="K368" s="84">
        <v>49593</v>
      </c>
      <c r="L368" s="12" t="s">
        <v>782</v>
      </c>
      <c r="M368" s="12" t="s">
        <v>783</v>
      </c>
      <c r="N368" s="75"/>
    </row>
    <row r="369" spans="1:14">
      <c r="A369" s="12">
        <v>366</v>
      </c>
      <c r="B369" s="12" t="s">
        <v>1865</v>
      </c>
      <c r="C369" s="12" t="s">
        <v>212</v>
      </c>
      <c r="D369" s="12" t="s">
        <v>1866</v>
      </c>
      <c r="E369" s="85">
        <v>41.27</v>
      </c>
      <c r="F369" s="6">
        <v>2652056</v>
      </c>
      <c r="G369" s="12" t="s">
        <v>1867</v>
      </c>
      <c r="H369" s="12" t="s">
        <v>755</v>
      </c>
      <c r="I369" s="12" t="s">
        <v>756</v>
      </c>
      <c r="J369" s="84">
        <v>38642</v>
      </c>
      <c r="K369" s="84">
        <v>49599</v>
      </c>
      <c r="L369" s="12" t="s">
        <v>293</v>
      </c>
      <c r="M369" s="12" t="s">
        <v>827</v>
      </c>
      <c r="N369" s="75"/>
    </row>
    <row r="370" spans="1:14">
      <c r="A370" s="12">
        <v>367</v>
      </c>
      <c r="B370" s="12" t="s">
        <v>1868</v>
      </c>
      <c r="C370" s="12" t="s">
        <v>1152</v>
      </c>
      <c r="D370" s="12" t="s">
        <v>1869</v>
      </c>
      <c r="E370" s="85">
        <v>19.920000000000002</v>
      </c>
      <c r="F370" s="6">
        <v>2703807</v>
      </c>
      <c r="G370" s="12" t="s">
        <v>1870</v>
      </c>
      <c r="H370" s="12" t="s">
        <v>755</v>
      </c>
      <c r="I370" s="12" t="s">
        <v>756</v>
      </c>
      <c r="J370" s="84">
        <v>38643</v>
      </c>
      <c r="K370" s="84">
        <v>49600</v>
      </c>
      <c r="L370" s="12" t="s">
        <v>128</v>
      </c>
      <c r="M370" s="12" t="s">
        <v>129</v>
      </c>
      <c r="N370" s="75"/>
    </row>
    <row r="371" spans="1:14">
      <c r="A371" s="12">
        <v>368</v>
      </c>
      <c r="B371" s="12" t="s">
        <v>1871</v>
      </c>
      <c r="C371" s="12" t="s">
        <v>979</v>
      </c>
      <c r="D371" s="12" t="s">
        <v>1872</v>
      </c>
      <c r="E371" s="85">
        <v>47.44</v>
      </c>
      <c r="F371" s="6">
        <v>5122392</v>
      </c>
      <c r="G371" s="12" t="s">
        <v>1215</v>
      </c>
      <c r="H371" s="12" t="s">
        <v>848</v>
      </c>
      <c r="I371" s="12" t="s">
        <v>849</v>
      </c>
      <c r="J371" s="84">
        <v>38643</v>
      </c>
      <c r="K371" s="84">
        <v>49600</v>
      </c>
      <c r="L371" s="12" t="s">
        <v>138</v>
      </c>
      <c r="M371" s="12" t="s">
        <v>1216</v>
      </c>
      <c r="N371" s="75"/>
    </row>
    <row r="372" spans="1:14">
      <c r="A372" s="12">
        <v>369</v>
      </c>
      <c r="B372" s="12" t="s">
        <v>1873</v>
      </c>
      <c r="C372" s="12" t="s">
        <v>1874</v>
      </c>
      <c r="D372" s="12" t="s">
        <v>1875</v>
      </c>
      <c r="E372" s="85">
        <v>79.8</v>
      </c>
      <c r="F372" s="6">
        <v>5197325</v>
      </c>
      <c r="G372" s="12" t="s">
        <v>1876</v>
      </c>
      <c r="H372" s="12" t="s">
        <v>766</v>
      </c>
      <c r="I372" s="12" t="s">
        <v>767</v>
      </c>
      <c r="J372" s="84">
        <v>38645</v>
      </c>
      <c r="K372" s="84">
        <v>49602</v>
      </c>
      <c r="L372" s="12" t="s">
        <v>375</v>
      </c>
      <c r="M372" s="12" t="s">
        <v>1877</v>
      </c>
      <c r="N372" s="75"/>
    </row>
    <row r="373" spans="1:14">
      <c r="A373" s="12">
        <v>370</v>
      </c>
      <c r="B373" s="12" t="s">
        <v>1878</v>
      </c>
      <c r="C373" s="12" t="s">
        <v>1879</v>
      </c>
      <c r="D373" s="12" t="s">
        <v>1880</v>
      </c>
      <c r="E373" s="85">
        <v>313.18</v>
      </c>
      <c r="F373" s="6">
        <v>2886197</v>
      </c>
      <c r="G373" s="12" t="s">
        <v>1881</v>
      </c>
      <c r="H373" s="12" t="s">
        <v>755</v>
      </c>
      <c r="I373" s="12" t="s">
        <v>756</v>
      </c>
      <c r="J373" s="84">
        <v>38645</v>
      </c>
      <c r="K373" s="84">
        <v>49602</v>
      </c>
      <c r="L373" s="12" t="s">
        <v>233</v>
      </c>
      <c r="M373" s="12" t="s">
        <v>1845</v>
      </c>
      <c r="N373" s="75"/>
    </row>
    <row r="374" spans="1:14">
      <c r="A374" s="12">
        <v>371</v>
      </c>
      <c r="B374" s="12" t="s">
        <v>1882</v>
      </c>
      <c r="C374" s="12" t="s">
        <v>212</v>
      </c>
      <c r="D374" s="12" t="s">
        <v>1883</v>
      </c>
      <c r="E374" s="85">
        <v>30.19</v>
      </c>
      <c r="F374" s="6">
        <v>2055317</v>
      </c>
      <c r="G374" s="12" t="s">
        <v>1884</v>
      </c>
      <c r="H374" s="12" t="s">
        <v>755</v>
      </c>
      <c r="I374" s="12" t="s">
        <v>756</v>
      </c>
      <c r="J374" s="84">
        <v>38649</v>
      </c>
      <c r="K374" s="84">
        <v>49606</v>
      </c>
      <c r="L374" s="12" t="s">
        <v>293</v>
      </c>
      <c r="M374" s="12" t="s">
        <v>1826</v>
      </c>
      <c r="N374" s="75"/>
    </row>
    <row r="375" spans="1:14">
      <c r="A375" s="12">
        <v>372</v>
      </c>
      <c r="B375" s="12" t="s">
        <v>1885</v>
      </c>
      <c r="C375" s="12" t="s">
        <v>212</v>
      </c>
      <c r="D375" s="12" t="s">
        <v>1886</v>
      </c>
      <c r="E375" s="85">
        <v>165.93</v>
      </c>
      <c r="F375" s="6">
        <v>2793512</v>
      </c>
      <c r="G375" s="12" t="s">
        <v>1887</v>
      </c>
      <c r="H375" s="12" t="s">
        <v>755</v>
      </c>
      <c r="I375" s="12" t="s">
        <v>756</v>
      </c>
      <c r="J375" s="84">
        <v>38652</v>
      </c>
      <c r="K375" s="84">
        <v>49609</v>
      </c>
      <c r="L375" s="12" t="s">
        <v>375</v>
      </c>
      <c r="M375" s="12" t="s">
        <v>1279</v>
      </c>
      <c r="N375" s="75"/>
    </row>
    <row r="376" spans="1:14">
      <c r="A376" s="12">
        <v>373</v>
      </c>
      <c r="B376" s="12" t="s">
        <v>1888</v>
      </c>
      <c r="C376" s="12" t="s">
        <v>1889</v>
      </c>
      <c r="D376" s="12" t="s">
        <v>1890</v>
      </c>
      <c r="E376" s="85">
        <v>103.11</v>
      </c>
      <c r="F376" s="6">
        <v>2597535</v>
      </c>
      <c r="G376" s="12" t="s">
        <v>1891</v>
      </c>
      <c r="H376" s="12" t="s">
        <v>755</v>
      </c>
      <c r="I376" s="12" t="s">
        <v>756</v>
      </c>
      <c r="J376" s="84">
        <v>38652</v>
      </c>
      <c r="K376" s="84">
        <v>49609</v>
      </c>
      <c r="L376" s="12" t="s">
        <v>375</v>
      </c>
      <c r="M376" s="12" t="s">
        <v>1892</v>
      </c>
      <c r="N376" s="75"/>
    </row>
    <row r="377" spans="1:14">
      <c r="A377" s="12">
        <v>374</v>
      </c>
      <c r="B377" s="12" t="s">
        <v>1893</v>
      </c>
      <c r="C377" s="12" t="s">
        <v>212</v>
      </c>
      <c r="D377" s="12" t="s">
        <v>1295</v>
      </c>
      <c r="E377" s="85">
        <v>127.84</v>
      </c>
      <c r="F377" s="6">
        <v>2793512</v>
      </c>
      <c r="G377" s="12" t="s">
        <v>1887</v>
      </c>
      <c r="H377" s="12" t="s">
        <v>755</v>
      </c>
      <c r="I377" s="12" t="s">
        <v>756</v>
      </c>
      <c r="J377" s="84">
        <v>38652</v>
      </c>
      <c r="K377" s="84">
        <v>49609</v>
      </c>
      <c r="L377" s="12" t="s">
        <v>375</v>
      </c>
      <c r="M377" s="12" t="s">
        <v>1279</v>
      </c>
      <c r="N377" s="75"/>
    </row>
    <row r="378" spans="1:14">
      <c r="A378" s="12">
        <v>375</v>
      </c>
      <c r="B378" s="12" t="s">
        <v>1894</v>
      </c>
      <c r="C378" s="12" t="s">
        <v>137</v>
      </c>
      <c r="D378" s="12" t="s">
        <v>1895</v>
      </c>
      <c r="E378" s="85">
        <v>424.09</v>
      </c>
      <c r="F378" s="6">
        <v>2051303</v>
      </c>
      <c r="G378" s="12" t="s">
        <v>1896</v>
      </c>
      <c r="H378" s="12" t="s">
        <v>1897</v>
      </c>
      <c r="I378" s="12" t="s">
        <v>756</v>
      </c>
      <c r="J378" s="84">
        <v>38653</v>
      </c>
      <c r="K378" s="84">
        <v>49610</v>
      </c>
      <c r="L378" s="12" t="s">
        <v>180</v>
      </c>
      <c r="M378" s="12" t="s">
        <v>927</v>
      </c>
      <c r="N378" s="75"/>
    </row>
    <row r="379" spans="1:14">
      <c r="A379" s="12">
        <v>376</v>
      </c>
      <c r="B379" s="12" t="s">
        <v>1898</v>
      </c>
      <c r="C379" s="12" t="s">
        <v>995</v>
      </c>
      <c r="D379" s="12" t="s">
        <v>1899</v>
      </c>
      <c r="E379" s="85">
        <v>43.1</v>
      </c>
      <c r="F379" s="6">
        <v>2724391</v>
      </c>
      <c r="G379" s="12" t="s">
        <v>1900</v>
      </c>
      <c r="H379" s="12" t="s">
        <v>848</v>
      </c>
      <c r="I379" s="12" t="s">
        <v>849</v>
      </c>
      <c r="J379" s="84">
        <v>38656</v>
      </c>
      <c r="K379" s="84">
        <v>49613</v>
      </c>
      <c r="L379" s="12" t="s">
        <v>329</v>
      </c>
      <c r="M379" s="12" t="s">
        <v>982</v>
      </c>
      <c r="N379" s="75"/>
    </row>
    <row r="380" spans="1:14">
      <c r="A380" s="12">
        <v>377</v>
      </c>
      <c r="B380" s="12" t="s">
        <v>1901</v>
      </c>
      <c r="C380" s="12" t="s">
        <v>137</v>
      </c>
      <c r="D380" s="12" t="s">
        <v>1902</v>
      </c>
      <c r="E380" s="85">
        <v>474.68</v>
      </c>
      <c r="F380" s="6">
        <v>5221056</v>
      </c>
      <c r="G380" s="12" t="s">
        <v>1903</v>
      </c>
      <c r="H380" s="12" t="s">
        <v>755</v>
      </c>
      <c r="I380" s="12" t="s">
        <v>756</v>
      </c>
      <c r="J380" s="84">
        <v>38670</v>
      </c>
      <c r="K380" s="84">
        <v>49627</v>
      </c>
      <c r="L380" s="12" t="s">
        <v>304</v>
      </c>
      <c r="M380" s="12" t="s">
        <v>843</v>
      </c>
      <c r="N380" s="75"/>
    </row>
    <row r="381" spans="1:14">
      <c r="A381" s="12">
        <v>378</v>
      </c>
      <c r="B381" s="12" t="s">
        <v>1904</v>
      </c>
      <c r="C381" s="12" t="s">
        <v>122</v>
      </c>
      <c r="D381" s="12" t="s">
        <v>982</v>
      </c>
      <c r="E381" s="85">
        <v>100.62</v>
      </c>
      <c r="F381" s="6">
        <v>5009138</v>
      </c>
      <c r="G381" s="12" t="s">
        <v>1905</v>
      </c>
      <c r="H381" s="12" t="s">
        <v>755</v>
      </c>
      <c r="I381" s="12" t="s">
        <v>756</v>
      </c>
      <c r="J381" s="84">
        <v>38686</v>
      </c>
      <c r="K381" s="84">
        <v>49643</v>
      </c>
      <c r="L381" s="12" t="s">
        <v>274</v>
      </c>
      <c r="M381" s="12" t="s">
        <v>982</v>
      </c>
      <c r="N381" s="75"/>
    </row>
    <row r="382" spans="1:14">
      <c r="A382" s="12">
        <v>379</v>
      </c>
      <c r="B382" s="12" t="s">
        <v>1906</v>
      </c>
      <c r="C382" s="12" t="s">
        <v>122</v>
      </c>
      <c r="D382" s="12" t="s">
        <v>1084</v>
      </c>
      <c r="E382" s="85">
        <v>844.78</v>
      </c>
      <c r="F382" s="6">
        <v>3428052</v>
      </c>
      <c r="G382" s="12" t="s">
        <v>1907</v>
      </c>
      <c r="H382" s="12" t="s">
        <v>755</v>
      </c>
      <c r="I382" s="12" t="s">
        <v>756</v>
      </c>
      <c r="J382" s="84">
        <v>38686</v>
      </c>
      <c r="K382" s="84">
        <v>49643</v>
      </c>
      <c r="L382" s="12" t="s">
        <v>375</v>
      </c>
      <c r="M382" s="12" t="s">
        <v>1085</v>
      </c>
      <c r="N382" s="75"/>
    </row>
    <row r="383" spans="1:14">
      <c r="A383" s="12">
        <v>380</v>
      </c>
      <c r="B383" s="12" t="s">
        <v>1908</v>
      </c>
      <c r="C383" s="12" t="s">
        <v>752</v>
      </c>
      <c r="D383" s="12" t="s">
        <v>1909</v>
      </c>
      <c r="E383" s="85">
        <v>30.06</v>
      </c>
      <c r="F383" s="6">
        <v>2550466</v>
      </c>
      <c r="G383" s="12" t="s">
        <v>801</v>
      </c>
      <c r="H383" s="12" t="s">
        <v>761</v>
      </c>
      <c r="I383" s="12" t="s">
        <v>756</v>
      </c>
      <c r="J383" s="84">
        <v>38686</v>
      </c>
      <c r="K383" s="84">
        <v>49643</v>
      </c>
      <c r="L383" s="12" t="s">
        <v>274</v>
      </c>
      <c r="M383" s="12" t="s">
        <v>275</v>
      </c>
      <c r="N383" s="75"/>
    </row>
    <row r="384" spans="1:14">
      <c r="A384" s="12">
        <v>381</v>
      </c>
      <c r="B384" s="12" t="s">
        <v>1910</v>
      </c>
      <c r="C384" s="12" t="s">
        <v>752</v>
      </c>
      <c r="D384" s="12" t="s">
        <v>1911</v>
      </c>
      <c r="E384" s="85">
        <v>130.54</v>
      </c>
      <c r="F384" s="6">
        <v>5364884</v>
      </c>
      <c r="G384" s="12" t="s">
        <v>1912</v>
      </c>
      <c r="H384" s="12" t="s">
        <v>766</v>
      </c>
      <c r="I384" s="12" t="s">
        <v>767</v>
      </c>
      <c r="J384" s="84">
        <v>38687</v>
      </c>
      <c r="K384" s="84">
        <v>49644</v>
      </c>
      <c r="L384" s="12" t="s">
        <v>782</v>
      </c>
      <c r="M384" s="12" t="s">
        <v>1913</v>
      </c>
      <c r="N384" s="75"/>
    </row>
    <row r="385" spans="1:14">
      <c r="A385" s="12">
        <v>382</v>
      </c>
      <c r="B385" s="12" t="s">
        <v>1914</v>
      </c>
      <c r="C385" s="12" t="s">
        <v>937</v>
      </c>
      <c r="D385" s="12" t="s">
        <v>1153</v>
      </c>
      <c r="E385" s="85">
        <v>49.75</v>
      </c>
      <c r="F385" s="6">
        <v>2060825</v>
      </c>
      <c r="G385" s="12" t="s">
        <v>1915</v>
      </c>
      <c r="H385" s="12" t="s">
        <v>755</v>
      </c>
      <c r="I385" s="12" t="s">
        <v>756</v>
      </c>
      <c r="J385" s="84">
        <v>38687</v>
      </c>
      <c r="K385" s="84">
        <v>49644</v>
      </c>
      <c r="L385" s="12" t="s">
        <v>180</v>
      </c>
      <c r="M385" s="12" t="s">
        <v>181</v>
      </c>
      <c r="N385" s="75"/>
    </row>
    <row r="386" spans="1:14">
      <c r="A386" s="12">
        <v>383</v>
      </c>
      <c r="B386" s="12" t="s">
        <v>1916</v>
      </c>
      <c r="C386" s="12" t="s">
        <v>1917</v>
      </c>
      <c r="D386" s="12" t="s">
        <v>1918</v>
      </c>
      <c r="E386" s="85">
        <v>227.45</v>
      </c>
      <c r="F386" s="6">
        <v>5036496</v>
      </c>
      <c r="G386" s="12" t="s">
        <v>1770</v>
      </c>
      <c r="H386" s="12" t="s">
        <v>755</v>
      </c>
      <c r="I386" s="12" t="s">
        <v>756</v>
      </c>
      <c r="J386" s="84">
        <v>38691</v>
      </c>
      <c r="K386" s="84">
        <v>49648</v>
      </c>
      <c r="L386" s="12" t="s">
        <v>138</v>
      </c>
      <c r="M386" s="12" t="s">
        <v>138</v>
      </c>
      <c r="N386" s="75"/>
    </row>
    <row r="387" spans="1:14">
      <c r="A387" s="12">
        <v>384</v>
      </c>
      <c r="B387" s="12" t="s">
        <v>1919</v>
      </c>
      <c r="C387" s="12" t="s">
        <v>1152</v>
      </c>
      <c r="D387" s="12" t="s">
        <v>1920</v>
      </c>
      <c r="E387" s="85">
        <v>21.2</v>
      </c>
      <c r="F387" s="6">
        <v>2579634</v>
      </c>
      <c r="G387" s="12" t="s">
        <v>1921</v>
      </c>
      <c r="H387" s="12" t="s">
        <v>755</v>
      </c>
      <c r="I387" s="12" t="s">
        <v>756</v>
      </c>
      <c r="J387" s="84">
        <v>38698</v>
      </c>
      <c r="K387" s="84">
        <v>49655</v>
      </c>
      <c r="L387" s="12" t="s">
        <v>274</v>
      </c>
      <c r="M387" s="12" t="s">
        <v>1379</v>
      </c>
      <c r="N387" s="75"/>
    </row>
    <row r="388" spans="1:14">
      <c r="A388" s="12">
        <v>385</v>
      </c>
      <c r="B388" s="12" t="s">
        <v>1922</v>
      </c>
      <c r="C388" s="12" t="s">
        <v>212</v>
      </c>
      <c r="D388" s="12" t="s">
        <v>1923</v>
      </c>
      <c r="E388" s="85">
        <v>38.71</v>
      </c>
      <c r="F388" s="6">
        <v>2643928</v>
      </c>
      <c r="G388" s="12" t="s">
        <v>1314</v>
      </c>
      <c r="H388" s="12" t="s">
        <v>781</v>
      </c>
      <c r="I388" s="12" t="s">
        <v>756</v>
      </c>
      <c r="J388" s="84">
        <v>38702</v>
      </c>
      <c r="K388" s="84">
        <v>49659</v>
      </c>
      <c r="L388" s="12" t="s">
        <v>293</v>
      </c>
      <c r="M388" s="12" t="s">
        <v>124</v>
      </c>
      <c r="N388" s="75"/>
    </row>
    <row r="389" spans="1:14">
      <c r="A389" s="12">
        <v>386</v>
      </c>
      <c r="B389" s="12" t="s">
        <v>1924</v>
      </c>
      <c r="C389" s="12" t="s">
        <v>212</v>
      </c>
      <c r="D389" s="12" t="s">
        <v>1925</v>
      </c>
      <c r="E389" s="85">
        <v>101.61</v>
      </c>
      <c r="F389" s="6">
        <v>5051304</v>
      </c>
      <c r="G389" s="12" t="s">
        <v>1926</v>
      </c>
      <c r="H389" s="12" t="s">
        <v>848</v>
      </c>
      <c r="I389" s="12" t="s">
        <v>849</v>
      </c>
      <c r="J389" s="84">
        <v>38708</v>
      </c>
      <c r="K389" s="84">
        <v>49665</v>
      </c>
      <c r="L389" s="12" t="s">
        <v>138</v>
      </c>
      <c r="M389" s="12" t="s">
        <v>1927</v>
      </c>
      <c r="N389" s="75"/>
    </row>
    <row r="390" spans="1:14">
      <c r="A390" s="12">
        <v>387</v>
      </c>
      <c r="B390" s="12" t="s">
        <v>1928</v>
      </c>
      <c r="C390" s="12" t="s">
        <v>1506</v>
      </c>
      <c r="D390" s="12" t="s">
        <v>1929</v>
      </c>
      <c r="E390" s="85">
        <v>209.57</v>
      </c>
      <c r="F390" s="6">
        <v>2830213</v>
      </c>
      <c r="G390" s="12" t="s">
        <v>888</v>
      </c>
      <c r="H390" s="12" t="s">
        <v>848</v>
      </c>
      <c r="I390" s="12" t="s">
        <v>849</v>
      </c>
      <c r="J390" s="84">
        <v>38708</v>
      </c>
      <c r="K390" s="84">
        <v>49665</v>
      </c>
      <c r="L390" s="12" t="s">
        <v>123</v>
      </c>
      <c r="M390" s="12" t="s">
        <v>1508</v>
      </c>
      <c r="N390" s="75"/>
    </row>
    <row r="391" spans="1:14">
      <c r="A391" s="12">
        <v>388</v>
      </c>
      <c r="B391" s="12" t="s">
        <v>1930</v>
      </c>
      <c r="C391" s="12" t="s">
        <v>937</v>
      </c>
      <c r="D391" s="12" t="s">
        <v>1368</v>
      </c>
      <c r="E391" s="85">
        <v>74.569999999999993</v>
      </c>
      <c r="F391" s="6">
        <v>2054701</v>
      </c>
      <c r="G391" s="12" t="s">
        <v>776</v>
      </c>
      <c r="H391" s="12" t="s">
        <v>755</v>
      </c>
      <c r="I391" s="12" t="s">
        <v>756</v>
      </c>
      <c r="J391" s="84">
        <v>38713</v>
      </c>
      <c r="K391" s="84">
        <v>49670</v>
      </c>
      <c r="L391" s="12" t="s">
        <v>1536</v>
      </c>
      <c r="M391" s="12" t="s">
        <v>1537</v>
      </c>
      <c r="N391" s="75"/>
    </row>
    <row r="392" spans="1:14">
      <c r="A392" s="12">
        <v>389</v>
      </c>
      <c r="B392" s="12" t="s">
        <v>1931</v>
      </c>
      <c r="C392" s="12" t="s">
        <v>1035</v>
      </c>
      <c r="D392" s="12" t="s">
        <v>1932</v>
      </c>
      <c r="E392" s="85">
        <v>300.08999999999997</v>
      </c>
      <c r="F392" s="6">
        <v>2844001</v>
      </c>
      <c r="G392" s="12" t="s">
        <v>1398</v>
      </c>
      <c r="H392" s="12" t="s">
        <v>848</v>
      </c>
      <c r="I392" s="12" t="s">
        <v>849</v>
      </c>
      <c r="J392" s="84">
        <v>38713</v>
      </c>
      <c r="K392" s="84">
        <v>49670</v>
      </c>
      <c r="L392" s="12" t="s">
        <v>288</v>
      </c>
      <c r="M392" s="12" t="s">
        <v>902</v>
      </c>
      <c r="N392" s="75"/>
    </row>
    <row r="393" spans="1:14">
      <c r="A393" s="12">
        <v>390</v>
      </c>
      <c r="B393" s="12" t="s">
        <v>1933</v>
      </c>
      <c r="C393" s="12" t="s">
        <v>1803</v>
      </c>
      <c r="D393" s="12" t="s">
        <v>1934</v>
      </c>
      <c r="E393" s="85">
        <v>488.12</v>
      </c>
      <c r="F393" s="6">
        <v>5036127</v>
      </c>
      <c r="G393" s="12" t="s">
        <v>1935</v>
      </c>
      <c r="H393" s="12" t="s">
        <v>755</v>
      </c>
      <c r="I393" s="12" t="s">
        <v>756</v>
      </c>
      <c r="J393" s="84">
        <v>38722</v>
      </c>
      <c r="K393" s="84">
        <v>49679</v>
      </c>
      <c r="L393" s="12" t="s">
        <v>293</v>
      </c>
      <c r="M393" s="12" t="s">
        <v>1206</v>
      </c>
      <c r="N393" s="75"/>
    </row>
    <row r="394" spans="1:14">
      <c r="A394" s="12">
        <v>391</v>
      </c>
      <c r="B394" s="12" t="s">
        <v>1936</v>
      </c>
      <c r="C394" s="12" t="s">
        <v>752</v>
      </c>
      <c r="D394" s="12" t="s">
        <v>1937</v>
      </c>
      <c r="E394" s="85">
        <v>72.05</v>
      </c>
      <c r="F394" s="6">
        <v>2618532</v>
      </c>
      <c r="G394" s="12" t="s">
        <v>962</v>
      </c>
      <c r="H394" s="12" t="s">
        <v>755</v>
      </c>
      <c r="I394" s="12" t="s">
        <v>756</v>
      </c>
      <c r="J394" s="84">
        <v>34859</v>
      </c>
      <c r="K394" s="84">
        <v>53122</v>
      </c>
      <c r="L394" s="12" t="s">
        <v>123</v>
      </c>
      <c r="M394" s="12" t="s">
        <v>272</v>
      </c>
      <c r="N394" s="75"/>
    </row>
    <row r="395" spans="1:14">
      <c r="A395" s="12">
        <v>392</v>
      </c>
      <c r="B395" s="12" t="s">
        <v>1938</v>
      </c>
      <c r="C395" s="12" t="s">
        <v>1939</v>
      </c>
      <c r="D395" s="12" t="s">
        <v>1940</v>
      </c>
      <c r="E395" s="85">
        <v>88.46</v>
      </c>
      <c r="F395" s="6">
        <v>5023998</v>
      </c>
      <c r="G395" s="12" t="s">
        <v>1941</v>
      </c>
      <c r="H395" s="12" t="s">
        <v>848</v>
      </c>
      <c r="I395" s="12" t="s">
        <v>849</v>
      </c>
      <c r="J395" s="84">
        <v>38734</v>
      </c>
      <c r="K395" s="84">
        <v>49691</v>
      </c>
      <c r="L395" s="12" t="s">
        <v>138</v>
      </c>
      <c r="M395" s="12" t="s">
        <v>1806</v>
      </c>
      <c r="N395" s="75"/>
    </row>
    <row r="396" spans="1:14">
      <c r="A396" s="12">
        <v>393</v>
      </c>
      <c r="B396" s="12" t="s">
        <v>1942</v>
      </c>
      <c r="C396" s="12" t="s">
        <v>1035</v>
      </c>
      <c r="D396" s="12" t="s">
        <v>1943</v>
      </c>
      <c r="E396" s="85">
        <v>110.38</v>
      </c>
      <c r="F396" s="6">
        <v>6145949</v>
      </c>
      <c r="G396" s="12" t="s">
        <v>1944</v>
      </c>
      <c r="H396" s="12" t="s">
        <v>755</v>
      </c>
      <c r="I396" s="12" t="s">
        <v>756</v>
      </c>
      <c r="J396" s="84">
        <v>38734</v>
      </c>
      <c r="K396" s="84">
        <v>49691</v>
      </c>
      <c r="L396" s="12" t="s">
        <v>138</v>
      </c>
      <c r="M396" s="12" t="s">
        <v>1806</v>
      </c>
      <c r="N396" s="75"/>
    </row>
    <row r="397" spans="1:14">
      <c r="A397" s="12">
        <v>394</v>
      </c>
      <c r="B397" s="12" t="s">
        <v>1945</v>
      </c>
      <c r="C397" s="12" t="s">
        <v>147</v>
      </c>
      <c r="D397" s="12" t="s">
        <v>1946</v>
      </c>
      <c r="E397" s="85">
        <v>345.09</v>
      </c>
      <c r="F397" s="6">
        <v>5156408</v>
      </c>
      <c r="G397" s="12" t="s">
        <v>1947</v>
      </c>
      <c r="H397" s="12" t="s">
        <v>848</v>
      </c>
      <c r="I397" s="12" t="s">
        <v>849</v>
      </c>
      <c r="J397" s="84">
        <v>38736</v>
      </c>
      <c r="K397" s="84">
        <v>49693</v>
      </c>
      <c r="L397" s="12" t="s">
        <v>274</v>
      </c>
      <c r="M397" s="12" t="s">
        <v>1948</v>
      </c>
      <c r="N397" s="75"/>
    </row>
    <row r="398" spans="1:14">
      <c r="A398" s="12">
        <v>395</v>
      </c>
      <c r="B398" s="12" t="s">
        <v>1949</v>
      </c>
      <c r="C398" s="12" t="s">
        <v>937</v>
      </c>
      <c r="D398" s="12" t="s">
        <v>1950</v>
      </c>
      <c r="E398" s="85">
        <v>25.6</v>
      </c>
      <c r="F398" s="6">
        <v>6567452</v>
      </c>
      <c r="G398" s="12" t="s">
        <v>1951</v>
      </c>
      <c r="H398" s="12" t="s">
        <v>755</v>
      </c>
      <c r="I398" s="12" t="s">
        <v>756</v>
      </c>
      <c r="J398" s="84">
        <v>36453</v>
      </c>
      <c r="K398" s="84">
        <v>47411</v>
      </c>
      <c r="L398" s="12" t="s">
        <v>128</v>
      </c>
      <c r="M398" s="12" t="s">
        <v>862</v>
      </c>
      <c r="N398" s="75"/>
    </row>
    <row r="399" spans="1:14">
      <c r="A399" s="12">
        <v>396</v>
      </c>
      <c r="B399" s="12" t="s">
        <v>1952</v>
      </c>
      <c r="C399" s="12" t="s">
        <v>122</v>
      </c>
      <c r="D399" s="12" t="s">
        <v>1953</v>
      </c>
      <c r="E399" s="85">
        <v>344.7</v>
      </c>
      <c r="F399" s="6">
        <v>5752728</v>
      </c>
      <c r="G399" s="12" t="s">
        <v>1954</v>
      </c>
      <c r="H399" s="12" t="s">
        <v>755</v>
      </c>
      <c r="I399" s="12" t="s">
        <v>756</v>
      </c>
      <c r="J399" s="84">
        <v>38749</v>
      </c>
      <c r="K399" s="84">
        <v>50072</v>
      </c>
      <c r="L399" s="12" t="s">
        <v>170</v>
      </c>
      <c r="M399" s="12" t="s">
        <v>171</v>
      </c>
      <c r="N399" s="75"/>
    </row>
    <row r="400" spans="1:14">
      <c r="A400" s="12">
        <v>397</v>
      </c>
      <c r="B400" s="12" t="s">
        <v>1955</v>
      </c>
      <c r="C400" s="12" t="s">
        <v>212</v>
      </c>
      <c r="D400" s="12" t="s">
        <v>1956</v>
      </c>
      <c r="E400" s="85">
        <v>106.65</v>
      </c>
      <c r="F400" s="6">
        <v>2762706</v>
      </c>
      <c r="G400" s="12" t="s">
        <v>1957</v>
      </c>
      <c r="H400" s="12" t="s">
        <v>755</v>
      </c>
      <c r="I400" s="12" t="s">
        <v>756</v>
      </c>
      <c r="J400" s="84">
        <v>38761</v>
      </c>
      <c r="K400" s="84">
        <v>49718</v>
      </c>
      <c r="L400" s="12" t="s">
        <v>375</v>
      </c>
      <c r="M400" s="12" t="s">
        <v>1279</v>
      </c>
      <c r="N400" s="75"/>
    </row>
    <row r="401" spans="1:14">
      <c r="A401" s="12">
        <v>398</v>
      </c>
      <c r="B401" s="12" t="s">
        <v>1958</v>
      </c>
      <c r="C401" s="12" t="s">
        <v>1027</v>
      </c>
      <c r="D401" s="12" t="s">
        <v>862</v>
      </c>
      <c r="E401" s="85">
        <v>28.93</v>
      </c>
      <c r="F401" s="6">
        <v>2605031</v>
      </c>
      <c r="G401" s="12" t="s">
        <v>1959</v>
      </c>
      <c r="H401" s="12" t="s">
        <v>755</v>
      </c>
      <c r="I401" s="12" t="s">
        <v>756</v>
      </c>
      <c r="J401" s="84">
        <v>38765</v>
      </c>
      <c r="K401" s="84">
        <v>49722</v>
      </c>
      <c r="L401" s="12" t="s">
        <v>128</v>
      </c>
      <c r="M401" s="12" t="s">
        <v>862</v>
      </c>
      <c r="N401" s="75"/>
    </row>
    <row r="402" spans="1:14">
      <c r="A402" s="12">
        <v>399</v>
      </c>
      <c r="B402" s="12" t="s">
        <v>1960</v>
      </c>
      <c r="C402" s="12" t="s">
        <v>752</v>
      </c>
      <c r="D402" s="12" t="s">
        <v>1961</v>
      </c>
      <c r="E402" s="85">
        <v>184.15</v>
      </c>
      <c r="F402" s="6">
        <v>3557197</v>
      </c>
      <c r="G402" s="12" t="s">
        <v>1962</v>
      </c>
      <c r="H402" s="12" t="s">
        <v>755</v>
      </c>
      <c r="I402" s="12" t="s">
        <v>756</v>
      </c>
      <c r="J402" s="84">
        <v>38765</v>
      </c>
      <c r="K402" s="84">
        <v>50078</v>
      </c>
      <c r="L402" s="12" t="s">
        <v>1536</v>
      </c>
      <c r="M402" s="12" t="s">
        <v>1963</v>
      </c>
      <c r="N402" s="75"/>
    </row>
    <row r="403" spans="1:14">
      <c r="A403" s="12">
        <v>400</v>
      </c>
      <c r="B403" s="12" t="s">
        <v>1964</v>
      </c>
      <c r="C403" s="12" t="s">
        <v>979</v>
      </c>
      <c r="D403" s="12" t="s">
        <v>1042</v>
      </c>
      <c r="E403" s="85">
        <v>521.75</v>
      </c>
      <c r="F403" s="6">
        <v>5118611</v>
      </c>
      <c r="G403" s="12" t="s">
        <v>1844</v>
      </c>
      <c r="H403" s="12" t="s">
        <v>755</v>
      </c>
      <c r="I403" s="12" t="s">
        <v>756</v>
      </c>
      <c r="J403" s="84">
        <v>38765</v>
      </c>
      <c r="K403" s="84">
        <v>49722</v>
      </c>
      <c r="L403" s="12" t="s">
        <v>274</v>
      </c>
      <c r="M403" s="12" t="s">
        <v>1965</v>
      </c>
      <c r="N403" s="75"/>
    </row>
    <row r="404" spans="1:14">
      <c r="A404" s="12">
        <v>401</v>
      </c>
      <c r="B404" s="12" t="s">
        <v>1966</v>
      </c>
      <c r="C404" s="12" t="s">
        <v>212</v>
      </c>
      <c r="D404" s="12" t="s">
        <v>1967</v>
      </c>
      <c r="E404" s="85">
        <v>167.94</v>
      </c>
      <c r="F404" s="6">
        <v>2550466</v>
      </c>
      <c r="G404" s="12" t="s">
        <v>801</v>
      </c>
      <c r="H404" s="12" t="s">
        <v>761</v>
      </c>
      <c r="I404" s="12" t="s">
        <v>756</v>
      </c>
      <c r="J404" s="84">
        <v>38771</v>
      </c>
      <c r="K404" s="84">
        <v>49728</v>
      </c>
      <c r="L404" s="12" t="s">
        <v>293</v>
      </c>
      <c r="M404" s="12" t="s">
        <v>294</v>
      </c>
      <c r="N404" s="75"/>
    </row>
    <row r="405" spans="1:14">
      <c r="A405" s="12">
        <v>402</v>
      </c>
      <c r="B405" s="12" t="s">
        <v>1968</v>
      </c>
      <c r="C405" s="12" t="s">
        <v>137</v>
      </c>
      <c r="D405" s="12" t="s">
        <v>1902</v>
      </c>
      <c r="E405" s="85">
        <v>244.74</v>
      </c>
      <c r="F405" s="6">
        <v>5145783</v>
      </c>
      <c r="G405" s="12" t="s">
        <v>1969</v>
      </c>
      <c r="H405" s="12" t="s">
        <v>755</v>
      </c>
      <c r="I405" s="12" t="s">
        <v>756</v>
      </c>
      <c r="J405" s="84">
        <v>38771</v>
      </c>
      <c r="K405" s="84">
        <v>49728</v>
      </c>
      <c r="L405" s="12" t="s">
        <v>304</v>
      </c>
      <c r="M405" s="12" t="s">
        <v>843</v>
      </c>
      <c r="N405" s="75"/>
    </row>
    <row r="406" spans="1:14">
      <c r="A406" s="12">
        <v>403</v>
      </c>
      <c r="B406" s="12" t="s">
        <v>1970</v>
      </c>
      <c r="C406" s="12" t="s">
        <v>1027</v>
      </c>
      <c r="D406" s="12" t="s">
        <v>1971</v>
      </c>
      <c r="E406" s="85">
        <v>7.01</v>
      </c>
      <c r="F406" s="6">
        <v>2677121</v>
      </c>
      <c r="G406" s="12" t="s">
        <v>1972</v>
      </c>
      <c r="H406" s="12" t="s">
        <v>755</v>
      </c>
      <c r="I406" s="12" t="s">
        <v>756</v>
      </c>
      <c r="J406" s="84">
        <v>38406</v>
      </c>
      <c r="K406" s="84">
        <v>49363</v>
      </c>
      <c r="L406" s="12" t="s">
        <v>128</v>
      </c>
      <c r="M406" s="12" t="s">
        <v>862</v>
      </c>
      <c r="N406" s="75"/>
    </row>
    <row r="407" spans="1:14">
      <c r="A407" s="12">
        <v>404</v>
      </c>
      <c r="B407" s="12" t="s">
        <v>1973</v>
      </c>
      <c r="C407" s="12" t="s">
        <v>259</v>
      </c>
      <c r="D407" s="12" t="s">
        <v>1974</v>
      </c>
      <c r="E407" s="85">
        <v>634.02</v>
      </c>
      <c r="F407" s="6">
        <v>2663813</v>
      </c>
      <c r="G407" s="12" t="s">
        <v>1249</v>
      </c>
      <c r="H407" s="12" t="s">
        <v>755</v>
      </c>
      <c r="I407" s="12" t="s">
        <v>756</v>
      </c>
      <c r="J407" s="84">
        <v>38771</v>
      </c>
      <c r="K407" s="84">
        <v>50996</v>
      </c>
      <c r="L407" s="12" t="s">
        <v>205</v>
      </c>
      <c r="M407" s="12" t="s">
        <v>1066</v>
      </c>
      <c r="N407" s="75"/>
    </row>
    <row r="408" spans="1:14">
      <c r="A408" s="12">
        <v>405</v>
      </c>
      <c r="B408" s="12" t="s">
        <v>1975</v>
      </c>
      <c r="C408" s="12" t="s">
        <v>752</v>
      </c>
      <c r="D408" s="12" t="s">
        <v>1976</v>
      </c>
      <c r="E408" s="85">
        <v>226.71</v>
      </c>
      <c r="F408" s="6">
        <v>6254713</v>
      </c>
      <c r="G408" s="12" t="s">
        <v>1977</v>
      </c>
      <c r="H408" s="12" t="s">
        <v>755</v>
      </c>
      <c r="I408" s="12" t="s">
        <v>756</v>
      </c>
      <c r="J408" s="84">
        <v>38771</v>
      </c>
      <c r="K408" s="84">
        <v>50083</v>
      </c>
      <c r="L408" s="12" t="s">
        <v>274</v>
      </c>
      <c r="M408" s="12" t="s">
        <v>275</v>
      </c>
      <c r="N408" s="75"/>
    </row>
    <row r="409" spans="1:14">
      <c r="A409" s="12">
        <v>406</v>
      </c>
      <c r="B409" s="12" t="s">
        <v>1978</v>
      </c>
      <c r="C409" s="12" t="s">
        <v>1889</v>
      </c>
      <c r="D409" s="12" t="s">
        <v>1979</v>
      </c>
      <c r="E409" s="85">
        <v>87.04</v>
      </c>
      <c r="F409" s="6">
        <v>2061899</v>
      </c>
      <c r="G409" s="12" t="s">
        <v>1980</v>
      </c>
      <c r="H409" s="12" t="s">
        <v>755</v>
      </c>
      <c r="I409" s="12" t="s">
        <v>756</v>
      </c>
      <c r="J409" s="84">
        <v>38796</v>
      </c>
      <c r="K409" s="84">
        <v>49754</v>
      </c>
      <c r="L409" s="12" t="s">
        <v>274</v>
      </c>
      <c r="M409" s="12" t="s">
        <v>874</v>
      </c>
      <c r="N409" s="75"/>
    </row>
    <row r="410" spans="1:14">
      <c r="A410" s="12">
        <v>407</v>
      </c>
      <c r="B410" s="12" t="s">
        <v>1981</v>
      </c>
      <c r="C410" s="12" t="s">
        <v>122</v>
      </c>
      <c r="D410" s="12" t="s">
        <v>1982</v>
      </c>
      <c r="E410" s="85">
        <v>13.5</v>
      </c>
      <c r="F410" s="6">
        <v>2025736</v>
      </c>
      <c r="G410" s="12" t="s">
        <v>1028</v>
      </c>
      <c r="H410" s="12" t="s">
        <v>755</v>
      </c>
      <c r="I410" s="12" t="s">
        <v>756</v>
      </c>
      <c r="J410" s="84">
        <v>38806</v>
      </c>
      <c r="K410" s="84">
        <v>49764</v>
      </c>
      <c r="L410" s="12" t="s">
        <v>128</v>
      </c>
      <c r="M410" s="12" t="s">
        <v>862</v>
      </c>
      <c r="N410" s="75"/>
    </row>
    <row r="411" spans="1:14">
      <c r="A411" s="12">
        <v>408</v>
      </c>
      <c r="B411" s="12" t="s">
        <v>1983</v>
      </c>
      <c r="C411" s="12" t="s">
        <v>137</v>
      </c>
      <c r="D411" s="12" t="s">
        <v>1984</v>
      </c>
      <c r="E411" s="85">
        <v>38.700000000000003</v>
      </c>
      <c r="F411" s="6">
        <v>2886219</v>
      </c>
      <c r="G411" s="12" t="s">
        <v>1744</v>
      </c>
      <c r="H411" s="12" t="s">
        <v>766</v>
      </c>
      <c r="I411" s="12" t="s">
        <v>767</v>
      </c>
      <c r="J411" s="84">
        <v>38806</v>
      </c>
      <c r="K411" s="84">
        <v>49764</v>
      </c>
      <c r="L411" s="12" t="s">
        <v>1097</v>
      </c>
      <c r="M411" s="12" t="s">
        <v>1745</v>
      </c>
      <c r="N411" s="75"/>
    </row>
    <row r="412" spans="1:14">
      <c r="A412" s="12">
        <v>409</v>
      </c>
      <c r="B412" s="12" t="s">
        <v>1985</v>
      </c>
      <c r="C412" s="12" t="s">
        <v>122</v>
      </c>
      <c r="D412" s="12" t="s">
        <v>1986</v>
      </c>
      <c r="E412" s="85">
        <v>51.63</v>
      </c>
      <c r="F412" s="6">
        <v>2643227</v>
      </c>
      <c r="G412" s="12" t="s">
        <v>1987</v>
      </c>
      <c r="H412" s="12" t="s">
        <v>755</v>
      </c>
      <c r="I412" s="12" t="s">
        <v>756</v>
      </c>
      <c r="J412" s="84">
        <v>38810</v>
      </c>
      <c r="K412" s="84">
        <v>49768</v>
      </c>
      <c r="L412" s="12" t="s">
        <v>782</v>
      </c>
      <c r="M412" s="12" t="s">
        <v>1005</v>
      </c>
      <c r="N412" s="75"/>
    </row>
    <row r="413" spans="1:14">
      <c r="A413" s="12">
        <v>410</v>
      </c>
      <c r="B413" s="12" t="s">
        <v>1988</v>
      </c>
      <c r="C413" s="12" t="s">
        <v>752</v>
      </c>
      <c r="D413" s="12" t="s">
        <v>1989</v>
      </c>
      <c r="E413" s="85">
        <v>244.97</v>
      </c>
      <c r="F413" s="6">
        <v>5084512</v>
      </c>
      <c r="G413" s="12" t="s">
        <v>1990</v>
      </c>
      <c r="H413" s="12" t="s">
        <v>755</v>
      </c>
      <c r="I413" s="12" t="s">
        <v>756</v>
      </c>
      <c r="J413" s="84">
        <v>38810</v>
      </c>
      <c r="K413" s="84">
        <v>49768</v>
      </c>
      <c r="L413" s="12" t="s">
        <v>304</v>
      </c>
      <c r="M413" s="12" t="s">
        <v>1634</v>
      </c>
      <c r="N413" s="75"/>
    </row>
    <row r="414" spans="1:14">
      <c r="A414" s="12">
        <v>411</v>
      </c>
      <c r="B414" s="12" t="s">
        <v>1991</v>
      </c>
      <c r="C414" s="12" t="s">
        <v>137</v>
      </c>
      <c r="D414" s="12" t="s">
        <v>1214</v>
      </c>
      <c r="E414" s="85">
        <v>89.45</v>
      </c>
      <c r="F414" s="6">
        <v>2886219</v>
      </c>
      <c r="G414" s="12" t="s">
        <v>1744</v>
      </c>
      <c r="H414" s="12" t="s">
        <v>766</v>
      </c>
      <c r="I414" s="12" t="s">
        <v>767</v>
      </c>
      <c r="J414" s="84">
        <v>38810</v>
      </c>
      <c r="K414" s="84">
        <v>49768</v>
      </c>
      <c r="L414" s="12" t="s">
        <v>1097</v>
      </c>
      <c r="M414" s="12" t="s">
        <v>1476</v>
      </c>
      <c r="N414" s="75"/>
    </row>
    <row r="415" spans="1:14">
      <c r="A415" s="12">
        <v>412</v>
      </c>
      <c r="B415" s="12" t="s">
        <v>1992</v>
      </c>
      <c r="C415" s="12" t="s">
        <v>752</v>
      </c>
      <c r="D415" s="12" t="s">
        <v>1993</v>
      </c>
      <c r="E415" s="85">
        <v>16.93</v>
      </c>
      <c r="F415" s="6">
        <v>5100127</v>
      </c>
      <c r="G415" s="12" t="s">
        <v>1994</v>
      </c>
      <c r="H415" s="12" t="s">
        <v>755</v>
      </c>
      <c r="I415" s="12" t="s">
        <v>756</v>
      </c>
      <c r="J415" s="84">
        <v>38813</v>
      </c>
      <c r="K415" s="84">
        <v>49771</v>
      </c>
      <c r="L415" s="12" t="s">
        <v>304</v>
      </c>
      <c r="M415" s="12" t="s">
        <v>773</v>
      </c>
      <c r="N415" s="75"/>
    </row>
    <row r="416" spans="1:14">
      <c r="A416" s="12">
        <v>413</v>
      </c>
      <c r="B416" s="12" t="s">
        <v>1995</v>
      </c>
      <c r="C416" s="12" t="s">
        <v>1996</v>
      </c>
      <c r="D416" s="12" t="s">
        <v>1997</v>
      </c>
      <c r="E416" s="85">
        <v>86.29</v>
      </c>
      <c r="F416" s="6">
        <v>2557339</v>
      </c>
      <c r="G416" s="12" t="s">
        <v>1998</v>
      </c>
      <c r="H416" s="12" t="s">
        <v>766</v>
      </c>
      <c r="I416" s="12" t="s">
        <v>767</v>
      </c>
      <c r="J416" s="84">
        <v>35523</v>
      </c>
      <c r="K416" s="84">
        <v>46480</v>
      </c>
      <c r="L416" s="12" t="s">
        <v>1097</v>
      </c>
      <c r="M416" s="12" t="s">
        <v>1999</v>
      </c>
      <c r="N416" s="75"/>
    </row>
    <row r="417" spans="1:14">
      <c r="A417" s="12">
        <v>414</v>
      </c>
      <c r="B417" s="12" t="s">
        <v>2000</v>
      </c>
      <c r="C417" s="12" t="s">
        <v>1002</v>
      </c>
      <c r="D417" s="12" t="s">
        <v>1056</v>
      </c>
      <c r="E417" s="85">
        <v>35.85</v>
      </c>
      <c r="F417" s="6">
        <v>2293323</v>
      </c>
      <c r="G417" s="12" t="s">
        <v>2001</v>
      </c>
      <c r="H417" s="12" t="s">
        <v>2002</v>
      </c>
      <c r="I417" s="12" t="s">
        <v>756</v>
      </c>
      <c r="J417" s="84">
        <v>38820</v>
      </c>
      <c r="K417" s="84">
        <v>49778</v>
      </c>
      <c r="L417" s="12" t="s">
        <v>123</v>
      </c>
      <c r="M417" s="12" t="s">
        <v>1058</v>
      </c>
      <c r="N417" s="75"/>
    </row>
    <row r="418" spans="1:14">
      <c r="A418" s="12">
        <v>415</v>
      </c>
      <c r="B418" s="12" t="s">
        <v>2003</v>
      </c>
      <c r="C418" s="12" t="s">
        <v>752</v>
      </c>
      <c r="D418" s="12" t="s">
        <v>910</v>
      </c>
      <c r="E418" s="85">
        <v>21.27</v>
      </c>
      <c r="F418" s="6">
        <v>2618532</v>
      </c>
      <c r="G418" s="12" t="s">
        <v>962</v>
      </c>
      <c r="H418" s="12" t="s">
        <v>755</v>
      </c>
      <c r="I418" s="12" t="s">
        <v>756</v>
      </c>
      <c r="J418" s="84">
        <v>38820</v>
      </c>
      <c r="K418" s="84">
        <v>49778</v>
      </c>
      <c r="L418" s="12" t="s">
        <v>123</v>
      </c>
      <c r="M418" s="12" t="s">
        <v>272</v>
      </c>
      <c r="N418" s="75"/>
    </row>
    <row r="419" spans="1:14">
      <c r="A419" s="12">
        <v>416</v>
      </c>
      <c r="B419" s="12" t="s">
        <v>2004</v>
      </c>
      <c r="C419" s="12" t="s">
        <v>1035</v>
      </c>
      <c r="D419" s="12" t="s">
        <v>2005</v>
      </c>
      <c r="E419" s="85">
        <v>60.01</v>
      </c>
      <c r="F419" s="6">
        <v>2743744</v>
      </c>
      <c r="G419" s="12" t="s">
        <v>2006</v>
      </c>
      <c r="H419" s="12" t="s">
        <v>848</v>
      </c>
      <c r="I419" s="12" t="s">
        <v>849</v>
      </c>
      <c r="J419" s="84">
        <v>38817</v>
      </c>
      <c r="K419" s="84">
        <v>49775</v>
      </c>
      <c r="L419" s="12" t="s">
        <v>274</v>
      </c>
      <c r="M419" s="12" t="s">
        <v>1965</v>
      </c>
      <c r="N419" s="75"/>
    </row>
    <row r="420" spans="1:14">
      <c r="A420" s="12">
        <v>417</v>
      </c>
      <c r="B420" s="12" t="s">
        <v>2007</v>
      </c>
      <c r="C420" s="12" t="s">
        <v>2008</v>
      </c>
      <c r="D420" s="12" t="s">
        <v>2009</v>
      </c>
      <c r="E420" s="85">
        <v>60.44</v>
      </c>
      <c r="F420" s="6">
        <v>5102081</v>
      </c>
      <c r="G420" s="12" t="s">
        <v>2010</v>
      </c>
      <c r="H420" s="12" t="s">
        <v>755</v>
      </c>
      <c r="I420" s="12" t="s">
        <v>756</v>
      </c>
      <c r="J420" s="84">
        <v>38821</v>
      </c>
      <c r="K420" s="84">
        <v>49779</v>
      </c>
      <c r="L420" s="12" t="s">
        <v>170</v>
      </c>
      <c r="M420" s="12" t="s">
        <v>171</v>
      </c>
      <c r="N420" s="75"/>
    </row>
    <row r="421" spans="1:14">
      <c r="A421" s="12">
        <v>418</v>
      </c>
      <c r="B421" s="12" t="s">
        <v>2011</v>
      </c>
      <c r="C421" s="12" t="s">
        <v>212</v>
      </c>
      <c r="D421" s="12" t="s">
        <v>2012</v>
      </c>
      <c r="E421" s="85">
        <v>54.23</v>
      </c>
      <c r="F421" s="6">
        <v>5003539</v>
      </c>
      <c r="G421" s="12" t="s">
        <v>2013</v>
      </c>
      <c r="H421" s="12" t="s">
        <v>848</v>
      </c>
      <c r="I421" s="12" t="s">
        <v>849</v>
      </c>
      <c r="J421" s="84">
        <v>38821</v>
      </c>
      <c r="K421" s="84">
        <v>49779</v>
      </c>
      <c r="L421" s="12" t="s">
        <v>293</v>
      </c>
      <c r="M421" s="12" t="s">
        <v>1826</v>
      </c>
      <c r="N421" s="75"/>
    </row>
    <row r="422" spans="1:14">
      <c r="A422" s="12">
        <v>419</v>
      </c>
      <c r="B422" s="12" t="s">
        <v>2014</v>
      </c>
      <c r="C422" s="12" t="s">
        <v>937</v>
      </c>
      <c r="D422" s="12" t="s">
        <v>2015</v>
      </c>
      <c r="E422" s="85">
        <v>236.81</v>
      </c>
      <c r="F422" s="6">
        <v>2073013</v>
      </c>
      <c r="G422" s="12" t="s">
        <v>2016</v>
      </c>
      <c r="H422" s="12" t="s">
        <v>766</v>
      </c>
      <c r="I422" s="12" t="s">
        <v>767</v>
      </c>
      <c r="J422" s="84">
        <v>38825</v>
      </c>
      <c r="K422" s="84">
        <v>49783</v>
      </c>
      <c r="L422" s="12" t="s">
        <v>128</v>
      </c>
      <c r="M422" s="12" t="s">
        <v>862</v>
      </c>
      <c r="N422" s="75"/>
    </row>
    <row r="423" spans="1:14">
      <c r="A423" s="12">
        <v>420</v>
      </c>
      <c r="B423" s="12" t="s">
        <v>2017</v>
      </c>
      <c r="C423" s="12" t="s">
        <v>212</v>
      </c>
      <c r="D423" s="12" t="s">
        <v>2018</v>
      </c>
      <c r="E423" s="85">
        <v>37.78</v>
      </c>
      <c r="F423" s="6">
        <v>6187846</v>
      </c>
      <c r="G423" s="12" t="s">
        <v>2019</v>
      </c>
      <c r="H423" s="12" t="s">
        <v>755</v>
      </c>
      <c r="I423" s="12" t="s">
        <v>756</v>
      </c>
      <c r="J423" s="84">
        <v>38831</v>
      </c>
      <c r="K423" s="84">
        <v>49789</v>
      </c>
      <c r="L423" s="12" t="s">
        <v>170</v>
      </c>
      <c r="M423" s="12" t="s">
        <v>807</v>
      </c>
      <c r="N423" s="75"/>
    </row>
    <row r="424" spans="1:14">
      <c r="A424" s="12">
        <v>421</v>
      </c>
      <c r="B424" s="12" t="s">
        <v>2020</v>
      </c>
      <c r="C424" s="12" t="s">
        <v>1035</v>
      </c>
      <c r="D424" s="12" t="s">
        <v>2021</v>
      </c>
      <c r="E424" s="85">
        <v>665.86</v>
      </c>
      <c r="F424" s="6">
        <v>2550466</v>
      </c>
      <c r="G424" s="12" t="s">
        <v>801</v>
      </c>
      <c r="H424" s="12" t="s">
        <v>761</v>
      </c>
      <c r="I424" s="12" t="s">
        <v>756</v>
      </c>
      <c r="J424" s="84">
        <v>38835</v>
      </c>
      <c r="K424" s="84">
        <v>49793</v>
      </c>
      <c r="L424" s="12" t="s">
        <v>293</v>
      </c>
      <c r="M424" s="12" t="s">
        <v>1816</v>
      </c>
      <c r="N424" s="75"/>
    </row>
    <row r="425" spans="1:14">
      <c r="A425" s="12">
        <v>422</v>
      </c>
      <c r="B425" s="12" t="s">
        <v>2022</v>
      </c>
      <c r="C425" s="12" t="s">
        <v>212</v>
      </c>
      <c r="D425" s="12" t="s">
        <v>2023</v>
      </c>
      <c r="E425" s="85">
        <v>141.80000000000001</v>
      </c>
      <c r="F425" s="6">
        <v>2550466</v>
      </c>
      <c r="G425" s="12" t="s">
        <v>801</v>
      </c>
      <c r="H425" s="12" t="s">
        <v>761</v>
      </c>
      <c r="I425" s="12" t="s">
        <v>756</v>
      </c>
      <c r="J425" s="84">
        <v>38835</v>
      </c>
      <c r="K425" s="84">
        <v>49793</v>
      </c>
      <c r="L425" s="12" t="s">
        <v>170</v>
      </c>
      <c r="M425" s="12" t="s">
        <v>802</v>
      </c>
      <c r="N425" s="75"/>
    </row>
    <row r="426" spans="1:14">
      <c r="A426" s="12">
        <v>423</v>
      </c>
      <c r="B426" s="12" t="s">
        <v>2024</v>
      </c>
      <c r="C426" s="12" t="s">
        <v>937</v>
      </c>
      <c r="D426" s="12" t="s">
        <v>2025</v>
      </c>
      <c r="E426" s="85">
        <v>32.119999999999997</v>
      </c>
      <c r="F426" s="6">
        <v>2561662</v>
      </c>
      <c r="G426" s="12" t="s">
        <v>2026</v>
      </c>
      <c r="H426" s="12" t="s">
        <v>755</v>
      </c>
      <c r="I426" s="12" t="s">
        <v>756</v>
      </c>
      <c r="J426" s="84">
        <v>38835</v>
      </c>
      <c r="K426" s="84">
        <v>49793</v>
      </c>
      <c r="L426" s="12" t="s">
        <v>128</v>
      </c>
      <c r="M426" s="12" t="s">
        <v>862</v>
      </c>
      <c r="N426" s="75"/>
    </row>
    <row r="427" spans="1:14">
      <c r="A427" s="12">
        <v>424</v>
      </c>
      <c r="B427" s="12" t="s">
        <v>2027</v>
      </c>
      <c r="C427" s="12" t="s">
        <v>1124</v>
      </c>
      <c r="D427" s="12" t="s">
        <v>2028</v>
      </c>
      <c r="E427" s="85">
        <v>29.58</v>
      </c>
      <c r="F427" s="6">
        <v>5278503</v>
      </c>
      <c r="G427" s="12" t="s">
        <v>2029</v>
      </c>
      <c r="H427" s="12" t="s">
        <v>755</v>
      </c>
      <c r="I427" s="12" t="s">
        <v>756</v>
      </c>
      <c r="J427" s="84">
        <v>38849</v>
      </c>
      <c r="K427" s="84">
        <v>49807</v>
      </c>
      <c r="L427" s="12" t="s">
        <v>128</v>
      </c>
      <c r="M427" s="12" t="s">
        <v>129</v>
      </c>
      <c r="N427" s="75"/>
    </row>
    <row r="428" spans="1:14">
      <c r="A428" s="12">
        <v>425</v>
      </c>
      <c r="B428" s="12" t="s">
        <v>2030</v>
      </c>
      <c r="C428" s="12" t="s">
        <v>2031</v>
      </c>
      <c r="D428" s="12" t="s">
        <v>879</v>
      </c>
      <c r="E428" s="85">
        <v>79.430000000000007</v>
      </c>
      <c r="F428" s="6">
        <v>2094533</v>
      </c>
      <c r="G428" s="12" t="s">
        <v>847</v>
      </c>
      <c r="H428" s="12" t="s">
        <v>848</v>
      </c>
      <c r="I428" s="12" t="s">
        <v>849</v>
      </c>
      <c r="J428" s="84">
        <v>38849</v>
      </c>
      <c r="K428" s="84">
        <v>49807</v>
      </c>
      <c r="L428" s="12" t="s">
        <v>304</v>
      </c>
      <c r="M428" s="12" t="s">
        <v>777</v>
      </c>
      <c r="N428" s="75"/>
    </row>
    <row r="429" spans="1:14">
      <c r="A429" s="12">
        <v>426</v>
      </c>
      <c r="B429" s="12" t="s">
        <v>2032</v>
      </c>
      <c r="C429" s="12" t="s">
        <v>979</v>
      </c>
      <c r="D429" s="12" t="s">
        <v>2033</v>
      </c>
      <c r="E429" s="85">
        <v>153.1</v>
      </c>
      <c r="F429" s="6">
        <v>3491544</v>
      </c>
      <c r="G429" s="12" t="s">
        <v>2034</v>
      </c>
      <c r="H429" s="12" t="s">
        <v>755</v>
      </c>
      <c r="I429" s="12" t="s">
        <v>756</v>
      </c>
      <c r="J429" s="84">
        <v>38860</v>
      </c>
      <c r="K429" s="84">
        <v>49818</v>
      </c>
      <c r="L429" s="12" t="s">
        <v>1242</v>
      </c>
      <c r="M429" s="12" t="s">
        <v>1243</v>
      </c>
      <c r="N429" s="75"/>
    </row>
    <row r="430" spans="1:14">
      <c r="A430" s="12">
        <v>427</v>
      </c>
      <c r="B430" s="12" t="s">
        <v>2035</v>
      </c>
      <c r="C430" s="12" t="s">
        <v>752</v>
      </c>
      <c r="D430" s="12" t="s">
        <v>2036</v>
      </c>
      <c r="E430" s="85">
        <v>105.46</v>
      </c>
      <c r="F430" s="6">
        <v>5308488</v>
      </c>
      <c r="G430" s="12" t="s">
        <v>2037</v>
      </c>
      <c r="H430" s="12" t="s">
        <v>755</v>
      </c>
      <c r="I430" s="12" t="s">
        <v>756</v>
      </c>
      <c r="J430" s="84">
        <v>38873</v>
      </c>
      <c r="K430" s="84">
        <v>49831</v>
      </c>
      <c r="L430" s="12" t="s">
        <v>782</v>
      </c>
      <c r="M430" s="12" t="s">
        <v>783</v>
      </c>
      <c r="N430" s="75"/>
    </row>
    <row r="431" spans="1:14">
      <c r="A431" s="12">
        <v>428</v>
      </c>
      <c r="B431" s="12" t="s">
        <v>2038</v>
      </c>
      <c r="C431" s="12" t="s">
        <v>259</v>
      </c>
      <c r="D431" s="12" t="s">
        <v>2039</v>
      </c>
      <c r="E431" s="85">
        <v>26.68</v>
      </c>
      <c r="F431" s="6">
        <v>5055075</v>
      </c>
      <c r="G431" s="12" t="s">
        <v>2040</v>
      </c>
      <c r="H431" s="12" t="s">
        <v>755</v>
      </c>
      <c r="I431" s="12" t="s">
        <v>756</v>
      </c>
      <c r="J431" s="84">
        <v>37014</v>
      </c>
      <c r="K431" s="84">
        <v>47971</v>
      </c>
      <c r="L431" s="12" t="s">
        <v>205</v>
      </c>
      <c r="M431" s="12" t="s">
        <v>2041</v>
      </c>
      <c r="N431" s="75"/>
    </row>
    <row r="432" spans="1:14">
      <c r="A432" s="12">
        <v>429</v>
      </c>
      <c r="B432" s="12" t="s">
        <v>2042</v>
      </c>
      <c r="C432" s="12" t="s">
        <v>259</v>
      </c>
      <c r="D432" s="12" t="s">
        <v>2043</v>
      </c>
      <c r="E432" s="85">
        <v>53.44</v>
      </c>
      <c r="F432" s="6">
        <v>5055075</v>
      </c>
      <c r="G432" s="12" t="s">
        <v>2040</v>
      </c>
      <c r="H432" s="12" t="s">
        <v>755</v>
      </c>
      <c r="I432" s="12" t="s">
        <v>756</v>
      </c>
      <c r="J432" s="84">
        <v>37158</v>
      </c>
      <c r="K432" s="84">
        <v>48115</v>
      </c>
      <c r="L432" s="12" t="s">
        <v>205</v>
      </c>
      <c r="M432" s="12" t="s">
        <v>1066</v>
      </c>
      <c r="N432" s="75"/>
    </row>
    <row r="433" spans="1:14">
      <c r="A433" s="12">
        <v>430</v>
      </c>
      <c r="B433" s="12" t="s">
        <v>2044</v>
      </c>
      <c r="C433" s="12" t="s">
        <v>1152</v>
      </c>
      <c r="D433" s="12" t="s">
        <v>2045</v>
      </c>
      <c r="E433" s="85">
        <v>96.7</v>
      </c>
      <c r="F433" s="6">
        <v>2565919</v>
      </c>
      <c r="G433" s="12" t="s">
        <v>2046</v>
      </c>
      <c r="H433" s="12" t="s">
        <v>755</v>
      </c>
      <c r="I433" s="12" t="s">
        <v>756</v>
      </c>
      <c r="J433" s="84">
        <v>38890</v>
      </c>
      <c r="K433" s="84">
        <v>49848</v>
      </c>
      <c r="L433" s="12" t="s">
        <v>274</v>
      </c>
      <c r="M433" s="12" t="s">
        <v>790</v>
      </c>
      <c r="N433" s="75"/>
    </row>
    <row r="434" spans="1:14">
      <c r="A434" s="12">
        <v>431</v>
      </c>
      <c r="B434" s="12" t="s">
        <v>2047</v>
      </c>
      <c r="C434" s="12" t="s">
        <v>212</v>
      </c>
      <c r="D434" s="12" t="s">
        <v>2048</v>
      </c>
      <c r="E434" s="85">
        <v>29.46</v>
      </c>
      <c r="F434" s="6">
        <v>5180953</v>
      </c>
      <c r="G434" s="12" t="s">
        <v>2049</v>
      </c>
      <c r="H434" s="12" t="s">
        <v>848</v>
      </c>
      <c r="I434" s="12" t="s">
        <v>849</v>
      </c>
      <c r="J434" s="84">
        <v>38904</v>
      </c>
      <c r="K434" s="84">
        <v>49862</v>
      </c>
      <c r="L434" s="12" t="s">
        <v>170</v>
      </c>
      <c r="M434" s="12" t="s">
        <v>807</v>
      </c>
      <c r="N434" s="75"/>
    </row>
    <row r="435" spans="1:14">
      <c r="A435" s="12">
        <v>432</v>
      </c>
      <c r="B435" s="12" t="s">
        <v>2050</v>
      </c>
      <c r="C435" s="12" t="s">
        <v>1035</v>
      </c>
      <c r="D435" s="12" t="s">
        <v>1036</v>
      </c>
      <c r="E435" s="85">
        <v>633.15</v>
      </c>
      <c r="F435" s="6">
        <v>2844001</v>
      </c>
      <c r="G435" s="12" t="s">
        <v>1398</v>
      </c>
      <c r="H435" s="12" t="s">
        <v>848</v>
      </c>
      <c r="I435" s="12" t="s">
        <v>849</v>
      </c>
      <c r="J435" s="84">
        <v>38915</v>
      </c>
      <c r="K435" s="84">
        <v>49873</v>
      </c>
      <c r="L435" s="12" t="s">
        <v>288</v>
      </c>
      <c r="M435" s="12" t="s">
        <v>1038</v>
      </c>
      <c r="N435" s="75"/>
    </row>
    <row r="436" spans="1:14">
      <c r="A436" s="12">
        <v>433</v>
      </c>
      <c r="B436" s="12" t="s">
        <v>2051</v>
      </c>
      <c r="C436" s="12" t="s">
        <v>1035</v>
      </c>
      <c r="D436" s="12" t="s">
        <v>2052</v>
      </c>
      <c r="E436" s="85">
        <v>841.13</v>
      </c>
      <c r="F436" s="6">
        <v>5308534</v>
      </c>
      <c r="G436" s="12" t="s">
        <v>2053</v>
      </c>
      <c r="H436" s="12" t="s">
        <v>755</v>
      </c>
      <c r="I436" s="12" t="s">
        <v>756</v>
      </c>
      <c r="J436" s="84">
        <v>38915</v>
      </c>
      <c r="K436" s="84">
        <v>49873</v>
      </c>
      <c r="L436" s="12" t="s">
        <v>288</v>
      </c>
      <c r="M436" s="12" t="s">
        <v>2054</v>
      </c>
      <c r="N436" s="75"/>
    </row>
    <row r="437" spans="1:14">
      <c r="A437" s="12">
        <v>434</v>
      </c>
      <c r="B437" s="12" t="s">
        <v>2055</v>
      </c>
      <c r="C437" s="12" t="s">
        <v>1152</v>
      </c>
      <c r="D437" s="12" t="s">
        <v>2056</v>
      </c>
      <c r="E437" s="85">
        <v>28.13</v>
      </c>
      <c r="F437" s="6">
        <v>2778378</v>
      </c>
      <c r="G437" s="12" t="s">
        <v>2057</v>
      </c>
      <c r="H437" s="12" t="s">
        <v>755</v>
      </c>
      <c r="I437" s="12" t="s">
        <v>756</v>
      </c>
      <c r="J437" s="84">
        <v>38935</v>
      </c>
      <c r="K437" s="84">
        <v>49893</v>
      </c>
      <c r="L437" s="12" t="s">
        <v>1077</v>
      </c>
      <c r="M437" s="12" t="s">
        <v>2058</v>
      </c>
      <c r="N437" s="75"/>
    </row>
    <row r="438" spans="1:14">
      <c r="A438" s="12">
        <v>435</v>
      </c>
      <c r="B438" s="12" t="s">
        <v>2059</v>
      </c>
      <c r="C438" s="12" t="s">
        <v>752</v>
      </c>
      <c r="D438" s="12" t="s">
        <v>2060</v>
      </c>
      <c r="E438" s="85">
        <v>320.16000000000003</v>
      </c>
      <c r="F438" s="6">
        <v>2100231</v>
      </c>
      <c r="G438" s="12" t="s">
        <v>896</v>
      </c>
      <c r="H438" s="12" t="s">
        <v>755</v>
      </c>
      <c r="I438" s="12" t="s">
        <v>756</v>
      </c>
      <c r="J438" s="84">
        <v>38329</v>
      </c>
      <c r="K438" s="84">
        <v>49286</v>
      </c>
      <c r="L438" s="12" t="s">
        <v>831</v>
      </c>
      <c r="M438" s="12" t="s">
        <v>832</v>
      </c>
      <c r="N438" s="75"/>
    </row>
    <row r="439" spans="1:14">
      <c r="A439" s="12">
        <v>436</v>
      </c>
      <c r="B439" s="12" t="s">
        <v>2061</v>
      </c>
      <c r="C439" s="12" t="s">
        <v>752</v>
      </c>
      <c r="D439" s="12" t="s">
        <v>2062</v>
      </c>
      <c r="E439" s="85">
        <v>145.53</v>
      </c>
      <c r="F439" s="6">
        <v>2100231</v>
      </c>
      <c r="G439" s="12" t="s">
        <v>896</v>
      </c>
      <c r="H439" s="12" t="s">
        <v>755</v>
      </c>
      <c r="I439" s="12" t="s">
        <v>756</v>
      </c>
      <c r="J439" s="84">
        <v>38329</v>
      </c>
      <c r="K439" s="84">
        <v>49286</v>
      </c>
      <c r="L439" s="12" t="s">
        <v>274</v>
      </c>
      <c r="M439" s="12" t="s">
        <v>275</v>
      </c>
      <c r="N439" s="75"/>
    </row>
    <row r="440" spans="1:14">
      <c r="A440" s="12">
        <v>437</v>
      </c>
      <c r="B440" s="12" t="s">
        <v>2063</v>
      </c>
      <c r="C440" s="12" t="s">
        <v>1203</v>
      </c>
      <c r="D440" s="12" t="s">
        <v>2064</v>
      </c>
      <c r="E440" s="85">
        <v>18.88</v>
      </c>
      <c r="F440" s="6">
        <v>5352959</v>
      </c>
      <c r="G440" s="12" t="s">
        <v>2065</v>
      </c>
      <c r="H440" s="12" t="s">
        <v>848</v>
      </c>
      <c r="I440" s="12" t="s">
        <v>849</v>
      </c>
      <c r="J440" s="84">
        <v>35417</v>
      </c>
      <c r="K440" s="84">
        <v>46374</v>
      </c>
      <c r="L440" s="12" t="s">
        <v>293</v>
      </c>
      <c r="M440" s="12" t="s">
        <v>1206</v>
      </c>
      <c r="N440" s="75"/>
    </row>
    <row r="441" spans="1:14">
      <c r="A441" s="12">
        <v>438</v>
      </c>
      <c r="B441" s="12" t="s">
        <v>2066</v>
      </c>
      <c r="C441" s="12" t="s">
        <v>122</v>
      </c>
      <c r="D441" s="12" t="s">
        <v>2067</v>
      </c>
      <c r="E441" s="85">
        <v>203.48</v>
      </c>
      <c r="F441" s="6">
        <v>5141583</v>
      </c>
      <c r="G441" s="12" t="s">
        <v>1101</v>
      </c>
      <c r="H441" s="12" t="s">
        <v>848</v>
      </c>
      <c r="I441" s="12" t="s">
        <v>849</v>
      </c>
      <c r="J441" s="84">
        <v>38943</v>
      </c>
      <c r="K441" s="84">
        <v>49901</v>
      </c>
      <c r="L441" s="12" t="s">
        <v>1102</v>
      </c>
      <c r="M441" s="12" t="s">
        <v>1103</v>
      </c>
      <c r="N441" s="75"/>
    </row>
    <row r="442" spans="1:14">
      <c r="A442" s="12">
        <v>439</v>
      </c>
      <c r="B442" s="12" t="s">
        <v>2068</v>
      </c>
      <c r="C442" s="12" t="s">
        <v>122</v>
      </c>
      <c r="D442" s="12" t="s">
        <v>2069</v>
      </c>
      <c r="E442" s="85">
        <v>1296.31</v>
      </c>
      <c r="F442" s="6">
        <v>5141583</v>
      </c>
      <c r="G442" s="12" t="s">
        <v>1101</v>
      </c>
      <c r="H442" s="12" t="s">
        <v>848</v>
      </c>
      <c r="I442" s="12" t="s">
        <v>849</v>
      </c>
      <c r="J442" s="84">
        <v>38943</v>
      </c>
      <c r="K442" s="84">
        <v>49901</v>
      </c>
      <c r="L442" s="12" t="s">
        <v>1102</v>
      </c>
      <c r="M442" s="12" t="s">
        <v>1103</v>
      </c>
      <c r="N442" s="75"/>
    </row>
    <row r="443" spans="1:14">
      <c r="A443" s="12">
        <v>440</v>
      </c>
      <c r="B443" s="12" t="s">
        <v>2070</v>
      </c>
      <c r="C443" s="12" t="s">
        <v>752</v>
      </c>
      <c r="D443" s="12" t="s">
        <v>2071</v>
      </c>
      <c r="E443" s="85">
        <v>363.75</v>
      </c>
      <c r="F443" s="6">
        <v>2766868</v>
      </c>
      <c r="G443" s="12" t="s">
        <v>2072</v>
      </c>
      <c r="H443" s="12" t="s">
        <v>755</v>
      </c>
      <c r="I443" s="12" t="s">
        <v>756</v>
      </c>
      <c r="J443" s="84">
        <v>38944</v>
      </c>
      <c r="K443" s="84">
        <v>49902</v>
      </c>
      <c r="L443" s="12" t="s">
        <v>274</v>
      </c>
      <c r="M443" s="12" t="s">
        <v>790</v>
      </c>
      <c r="N443" s="75"/>
    </row>
    <row r="444" spans="1:14">
      <c r="A444" s="12">
        <v>441</v>
      </c>
      <c r="B444" s="12" t="s">
        <v>2073</v>
      </c>
      <c r="C444" s="12" t="s">
        <v>752</v>
      </c>
      <c r="D444" s="12" t="s">
        <v>2074</v>
      </c>
      <c r="E444" s="85">
        <v>15.53</v>
      </c>
      <c r="F444" s="6">
        <v>2578778</v>
      </c>
      <c r="G444" s="12" t="s">
        <v>2075</v>
      </c>
      <c r="H444" s="12" t="s">
        <v>848</v>
      </c>
      <c r="I444" s="12" t="s">
        <v>849</v>
      </c>
      <c r="J444" s="84">
        <v>38950</v>
      </c>
      <c r="K444" s="84">
        <v>49542</v>
      </c>
      <c r="L444" s="12" t="s">
        <v>304</v>
      </c>
      <c r="M444" s="12" t="s">
        <v>773</v>
      </c>
      <c r="N444" s="75"/>
    </row>
    <row r="445" spans="1:14">
      <c r="A445" s="12">
        <v>442</v>
      </c>
      <c r="B445" s="12" t="s">
        <v>2076</v>
      </c>
      <c r="C445" s="12" t="s">
        <v>212</v>
      </c>
      <c r="D445" s="12" t="s">
        <v>1766</v>
      </c>
      <c r="E445" s="85">
        <v>70.97</v>
      </c>
      <c r="F445" s="6">
        <v>2028565</v>
      </c>
      <c r="G445" s="12" t="s">
        <v>1767</v>
      </c>
      <c r="H445" s="12" t="s">
        <v>766</v>
      </c>
      <c r="I445" s="12" t="s">
        <v>767</v>
      </c>
      <c r="J445" s="84">
        <v>38946</v>
      </c>
      <c r="K445" s="84">
        <v>49904</v>
      </c>
      <c r="L445" s="12" t="s">
        <v>170</v>
      </c>
      <c r="M445" s="12" t="s">
        <v>802</v>
      </c>
      <c r="N445" s="75"/>
    </row>
    <row r="446" spans="1:14">
      <c r="A446" s="12">
        <v>443</v>
      </c>
      <c r="B446" s="12" t="s">
        <v>2077</v>
      </c>
      <c r="C446" s="12" t="s">
        <v>979</v>
      </c>
      <c r="D446" s="12" t="s">
        <v>2078</v>
      </c>
      <c r="E446" s="85">
        <v>478.55</v>
      </c>
      <c r="F446" s="6">
        <v>5005094</v>
      </c>
      <c r="G446" s="12" t="s">
        <v>1143</v>
      </c>
      <c r="H446" s="12" t="s">
        <v>755</v>
      </c>
      <c r="I446" s="12" t="s">
        <v>756</v>
      </c>
      <c r="J446" s="84">
        <v>38947</v>
      </c>
      <c r="K446" s="84">
        <v>49905</v>
      </c>
      <c r="L446" s="12" t="s">
        <v>836</v>
      </c>
      <c r="M446" s="12" t="s">
        <v>1144</v>
      </c>
      <c r="N446" s="75"/>
    </row>
    <row r="447" spans="1:14">
      <c r="A447" s="12">
        <v>444</v>
      </c>
      <c r="B447" s="12" t="s">
        <v>2079</v>
      </c>
      <c r="C447" s="12" t="s">
        <v>979</v>
      </c>
      <c r="D447" s="12" t="s">
        <v>1200</v>
      </c>
      <c r="E447" s="85">
        <v>994.23</v>
      </c>
      <c r="F447" s="6">
        <v>5005094</v>
      </c>
      <c r="G447" s="12" t="s">
        <v>1143</v>
      </c>
      <c r="H447" s="12" t="s">
        <v>755</v>
      </c>
      <c r="I447" s="12" t="s">
        <v>756</v>
      </c>
      <c r="J447" s="84">
        <v>38947</v>
      </c>
      <c r="K447" s="84">
        <v>49905</v>
      </c>
      <c r="L447" s="12" t="s">
        <v>836</v>
      </c>
      <c r="M447" s="12" t="s">
        <v>1144</v>
      </c>
      <c r="N447" s="75"/>
    </row>
    <row r="448" spans="1:14">
      <c r="A448" s="12">
        <v>445</v>
      </c>
      <c r="B448" s="12" t="s">
        <v>2080</v>
      </c>
      <c r="C448" s="12" t="s">
        <v>979</v>
      </c>
      <c r="D448" s="12" t="s">
        <v>2081</v>
      </c>
      <c r="E448" s="85">
        <v>591.16999999999996</v>
      </c>
      <c r="F448" s="6">
        <v>5005094</v>
      </c>
      <c r="G448" s="12" t="s">
        <v>1143</v>
      </c>
      <c r="H448" s="12" t="s">
        <v>755</v>
      </c>
      <c r="I448" s="12" t="s">
        <v>756</v>
      </c>
      <c r="J448" s="84">
        <v>38947</v>
      </c>
      <c r="K448" s="84">
        <v>49905</v>
      </c>
      <c r="L448" s="12" t="s">
        <v>836</v>
      </c>
      <c r="M448" s="12" t="s">
        <v>1144</v>
      </c>
      <c r="N448" s="75"/>
    </row>
    <row r="449" spans="1:14">
      <c r="A449" s="12">
        <v>446</v>
      </c>
      <c r="B449" s="12" t="s">
        <v>2082</v>
      </c>
      <c r="C449" s="12" t="s">
        <v>212</v>
      </c>
      <c r="D449" s="12" t="s">
        <v>2083</v>
      </c>
      <c r="E449" s="85">
        <v>38.19</v>
      </c>
      <c r="F449" s="6">
        <v>5039274</v>
      </c>
      <c r="G449" s="12" t="s">
        <v>2084</v>
      </c>
      <c r="H449" s="12" t="s">
        <v>848</v>
      </c>
      <c r="I449" s="12" t="s">
        <v>849</v>
      </c>
      <c r="J449" s="84">
        <v>38947</v>
      </c>
      <c r="K449" s="84">
        <v>49905</v>
      </c>
      <c r="L449" s="12" t="s">
        <v>170</v>
      </c>
      <c r="M449" s="12" t="s">
        <v>171</v>
      </c>
      <c r="N449" s="75"/>
    </row>
    <row r="450" spans="1:14">
      <c r="A450" s="12">
        <v>447</v>
      </c>
      <c r="B450" s="12" t="s">
        <v>2085</v>
      </c>
      <c r="C450" s="12" t="s">
        <v>752</v>
      </c>
      <c r="D450" s="12" t="s">
        <v>775</v>
      </c>
      <c r="E450" s="85">
        <v>775.13</v>
      </c>
      <c r="F450" s="6">
        <v>2054701</v>
      </c>
      <c r="G450" s="12" t="s">
        <v>776</v>
      </c>
      <c r="H450" s="12" t="s">
        <v>755</v>
      </c>
      <c r="I450" s="12" t="s">
        <v>756</v>
      </c>
      <c r="J450" s="84">
        <v>38947</v>
      </c>
      <c r="K450" s="84">
        <v>49905</v>
      </c>
      <c r="L450" s="12" t="s">
        <v>1597</v>
      </c>
      <c r="M450" s="12" t="s">
        <v>1598</v>
      </c>
      <c r="N450" s="75"/>
    </row>
    <row r="451" spans="1:14">
      <c r="A451" s="12">
        <v>448</v>
      </c>
      <c r="B451" s="12" t="s">
        <v>2086</v>
      </c>
      <c r="C451" s="12" t="s">
        <v>122</v>
      </c>
      <c r="D451" s="12" t="s">
        <v>1298</v>
      </c>
      <c r="E451" s="85">
        <v>72.63</v>
      </c>
      <c r="F451" s="6">
        <v>5095638</v>
      </c>
      <c r="G451" s="12" t="s">
        <v>1299</v>
      </c>
      <c r="H451" s="12" t="s">
        <v>755</v>
      </c>
      <c r="I451" s="12" t="s">
        <v>756</v>
      </c>
      <c r="J451" s="84">
        <v>38947</v>
      </c>
      <c r="K451" s="84">
        <v>49905</v>
      </c>
      <c r="L451" s="12" t="s">
        <v>233</v>
      </c>
      <c r="M451" s="12" t="s">
        <v>1300</v>
      </c>
      <c r="N451" s="75"/>
    </row>
    <row r="452" spans="1:14">
      <c r="A452" s="12">
        <v>449</v>
      </c>
      <c r="B452" s="12" t="s">
        <v>2087</v>
      </c>
      <c r="C452" s="12" t="s">
        <v>122</v>
      </c>
      <c r="D452" s="12" t="s">
        <v>2088</v>
      </c>
      <c r="E452" s="85">
        <v>682.76</v>
      </c>
      <c r="F452" s="6">
        <v>2001454</v>
      </c>
      <c r="G452" s="12" t="s">
        <v>780</v>
      </c>
      <c r="H452" s="12" t="s">
        <v>781</v>
      </c>
      <c r="I452" s="12" t="s">
        <v>756</v>
      </c>
      <c r="J452" s="84">
        <v>38947</v>
      </c>
      <c r="K452" s="84">
        <v>49905</v>
      </c>
      <c r="L452" s="12" t="s">
        <v>782</v>
      </c>
      <c r="M452" s="12" t="s">
        <v>783</v>
      </c>
      <c r="N452" s="75"/>
    </row>
    <row r="453" spans="1:14">
      <c r="A453" s="12">
        <v>450</v>
      </c>
      <c r="B453" s="12" t="s">
        <v>2089</v>
      </c>
      <c r="C453" s="12" t="s">
        <v>212</v>
      </c>
      <c r="D453" s="12" t="s">
        <v>2090</v>
      </c>
      <c r="E453" s="85">
        <v>72.52</v>
      </c>
      <c r="F453" s="6">
        <v>5473748</v>
      </c>
      <c r="G453" s="12" t="s">
        <v>2091</v>
      </c>
      <c r="H453" s="12" t="s">
        <v>848</v>
      </c>
      <c r="I453" s="12" t="s">
        <v>849</v>
      </c>
      <c r="J453" s="84">
        <v>38951</v>
      </c>
      <c r="K453" s="84">
        <v>49909</v>
      </c>
      <c r="L453" s="12" t="s">
        <v>170</v>
      </c>
      <c r="M453" s="12" t="s">
        <v>807</v>
      </c>
      <c r="N453" s="75"/>
    </row>
    <row r="454" spans="1:14">
      <c r="A454" s="12">
        <v>451</v>
      </c>
      <c r="B454" s="12" t="s">
        <v>2092</v>
      </c>
      <c r="C454" s="12" t="s">
        <v>122</v>
      </c>
      <c r="D454" s="12" t="s">
        <v>984</v>
      </c>
      <c r="E454" s="85">
        <v>1430.55</v>
      </c>
      <c r="F454" s="6">
        <v>2095025</v>
      </c>
      <c r="G454" s="12" t="s">
        <v>870</v>
      </c>
      <c r="H454" s="12" t="s">
        <v>755</v>
      </c>
      <c r="I454" s="12" t="s">
        <v>756</v>
      </c>
      <c r="J454" s="84">
        <v>38951</v>
      </c>
      <c r="K454" s="84">
        <v>49909</v>
      </c>
      <c r="L454" s="12" t="s">
        <v>170</v>
      </c>
      <c r="M454" s="12" t="s">
        <v>171</v>
      </c>
      <c r="N454" s="75"/>
    </row>
    <row r="455" spans="1:14">
      <c r="A455" s="12">
        <v>452</v>
      </c>
      <c r="B455" s="12" t="s">
        <v>2093</v>
      </c>
      <c r="C455" s="12" t="s">
        <v>1547</v>
      </c>
      <c r="D455" s="12" t="s">
        <v>2094</v>
      </c>
      <c r="E455" s="85">
        <v>394.76</v>
      </c>
      <c r="F455" s="6">
        <v>5206006</v>
      </c>
      <c r="G455" s="12" t="s">
        <v>2095</v>
      </c>
      <c r="H455" s="12" t="s">
        <v>755</v>
      </c>
      <c r="I455" s="12" t="s">
        <v>756</v>
      </c>
      <c r="J455" s="84">
        <v>38951</v>
      </c>
      <c r="K455" s="84">
        <v>49909</v>
      </c>
      <c r="L455" s="12" t="s">
        <v>782</v>
      </c>
      <c r="M455" s="12" t="s">
        <v>1242</v>
      </c>
      <c r="N455" s="75"/>
    </row>
    <row r="456" spans="1:14">
      <c r="A456" s="12">
        <v>453</v>
      </c>
      <c r="B456" s="12" t="s">
        <v>2096</v>
      </c>
      <c r="C456" s="12" t="s">
        <v>752</v>
      </c>
      <c r="D456" s="12" t="s">
        <v>1632</v>
      </c>
      <c r="E456" s="85">
        <v>294.47000000000003</v>
      </c>
      <c r="F456" s="6">
        <v>5557356</v>
      </c>
      <c r="G456" s="12" t="s">
        <v>2097</v>
      </c>
      <c r="H456" s="12" t="s">
        <v>848</v>
      </c>
      <c r="I456" s="12" t="s">
        <v>849</v>
      </c>
      <c r="J456" s="84">
        <v>38957</v>
      </c>
      <c r="K456" s="84">
        <v>49915</v>
      </c>
      <c r="L456" s="12" t="s">
        <v>304</v>
      </c>
      <c r="M456" s="12" t="s">
        <v>1634</v>
      </c>
      <c r="N456" s="75"/>
    </row>
    <row r="457" spans="1:14">
      <c r="A457" s="12">
        <v>454</v>
      </c>
      <c r="B457" s="12" t="s">
        <v>2098</v>
      </c>
      <c r="C457" s="12" t="s">
        <v>122</v>
      </c>
      <c r="D457" s="12" t="s">
        <v>913</v>
      </c>
      <c r="E457" s="85">
        <v>2036.33</v>
      </c>
      <c r="F457" s="6">
        <v>5435528</v>
      </c>
      <c r="G457" s="12" t="s">
        <v>2099</v>
      </c>
      <c r="H457" s="12" t="s">
        <v>914</v>
      </c>
      <c r="I457" s="12" t="s">
        <v>756</v>
      </c>
      <c r="J457" s="84">
        <v>38957</v>
      </c>
      <c r="K457" s="84">
        <v>49915</v>
      </c>
      <c r="L457" s="12" t="s">
        <v>233</v>
      </c>
      <c r="M457" s="12" t="s">
        <v>252</v>
      </c>
      <c r="N457" s="75"/>
    </row>
    <row r="458" spans="1:14">
      <c r="A458" s="12">
        <v>455</v>
      </c>
      <c r="B458" s="12" t="s">
        <v>2100</v>
      </c>
      <c r="C458" s="12" t="s">
        <v>1874</v>
      </c>
      <c r="D458" s="12" t="s">
        <v>1902</v>
      </c>
      <c r="E458" s="85">
        <v>39.93</v>
      </c>
      <c r="F458" s="6">
        <v>5151651</v>
      </c>
      <c r="G458" s="12" t="s">
        <v>2101</v>
      </c>
      <c r="H458" s="12" t="s">
        <v>848</v>
      </c>
      <c r="I458" s="12" t="s">
        <v>849</v>
      </c>
      <c r="J458" s="84">
        <v>38958</v>
      </c>
      <c r="K458" s="84">
        <v>49916</v>
      </c>
      <c r="L458" s="12" t="s">
        <v>375</v>
      </c>
      <c r="M458" s="12" t="s">
        <v>1279</v>
      </c>
      <c r="N458" s="75"/>
    </row>
    <row r="459" spans="1:14">
      <c r="A459" s="12">
        <v>456</v>
      </c>
      <c r="B459" s="12" t="s">
        <v>2102</v>
      </c>
      <c r="C459" s="12" t="s">
        <v>752</v>
      </c>
      <c r="D459" s="12" t="s">
        <v>2103</v>
      </c>
      <c r="E459" s="85">
        <v>49</v>
      </c>
      <c r="F459" s="6">
        <v>5229634</v>
      </c>
      <c r="G459" s="12" t="s">
        <v>2104</v>
      </c>
      <c r="H459" s="12" t="s">
        <v>766</v>
      </c>
      <c r="I459" s="12" t="s">
        <v>767</v>
      </c>
      <c r="J459" s="84">
        <v>38958</v>
      </c>
      <c r="K459" s="84">
        <v>49913</v>
      </c>
      <c r="L459" s="12" t="s">
        <v>304</v>
      </c>
      <c r="M459" s="12" t="s">
        <v>777</v>
      </c>
      <c r="N459" s="75"/>
    </row>
    <row r="460" spans="1:14">
      <c r="A460" s="12">
        <v>457</v>
      </c>
      <c r="B460" s="12" t="s">
        <v>2105</v>
      </c>
      <c r="C460" s="12" t="s">
        <v>122</v>
      </c>
      <c r="D460" s="12" t="s">
        <v>2106</v>
      </c>
      <c r="E460" s="85">
        <v>2960.23</v>
      </c>
      <c r="F460" s="6">
        <v>2887746</v>
      </c>
      <c r="G460" s="12" t="s">
        <v>2107</v>
      </c>
      <c r="H460" s="12" t="s">
        <v>755</v>
      </c>
      <c r="I460" s="12" t="s">
        <v>756</v>
      </c>
      <c r="J460" s="84">
        <v>38958</v>
      </c>
      <c r="K460" s="84">
        <v>49916</v>
      </c>
      <c r="L460" s="12" t="s">
        <v>233</v>
      </c>
      <c r="M460" s="12" t="s">
        <v>252</v>
      </c>
      <c r="N460" s="75"/>
    </row>
    <row r="461" spans="1:14">
      <c r="A461" s="12">
        <v>458</v>
      </c>
      <c r="B461" s="12" t="s">
        <v>2108</v>
      </c>
      <c r="C461" s="12" t="s">
        <v>122</v>
      </c>
      <c r="D461" s="12" t="s">
        <v>806</v>
      </c>
      <c r="E461" s="85">
        <v>12864.47</v>
      </c>
      <c r="F461" s="6">
        <v>5435528</v>
      </c>
      <c r="G461" s="12" t="s">
        <v>2099</v>
      </c>
      <c r="H461" s="12" t="s">
        <v>914</v>
      </c>
      <c r="I461" s="12" t="s">
        <v>756</v>
      </c>
      <c r="J461" s="84">
        <v>38958</v>
      </c>
      <c r="K461" s="84">
        <v>49916</v>
      </c>
      <c r="L461" s="12" t="s">
        <v>233</v>
      </c>
      <c r="M461" s="12" t="s">
        <v>252</v>
      </c>
      <c r="N461" s="75"/>
    </row>
    <row r="462" spans="1:14">
      <c r="A462" s="12">
        <v>459</v>
      </c>
      <c r="B462" s="12" t="s">
        <v>2109</v>
      </c>
      <c r="C462" s="12" t="s">
        <v>122</v>
      </c>
      <c r="D462" s="12" t="s">
        <v>2110</v>
      </c>
      <c r="E462" s="85">
        <v>22901.37</v>
      </c>
      <c r="F462" s="6">
        <v>5435528</v>
      </c>
      <c r="G462" s="12" t="s">
        <v>2099</v>
      </c>
      <c r="H462" s="12" t="s">
        <v>914</v>
      </c>
      <c r="I462" s="12" t="s">
        <v>756</v>
      </c>
      <c r="J462" s="84">
        <v>38958</v>
      </c>
      <c r="K462" s="84">
        <v>49916</v>
      </c>
      <c r="L462" s="12" t="s">
        <v>233</v>
      </c>
      <c r="M462" s="12" t="s">
        <v>2111</v>
      </c>
      <c r="N462" s="75"/>
    </row>
    <row r="463" spans="1:14">
      <c r="A463" s="12">
        <v>460</v>
      </c>
      <c r="B463" s="12" t="s">
        <v>2112</v>
      </c>
      <c r="C463" s="12" t="s">
        <v>122</v>
      </c>
      <c r="D463" s="12" t="s">
        <v>2113</v>
      </c>
      <c r="E463" s="85">
        <v>23813.1</v>
      </c>
      <c r="F463" s="6">
        <v>5435528</v>
      </c>
      <c r="G463" s="12" t="s">
        <v>2099</v>
      </c>
      <c r="H463" s="12" t="s">
        <v>914</v>
      </c>
      <c r="I463" s="12" t="s">
        <v>756</v>
      </c>
      <c r="J463" s="84">
        <v>38958</v>
      </c>
      <c r="K463" s="84">
        <v>49916</v>
      </c>
      <c r="L463" s="12" t="s">
        <v>233</v>
      </c>
      <c r="M463" s="12" t="s">
        <v>252</v>
      </c>
      <c r="N463" s="75"/>
    </row>
    <row r="464" spans="1:14">
      <c r="A464" s="12">
        <v>461</v>
      </c>
      <c r="B464" s="12" t="s">
        <v>2114</v>
      </c>
      <c r="C464" s="12" t="s">
        <v>122</v>
      </c>
      <c r="D464" s="12" t="s">
        <v>2115</v>
      </c>
      <c r="E464" s="85">
        <v>3151.92</v>
      </c>
      <c r="F464" s="6">
        <v>5435528</v>
      </c>
      <c r="G464" s="12" t="s">
        <v>2099</v>
      </c>
      <c r="H464" s="12" t="s">
        <v>914</v>
      </c>
      <c r="I464" s="12" t="s">
        <v>756</v>
      </c>
      <c r="J464" s="84">
        <v>38958</v>
      </c>
      <c r="K464" s="84">
        <v>49916</v>
      </c>
      <c r="L464" s="12" t="s">
        <v>233</v>
      </c>
      <c r="M464" s="12" t="s">
        <v>252</v>
      </c>
      <c r="N464" s="75"/>
    </row>
    <row r="465" spans="1:14">
      <c r="A465" s="12">
        <v>462</v>
      </c>
      <c r="B465" s="12" t="s">
        <v>2116</v>
      </c>
      <c r="C465" s="12" t="s">
        <v>122</v>
      </c>
      <c r="D465" s="12" t="s">
        <v>2117</v>
      </c>
      <c r="E465" s="85">
        <v>256.56</v>
      </c>
      <c r="F465" s="6">
        <v>2862468</v>
      </c>
      <c r="G465" s="12" t="s">
        <v>1013</v>
      </c>
      <c r="H465" s="12" t="s">
        <v>766</v>
      </c>
      <c r="I465" s="12" t="s">
        <v>767</v>
      </c>
      <c r="J465" s="84">
        <v>38958</v>
      </c>
      <c r="K465" s="84">
        <v>49916</v>
      </c>
      <c r="L465" s="12" t="s">
        <v>1014</v>
      </c>
      <c r="M465" s="12" t="s">
        <v>1015</v>
      </c>
      <c r="N465" s="75"/>
    </row>
    <row r="466" spans="1:14">
      <c r="A466" s="12">
        <v>463</v>
      </c>
      <c r="B466" s="12" t="s">
        <v>2118</v>
      </c>
      <c r="C466" s="12" t="s">
        <v>2119</v>
      </c>
      <c r="D466" s="12" t="s">
        <v>2120</v>
      </c>
      <c r="E466" s="85">
        <v>31.58</v>
      </c>
      <c r="F466" s="6">
        <v>2063182</v>
      </c>
      <c r="G466" s="12" t="s">
        <v>1848</v>
      </c>
      <c r="H466" s="12" t="s">
        <v>755</v>
      </c>
      <c r="I466" s="12" t="s">
        <v>756</v>
      </c>
      <c r="J466" s="84">
        <v>38958</v>
      </c>
      <c r="K466" s="84">
        <v>49916</v>
      </c>
      <c r="L466" s="12" t="s">
        <v>836</v>
      </c>
      <c r="M466" s="12" t="s">
        <v>329</v>
      </c>
      <c r="N466" s="75"/>
    </row>
    <row r="467" spans="1:14">
      <c r="A467" s="12">
        <v>464</v>
      </c>
      <c r="B467" s="12" t="s">
        <v>2121</v>
      </c>
      <c r="C467" s="12" t="s">
        <v>979</v>
      </c>
      <c r="D467" s="12" t="s">
        <v>2122</v>
      </c>
      <c r="E467" s="85">
        <v>463.25</v>
      </c>
      <c r="F467" s="6">
        <v>5061989</v>
      </c>
      <c r="G467" s="12" t="s">
        <v>2123</v>
      </c>
      <c r="H467" s="12" t="s">
        <v>755</v>
      </c>
      <c r="I467" s="12" t="s">
        <v>756</v>
      </c>
      <c r="J467" s="84">
        <v>38959</v>
      </c>
      <c r="K467" s="84">
        <v>49917</v>
      </c>
      <c r="L467" s="12" t="s">
        <v>375</v>
      </c>
      <c r="M467" s="12" t="s">
        <v>1000</v>
      </c>
      <c r="N467" s="75"/>
    </row>
    <row r="468" spans="1:14">
      <c r="A468" s="12">
        <v>465</v>
      </c>
      <c r="B468" s="12" t="s">
        <v>2124</v>
      </c>
      <c r="C468" s="12" t="s">
        <v>752</v>
      </c>
      <c r="D468" s="12" t="s">
        <v>2125</v>
      </c>
      <c r="E468" s="85">
        <v>376.08</v>
      </c>
      <c r="F468" s="6">
        <v>2723344</v>
      </c>
      <c r="G468" s="12" t="s">
        <v>1375</v>
      </c>
      <c r="H468" s="12" t="s">
        <v>755</v>
      </c>
      <c r="I468" s="12" t="s">
        <v>756</v>
      </c>
      <c r="J468" s="84">
        <v>38964</v>
      </c>
      <c r="K468" s="84">
        <v>49922</v>
      </c>
      <c r="L468" s="12" t="s">
        <v>304</v>
      </c>
      <c r="M468" s="12" t="s">
        <v>773</v>
      </c>
      <c r="N468" s="75"/>
    </row>
    <row r="469" spans="1:14">
      <c r="A469" s="12">
        <v>466</v>
      </c>
      <c r="B469" s="12" t="s">
        <v>2126</v>
      </c>
      <c r="C469" s="12" t="s">
        <v>212</v>
      </c>
      <c r="D469" s="12" t="s">
        <v>1766</v>
      </c>
      <c r="E469" s="85">
        <v>30.11</v>
      </c>
      <c r="F469" s="6">
        <v>5053722</v>
      </c>
      <c r="G469" s="12" t="s">
        <v>1119</v>
      </c>
      <c r="H469" s="12" t="s">
        <v>848</v>
      </c>
      <c r="I469" s="12" t="s">
        <v>849</v>
      </c>
      <c r="J469" s="84">
        <v>38964</v>
      </c>
      <c r="K469" s="84">
        <v>49922</v>
      </c>
      <c r="L469" s="12" t="s">
        <v>170</v>
      </c>
      <c r="M469" s="12" t="s">
        <v>802</v>
      </c>
      <c r="N469" s="75"/>
    </row>
    <row r="470" spans="1:14">
      <c r="A470" s="12">
        <v>467</v>
      </c>
      <c r="B470" s="12" t="s">
        <v>2127</v>
      </c>
      <c r="C470" s="12" t="s">
        <v>212</v>
      </c>
      <c r="D470" s="12" t="s">
        <v>1470</v>
      </c>
      <c r="E470" s="85">
        <v>451</v>
      </c>
      <c r="F470" s="6">
        <v>2065606</v>
      </c>
      <c r="G470" s="12" t="s">
        <v>1471</v>
      </c>
      <c r="H470" s="12" t="s">
        <v>755</v>
      </c>
      <c r="I470" s="12" t="s">
        <v>756</v>
      </c>
      <c r="J470" s="84">
        <v>38979</v>
      </c>
      <c r="K470" s="84">
        <v>49937</v>
      </c>
      <c r="L470" s="12" t="s">
        <v>123</v>
      </c>
      <c r="M470" s="12" t="s">
        <v>1472</v>
      </c>
      <c r="N470" s="75"/>
    </row>
    <row r="471" spans="1:14">
      <c r="A471" s="12">
        <v>468</v>
      </c>
      <c r="B471" s="12" t="s">
        <v>2128</v>
      </c>
      <c r="C471" s="12" t="s">
        <v>752</v>
      </c>
      <c r="D471" s="12" t="s">
        <v>2129</v>
      </c>
      <c r="E471" s="85">
        <v>910.57</v>
      </c>
      <c r="F471" s="6">
        <v>2094533</v>
      </c>
      <c r="G471" s="12" t="s">
        <v>847</v>
      </c>
      <c r="H471" s="12" t="s">
        <v>848</v>
      </c>
      <c r="I471" s="12" t="s">
        <v>849</v>
      </c>
      <c r="J471" s="84">
        <v>38979</v>
      </c>
      <c r="K471" s="84">
        <v>49937</v>
      </c>
      <c r="L471" s="12" t="s">
        <v>304</v>
      </c>
      <c r="M471" s="12" t="s">
        <v>777</v>
      </c>
      <c r="N471" s="75"/>
    </row>
    <row r="472" spans="1:14">
      <c r="A472" s="12">
        <v>469</v>
      </c>
      <c r="B472" s="12" t="s">
        <v>2130</v>
      </c>
      <c r="C472" s="12" t="s">
        <v>1152</v>
      </c>
      <c r="D472" s="12" t="s">
        <v>1153</v>
      </c>
      <c r="E472" s="85">
        <v>23.97</v>
      </c>
      <c r="F472" s="6">
        <v>2088967</v>
      </c>
      <c r="G472" s="12" t="s">
        <v>2131</v>
      </c>
      <c r="H472" s="12" t="s">
        <v>755</v>
      </c>
      <c r="I472" s="12" t="s">
        <v>756</v>
      </c>
      <c r="J472" s="84">
        <v>38982</v>
      </c>
      <c r="K472" s="84">
        <v>49940</v>
      </c>
      <c r="L472" s="12" t="s">
        <v>180</v>
      </c>
      <c r="M472" s="12" t="s">
        <v>181</v>
      </c>
      <c r="N472" s="75"/>
    </row>
    <row r="473" spans="1:14">
      <c r="A473" s="12">
        <v>470</v>
      </c>
      <c r="B473" s="12" t="s">
        <v>2132</v>
      </c>
      <c r="C473" s="12" t="s">
        <v>752</v>
      </c>
      <c r="D473" s="12" t="s">
        <v>2133</v>
      </c>
      <c r="E473" s="85">
        <v>38.33</v>
      </c>
      <c r="F473" s="6">
        <v>2024594</v>
      </c>
      <c r="G473" s="12" t="s">
        <v>2134</v>
      </c>
      <c r="H473" s="12" t="s">
        <v>755</v>
      </c>
      <c r="I473" s="12" t="s">
        <v>756</v>
      </c>
      <c r="J473" s="84">
        <v>38985</v>
      </c>
      <c r="K473" s="84">
        <v>49943</v>
      </c>
      <c r="L473" s="12" t="s">
        <v>180</v>
      </c>
      <c r="M473" s="12" t="s">
        <v>798</v>
      </c>
      <c r="N473" s="75"/>
    </row>
    <row r="474" spans="1:14">
      <c r="A474" s="12">
        <v>471</v>
      </c>
      <c r="B474" s="12" t="s">
        <v>2135</v>
      </c>
      <c r="C474" s="12" t="s">
        <v>886</v>
      </c>
      <c r="D474" s="12" t="s">
        <v>1814</v>
      </c>
      <c r="E474" s="85">
        <v>221.22</v>
      </c>
      <c r="F474" s="6">
        <v>5060222</v>
      </c>
      <c r="G474" s="12" t="s">
        <v>2136</v>
      </c>
      <c r="H474" s="12" t="s">
        <v>755</v>
      </c>
      <c r="I474" s="12" t="s">
        <v>756</v>
      </c>
      <c r="J474" s="84">
        <v>38999</v>
      </c>
      <c r="K474" s="84">
        <v>49957</v>
      </c>
      <c r="L474" s="12" t="s">
        <v>293</v>
      </c>
      <c r="M474" s="12" t="s">
        <v>1816</v>
      </c>
      <c r="N474" s="75"/>
    </row>
    <row r="475" spans="1:14">
      <c r="A475" s="12">
        <v>472</v>
      </c>
      <c r="B475" s="12" t="s">
        <v>2137</v>
      </c>
      <c r="C475" s="12" t="s">
        <v>752</v>
      </c>
      <c r="D475" s="12" t="s">
        <v>2138</v>
      </c>
      <c r="E475" s="85">
        <v>344.69</v>
      </c>
      <c r="F475" s="6">
        <v>6670687</v>
      </c>
      <c r="G475" s="12" t="s">
        <v>2139</v>
      </c>
      <c r="H475" s="12" t="s">
        <v>755</v>
      </c>
      <c r="I475" s="12" t="s">
        <v>756</v>
      </c>
      <c r="J475" s="84">
        <v>38999</v>
      </c>
      <c r="K475" s="84">
        <v>49957</v>
      </c>
      <c r="L475" s="12" t="s">
        <v>304</v>
      </c>
      <c r="M475" s="12" t="s">
        <v>777</v>
      </c>
      <c r="N475" s="75"/>
    </row>
    <row r="476" spans="1:14">
      <c r="A476" s="12">
        <v>473</v>
      </c>
      <c r="B476" s="12" t="s">
        <v>2140</v>
      </c>
      <c r="C476" s="12" t="s">
        <v>995</v>
      </c>
      <c r="D476" s="12" t="s">
        <v>2141</v>
      </c>
      <c r="E476" s="85">
        <v>20.6</v>
      </c>
      <c r="F476" s="6">
        <v>2861976</v>
      </c>
      <c r="G476" s="12" t="s">
        <v>2142</v>
      </c>
      <c r="H476" s="12" t="s">
        <v>848</v>
      </c>
      <c r="I476" s="12" t="s">
        <v>849</v>
      </c>
      <c r="J476" s="84">
        <v>39008</v>
      </c>
      <c r="K476" s="84">
        <v>49966</v>
      </c>
      <c r="L476" s="12" t="s">
        <v>128</v>
      </c>
      <c r="M476" s="12" t="s">
        <v>862</v>
      </c>
      <c r="N476" s="75"/>
    </row>
    <row r="477" spans="1:14">
      <c r="A477" s="12">
        <v>474</v>
      </c>
      <c r="B477" s="12" t="s">
        <v>2143</v>
      </c>
      <c r="C477" s="12" t="s">
        <v>212</v>
      </c>
      <c r="D477" s="12" t="s">
        <v>2144</v>
      </c>
      <c r="E477" s="85">
        <v>193.7</v>
      </c>
      <c r="F477" s="6">
        <v>2603365</v>
      </c>
      <c r="G477" s="12" t="s">
        <v>2145</v>
      </c>
      <c r="H477" s="12" t="s">
        <v>755</v>
      </c>
      <c r="I477" s="12" t="s">
        <v>756</v>
      </c>
      <c r="J477" s="84">
        <v>39008</v>
      </c>
      <c r="K477" s="84">
        <v>49966</v>
      </c>
      <c r="L477" s="12" t="s">
        <v>163</v>
      </c>
      <c r="M477" s="12" t="s">
        <v>1132</v>
      </c>
      <c r="N477" s="75"/>
    </row>
    <row r="478" spans="1:14">
      <c r="A478" s="12">
        <v>475</v>
      </c>
      <c r="B478" s="12" t="s">
        <v>2146</v>
      </c>
      <c r="C478" s="12" t="s">
        <v>752</v>
      </c>
      <c r="D478" s="12" t="s">
        <v>2147</v>
      </c>
      <c r="E478" s="85">
        <v>195.4</v>
      </c>
      <c r="F478" s="6">
        <v>2876965</v>
      </c>
      <c r="G478" s="12" t="s">
        <v>2148</v>
      </c>
      <c r="H478" s="12" t="s">
        <v>755</v>
      </c>
      <c r="I478" s="12" t="s">
        <v>756</v>
      </c>
      <c r="J478" s="84">
        <v>39014</v>
      </c>
      <c r="K478" s="84">
        <v>49972</v>
      </c>
      <c r="L478" s="12" t="s">
        <v>274</v>
      </c>
      <c r="M478" s="12" t="s">
        <v>790</v>
      </c>
      <c r="N478" s="75"/>
    </row>
    <row r="479" spans="1:14">
      <c r="A479" s="12">
        <v>476</v>
      </c>
      <c r="B479" s="12" t="s">
        <v>2149</v>
      </c>
      <c r="C479" s="12" t="s">
        <v>881</v>
      </c>
      <c r="D479" s="12" t="s">
        <v>2150</v>
      </c>
      <c r="E479" s="85">
        <v>25.08</v>
      </c>
      <c r="F479" s="6">
        <v>2031256</v>
      </c>
      <c r="G479" s="12" t="s">
        <v>2151</v>
      </c>
      <c r="H479" s="12" t="s">
        <v>755</v>
      </c>
      <c r="I479" s="12" t="s">
        <v>756</v>
      </c>
      <c r="J479" s="84">
        <v>39020</v>
      </c>
      <c r="K479" s="84">
        <v>49978</v>
      </c>
      <c r="L479" s="12" t="s">
        <v>329</v>
      </c>
      <c r="M479" s="12" t="s">
        <v>884</v>
      </c>
      <c r="N479" s="75"/>
    </row>
    <row r="480" spans="1:14">
      <c r="A480" s="12">
        <v>477</v>
      </c>
      <c r="B480" s="12" t="s">
        <v>2152</v>
      </c>
      <c r="C480" s="12" t="s">
        <v>200</v>
      </c>
      <c r="D480" s="12" t="s">
        <v>922</v>
      </c>
      <c r="E480" s="85">
        <v>51.16</v>
      </c>
      <c r="F480" s="6">
        <v>2027194</v>
      </c>
      <c r="G480" s="12" t="s">
        <v>923</v>
      </c>
      <c r="H480" s="12" t="s">
        <v>755</v>
      </c>
      <c r="I480" s="12" t="s">
        <v>756</v>
      </c>
      <c r="J480" s="84">
        <v>39027</v>
      </c>
      <c r="K480" s="84">
        <v>49985</v>
      </c>
      <c r="L480" s="12" t="s">
        <v>170</v>
      </c>
      <c r="M480" s="12" t="s">
        <v>924</v>
      </c>
      <c r="N480" s="75"/>
    </row>
    <row r="481" spans="1:14">
      <c r="A481" s="12">
        <v>478</v>
      </c>
      <c r="B481" s="12" t="s">
        <v>2153</v>
      </c>
      <c r="C481" s="12" t="s">
        <v>1939</v>
      </c>
      <c r="D481" s="12" t="s">
        <v>1317</v>
      </c>
      <c r="E481" s="85">
        <v>154.36000000000001</v>
      </c>
      <c r="F481" s="6">
        <v>5413702</v>
      </c>
      <c r="G481" s="12" t="s">
        <v>2154</v>
      </c>
      <c r="H481" s="12" t="s">
        <v>755</v>
      </c>
      <c r="I481" s="12" t="s">
        <v>756</v>
      </c>
      <c r="J481" s="84">
        <v>39030</v>
      </c>
      <c r="K481" s="84">
        <v>49988</v>
      </c>
      <c r="L481" s="12" t="s">
        <v>293</v>
      </c>
      <c r="M481" s="12" t="s">
        <v>2155</v>
      </c>
      <c r="N481" s="75"/>
    </row>
    <row r="482" spans="1:14">
      <c r="A482" s="12">
        <v>479</v>
      </c>
      <c r="B482" s="12" t="s">
        <v>2156</v>
      </c>
      <c r="C482" s="12" t="s">
        <v>752</v>
      </c>
      <c r="D482" s="12" t="s">
        <v>1561</v>
      </c>
      <c r="E482" s="85">
        <v>283.35000000000002</v>
      </c>
      <c r="F482" s="6">
        <v>5005094</v>
      </c>
      <c r="G482" s="12" t="s">
        <v>1143</v>
      </c>
      <c r="H482" s="12" t="s">
        <v>755</v>
      </c>
      <c r="I482" s="12" t="s">
        <v>756</v>
      </c>
      <c r="J482" s="84">
        <v>39030</v>
      </c>
      <c r="K482" s="84">
        <v>50256</v>
      </c>
      <c r="L482" s="12" t="s">
        <v>768</v>
      </c>
      <c r="M482" s="12" t="s">
        <v>2157</v>
      </c>
      <c r="N482" s="75"/>
    </row>
    <row r="483" spans="1:14">
      <c r="A483" s="12">
        <v>480</v>
      </c>
      <c r="B483" s="12" t="s">
        <v>2158</v>
      </c>
      <c r="C483" s="12" t="s">
        <v>122</v>
      </c>
      <c r="D483" s="12" t="s">
        <v>2159</v>
      </c>
      <c r="E483" s="85">
        <v>1443.73</v>
      </c>
      <c r="F483" s="6">
        <v>2095025</v>
      </c>
      <c r="G483" s="12" t="s">
        <v>870</v>
      </c>
      <c r="H483" s="12" t="s">
        <v>755</v>
      </c>
      <c r="I483" s="12" t="s">
        <v>756</v>
      </c>
      <c r="J483" s="84">
        <v>39030</v>
      </c>
      <c r="K483" s="84">
        <v>49988</v>
      </c>
      <c r="L483" s="12" t="s">
        <v>375</v>
      </c>
      <c r="M483" s="12" t="s">
        <v>944</v>
      </c>
      <c r="N483" s="75"/>
    </row>
    <row r="484" spans="1:14">
      <c r="A484" s="12">
        <v>481</v>
      </c>
      <c r="B484" s="12" t="s">
        <v>2160</v>
      </c>
      <c r="C484" s="12" t="s">
        <v>212</v>
      </c>
      <c r="D484" s="12" t="s">
        <v>2161</v>
      </c>
      <c r="E484" s="85">
        <v>29.18</v>
      </c>
      <c r="F484" s="6">
        <v>2609436</v>
      </c>
      <c r="G484" s="12" t="s">
        <v>1229</v>
      </c>
      <c r="H484" s="12" t="s">
        <v>755</v>
      </c>
      <c r="I484" s="12" t="s">
        <v>756</v>
      </c>
      <c r="J484" s="84">
        <v>39034</v>
      </c>
      <c r="K484" s="84">
        <v>49992</v>
      </c>
      <c r="L484" s="12" t="s">
        <v>293</v>
      </c>
      <c r="M484" s="12" t="s">
        <v>181</v>
      </c>
      <c r="N484" s="75"/>
    </row>
    <row r="485" spans="1:14">
      <c r="A485" s="12">
        <v>482</v>
      </c>
      <c r="B485" s="12" t="s">
        <v>2162</v>
      </c>
      <c r="C485" s="12" t="s">
        <v>1152</v>
      </c>
      <c r="D485" s="12" t="s">
        <v>2163</v>
      </c>
      <c r="E485" s="85">
        <v>18.75</v>
      </c>
      <c r="F485" s="6">
        <v>2101807</v>
      </c>
      <c r="G485" s="12" t="s">
        <v>2164</v>
      </c>
      <c r="H485" s="12" t="s">
        <v>755</v>
      </c>
      <c r="I485" s="12" t="s">
        <v>756</v>
      </c>
      <c r="J485" s="84">
        <v>39035</v>
      </c>
      <c r="K485" s="84">
        <v>49993</v>
      </c>
      <c r="L485" s="12" t="s">
        <v>128</v>
      </c>
      <c r="M485" s="12" t="s">
        <v>129</v>
      </c>
      <c r="N485" s="75"/>
    </row>
    <row r="486" spans="1:14">
      <c r="A486" s="12">
        <v>483</v>
      </c>
      <c r="B486" s="12" t="s">
        <v>2165</v>
      </c>
      <c r="C486" s="12" t="s">
        <v>221</v>
      </c>
      <c r="D486" s="12" t="s">
        <v>221</v>
      </c>
      <c r="E486" s="85">
        <v>135.1</v>
      </c>
      <c r="F486" s="6">
        <v>2641984</v>
      </c>
      <c r="G486" s="12" t="s">
        <v>2166</v>
      </c>
      <c r="H486" s="12" t="s">
        <v>914</v>
      </c>
      <c r="I486" s="12" t="s">
        <v>756</v>
      </c>
      <c r="J486" s="84">
        <v>35881</v>
      </c>
      <c r="K486" s="84">
        <v>46839</v>
      </c>
      <c r="L486" s="12" t="s">
        <v>304</v>
      </c>
      <c r="M486" s="12" t="s">
        <v>1749</v>
      </c>
      <c r="N486" s="75"/>
    </row>
    <row r="487" spans="1:14">
      <c r="A487" s="12">
        <v>484</v>
      </c>
      <c r="B487" s="12" t="s">
        <v>2167</v>
      </c>
      <c r="C487" s="12" t="s">
        <v>122</v>
      </c>
      <c r="D487" s="12" t="s">
        <v>2168</v>
      </c>
      <c r="E487" s="85">
        <v>872.22</v>
      </c>
      <c r="F487" s="6">
        <v>2095025</v>
      </c>
      <c r="G487" s="12" t="s">
        <v>870</v>
      </c>
      <c r="H487" s="12" t="s">
        <v>755</v>
      </c>
      <c r="I487" s="12" t="s">
        <v>756</v>
      </c>
      <c r="J487" s="84">
        <v>39043</v>
      </c>
      <c r="K487" s="84">
        <v>50001</v>
      </c>
      <c r="L487" s="12" t="s">
        <v>233</v>
      </c>
      <c r="M487" s="12" t="s">
        <v>237</v>
      </c>
      <c r="N487" s="75"/>
    </row>
    <row r="488" spans="1:14">
      <c r="A488" s="12">
        <v>485</v>
      </c>
      <c r="B488" s="12" t="s">
        <v>2169</v>
      </c>
      <c r="C488" s="12" t="s">
        <v>122</v>
      </c>
      <c r="D488" s="12" t="s">
        <v>2170</v>
      </c>
      <c r="E488" s="85">
        <v>35.89</v>
      </c>
      <c r="F488" s="6">
        <v>2095025</v>
      </c>
      <c r="G488" s="12" t="s">
        <v>870</v>
      </c>
      <c r="H488" s="12" t="s">
        <v>755</v>
      </c>
      <c r="I488" s="12" t="s">
        <v>756</v>
      </c>
      <c r="J488" s="84">
        <v>39043</v>
      </c>
      <c r="K488" s="84">
        <v>50001</v>
      </c>
      <c r="L488" s="12" t="s">
        <v>233</v>
      </c>
      <c r="M488" s="12" t="s">
        <v>237</v>
      </c>
      <c r="N488" s="75"/>
    </row>
    <row r="489" spans="1:14">
      <c r="A489" s="12">
        <v>486</v>
      </c>
      <c r="B489" s="12" t="s">
        <v>2171</v>
      </c>
      <c r="C489" s="12" t="s">
        <v>2172</v>
      </c>
      <c r="D489" s="12" t="s">
        <v>2173</v>
      </c>
      <c r="E489" s="85">
        <v>47.5</v>
      </c>
      <c r="F489" s="6">
        <v>5256054</v>
      </c>
      <c r="G489" s="12" t="s">
        <v>2174</v>
      </c>
      <c r="H489" s="12" t="s">
        <v>848</v>
      </c>
      <c r="I489" s="12" t="s">
        <v>849</v>
      </c>
      <c r="J489" s="84">
        <v>39043</v>
      </c>
      <c r="K489" s="84">
        <v>50001</v>
      </c>
      <c r="L489" s="12" t="s">
        <v>205</v>
      </c>
      <c r="M489" s="12" t="s">
        <v>2175</v>
      </c>
      <c r="N489" s="75"/>
    </row>
    <row r="490" spans="1:14">
      <c r="A490" s="12">
        <v>487</v>
      </c>
      <c r="B490" s="12" t="s">
        <v>2176</v>
      </c>
      <c r="C490" s="12" t="s">
        <v>752</v>
      </c>
      <c r="D490" s="12" t="s">
        <v>2177</v>
      </c>
      <c r="E490" s="85">
        <v>26.43</v>
      </c>
      <c r="F490" s="6">
        <v>2881934</v>
      </c>
      <c r="G490" s="12" t="s">
        <v>1222</v>
      </c>
      <c r="H490" s="12" t="s">
        <v>755</v>
      </c>
      <c r="I490" s="12" t="s">
        <v>756</v>
      </c>
      <c r="J490" s="84">
        <v>39048</v>
      </c>
      <c r="K490" s="84">
        <v>51265</v>
      </c>
      <c r="L490" s="12" t="s">
        <v>304</v>
      </c>
      <c r="M490" s="12" t="s">
        <v>773</v>
      </c>
      <c r="N490" s="75"/>
    </row>
    <row r="491" spans="1:14">
      <c r="A491" s="12">
        <v>488</v>
      </c>
      <c r="B491" s="12" t="s">
        <v>2178</v>
      </c>
      <c r="C491" s="12" t="s">
        <v>137</v>
      </c>
      <c r="D491" s="12" t="s">
        <v>2179</v>
      </c>
      <c r="E491" s="85">
        <v>79.52</v>
      </c>
      <c r="F491" s="6">
        <v>5567319</v>
      </c>
      <c r="G491" s="12" t="s">
        <v>2180</v>
      </c>
      <c r="H491" s="12" t="s">
        <v>848</v>
      </c>
      <c r="I491" s="12" t="s">
        <v>849</v>
      </c>
      <c r="J491" s="84">
        <v>39051</v>
      </c>
      <c r="K491" s="84">
        <v>50009</v>
      </c>
      <c r="L491" s="12" t="s">
        <v>836</v>
      </c>
      <c r="M491" s="12" t="s">
        <v>837</v>
      </c>
      <c r="N491" s="75"/>
    </row>
    <row r="492" spans="1:14">
      <c r="A492" s="12">
        <v>489</v>
      </c>
      <c r="B492" s="12" t="s">
        <v>2181</v>
      </c>
      <c r="C492" s="12" t="s">
        <v>1035</v>
      </c>
      <c r="D492" s="12" t="s">
        <v>2182</v>
      </c>
      <c r="E492" s="85">
        <v>144.31</v>
      </c>
      <c r="F492" s="6">
        <v>5082986</v>
      </c>
      <c r="G492" s="12" t="s">
        <v>2183</v>
      </c>
      <c r="H492" s="12" t="s">
        <v>848</v>
      </c>
      <c r="I492" s="12" t="s">
        <v>849</v>
      </c>
      <c r="J492" s="84">
        <v>39059</v>
      </c>
      <c r="K492" s="84">
        <v>50017</v>
      </c>
      <c r="L492" s="12" t="s">
        <v>274</v>
      </c>
      <c r="M492" s="12" t="s">
        <v>2184</v>
      </c>
      <c r="N492" s="75"/>
    </row>
    <row r="493" spans="1:14">
      <c r="A493" s="12">
        <v>490</v>
      </c>
      <c r="B493" s="12" t="s">
        <v>2185</v>
      </c>
      <c r="C493" s="12" t="s">
        <v>122</v>
      </c>
      <c r="D493" s="12" t="s">
        <v>2186</v>
      </c>
      <c r="E493" s="85">
        <v>51.47</v>
      </c>
      <c r="F493" s="6">
        <v>5072948</v>
      </c>
      <c r="G493" s="12" t="s">
        <v>2187</v>
      </c>
      <c r="H493" s="12" t="s">
        <v>766</v>
      </c>
      <c r="I493" s="12" t="s">
        <v>767</v>
      </c>
      <c r="J493" s="84">
        <v>39071</v>
      </c>
      <c r="K493" s="84">
        <v>50029</v>
      </c>
      <c r="L493" s="12" t="s">
        <v>138</v>
      </c>
      <c r="M493" s="12" t="s">
        <v>1806</v>
      </c>
      <c r="N493" s="75"/>
    </row>
    <row r="494" spans="1:14">
      <c r="A494" s="12">
        <v>491</v>
      </c>
      <c r="B494" s="12" t="s">
        <v>2188</v>
      </c>
      <c r="C494" s="12" t="s">
        <v>979</v>
      </c>
      <c r="D494" s="12" t="s">
        <v>2189</v>
      </c>
      <c r="E494" s="85">
        <v>506.47</v>
      </c>
      <c r="F494" s="6">
        <v>6342485</v>
      </c>
      <c r="G494" s="12" t="s">
        <v>2190</v>
      </c>
      <c r="H494" s="12" t="s">
        <v>848</v>
      </c>
      <c r="I494" s="12" t="s">
        <v>849</v>
      </c>
      <c r="J494" s="84">
        <v>39090</v>
      </c>
      <c r="K494" s="84">
        <v>50048</v>
      </c>
      <c r="L494" s="12" t="s">
        <v>274</v>
      </c>
      <c r="M494" s="12" t="s">
        <v>275</v>
      </c>
      <c r="N494" s="75"/>
    </row>
    <row r="495" spans="1:14">
      <c r="A495" s="12">
        <v>492</v>
      </c>
      <c r="B495" s="12" t="s">
        <v>2191</v>
      </c>
      <c r="C495" s="12" t="s">
        <v>137</v>
      </c>
      <c r="D495" s="12" t="s">
        <v>2192</v>
      </c>
      <c r="E495" s="85">
        <v>77.75</v>
      </c>
      <c r="F495" s="6">
        <v>5463599</v>
      </c>
      <c r="G495" s="12" t="s">
        <v>2193</v>
      </c>
      <c r="H495" s="12" t="s">
        <v>848</v>
      </c>
      <c r="I495" s="12" t="s">
        <v>849</v>
      </c>
      <c r="J495" s="84">
        <v>39092</v>
      </c>
      <c r="K495" s="84">
        <v>50050</v>
      </c>
      <c r="L495" s="12" t="s">
        <v>138</v>
      </c>
      <c r="M495" s="12" t="s">
        <v>138</v>
      </c>
      <c r="N495" s="75"/>
    </row>
    <row r="496" spans="1:14">
      <c r="A496" s="12">
        <v>493</v>
      </c>
      <c r="B496" s="12" t="s">
        <v>2194</v>
      </c>
      <c r="C496" s="12" t="s">
        <v>1547</v>
      </c>
      <c r="D496" s="12" t="s">
        <v>2195</v>
      </c>
      <c r="E496" s="85">
        <v>91.39</v>
      </c>
      <c r="F496" s="6">
        <v>5401801</v>
      </c>
      <c r="G496" s="12" t="s">
        <v>1549</v>
      </c>
      <c r="H496" s="12" t="s">
        <v>755</v>
      </c>
      <c r="I496" s="12" t="s">
        <v>756</v>
      </c>
      <c r="J496" s="84">
        <v>37253</v>
      </c>
      <c r="K496" s="84">
        <v>48210</v>
      </c>
      <c r="L496" s="12" t="s">
        <v>1102</v>
      </c>
      <c r="M496" s="12" t="s">
        <v>1550</v>
      </c>
      <c r="N496" s="75"/>
    </row>
    <row r="497" spans="1:14">
      <c r="A497" s="12">
        <v>494</v>
      </c>
      <c r="B497" s="12" t="s">
        <v>2196</v>
      </c>
      <c r="C497" s="12" t="s">
        <v>212</v>
      </c>
      <c r="D497" s="12" t="s">
        <v>811</v>
      </c>
      <c r="E497" s="85">
        <v>44.98</v>
      </c>
      <c r="F497" s="6">
        <v>5088755</v>
      </c>
      <c r="G497" s="12" t="s">
        <v>2197</v>
      </c>
      <c r="H497" s="12" t="s">
        <v>848</v>
      </c>
      <c r="I497" s="12" t="s">
        <v>849</v>
      </c>
      <c r="J497" s="84">
        <v>39106</v>
      </c>
      <c r="K497" s="84">
        <v>50064</v>
      </c>
      <c r="L497" s="12" t="s">
        <v>170</v>
      </c>
      <c r="M497" s="12" t="s">
        <v>811</v>
      </c>
      <c r="N497" s="75"/>
    </row>
    <row r="498" spans="1:14">
      <c r="A498" s="12">
        <v>495</v>
      </c>
      <c r="B498" s="12" t="s">
        <v>2198</v>
      </c>
      <c r="C498" s="12" t="s">
        <v>122</v>
      </c>
      <c r="D498" s="12" t="s">
        <v>2199</v>
      </c>
      <c r="E498" s="85">
        <v>84.77</v>
      </c>
      <c r="F498" s="6">
        <v>5097215</v>
      </c>
      <c r="G498" s="12" t="s">
        <v>2200</v>
      </c>
      <c r="H498" s="12" t="s">
        <v>848</v>
      </c>
      <c r="I498" s="12" t="s">
        <v>849</v>
      </c>
      <c r="J498" s="84">
        <v>39168</v>
      </c>
      <c r="K498" s="84">
        <v>50126</v>
      </c>
      <c r="L498" s="12" t="s">
        <v>123</v>
      </c>
      <c r="M498" s="12" t="s">
        <v>2201</v>
      </c>
      <c r="N498" s="75"/>
    </row>
    <row r="499" spans="1:14">
      <c r="A499" s="12">
        <v>496</v>
      </c>
      <c r="B499" s="12" t="s">
        <v>2202</v>
      </c>
      <c r="C499" s="12" t="s">
        <v>122</v>
      </c>
      <c r="D499" s="12" t="s">
        <v>2203</v>
      </c>
      <c r="E499" s="85">
        <v>65.459999999999994</v>
      </c>
      <c r="F499" s="6">
        <v>2544695</v>
      </c>
      <c r="G499" s="12" t="s">
        <v>2204</v>
      </c>
      <c r="H499" s="12" t="s">
        <v>755</v>
      </c>
      <c r="I499" s="12" t="s">
        <v>756</v>
      </c>
      <c r="J499" s="84">
        <v>39184</v>
      </c>
      <c r="K499" s="84">
        <v>50142</v>
      </c>
      <c r="L499" s="12" t="s">
        <v>375</v>
      </c>
      <c r="M499" s="12" t="s">
        <v>944</v>
      </c>
      <c r="N499" s="75"/>
    </row>
    <row r="500" spans="1:14">
      <c r="A500" s="12">
        <v>497</v>
      </c>
      <c r="B500" s="12" t="s">
        <v>2205</v>
      </c>
      <c r="C500" s="12" t="s">
        <v>212</v>
      </c>
      <c r="D500" s="12" t="s">
        <v>2206</v>
      </c>
      <c r="E500" s="85">
        <v>99.89</v>
      </c>
      <c r="F500" s="6">
        <v>5103851</v>
      </c>
      <c r="G500" s="12" t="s">
        <v>2207</v>
      </c>
      <c r="H500" s="12" t="s">
        <v>848</v>
      </c>
      <c r="I500" s="12" t="s">
        <v>849</v>
      </c>
      <c r="J500" s="84">
        <v>39190</v>
      </c>
      <c r="K500" s="84">
        <v>50148</v>
      </c>
      <c r="L500" s="12" t="s">
        <v>170</v>
      </c>
      <c r="M500" s="12" t="s">
        <v>807</v>
      </c>
      <c r="N500" s="75"/>
    </row>
    <row r="501" spans="1:14">
      <c r="A501" s="12">
        <v>498</v>
      </c>
      <c r="B501" s="12" t="s">
        <v>2208</v>
      </c>
      <c r="C501" s="12" t="s">
        <v>752</v>
      </c>
      <c r="D501" s="12" t="s">
        <v>1544</v>
      </c>
      <c r="E501" s="85">
        <v>472.3</v>
      </c>
      <c r="F501" s="6">
        <v>5180252</v>
      </c>
      <c r="G501" s="12" t="s">
        <v>1349</v>
      </c>
      <c r="H501" s="12" t="s">
        <v>755</v>
      </c>
      <c r="I501" s="12" t="s">
        <v>756</v>
      </c>
      <c r="J501" s="84">
        <v>39190</v>
      </c>
      <c r="K501" s="84">
        <v>50148</v>
      </c>
      <c r="L501" s="12" t="s">
        <v>768</v>
      </c>
      <c r="M501" s="12" t="s">
        <v>769</v>
      </c>
      <c r="N501" s="75"/>
    </row>
    <row r="502" spans="1:14">
      <c r="A502" s="12">
        <v>499</v>
      </c>
      <c r="B502" s="12" t="s">
        <v>2209</v>
      </c>
      <c r="C502" s="12" t="s">
        <v>221</v>
      </c>
      <c r="D502" s="12" t="s">
        <v>775</v>
      </c>
      <c r="E502" s="85">
        <v>104.76</v>
      </c>
      <c r="F502" s="6">
        <v>5209447</v>
      </c>
      <c r="G502" s="12" t="s">
        <v>2210</v>
      </c>
      <c r="H502" s="12" t="s">
        <v>755</v>
      </c>
      <c r="I502" s="12" t="s">
        <v>756</v>
      </c>
      <c r="J502" s="84">
        <v>39190</v>
      </c>
      <c r="K502" s="84">
        <v>50148</v>
      </c>
      <c r="L502" s="12" t="s">
        <v>170</v>
      </c>
      <c r="M502" s="12" t="s">
        <v>171</v>
      </c>
      <c r="N502" s="75"/>
    </row>
    <row r="503" spans="1:14">
      <c r="A503" s="12">
        <v>500</v>
      </c>
      <c r="B503" s="12" t="s">
        <v>2211</v>
      </c>
      <c r="C503" s="12" t="s">
        <v>752</v>
      </c>
      <c r="D503" s="12" t="s">
        <v>2212</v>
      </c>
      <c r="E503" s="85">
        <v>190.3</v>
      </c>
      <c r="F503" s="6">
        <v>2659603</v>
      </c>
      <c r="G503" s="12" t="s">
        <v>2213</v>
      </c>
      <c r="H503" s="12" t="s">
        <v>755</v>
      </c>
      <c r="I503" s="12" t="s">
        <v>756</v>
      </c>
      <c r="J503" s="84">
        <v>39190</v>
      </c>
      <c r="K503" s="84">
        <v>50148</v>
      </c>
      <c r="L503" s="12" t="s">
        <v>180</v>
      </c>
      <c r="M503" s="12" t="s">
        <v>927</v>
      </c>
      <c r="N503" s="75"/>
    </row>
    <row r="504" spans="1:14">
      <c r="A504" s="12">
        <v>501</v>
      </c>
      <c r="B504" s="12" t="s">
        <v>2214</v>
      </c>
      <c r="C504" s="12" t="s">
        <v>122</v>
      </c>
      <c r="D504" s="12" t="s">
        <v>2215</v>
      </c>
      <c r="E504" s="85">
        <v>238.73</v>
      </c>
      <c r="F504" s="6">
        <v>5031869</v>
      </c>
      <c r="G504" s="12" t="s">
        <v>2216</v>
      </c>
      <c r="H504" s="12" t="s">
        <v>766</v>
      </c>
      <c r="I504" s="12" t="s">
        <v>767</v>
      </c>
      <c r="J504" s="84">
        <v>39203</v>
      </c>
      <c r="K504" s="84">
        <v>50161</v>
      </c>
      <c r="L504" s="12" t="s">
        <v>170</v>
      </c>
      <c r="M504" s="12" t="s">
        <v>171</v>
      </c>
      <c r="N504" s="75"/>
    </row>
    <row r="505" spans="1:14">
      <c r="A505" s="12">
        <v>502</v>
      </c>
      <c r="B505" s="12" t="s">
        <v>2217</v>
      </c>
      <c r="C505" s="12" t="s">
        <v>752</v>
      </c>
      <c r="D505" s="12" t="s">
        <v>856</v>
      </c>
      <c r="E505" s="85">
        <v>101.69</v>
      </c>
      <c r="F505" s="6">
        <v>5935539</v>
      </c>
      <c r="G505" s="12" t="s">
        <v>857</v>
      </c>
      <c r="H505" s="12" t="s">
        <v>755</v>
      </c>
      <c r="I505" s="12" t="s">
        <v>756</v>
      </c>
      <c r="J505" s="84">
        <v>39209</v>
      </c>
      <c r="K505" s="84">
        <v>50167</v>
      </c>
      <c r="L505" s="12" t="s">
        <v>274</v>
      </c>
      <c r="M505" s="12" t="s">
        <v>275</v>
      </c>
      <c r="N505" s="75"/>
    </row>
    <row r="506" spans="1:14">
      <c r="A506" s="12">
        <v>503</v>
      </c>
      <c r="B506" s="12" t="s">
        <v>2218</v>
      </c>
      <c r="C506" s="12" t="s">
        <v>328</v>
      </c>
      <c r="D506" s="12" t="s">
        <v>2219</v>
      </c>
      <c r="E506" s="85">
        <v>33.29</v>
      </c>
      <c r="F506" s="6">
        <v>2668041</v>
      </c>
      <c r="G506" s="12" t="s">
        <v>2219</v>
      </c>
      <c r="H506" s="12" t="s">
        <v>755</v>
      </c>
      <c r="I506" s="12" t="s">
        <v>756</v>
      </c>
      <c r="J506" s="84">
        <v>39216</v>
      </c>
      <c r="K506" s="84">
        <v>50174</v>
      </c>
      <c r="L506" s="12" t="s">
        <v>836</v>
      </c>
      <c r="M506" s="12" t="s">
        <v>2056</v>
      </c>
      <c r="N506" s="75"/>
    </row>
    <row r="507" spans="1:14">
      <c r="A507" s="12">
        <v>504</v>
      </c>
      <c r="B507" s="12" t="s">
        <v>2220</v>
      </c>
      <c r="C507" s="12" t="s">
        <v>122</v>
      </c>
      <c r="D507" s="12" t="s">
        <v>2221</v>
      </c>
      <c r="E507" s="85">
        <v>460.33</v>
      </c>
      <c r="F507" s="6">
        <v>2095025</v>
      </c>
      <c r="G507" s="12" t="s">
        <v>870</v>
      </c>
      <c r="H507" s="12" t="s">
        <v>755</v>
      </c>
      <c r="I507" s="12" t="s">
        <v>756</v>
      </c>
      <c r="J507" s="84">
        <v>39225</v>
      </c>
      <c r="K507" s="84">
        <v>50183</v>
      </c>
      <c r="L507" s="12" t="s">
        <v>170</v>
      </c>
      <c r="M507" s="12" t="s">
        <v>171</v>
      </c>
      <c r="N507" s="75"/>
    </row>
    <row r="508" spans="1:14">
      <c r="A508" s="12">
        <v>505</v>
      </c>
      <c r="B508" s="12" t="s">
        <v>2222</v>
      </c>
      <c r="C508" s="12" t="s">
        <v>122</v>
      </c>
      <c r="D508" s="12" t="s">
        <v>2223</v>
      </c>
      <c r="E508" s="85">
        <v>509.5</v>
      </c>
      <c r="F508" s="6">
        <v>2831686</v>
      </c>
      <c r="G508" s="12" t="s">
        <v>2224</v>
      </c>
      <c r="H508" s="12" t="s">
        <v>755</v>
      </c>
      <c r="I508" s="12" t="s">
        <v>756</v>
      </c>
      <c r="J508" s="84">
        <v>39225</v>
      </c>
      <c r="K508" s="84">
        <v>50183</v>
      </c>
      <c r="L508" s="12" t="s">
        <v>138</v>
      </c>
      <c r="M508" s="12" t="s">
        <v>138</v>
      </c>
      <c r="N508" s="75"/>
    </row>
    <row r="509" spans="1:14">
      <c r="A509" s="12">
        <v>506</v>
      </c>
      <c r="B509" s="12" t="s">
        <v>2225</v>
      </c>
      <c r="C509" s="12" t="s">
        <v>752</v>
      </c>
      <c r="D509" s="12" t="s">
        <v>2226</v>
      </c>
      <c r="E509" s="85">
        <v>41.11</v>
      </c>
      <c r="F509" s="6">
        <v>5231337</v>
      </c>
      <c r="G509" s="12" t="s">
        <v>2227</v>
      </c>
      <c r="H509" s="12" t="s">
        <v>848</v>
      </c>
      <c r="I509" s="12" t="s">
        <v>849</v>
      </c>
      <c r="J509" s="84">
        <v>34936</v>
      </c>
      <c r="K509" s="84">
        <v>45894</v>
      </c>
      <c r="L509" s="12" t="s">
        <v>304</v>
      </c>
      <c r="M509" s="12" t="s">
        <v>773</v>
      </c>
      <c r="N509" s="75"/>
    </row>
    <row r="510" spans="1:14">
      <c r="A510" s="12">
        <v>507</v>
      </c>
      <c r="B510" s="12" t="s">
        <v>2228</v>
      </c>
      <c r="C510" s="12" t="s">
        <v>752</v>
      </c>
      <c r="D510" s="12" t="s">
        <v>2229</v>
      </c>
      <c r="E510" s="85">
        <v>141.44</v>
      </c>
      <c r="F510" s="6">
        <v>2877694</v>
      </c>
      <c r="G510" s="12" t="s">
        <v>2230</v>
      </c>
      <c r="H510" s="12" t="s">
        <v>755</v>
      </c>
      <c r="I510" s="12" t="s">
        <v>756</v>
      </c>
      <c r="J510" s="84">
        <v>39227</v>
      </c>
      <c r="K510" s="84">
        <v>50662</v>
      </c>
      <c r="L510" s="12" t="s">
        <v>1097</v>
      </c>
      <c r="M510" s="12" t="s">
        <v>1098</v>
      </c>
      <c r="N510" s="75"/>
    </row>
    <row r="511" spans="1:14">
      <c r="A511" s="12">
        <v>508</v>
      </c>
      <c r="B511" s="12" t="s">
        <v>2231</v>
      </c>
      <c r="C511" s="12" t="s">
        <v>122</v>
      </c>
      <c r="D511" s="12" t="s">
        <v>1108</v>
      </c>
      <c r="E511" s="85">
        <v>851.94</v>
      </c>
      <c r="F511" s="6">
        <v>5148146</v>
      </c>
      <c r="G511" s="12" t="s">
        <v>2232</v>
      </c>
      <c r="H511" s="12" t="s">
        <v>755</v>
      </c>
      <c r="I511" s="12" t="s">
        <v>756</v>
      </c>
      <c r="J511" s="84">
        <v>39231</v>
      </c>
      <c r="K511" s="84">
        <v>50189</v>
      </c>
      <c r="L511" s="12" t="s">
        <v>782</v>
      </c>
      <c r="M511" s="12" t="s">
        <v>1109</v>
      </c>
      <c r="N511" s="75"/>
    </row>
    <row r="512" spans="1:14">
      <c r="A512" s="12">
        <v>509</v>
      </c>
      <c r="B512" s="12" t="s">
        <v>2233</v>
      </c>
      <c r="C512" s="12" t="s">
        <v>122</v>
      </c>
      <c r="D512" s="12" t="s">
        <v>2234</v>
      </c>
      <c r="E512" s="85">
        <v>392.4</v>
      </c>
      <c r="F512" s="6">
        <v>5155827</v>
      </c>
      <c r="G512" s="12" t="s">
        <v>2235</v>
      </c>
      <c r="H512" s="12" t="s">
        <v>755</v>
      </c>
      <c r="I512" s="12" t="s">
        <v>756</v>
      </c>
      <c r="J512" s="84">
        <v>39231</v>
      </c>
      <c r="K512" s="84">
        <v>50189</v>
      </c>
      <c r="L512" s="12" t="s">
        <v>274</v>
      </c>
      <c r="M512" s="12" t="s">
        <v>874</v>
      </c>
      <c r="N512" s="75"/>
    </row>
    <row r="513" spans="1:14">
      <c r="A513" s="12">
        <v>510</v>
      </c>
      <c r="B513" s="12" t="s">
        <v>2236</v>
      </c>
      <c r="C513" s="12" t="s">
        <v>752</v>
      </c>
      <c r="D513" s="12" t="s">
        <v>2237</v>
      </c>
      <c r="E513" s="85">
        <v>17.75</v>
      </c>
      <c r="F513" s="6">
        <v>5108357</v>
      </c>
      <c r="G513" s="12" t="s">
        <v>2238</v>
      </c>
      <c r="H513" s="12" t="s">
        <v>755</v>
      </c>
      <c r="I513" s="12" t="s">
        <v>756</v>
      </c>
      <c r="J513" s="84">
        <v>39247</v>
      </c>
      <c r="K513" s="84">
        <v>50601</v>
      </c>
      <c r="L513" s="12" t="s">
        <v>768</v>
      </c>
      <c r="M513" s="12" t="s">
        <v>1386</v>
      </c>
      <c r="N513" s="75"/>
    </row>
    <row r="514" spans="1:14">
      <c r="A514" s="12">
        <v>511</v>
      </c>
      <c r="B514" s="12" t="s">
        <v>2239</v>
      </c>
      <c r="C514" s="12" t="s">
        <v>752</v>
      </c>
      <c r="D514" s="12" t="s">
        <v>2240</v>
      </c>
      <c r="E514" s="85">
        <v>90.74</v>
      </c>
      <c r="F514" s="6">
        <v>5402166</v>
      </c>
      <c r="G514" s="12" t="s">
        <v>2241</v>
      </c>
      <c r="H514" s="12" t="s">
        <v>755</v>
      </c>
      <c r="I514" s="12" t="s">
        <v>756</v>
      </c>
      <c r="J514" s="84">
        <v>39259</v>
      </c>
      <c r="K514" s="84">
        <v>50217</v>
      </c>
      <c r="L514" s="12" t="s">
        <v>304</v>
      </c>
      <c r="M514" s="12" t="s">
        <v>843</v>
      </c>
      <c r="N514" s="75"/>
    </row>
    <row r="515" spans="1:14">
      <c r="A515" s="12">
        <v>512</v>
      </c>
      <c r="B515" s="12" t="s">
        <v>2242</v>
      </c>
      <c r="C515" s="12" t="s">
        <v>122</v>
      </c>
      <c r="D515" s="12" t="s">
        <v>2243</v>
      </c>
      <c r="E515" s="85">
        <v>28.17</v>
      </c>
      <c r="F515" s="6">
        <v>5031869</v>
      </c>
      <c r="G515" s="12" t="s">
        <v>2216</v>
      </c>
      <c r="H515" s="12" t="s">
        <v>766</v>
      </c>
      <c r="I515" s="12" t="s">
        <v>767</v>
      </c>
      <c r="J515" s="84">
        <v>39259</v>
      </c>
      <c r="K515" s="84">
        <v>50217</v>
      </c>
      <c r="L515" s="12" t="s">
        <v>170</v>
      </c>
      <c r="M515" s="12" t="s">
        <v>171</v>
      </c>
      <c r="N515" s="75"/>
    </row>
    <row r="516" spans="1:14">
      <c r="A516" s="12">
        <v>513</v>
      </c>
      <c r="B516" s="12" t="s">
        <v>2244</v>
      </c>
      <c r="C516" s="12" t="s">
        <v>2245</v>
      </c>
      <c r="D516" s="12" t="s">
        <v>2246</v>
      </c>
      <c r="E516" s="85">
        <v>26.41</v>
      </c>
      <c r="F516" s="6">
        <v>4489659</v>
      </c>
      <c r="G516" s="12" t="s">
        <v>2247</v>
      </c>
      <c r="H516" s="12" t="s">
        <v>755</v>
      </c>
      <c r="I516" s="12" t="s">
        <v>756</v>
      </c>
      <c r="J516" s="84">
        <v>39281</v>
      </c>
      <c r="K516" s="84">
        <v>50239</v>
      </c>
      <c r="L516" s="12" t="s">
        <v>128</v>
      </c>
      <c r="M516" s="12" t="s">
        <v>862</v>
      </c>
      <c r="N516" s="75"/>
    </row>
    <row r="517" spans="1:14">
      <c r="A517" s="12">
        <v>514</v>
      </c>
      <c r="B517" s="12" t="s">
        <v>2248</v>
      </c>
      <c r="C517" s="12" t="s">
        <v>212</v>
      </c>
      <c r="D517" s="12" t="s">
        <v>2249</v>
      </c>
      <c r="E517" s="85">
        <v>65.05</v>
      </c>
      <c r="F517" s="6">
        <v>5039932</v>
      </c>
      <c r="G517" s="12" t="s">
        <v>2250</v>
      </c>
      <c r="H517" s="12" t="s">
        <v>755</v>
      </c>
      <c r="I517" s="12" t="s">
        <v>756</v>
      </c>
      <c r="J517" s="84">
        <v>39288</v>
      </c>
      <c r="K517" s="84">
        <v>50246</v>
      </c>
      <c r="L517" s="12" t="s">
        <v>293</v>
      </c>
      <c r="M517" s="12" t="s">
        <v>294</v>
      </c>
      <c r="N517" s="75"/>
    </row>
    <row r="518" spans="1:14">
      <c r="A518" s="12">
        <v>515</v>
      </c>
      <c r="B518" s="12" t="s">
        <v>2251</v>
      </c>
      <c r="C518" s="12" t="s">
        <v>200</v>
      </c>
      <c r="D518" s="12" t="s">
        <v>2252</v>
      </c>
      <c r="E518" s="85">
        <v>26.75</v>
      </c>
      <c r="F518" s="6">
        <v>2848376</v>
      </c>
      <c r="G518" s="12" t="s">
        <v>2253</v>
      </c>
      <c r="H518" s="12" t="s">
        <v>755</v>
      </c>
      <c r="I518" s="12" t="s">
        <v>756</v>
      </c>
      <c r="J518" s="84">
        <v>39288</v>
      </c>
      <c r="K518" s="84">
        <v>50246</v>
      </c>
      <c r="L518" s="12" t="s">
        <v>170</v>
      </c>
      <c r="M518" s="12" t="s">
        <v>924</v>
      </c>
      <c r="N518" s="75"/>
    </row>
    <row r="519" spans="1:14">
      <c r="A519" s="12">
        <v>516</v>
      </c>
      <c r="B519" s="12" t="s">
        <v>2254</v>
      </c>
      <c r="C519" s="12" t="s">
        <v>212</v>
      </c>
      <c r="D519" s="12" t="s">
        <v>2255</v>
      </c>
      <c r="E519" s="85">
        <v>289.31</v>
      </c>
      <c r="F519" s="6">
        <v>5015243</v>
      </c>
      <c r="G519" s="12" t="s">
        <v>2256</v>
      </c>
      <c r="H519" s="12" t="s">
        <v>848</v>
      </c>
      <c r="I519" s="12" t="s">
        <v>849</v>
      </c>
      <c r="J519" s="84">
        <v>39295</v>
      </c>
      <c r="K519" s="84">
        <v>50253</v>
      </c>
      <c r="L519" s="12" t="s">
        <v>170</v>
      </c>
      <c r="M519" s="12" t="s">
        <v>807</v>
      </c>
      <c r="N519" s="75"/>
    </row>
    <row r="520" spans="1:14">
      <c r="A520" s="12">
        <v>517</v>
      </c>
      <c r="B520" s="12" t="s">
        <v>2257</v>
      </c>
      <c r="C520" s="12" t="s">
        <v>212</v>
      </c>
      <c r="D520" s="12" t="s">
        <v>2258</v>
      </c>
      <c r="E520" s="85">
        <v>43.47</v>
      </c>
      <c r="F520" s="6">
        <v>5025397</v>
      </c>
      <c r="G520" s="12" t="s">
        <v>2259</v>
      </c>
      <c r="H520" s="12" t="s">
        <v>766</v>
      </c>
      <c r="I520" s="12" t="s">
        <v>767</v>
      </c>
      <c r="J520" s="84">
        <v>39297</v>
      </c>
      <c r="K520" s="84">
        <v>50255</v>
      </c>
      <c r="L520" s="12" t="s">
        <v>293</v>
      </c>
      <c r="M520" s="12" t="s">
        <v>815</v>
      </c>
      <c r="N520" s="75"/>
    </row>
    <row r="521" spans="1:14">
      <c r="A521" s="12">
        <v>518</v>
      </c>
      <c r="B521" s="12" t="s">
        <v>2260</v>
      </c>
      <c r="C521" s="12" t="s">
        <v>122</v>
      </c>
      <c r="D521" s="12" t="s">
        <v>2261</v>
      </c>
      <c r="E521" s="85">
        <v>90.72</v>
      </c>
      <c r="F521" s="6">
        <v>2091798</v>
      </c>
      <c r="G521" s="12" t="s">
        <v>2262</v>
      </c>
      <c r="H521" s="12" t="s">
        <v>755</v>
      </c>
      <c r="I521" s="12" t="s">
        <v>756</v>
      </c>
      <c r="J521" s="84">
        <v>39317</v>
      </c>
      <c r="K521" s="84">
        <v>50275</v>
      </c>
      <c r="L521" s="12" t="s">
        <v>768</v>
      </c>
      <c r="M521" s="12" t="s">
        <v>867</v>
      </c>
      <c r="N521" s="75"/>
    </row>
    <row r="522" spans="1:14">
      <c r="A522" s="12">
        <v>519</v>
      </c>
      <c r="B522" s="12" t="s">
        <v>2263</v>
      </c>
      <c r="C522" s="12" t="s">
        <v>752</v>
      </c>
      <c r="D522" s="12" t="s">
        <v>2264</v>
      </c>
      <c r="E522" s="85">
        <v>108.76</v>
      </c>
      <c r="F522" s="6">
        <v>5319331</v>
      </c>
      <c r="G522" s="12" t="s">
        <v>908</v>
      </c>
      <c r="H522" s="12" t="s">
        <v>755</v>
      </c>
      <c r="I522" s="12" t="s">
        <v>756</v>
      </c>
      <c r="J522" s="84">
        <v>39322</v>
      </c>
      <c r="K522" s="84">
        <v>50280</v>
      </c>
      <c r="L522" s="12" t="s">
        <v>768</v>
      </c>
      <c r="M522" s="12" t="s">
        <v>867</v>
      </c>
      <c r="N522" s="75"/>
    </row>
    <row r="523" spans="1:14">
      <c r="A523" s="12">
        <v>520</v>
      </c>
      <c r="B523" s="12" t="s">
        <v>2265</v>
      </c>
      <c r="C523" s="12" t="s">
        <v>212</v>
      </c>
      <c r="D523" s="12" t="s">
        <v>2266</v>
      </c>
      <c r="E523" s="85">
        <v>151.03</v>
      </c>
      <c r="F523" s="6">
        <v>5384915</v>
      </c>
      <c r="G523" s="12" t="s">
        <v>2267</v>
      </c>
      <c r="H523" s="12" t="s">
        <v>848</v>
      </c>
      <c r="I523" s="12" t="s">
        <v>849</v>
      </c>
      <c r="J523" s="84">
        <v>39329</v>
      </c>
      <c r="K523" s="84">
        <v>50287</v>
      </c>
      <c r="L523" s="12" t="s">
        <v>375</v>
      </c>
      <c r="M523" s="12" t="s">
        <v>944</v>
      </c>
      <c r="N523" s="75"/>
    </row>
    <row r="524" spans="1:14">
      <c r="A524" s="12">
        <v>521</v>
      </c>
      <c r="B524" s="12" t="s">
        <v>2268</v>
      </c>
      <c r="C524" s="12" t="s">
        <v>752</v>
      </c>
      <c r="D524" s="12" t="s">
        <v>2269</v>
      </c>
      <c r="E524" s="85">
        <v>349.4</v>
      </c>
      <c r="F524" s="6">
        <v>5205581</v>
      </c>
      <c r="G524" s="12" t="s">
        <v>2270</v>
      </c>
      <c r="H524" s="12" t="s">
        <v>755</v>
      </c>
      <c r="I524" s="12" t="s">
        <v>756</v>
      </c>
      <c r="J524" s="84">
        <v>39342</v>
      </c>
      <c r="K524" s="84">
        <v>50300</v>
      </c>
      <c r="L524" s="12" t="s">
        <v>768</v>
      </c>
      <c r="M524" s="12" t="s">
        <v>933</v>
      </c>
      <c r="N524" s="75"/>
    </row>
    <row r="525" spans="1:14">
      <c r="A525" s="12">
        <v>522</v>
      </c>
      <c r="B525" s="12" t="s">
        <v>2271</v>
      </c>
      <c r="C525" s="12" t="s">
        <v>752</v>
      </c>
      <c r="D525" s="12" t="s">
        <v>2272</v>
      </c>
      <c r="E525" s="85">
        <v>72.290000000000006</v>
      </c>
      <c r="F525" s="6">
        <v>5445744</v>
      </c>
      <c r="G525" s="12" t="s">
        <v>2273</v>
      </c>
      <c r="H525" s="12" t="s">
        <v>755</v>
      </c>
      <c r="I525" s="12" t="s">
        <v>756</v>
      </c>
      <c r="J525" s="84">
        <v>39343</v>
      </c>
      <c r="K525" s="84">
        <v>50301</v>
      </c>
      <c r="L525" s="12" t="s">
        <v>768</v>
      </c>
      <c r="M525" s="12" t="s">
        <v>1386</v>
      </c>
      <c r="N525" s="75"/>
    </row>
    <row r="526" spans="1:14">
      <c r="A526" s="12">
        <v>523</v>
      </c>
      <c r="B526" s="12" t="s">
        <v>2274</v>
      </c>
      <c r="C526" s="12" t="s">
        <v>122</v>
      </c>
      <c r="D526" s="12" t="s">
        <v>2275</v>
      </c>
      <c r="E526" s="85">
        <v>9282.76</v>
      </c>
      <c r="F526" s="6">
        <v>5084555</v>
      </c>
      <c r="G526" s="12" t="s">
        <v>2276</v>
      </c>
      <c r="H526" s="12" t="s">
        <v>848</v>
      </c>
      <c r="I526" s="12" t="s">
        <v>849</v>
      </c>
      <c r="J526" s="84">
        <v>39345</v>
      </c>
      <c r="K526" s="84">
        <v>50303</v>
      </c>
      <c r="L526" s="12" t="s">
        <v>233</v>
      </c>
      <c r="M526" s="12" t="s">
        <v>237</v>
      </c>
      <c r="N526" s="75"/>
    </row>
    <row r="527" spans="1:14">
      <c r="A527" s="12">
        <v>524</v>
      </c>
      <c r="B527" s="12" t="s">
        <v>2277</v>
      </c>
      <c r="C527" s="12" t="s">
        <v>122</v>
      </c>
      <c r="D527" s="12" t="s">
        <v>927</v>
      </c>
      <c r="E527" s="85">
        <v>490.15</v>
      </c>
      <c r="F527" s="6">
        <v>2862468</v>
      </c>
      <c r="G527" s="12" t="s">
        <v>1013</v>
      </c>
      <c r="H527" s="12" t="s">
        <v>766</v>
      </c>
      <c r="I527" s="12" t="s">
        <v>767</v>
      </c>
      <c r="J527" s="84">
        <v>39346</v>
      </c>
      <c r="K527" s="84">
        <v>50304</v>
      </c>
      <c r="L527" s="12" t="s">
        <v>768</v>
      </c>
      <c r="M527" s="12" t="s">
        <v>1198</v>
      </c>
      <c r="N527" s="75"/>
    </row>
    <row r="528" spans="1:14">
      <c r="A528" s="12">
        <v>525</v>
      </c>
      <c r="B528" s="12" t="s">
        <v>2278</v>
      </c>
      <c r="C528" s="12" t="s">
        <v>752</v>
      </c>
      <c r="D528" s="12" t="s">
        <v>2279</v>
      </c>
      <c r="E528" s="85">
        <v>200.63</v>
      </c>
      <c r="F528" s="6">
        <v>2819996</v>
      </c>
      <c r="G528" s="12" t="s">
        <v>977</v>
      </c>
      <c r="H528" s="12" t="s">
        <v>755</v>
      </c>
      <c r="I528" s="12" t="s">
        <v>756</v>
      </c>
      <c r="J528" s="84">
        <v>39358</v>
      </c>
      <c r="K528" s="84">
        <v>50316</v>
      </c>
      <c r="L528" s="12" t="s">
        <v>274</v>
      </c>
      <c r="M528" s="12" t="s">
        <v>275</v>
      </c>
      <c r="N528" s="75"/>
    </row>
    <row r="529" spans="1:14">
      <c r="A529" s="12">
        <v>526</v>
      </c>
      <c r="B529" s="12" t="s">
        <v>2280</v>
      </c>
      <c r="C529" s="12" t="s">
        <v>752</v>
      </c>
      <c r="D529" s="12" t="s">
        <v>2281</v>
      </c>
      <c r="E529" s="85">
        <v>204.37</v>
      </c>
      <c r="F529" s="6">
        <v>2675471</v>
      </c>
      <c r="G529" s="12" t="s">
        <v>2282</v>
      </c>
      <c r="H529" s="12" t="s">
        <v>755</v>
      </c>
      <c r="I529" s="12" t="s">
        <v>756</v>
      </c>
      <c r="J529" s="84">
        <v>39365</v>
      </c>
      <c r="K529" s="84">
        <v>50323</v>
      </c>
      <c r="L529" s="12" t="s">
        <v>768</v>
      </c>
      <c r="M529" s="12" t="s">
        <v>1386</v>
      </c>
      <c r="N529" s="75"/>
    </row>
    <row r="530" spans="1:14">
      <c r="A530" s="12">
        <v>527</v>
      </c>
      <c r="B530" s="12" t="s">
        <v>2283</v>
      </c>
      <c r="C530" s="12" t="s">
        <v>212</v>
      </c>
      <c r="D530" s="12" t="s">
        <v>811</v>
      </c>
      <c r="E530" s="85">
        <v>35.5</v>
      </c>
      <c r="F530" s="6">
        <v>2550466</v>
      </c>
      <c r="G530" s="12" t="s">
        <v>801</v>
      </c>
      <c r="H530" s="12" t="s">
        <v>761</v>
      </c>
      <c r="I530" s="12" t="s">
        <v>756</v>
      </c>
      <c r="J530" s="84">
        <v>35352</v>
      </c>
      <c r="K530" s="84">
        <v>46309</v>
      </c>
      <c r="L530" s="12" t="s">
        <v>170</v>
      </c>
      <c r="M530" s="12" t="s">
        <v>811</v>
      </c>
      <c r="N530" s="75"/>
    </row>
    <row r="531" spans="1:14">
      <c r="A531" s="12">
        <v>528</v>
      </c>
      <c r="B531" s="12" t="s">
        <v>2284</v>
      </c>
      <c r="C531" s="12" t="s">
        <v>1152</v>
      </c>
      <c r="D531" s="12" t="s">
        <v>2285</v>
      </c>
      <c r="E531" s="85">
        <v>26.4</v>
      </c>
      <c r="F531" s="6">
        <v>2034719</v>
      </c>
      <c r="G531" s="12" t="s">
        <v>2286</v>
      </c>
      <c r="H531" s="12" t="s">
        <v>755</v>
      </c>
      <c r="I531" s="12" t="s">
        <v>756</v>
      </c>
      <c r="J531" s="84">
        <v>39386</v>
      </c>
      <c r="K531" s="84">
        <v>50344</v>
      </c>
      <c r="L531" s="12" t="s">
        <v>205</v>
      </c>
      <c r="M531" s="12" t="s">
        <v>1066</v>
      </c>
      <c r="N531" s="75"/>
    </row>
    <row r="532" spans="1:14">
      <c r="A532" s="12">
        <v>529</v>
      </c>
      <c r="B532" s="12" t="s">
        <v>2287</v>
      </c>
      <c r="C532" s="12" t="s">
        <v>212</v>
      </c>
      <c r="D532" s="12" t="s">
        <v>2288</v>
      </c>
      <c r="E532" s="85">
        <v>26.88</v>
      </c>
      <c r="F532" s="6">
        <v>5133408</v>
      </c>
      <c r="G532" s="12" t="s">
        <v>2289</v>
      </c>
      <c r="H532" s="12" t="s">
        <v>848</v>
      </c>
      <c r="I532" s="12" t="s">
        <v>849</v>
      </c>
      <c r="J532" s="84">
        <v>39401</v>
      </c>
      <c r="K532" s="84">
        <v>50359</v>
      </c>
      <c r="L532" s="12" t="s">
        <v>293</v>
      </c>
      <c r="M532" s="12" t="s">
        <v>2290</v>
      </c>
      <c r="N532" s="75"/>
    </row>
    <row r="533" spans="1:14">
      <c r="A533" s="12">
        <v>530</v>
      </c>
      <c r="B533" s="12" t="s">
        <v>2291</v>
      </c>
      <c r="C533" s="12" t="s">
        <v>752</v>
      </c>
      <c r="D533" s="12" t="s">
        <v>2292</v>
      </c>
      <c r="E533" s="85">
        <v>314.16000000000003</v>
      </c>
      <c r="F533" s="6">
        <v>2597977</v>
      </c>
      <c r="G533" s="12" t="s">
        <v>2293</v>
      </c>
      <c r="H533" s="12" t="s">
        <v>755</v>
      </c>
      <c r="I533" s="12" t="s">
        <v>756</v>
      </c>
      <c r="J533" s="84">
        <v>39421</v>
      </c>
      <c r="K533" s="84">
        <v>50379</v>
      </c>
      <c r="L533" s="12" t="s">
        <v>163</v>
      </c>
      <c r="M533" s="12" t="s">
        <v>948</v>
      </c>
      <c r="N533" s="75"/>
    </row>
    <row r="534" spans="1:14">
      <c r="A534" s="12">
        <v>531</v>
      </c>
      <c r="B534" s="12" t="s">
        <v>2294</v>
      </c>
      <c r="C534" s="12" t="s">
        <v>122</v>
      </c>
      <c r="D534" s="12" t="s">
        <v>1482</v>
      </c>
      <c r="E534" s="85">
        <v>225.54</v>
      </c>
      <c r="F534" s="6">
        <v>2681471</v>
      </c>
      <c r="G534" s="12" t="s">
        <v>1483</v>
      </c>
      <c r="H534" s="12" t="s">
        <v>755</v>
      </c>
      <c r="I534" s="12" t="s">
        <v>756</v>
      </c>
      <c r="J534" s="84">
        <v>39454</v>
      </c>
      <c r="K534" s="84">
        <v>50412</v>
      </c>
      <c r="L534" s="12" t="s">
        <v>274</v>
      </c>
      <c r="M534" s="12" t="s">
        <v>874</v>
      </c>
      <c r="N534" s="75"/>
    </row>
    <row r="535" spans="1:14">
      <c r="A535" s="12">
        <v>532</v>
      </c>
      <c r="B535" s="12" t="s">
        <v>2295</v>
      </c>
      <c r="C535" s="12" t="s">
        <v>212</v>
      </c>
      <c r="D535" s="12" t="s">
        <v>2296</v>
      </c>
      <c r="E535" s="85">
        <v>26.05</v>
      </c>
      <c r="F535" s="6">
        <v>5002109</v>
      </c>
      <c r="G535" s="12" t="s">
        <v>2297</v>
      </c>
      <c r="H535" s="12" t="s">
        <v>755</v>
      </c>
      <c r="I535" s="12" t="s">
        <v>756</v>
      </c>
      <c r="J535" s="84">
        <v>39471</v>
      </c>
      <c r="K535" s="84">
        <v>50429</v>
      </c>
      <c r="L535" s="12" t="s">
        <v>274</v>
      </c>
      <c r="M535" s="12" t="s">
        <v>874</v>
      </c>
      <c r="N535" s="75"/>
    </row>
    <row r="536" spans="1:14">
      <c r="A536" s="12">
        <v>533</v>
      </c>
      <c r="B536" s="12" t="s">
        <v>2298</v>
      </c>
      <c r="C536" s="12" t="s">
        <v>752</v>
      </c>
      <c r="D536" s="12" t="s">
        <v>2299</v>
      </c>
      <c r="E536" s="85">
        <v>106.44</v>
      </c>
      <c r="F536" s="6">
        <v>4271475</v>
      </c>
      <c r="G536" s="12" t="s">
        <v>2300</v>
      </c>
      <c r="H536" s="12" t="s">
        <v>755</v>
      </c>
      <c r="I536" s="12" t="s">
        <v>756</v>
      </c>
      <c r="J536" s="84">
        <v>39471</v>
      </c>
      <c r="K536" s="84">
        <v>50429</v>
      </c>
      <c r="L536" s="12" t="s">
        <v>180</v>
      </c>
      <c r="M536" s="12" t="s">
        <v>927</v>
      </c>
      <c r="N536" s="75"/>
    </row>
    <row r="537" spans="1:14">
      <c r="A537" s="12">
        <v>534</v>
      </c>
      <c r="B537" s="12" t="s">
        <v>2301</v>
      </c>
      <c r="C537" s="12" t="s">
        <v>212</v>
      </c>
      <c r="D537" s="12" t="s">
        <v>2302</v>
      </c>
      <c r="E537" s="85">
        <v>34.979999999999997</v>
      </c>
      <c r="F537" s="6">
        <v>5309069</v>
      </c>
      <c r="G537" s="12" t="s">
        <v>2303</v>
      </c>
      <c r="H537" s="12" t="s">
        <v>755</v>
      </c>
      <c r="I537" s="12" t="s">
        <v>756</v>
      </c>
      <c r="J537" s="84">
        <v>39471</v>
      </c>
      <c r="K537" s="84">
        <v>50429</v>
      </c>
      <c r="L537" s="12" t="s">
        <v>170</v>
      </c>
      <c r="M537" s="12" t="s">
        <v>811</v>
      </c>
      <c r="N537" s="75"/>
    </row>
    <row r="538" spans="1:14">
      <c r="A538" s="12">
        <v>535</v>
      </c>
      <c r="B538" s="12" t="s">
        <v>2304</v>
      </c>
      <c r="C538" s="12" t="s">
        <v>752</v>
      </c>
      <c r="D538" s="12" t="s">
        <v>2305</v>
      </c>
      <c r="E538" s="85">
        <v>34.450000000000003</v>
      </c>
      <c r="F538" s="6">
        <v>2100231</v>
      </c>
      <c r="G538" s="12" t="s">
        <v>896</v>
      </c>
      <c r="H538" s="12" t="s">
        <v>755</v>
      </c>
      <c r="I538" s="12" t="s">
        <v>756</v>
      </c>
      <c r="J538" s="84">
        <v>38329</v>
      </c>
      <c r="K538" s="84">
        <v>49286</v>
      </c>
      <c r="L538" s="12" t="s">
        <v>836</v>
      </c>
      <c r="M538" s="12" t="s">
        <v>837</v>
      </c>
      <c r="N538" s="75"/>
    </row>
    <row r="539" spans="1:14">
      <c r="A539" s="12">
        <v>536</v>
      </c>
      <c r="B539" s="12" t="s">
        <v>2306</v>
      </c>
      <c r="C539" s="12" t="s">
        <v>328</v>
      </c>
      <c r="D539" s="12" t="s">
        <v>2307</v>
      </c>
      <c r="E539" s="85">
        <v>30.65</v>
      </c>
      <c r="F539" s="6">
        <v>2109638</v>
      </c>
      <c r="G539" s="12" t="s">
        <v>2308</v>
      </c>
      <c r="H539" s="12" t="s">
        <v>755</v>
      </c>
      <c r="I539" s="12" t="s">
        <v>756</v>
      </c>
      <c r="J539" s="84">
        <v>39477</v>
      </c>
      <c r="K539" s="84">
        <v>50435</v>
      </c>
      <c r="L539" s="12" t="s">
        <v>205</v>
      </c>
      <c r="M539" s="12" t="s">
        <v>2309</v>
      </c>
      <c r="N539" s="75"/>
    </row>
    <row r="540" spans="1:14">
      <c r="A540" s="12">
        <v>537</v>
      </c>
      <c r="B540" s="12" t="s">
        <v>2310</v>
      </c>
      <c r="C540" s="12" t="s">
        <v>212</v>
      </c>
      <c r="D540" s="12" t="s">
        <v>2311</v>
      </c>
      <c r="E540" s="85">
        <v>31.64</v>
      </c>
      <c r="F540" s="6">
        <v>2009765</v>
      </c>
      <c r="G540" s="12" t="s">
        <v>2312</v>
      </c>
      <c r="H540" s="12" t="s">
        <v>848</v>
      </c>
      <c r="I540" s="12" t="s">
        <v>849</v>
      </c>
      <c r="J540" s="84">
        <v>39479</v>
      </c>
      <c r="K540" s="84">
        <v>50437</v>
      </c>
      <c r="L540" s="12" t="s">
        <v>170</v>
      </c>
      <c r="M540" s="12" t="s">
        <v>807</v>
      </c>
      <c r="N540" s="75"/>
    </row>
    <row r="541" spans="1:14">
      <c r="A541" s="12">
        <v>538</v>
      </c>
      <c r="B541" s="12" t="s">
        <v>2313</v>
      </c>
      <c r="C541" s="12" t="s">
        <v>1803</v>
      </c>
      <c r="D541" s="12" t="s">
        <v>2314</v>
      </c>
      <c r="E541" s="85">
        <v>245.35</v>
      </c>
      <c r="F541" s="6">
        <v>2883376</v>
      </c>
      <c r="G541" s="12" t="s">
        <v>2315</v>
      </c>
      <c r="H541" s="12" t="s">
        <v>755</v>
      </c>
      <c r="I541" s="12" t="s">
        <v>756</v>
      </c>
      <c r="J541" s="84">
        <v>39493</v>
      </c>
      <c r="K541" s="84">
        <v>50451</v>
      </c>
      <c r="L541" s="12" t="s">
        <v>293</v>
      </c>
      <c r="M541" s="12" t="s">
        <v>1816</v>
      </c>
      <c r="N541" s="75"/>
    </row>
    <row r="542" spans="1:14">
      <c r="A542" s="12">
        <v>539</v>
      </c>
      <c r="B542" s="12" t="s">
        <v>2316</v>
      </c>
      <c r="C542" s="12" t="s">
        <v>1035</v>
      </c>
      <c r="D542" s="12" t="s">
        <v>2317</v>
      </c>
      <c r="E542" s="85">
        <v>202.63</v>
      </c>
      <c r="F542" s="6">
        <v>5113342</v>
      </c>
      <c r="G542" s="12" t="s">
        <v>2318</v>
      </c>
      <c r="H542" s="12" t="s">
        <v>755</v>
      </c>
      <c r="I542" s="12" t="s">
        <v>756</v>
      </c>
      <c r="J542" s="84">
        <v>39497</v>
      </c>
      <c r="K542" s="84">
        <v>50455</v>
      </c>
      <c r="L542" s="12" t="s">
        <v>274</v>
      </c>
      <c r="M542" s="12" t="s">
        <v>2184</v>
      </c>
      <c r="N542" s="75"/>
    </row>
    <row r="543" spans="1:14">
      <c r="A543" s="12">
        <v>540</v>
      </c>
      <c r="B543" s="12" t="s">
        <v>2319</v>
      </c>
      <c r="C543" s="12" t="s">
        <v>2320</v>
      </c>
      <c r="D543" s="12" t="s">
        <v>2321</v>
      </c>
      <c r="E543" s="85">
        <v>192.31</v>
      </c>
      <c r="F543" s="6">
        <v>2646455</v>
      </c>
      <c r="G543" s="12" t="s">
        <v>2322</v>
      </c>
      <c r="H543" s="12" t="s">
        <v>755</v>
      </c>
      <c r="I543" s="12" t="s">
        <v>756</v>
      </c>
      <c r="J543" s="84">
        <v>39497</v>
      </c>
      <c r="K543" s="84">
        <v>50455</v>
      </c>
      <c r="L543" s="12" t="s">
        <v>274</v>
      </c>
      <c r="M543" s="12" t="s">
        <v>2323</v>
      </c>
      <c r="N543" s="75"/>
    </row>
    <row r="544" spans="1:14">
      <c r="A544" s="12">
        <v>541</v>
      </c>
      <c r="B544" s="12" t="s">
        <v>2324</v>
      </c>
      <c r="C544" s="12" t="s">
        <v>1035</v>
      </c>
      <c r="D544" s="12" t="s">
        <v>2325</v>
      </c>
      <c r="E544" s="85">
        <v>293.08999999999997</v>
      </c>
      <c r="F544" s="6">
        <v>5054249</v>
      </c>
      <c r="G544" s="12" t="s">
        <v>2326</v>
      </c>
      <c r="H544" s="12" t="s">
        <v>755</v>
      </c>
      <c r="I544" s="12" t="s">
        <v>756</v>
      </c>
      <c r="J544" s="84">
        <v>39505</v>
      </c>
      <c r="K544" s="84">
        <v>50463</v>
      </c>
      <c r="L544" s="12" t="s">
        <v>274</v>
      </c>
      <c r="M544" s="12" t="s">
        <v>2327</v>
      </c>
      <c r="N544" s="75"/>
    </row>
    <row r="545" spans="1:14">
      <c r="A545" s="12">
        <v>542</v>
      </c>
      <c r="B545" s="12" t="s">
        <v>2328</v>
      </c>
      <c r="C545" s="12" t="s">
        <v>122</v>
      </c>
      <c r="D545" s="12" t="s">
        <v>2329</v>
      </c>
      <c r="E545" s="85">
        <v>2781.2</v>
      </c>
      <c r="F545" s="6">
        <v>5124913</v>
      </c>
      <c r="G545" s="12" t="s">
        <v>900</v>
      </c>
      <c r="H545" s="12" t="s">
        <v>901</v>
      </c>
      <c r="I545" s="12" t="s">
        <v>756</v>
      </c>
      <c r="J545" s="84">
        <v>39505</v>
      </c>
      <c r="K545" s="84">
        <v>50463</v>
      </c>
      <c r="L545" s="12" t="s">
        <v>312</v>
      </c>
      <c r="M545" s="12" t="s">
        <v>2330</v>
      </c>
      <c r="N545" s="75"/>
    </row>
    <row r="546" spans="1:14">
      <c r="A546" s="12">
        <v>543</v>
      </c>
      <c r="B546" s="12" t="s">
        <v>2331</v>
      </c>
      <c r="C546" s="12" t="s">
        <v>122</v>
      </c>
      <c r="D546" s="12" t="s">
        <v>2332</v>
      </c>
      <c r="E546" s="85">
        <v>1238.1099999999999</v>
      </c>
      <c r="F546" s="6">
        <v>5124913</v>
      </c>
      <c r="G546" s="12" t="s">
        <v>900</v>
      </c>
      <c r="H546" s="12" t="s">
        <v>901</v>
      </c>
      <c r="I546" s="12" t="s">
        <v>756</v>
      </c>
      <c r="J546" s="84">
        <v>39505</v>
      </c>
      <c r="K546" s="84">
        <v>50463</v>
      </c>
      <c r="L546" s="12" t="s">
        <v>312</v>
      </c>
      <c r="M546" s="12" t="s">
        <v>313</v>
      </c>
      <c r="N546" s="75"/>
    </row>
    <row r="547" spans="1:14">
      <c r="A547" s="12">
        <v>544</v>
      </c>
      <c r="B547" s="12" t="s">
        <v>2333</v>
      </c>
      <c r="C547" s="12" t="s">
        <v>122</v>
      </c>
      <c r="D547" s="12" t="s">
        <v>2334</v>
      </c>
      <c r="E547" s="85">
        <v>269.73</v>
      </c>
      <c r="F547" s="6">
        <v>5124913</v>
      </c>
      <c r="G547" s="12" t="s">
        <v>900</v>
      </c>
      <c r="H547" s="12" t="s">
        <v>901</v>
      </c>
      <c r="I547" s="12" t="s">
        <v>756</v>
      </c>
      <c r="J547" s="84">
        <v>39505</v>
      </c>
      <c r="K547" s="84">
        <v>50463</v>
      </c>
      <c r="L547" s="12" t="s">
        <v>312</v>
      </c>
      <c r="M547" s="12" t="s">
        <v>313</v>
      </c>
      <c r="N547" s="75"/>
    </row>
    <row r="548" spans="1:14">
      <c r="A548" s="12">
        <v>545</v>
      </c>
      <c r="B548" s="12" t="s">
        <v>2335</v>
      </c>
      <c r="C548" s="12" t="s">
        <v>137</v>
      </c>
      <c r="D548" s="12" t="s">
        <v>2336</v>
      </c>
      <c r="E548" s="85">
        <v>1199.8399999999999</v>
      </c>
      <c r="F548" s="6">
        <v>2051303</v>
      </c>
      <c r="G548" s="12" t="s">
        <v>1896</v>
      </c>
      <c r="H548" s="12" t="s">
        <v>1897</v>
      </c>
      <c r="I548" s="12" t="s">
        <v>756</v>
      </c>
      <c r="J548" s="84">
        <v>39506</v>
      </c>
      <c r="K548" s="84">
        <v>50464</v>
      </c>
      <c r="L548" s="12" t="s">
        <v>304</v>
      </c>
      <c r="M548" s="12" t="s">
        <v>843</v>
      </c>
      <c r="N548" s="75"/>
    </row>
    <row r="549" spans="1:14">
      <c r="A549" s="12">
        <v>546</v>
      </c>
      <c r="B549" s="12" t="s">
        <v>2337</v>
      </c>
      <c r="C549" s="12" t="s">
        <v>937</v>
      </c>
      <c r="D549" s="12" t="s">
        <v>1950</v>
      </c>
      <c r="E549" s="85">
        <v>40.299999999999997</v>
      </c>
      <c r="F549" s="6">
        <v>2851768</v>
      </c>
      <c r="G549" s="12" t="s">
        <v>2338</v>
      </c>
      <c r="H549" s="12" t="s">
        <v>755</v>
      </c>
      <c r="I549" s="12" t="s">
        <v>756</v>
      </c>
      <c r="J549" s="84">
        <v>36453</v>
      </c>
      <c r="K549" s="84">
        <v>47411</v>
      </c>
      <c r="L549" s="12" t="s">
        <v>128</v>
      </c>
      <c r="M549" s="12" t="s">
        <v>862</v>
      </c>
      <c r="N549" s="75"/>
    </row>
    <row r="550" spans="1:14">
      <c r="A550" s="12">
        <v>547</v>
      </c>
      <c r="B550" s="12" t="s">
        <v>2339</v>
      </c>
      <c r="C550" s="12" t="s">
        <v>937</v>
      </c>
      <c r="D550" s="12" t="s">
        <v>2340</v>
      </c>
      <c r="E550" s="85">
        <v>13.82</v>
      </c>
      <c r="F550" s="6">
        <v>2851768</v>
      </c>
      <c r="G550" s="12" t="s">
        <v>2338</v>
      </c>
      <c r="H550" s="12" t="s">
        <v>755</v>
      </c>
      <c r="I550" s="12" t="s">
        <v>756</v>
      </c>
      <c r="J550" s="84">
        <v>36453</v>
      </c>
      <c r="K550" s="84">
        <v>47411</v>
      </c>
      <c r="L550" s="12" t="s">
        <v>128</v>
      </c>
      <c r="M550" s="12" t="s">
        <v>862</v>
      </c>
      <c r="N550" s="75"/>
    </row>
    <row r="551" spans="1:14">
      <c r="A551" s="12">
        <v>548</v>
      </c>
      <c r="B551" s="12" t="s">
        <v>2341</v>
      </c>
      <c r="C551" s="12" t="s">
        <v>752</v>
      </c>
      <c r="D551" s="12" t="s">
        <v>971</v>
      </c>
      <c r="E551" s="85">
        <v>29.01</v>
      </c>
      <c r="F551" s="6">
        <v>2640635</v>
      </c>
      <c r="G551" s="12" t="s">
        <v>2342</v>
      </c>
      <c r="H551" s="12" t="s">
        <v>755</v>
      </c>
      <c r="I551" s="12" t="s">
        <v>756</v>
      </c>
      <c r="J551" s="84">
        <v>34889</v>
      </c>
      <c r="K551" s="84">
        <v>45847</v>
      </c>
      <c r="L551" s="12" t="s">
        <v>180</v>
      </c>
      <c r="M551" s="12" t="s">
        <v>927</v>
      </c>
      <c r="N551" s="75"/>
    </row>
    <row r="552" spans="1:14">
      <c r="A552" s="12">
        <v>549</v>
      </c>
      <c r="B552" s="12" t="s">
        <v>2343</v>
      </c>
      <c r="C552" s="12" t="s">
        <v>212</v>
      </c>
      <c r="D552" s="12" t="s">
        <v>2344</v>
      </c>
      <c r="E552" s="85">
        <v>41.57</v>
      </c>
      <c r="F552" s="6">
        <v>5366941</v>
      </c>
      <c r="G552" s="12" t="s">
        <v>2345</v>
      </c>
      <c r="H552" s="12" t="s">
        <v>755</v>
      </c>
      <c r="I552" s="12" t="s">
        <v>756</v>
      </c>
      <c r="J552" s="84">
        <v>39512</v>
      </c>
      <c r="K552" s="84">
        <v>50469</v>
      </c>
      <c r="L552" s="12" t="s">
        <v>293</v>
      </c>
      <c r="M552" s="12" t="s">
        <v>815</v>
      </c>
      <c r="N552" s="75"/>
    </row>
    <row r="553" spans="1:14">
      <c r="A553" s="12">
        <v>550</v>
      </c>
      <c r="B553" s="12" t="s">
        <v>2346</v>
      </c>
      <c r="C553" s="12" t="s">
        <v>212</v>
      </c>
      <c r="D553" s="12" t="s">
        <v>2347</v>
      </c>
      <c r="E553" s="85">
        <v>24.74</v>
      </c>
      <c r="F553" s="6">
        <v>5853583</v>
      </c>
      <c r="G553" s="12" t="s">
        <v>2348</v>
      </c>
      <c r="H553" s="12" t="s">
        <v>755</v>
      </c>
      <c r="I553" s="12" t="s">
        <v>756</v>
      </c>
      <c r="J553" s="84">
        <v>39525</v>
      </c>
      <c r="K553" s="84">
        <v>50482</v>
      </c>
      <c r="L553" s="12" t="s">
        <v>293</v>
      </c>
      <c r="M553" s="12" t="s">
        <v>124</v>
      </c>
      <c r="N553" s="75"/>
    </row>
    <row r="554" spans="1:14">
      <c r="A554" s="12">
        <v>551</v>
      </c>
      <c r="B554" s="12" t="s">
        <v>2349</v>
      </c>
      <c r="C554" s="12" t="s">
        <v>137</v>
      </c>
      <c r="D554" s="12" t="s">
        <v>2350</v>
      </c>
      <c r="E554" s="85">
        <v>90.12</v>
      </c>
      <c r="F554" s="6">
        <v>5111668</v>
      </c>
      <c r="G554" s="12" t="s">
        <v>2351</v>
      </c>
      <c r="H554" s="12" t="s">
        <v>755</v>
      </c>
      <c r="I554" s="12" t="s">
        <v>756</v>
      </c>
      <c r="J554" s="84">
        <v>39528</v>
      </c>
      <c r="K554" s="84">
        <v>50485</v>
      </c>
      <c r="L554" s="12" t="s">
        <v>170</v>
      </c>
      <c r="M554" s="12" t="s">
        <v>171</v>
      </c>
      <c r="N554" s="75"/>
    </row>
    <row r="555" spans="1:14">
      <c r="A555" s="12">
        <v>552</v>
      </c>
      <c r="B555" s="12" t="s">
        <v>2352</v>
      </c>
      <c r="C555" s="12" t="s">
        <v>979</v>
      </c>
      <c r="D555" s="12" t="s">
        <v>2353</v>
      </c>
      <c r="E555" s="85">
        <v>6100.29</v>
      </c>
      <c r="F555" s="6">
        <v>2708701</v>
      </c>
      <c r="G555" s="12" t="s">
        <v>2354</v>
      </c>
      <c r="H555" s="12" t="s">
        <v>766</v>
      </c>
      <c r="I555" s="12" t="s">
        <v>767</v>
      </c>
      <c r="J555" s="84">
        <v>39531</v>
      </c>
      <c r="K555" s="84">
        <v>50488</v>
      </c>
      <c r="L555" s="12" t="s">
        <v>1242</v>
      </c>
      <c r="M555" s="12" t="s">
        <v>1516</v>
      </c>
      <c r="N555" s="75"/>
    </row>
    <row r="556" spans="1:14">
      <c r="A556" s="12">
        <v>553</v>
      </c>
      <c r="B556" s="12" t="s">
        <v>2355</v>
      </c>
      <c r="C556" s="12" t="s">
        <v>1203</v>
      </c>
      <c r="D556" s="12" t="s">
        <v>2356</v>
      </c>
      <c r="E556" s="85">
        <v>421.91</v>
      </c>
      <c r="F556" s="6">
        <v>5840716</v>
      </c>
      <c r="G556" s="12" t="s">
        <v>2357</v>
      </c>
      <c r="H556" s="12" t="s">
        <v>755</v>
      </c>
      <c r="I556" s="12" t="s">
        <v>756</v>
      </c>
      <c r="J556" s="84">
        <v>39531</v>
      </c>
      <c r="K556" s="84">
        <v>50488</v>
      </c>
      <c r="L556" s="12" t="s">
        <v>274</v>
      </c>
      <c r="M556" s="12" t="s">
        <v>1023</v>
      </c>
      <c r="N556" s="75"/>
    </row>
    <row r="557" spans="1:14">
      <c r="A557" s="12">
        <v>554</v>
      </c>
      <c r="B557" s="12" t="s">
        <v>2358</v>
      </c>
      <c r="C557" s="12" t="s">
        <v>212</v>
      </c>
      <c r="D557" s="12" t="s">
        <v>2359</v>
      </c>
      <c r="E557" s="85">
        <v>48.38</v>
      </c>
      <c r="F557" s="6">
        <v>5102189</v>
      </c>
      <c r="G557" s="12" t="s">
        <v>2360</v>
      </c>
      <c r="H557" s="12" t="s">
        <v>848</v>
      </c>
      <c r="I557" s="12" t="s">
        <v>849</v>
      </c>
      <c r="J557" s="84">
        <v>39531</v>
      </c>
      <c r="K557" s="84">
        <v>50488</v>
      </c>
      <c r="L557" s="12" t="s">
        <v>293</v>
      </c>
      <c r="M557" s="12" t="s">
        <v>815</v>
      </c>
      <c r="N557" s="75"/>
    </row>
    <row r="558" spans="1:14">
      <c r="A558" s="12">
        <v>555</v>
      </c>
      <c r="B558" s="12" t="s">
        <v>2361</v>
      </c>
      <c r="C558" s="12" t="s">
        <v>752</v>
      </c>
      <c r="D558" s="12" t="s">
        <v>2362</v>
      </c>
      <c r="E558" s="85">
        <v>23.5</v>
      </c>
      <c r="F558" s="6">
        <v>4009037</v>
      </c>
      <c r="G558" s="12" t="s">
        <v>2363</v>
      </c>
      <c r="H558" s="12" t="s">
        <v>755</v>
      </c>
      <c r="I558" s="12" t="s">
        <v>756</v>
      </c>
      <c r="J558" s="84">
        <v>39532</v>
      </c>
      <c r="K558" s="84">
        <v>50489</v>
      </c>
      <c r="L558" s="12" t="s">
        <v>782</v>
      </c>
      <c r="M558" s="12" t="s">
        <v>783</v>
      </c>
      <c r="N558" s="75"/>
    </row>
    <row r="559" spans="1:14">
      <c r="A559" s="12">
        <v>556</v>
      </c>
      <c r="B559" s="12" t="s">
        <v>2364</v>
      </c>
      <c r="C559" s="12" t="s">
        <v>212</v>
      </c>
      <c r="D559" s="12" t="s">
        <v>2365</v>
      </c>
      <c r="E559" s="85">
        <v>34.78</v>
      </c>
      <c r="F559" s="6">
        <v>2550466</v>
      </c>
      <c r="G559" s="12" t="s">
        <v>801</v>
      </c>
      <c r="H559" s="12" t="s">
        <v>761</v>
      </c>
      <c r="I559" s="12" t="s">
        <v>756</v>
      </c>
      <c r="J559" s="84">
        <v>39535</v>
      </c>
      <c r="K559" s="84">
        <v>50492</v>
      </c>
      <c r="L559" s="12" t="s">
        <v>170</v>
      </c>
      <c r="M559" s="12" t="s">
        <v>811</v>
      </c>
      <c r="N559" s="75"/>
    </row>
    <row r="560" spans="1:14">
      <c r="A560" s="12">
        <v>557</v>
      </c>
      <c r="B560" s="12" t="s">
        <v>2366</v>
      </c>
      <c r="C560" s="12" t="s">
        <v>1152</v>
      </c>
      <c r="D560" s="12" t="s">
        <v>2367</v>
      </c>
      <c r="E560" s="85">
        <v>43.35</v>
      </c>
      <c r="F560" s="6">
        <v>2085844</v>
      </c>
      <c r="G560" s="12" t="s">
        <v>2368</v>
      </c>
      <c r="H560" s="12" t="s">
        <v>755</v>
      </c>
      <c r="I560" s="12" t="s">
        <v>756</v>
      </c>
      <c r="J560" s="84">
        <v>39539</v>
      </c>
      <c r="K560" s="84">
        <v>50496</v>
      </c>
      <c r="L560" s="12" t="s">
        <v>128</v>
      </c>
      <c r="M560" s="12" t="s">
        <v>129</v>
      </c>
      <c r="N560" s="75"/>
    </row>
    <row r="561" spans="1:14">
      <c r="A561" s="12">
        <v>558</v>
      </c>
      <c r="B561" s="12" t="s">
        <v>2369</v>
      </c>
      <c r="C561" s="12" t="s">
        <v>212</v>
      </c>
      <c r="D561" s="12" t="s">
        <v>1766</v>
      </c>
      <c r="E561" s="85">
        <v>38.01</v>
      </c>
      <c r="F561" s="6">
        <v>2879646</v>
      </c>
      <c r="G561" s="12" t="s">
        <v>2370</v>
      </c>
      <c r="H561" s="12" t="s">
        <v>848</v>
      </c>
      <c r="I561" s="12" t="s">
        <v>849</v>
      </c>
      <c r="J561" s="84">
        <v>39539</v>
      </c>
      <c r="K561" s="84">
        <v>50496</v>
      </c>
      <c r="L561" s="12" t="s">
        <v>170</v>
      </c>
      <c r="M561" s="12" t="s">
        <v>802</v>
      </c>
      <c r="N561" s="75"/>
    </row>
    <row r="562" spans="1:14">
      <c r="A562" s="12">
        <v>559</v>
      </c>
      <c r="B562" s="12" t="s">
        <v>2371</v>
      </c>
      <c r="C562" s="12" t="s">
        <v>1035</v>
      </c>
      <c r="D562" s="12" t="s">
        <v>2372</v>
      </c>
      <c r="E562" s="85">
        <v>83.49</v>
      </c>
      <c r="F562" s="6">
        <v>5196213</v>
      </c>
      <c r="G562" s="12" t="s">
        <v>2373</v>
      </c>
      <c r="H562" s="12" t="s">
        <v>766</v>
      </c>
      <c r="I562" s="12" t="s">
        <v>767</v>
      </c>
      <c r="J562" s="84">
        <v>39542</v>
      </c>
      <c r="K562" s="84">
        <v>50499</v>
      </c>
      <c r="L562" s="12" t="s">
        <v>138</v>
      </c>
      <c r="M562" s="12" t="s">
        <v>1591</v>
      </c>
      <c r="N562" s="75"/>
    </row>
    <row r="563" spans="1:14">
      <c r="A563" s="12">
        <v>560</v>
      </c>
      <c r="B563" s="12" t="s">
        <v>2374</v>
      </c>
      <c r="C563" s="12" t="s">
        <v>1027</v>
      </c>
      <c r="D563" s="12" t="s">
        <v>2375</v>
      </c>
      <c r="E563" s="85">
        <v>10.69</v>
      </c>
      <c r="F563" s="6">
        <v>5200288</v>
      </c>
      <c r="G563" s="12" t="s">
        <v>2376</v>
      </c>
      <c r="H563" s="12" t="s">
        <v>755</v>
      </c>
      <c r="I563" s="12" t="s">
        <v>756</v>
      </c>
      <c r="J563" s="84">
        <v>36962</v>
      </c>
      <c r="K563" s="84">
        <v>50080</v>
      </c>
      <c r="L563" s="12" t="s">
        <v>128</v>
      </c>
      <c r="M563" s="12" t="s">
        <v>862</v>
      </c>
      <c r="N563" s="75"/>
    </row>
    <row r="564" spans="1:14">
      <c r="A564" s="12">
        <v>561</v>
      </c>
      <c r="B564" s="12" t="s">
        <v>2377</v>
      </c>
      <c r="C564" s="12" t="s">
        <v>122</v>
      </c>
      <c r="D564" s="12" t="s">
        <v>2159</v>
      </c>
      <c r="E564" s="85">
        <v>383.03</v>
      </c>
      <c r="F564" s="6">
        <v>5108799</v>
      </c>
      <c r="G564" s="12" t="s">
        <v>2378</v>
      </c>
      <c r="H564" s="12" t="s">
        <v>755</v>
      </c>
      <c r="I564" s="12" t="s">
        <v>756</v>
      </c>
      <c r="J564" s="84">
        <v>39547</v>
      </c>
      <c r="K564" s="84">
        <v>50504</v>
      </c>
      <c r="L564" s="12" t="s">
        <v>123</v>
      </c>
      <c r="M564" s="12" t="s">
        <v>2201</v>
      </c>
      <c r="N564" s="75"/>
    </row>
    <row r="565" spans="1:14">
      <c r="A565" s="12">
        <v>562</v>
      </c>
      <c r="B565" s="12" t="s">
        <v>2379</v>
      </c>
      <c r="C565" s="12" t="s">
        <v>212</v>
      </c>
      <c r="D565" s="12" t="s">
        <v>2380</v>
      </c>
      <c r="E565" s="85">
        <v>152.66999999999999</v>
      </c>
      <c r="F565" s="6">
        <v>5102081</v>
      </c>
      <c r="G565" s="12" t="s">
        <v>2010</v>
      </c>
      <c r="H565" s="12" t="s">
        <v>755</v>
      </c>
      <c r="I565" s="12" t="s">
        <v>756</v>
      </c>
      <c r="J565" s="84">
        <v>39547</v>
      </c>
      <c r="K565" s="84">
        <v>50504</v>
      </c>
      <c r="L565" s="12" t="s">
        <v>293</v>
      </c>
      <c r="M565" s="12" t="s">
        <v>827</v>
      </c>
      <c r="N565" s="75"/>
    </row>
    <row r="566" spans="1:14">
      <c r="A566" s="12">
        <v>563</v>
      </c>
      <c r="B566" s="12" t="s">
        <v>2381</v>
      </c>
      <c r="C566" s="12" t="s">
        <v>212</v>
      </c>
      <c r="D566" s="12" t="s">
        <v>2382</v>
      </c>
      <c r="E566" s="85">
        <v>262.73</v>
      </c>
      <c r="F566" s="6">
        <v>5102081</v>
      </c>
      <c r="G566" s="12" t="s">
        <v>2010</v>
      </c>
      <c r="H566" s="12" t="s">
        <v>755</v>
      </c>
      <c r="I566" s="12" t="s">
        <v>756</v>
      </c>
      <c r="J566" s="84">
        <v>39547</v>
      </c>
      <c r="K566" s="84">
        <v>50504</v>
      </c>
      <c r="L566" s="12" t="s">
        <v>293</v>
      </c>
      <c r="M566" s="12" t="s">
        <v>181</v>
      </c>
      <c r="N566" s="75"/>
    </row>
    <row r="567" spans="1:14">
      <c r="A567" s="12">
        <v>564</v>
      </c>
      <c r="B567" s="12" t="s">
        <v>2383</v>
      </c>
      <c r="C567" s="12" t="s">
        <v>1203</v>
      </c>
      <c r="D567" s="12" t="s">
        <v>2384</v>
      </c>
      <c r="E567" s="85">
        <v>1228.22</v>
      </c>
      <c r="F567" s="6">
        <v>2056763</v>
      </c>
      <c r="G567" s="12" t="s">
        <v>2385</v>
      </c>
      <c r="H567" s="12" t="s">
        <v>755</v>
      </c>
      <c r="I567" s="12" t="s">
        <v>756</v>
      </c>
      <c r="J567" s="84">
        <v>39547</v>
      </c>
      <c r="K567" s="84">
        <v>50504</v>
      </c>
      <c r="L567" s="12" t="s">
        <v>1077</v>
      </c>
      <c r="M567" s="12" t="s">
        <v>2386</v>
      </c>
      <c r="N567" s="75"/>
    </row>
    <row r="568" spans="1:14">
      <c r="A568" s="12">
        <v>565</v>
      </c>
      <c r="B568" s="12" t="s">
        <v>2387</v>
      </c>
      <c r="C568" s="12" t="s">
        <v>2388</v>
      </c>
      <c r="D568" s="12" t="s">
        <v>2389</v>
      </c>
      <c r="E568" s="85">
        <v>44.71</v>
      </c>
      <c r="F568" s="6">
        <v>5095549</v>
      </c>
      <c r="G568" s="12" t="s">
        <v>2390</v>
      </c>
      <c r="H568" s="12" t="s">
        <v>848</v>
      </c>
      <c r="I568" s="12" t="s">
        <v>849</v>
      </c>
      <c r="J568" s="84">
        <v>39549</v>
      </c>
      <c r="K568" s="84">
        <v>50506</v>
      </c>
      <c r="L568" s="12" t="s">
        <v>1014</v>
      </c>
      <c r="M568" s="12" t="s">
        <v>2391</v>
      </c>
      <c r="N568" s="75"/>
    </row>
    <row r="569" spans="1:14">
      <c r="A569" s="12">
        <v>566</v>
      </c>
      <c r="B569" s="12" t="s">
        <v>2392</v>
      </c>
      <c r="C569" s="12" t="s">
        <v>122</v>
      </c>
      <c r="D569" s="12" t="s">
        <v>2393</v>
      </c>
      <c r="E569" s="85">
        <v>143.36000000000001</v>
      </c>
      <c r="F569" s="6">
        <v>2873575</v>
      </c>
      <c r="G569" s="12" t="s">
        <v>873</v>
      </c>
      <c r="H569" s="12" t="s">
        <v>755</v>
      </c>
      <c r="I569" s="12" t="s">
        <v>756</v>
      </c>
      <c r="J569" s="84">
        <v>39549</v>
      </c>
      <c r="K569" s="84">
        <v>50506</v>
      </c>
      <c r="L569" s="12" t="s">
        <v>274</v>
      </c>
      <c r="M569" s="12" t="s">
        <v>874</v>
      </c>
      <c r="N569" s="75"/>
    </row>
    <row r="570" spans="1:14">
      <c r="A570" s="12">
        <v>567</v>
      </c>
      <c r="B570" s="12" t="s">
        <v>2394</v>
      </c>
      <c r="C570" s="12" t="s">
        <v>212</v>
      </c>
      <c r="D570" s="12" t="s">
        <v>2395</v>
      </c>
      <c r="E570" s="85">
        <v>49.82</v>
      </c>
      <c r="F570" s="6">
        <v>5366941</v>
      </c>
      <c r="G570" s="12" t="s">
        <v>2345</v>
      </c>
      <c r="H570" s="12" t="s">
        <v>755</v>
      </c>
      <c r="I570" s="12" t="s">
        <v>756</v>
      </c>
      <c r="J570" s="84">
        <v>39549</v>
      </c>
      <c r="K570" s="84">
        <v>50506</v>
      </c>
      <c r="L570" s="12" t="s">
        <v>293</v>
      </c>
      <c r="M570" s="12" t="s">
        <v>815</v>
      </c>
      <c r="N570" s="75"/>
    </row>
    <row r="571" spans="1:14">
      <c r="A571" s="12">
        <v>568</v>
      </c>
      <c r="B571" s="12" t="s">
        <v>2396</v>
      </c>
      <c r="C571" s="12" t="s">
        <v>212</v>
      </c>
      <c r="D571" s="12" t="s">
        <v>1766</v>
      </c>
      <c r="E571" s="85">
        <v>24.69</v>
      </c>
      <c r="F571" s="6">
        <v>2028565</v>
      </c>
      <c r="G571" s="12" t="s">
        <v>1767</v>
      </c>
      <c r="H571" s="12" t="s">
        <v>766</v>
      </c>
      <c r="I571" s="12" t="s">
        <v>767</v>
      </c>
      <c r="J571" s="84">
        <v>38989</v>
      </c>
      <c r="K571" s="84">
        <v>49947</v>
      </c>
      <c r="L571" s="12" t="s">
        <v>170</v>
      </c>
      <c r="M571" s="12" t="s">
        <v>802</v>
      </c>
      <c r="N571" s="75"/>
    </row>
    <row r="572" spans="1:14">
      <c r="A572" s="12">
        <v>569</v>
      </c>
      <c r="B572" s="12" t="s">
        <v>2397</v>
      </c>
      <c r="C572" s="12" t="s">
        <v>200</v>
      </c>
      <c r="D572" s="12" t="s">
        <v>2398</v>
      </c>
      <c r="E572" s="85">
        <v>195.14</v>
      </c>
      <c r="F572" s="6">
        <v>5138175</v>
      </c>
      <c r="G572" s="12" t="s">
        <v>2399</v>
      </c>
      <c r="H572" s="12" t="s">
        <v>755</v>
      </c>
      <c r="I572" s="12" t="s">
        <v>756</v>
      </c>
      <c r="J572" s="84">
        <v>39553</v>
      </c>
      <c r="K572" s="84">
        <v>50510</v>
      </c>
      <c r="L572" s="12" t="s">
        <v>375</v>
      </c>
      <c r="M572" s="12" t="s">
        <v>893</v>
      </c>
      <c r="N572" s="75"/>
    </row>
    <row r="573" spans="1:14">
      <c r="A573" s="12">
        <v>570</v>
      </c>
      <c r="B573" s="12" t="s">
        <v>2400</v>
      </c>
      <c r="C573" s="12" t="s">
        <v>122</v>
      </c>
      <c r="D573" s="12" t="s">
        <v>2401</v>
      </c>
      <c r="E573" s="85">
        <v>562.71</v>
      </c>
      <c r="F573" s="6">
        <v>2873575</v>
      </c>
      <c r="G573" s="12" t="s">
        <v>873</v>
      </c>
      <c r="H573" s="12" t="s">
        <v>755</v>
      </c>
      <c r="I573" s="12" t="s">
        <v>756</v>
      </c>
      <c r="J573" s="84">
        <v>39553</v>
      </c>
      <c r="K573" s="84">
        <v>50510</v>
      </c>
      <c r="L573" s="12" t="s">
        <v>274</v>
      </c>
      <c r="M573" s="12" t="s">
        <v>874</v>
      </c>
      <c r="N573" s="75"/>
    </row>
    <row r="574" spans="1:14">
      <c r="A574" s="12">
        <v>571</v>
      </c>
      <c r="B574" s="12" t="s">
        <v>2402</v>
      </c>
      <c r="C574" s="12" t="s">
        <v>886</v>
      </c>
      <c r="D574" s="12" t="s">
        <v>2403</v>
      </c>
      <c r="E574" s="85">
        <v>25.09</v>
      </c>
      <c r="F574" s="6">
        <v>5035902</v>
      </c>
      <c r="G574" s="12" t="s">
        <v>2404</v>
      </c>
      <c r="H574" s="12" t="s">
        <v>848</v>
      </c>
      <c r="I574" s="12" t="s">
        <v>849</v>
      </c>
      <c r="J574" s="84">
        <v>38534</v>
      </c>
      <c r="K574" s="84">
        <v>49491</v>
      </c>
      <c r="L574" s="12" t="s">
        <v>123</v>
      </c>
      <c r="M574" s="12" t="s">
        <v>1472</v>
      </c>
      <c r="N574" s="75"/>
    </row>
    <row r="575" spans="1:14">
      <c r="A575" s="12">
        <v>572</v>
      </c>
      <c r="B575" s="12" t="s">
        <v>2405</v>
      </c>
      <c r="C575" s="12" t="s">
        <v>752</v>
      </c>
      <c r="D575" s="12" t="s">
        <v>2406</v>
      </c>
      <c r="E575" s="85">
        <v>26.46</v>
      </c>
      <c r="F575" s="6">
        <v>5119499</v>
      </c>
      <c r="G575" s="12" t="s">
        <v>2407</v>
      </c>
      <c r="H575" s="12" t="s">
        <v>755</v>
      </c>
      <c r="I575" s="12" t="s">
        <v>756</v>
      </c>
      <c r="J575" s="84">
        <v>39559</v>
      </c>
      <c r="K575" s="84">
        <v>50516</v>
      </c>
      <c r="L575" s="12" t="s">
        <v>304</v>
      </c>
      <c r="M575" s="12" t="s">
        <v>773</v>
      </c>
      <c r="N575" s="75"/>
    </row>
    <row r="576" spans="1:14">
      <c r="A576" s="12">
        <v>573</v>
      </c>
      <c r="B576" s="12" t="s">
        <v>2408</v>
      </c>
      <c r="C576" s="12" t="s">
        <v>1152</v>
      </c>
      <c r="D576" s="12" t="s">
        <v>2409</v>
      </c>
      <c r="E576" s="85">
        <v>6.19</v>
      </c>
      <c r="F576" s="6">
        <v>5063329</v>
      </c>
      <c r="G576" s="12" t="s">
        <v>2410</v>
      </c>
      <c r="H576" s="12" t="s">
        <v>755</v>
      </c>
      <c r="I576" s="12" t="s">
        <v>756</v>
      </c>
      <c r="J576" s="84">
        <v>39561</v>
      </c>
      <c r="K576" s="84">
        <v>50518</v>
      </c>
      <c r="L576" s="12" t="s">
        <v>274</v>
      </c>
      <c r="M576" s="12" t="s">
        <v>1267</v>
      </c>
      <c r="N576" s="75"/>
    </row>
    <row r="577" spans="1:14">
      <c r="A577" s="12">
        <v>574</v>
      </c>
      <c r="B577" s="12" t="s">
        <v>2411</v>
      </c>
      <c r="C577" s="12" t="s">
        <v>122</v>
      </c>
      <c r="D577" s="12" t="s">
        <v>1075</v>
      </c>
      <c r="E577" s="85">
        <v>12.24</v>
      </c>
      <c r="F577" s="6">
        <v>2008572</v>
      </c>
      <c r="G577" s="12" t="s">
        <v>1076</v>
      </c>
      <c r="H577" s="12" t="s">
        <v>781</v>
      </c>
      <c r="I577" s="12" t="s">
        <v>756</v>
      </c>
      <c r="J577" s="84">
        <v>39569</v>
      </c>
      <c r="K577" s="84">
        <v>50526</v>
      </c>
      <c r="L577" s="12" t="s">
        <v>128</v>
      </c>
      <c r="M577" s="12" t="s">
        <v>1076</v>
      </c>
      <c r="N577" s="75"/>
    </row>
    <row r="578" spans="1:14">
      <c r="A578" s="12">
        <v>575</v>
      </c>
      <c r="B578" s="12" t="s">
        <v>2412</v>
      </c>
      <c r="C578" s="12" t="s">
        <v>122</v>
      </c>
      <c r="D578" s="12" t="s">
        <v>1075</v>
      </c>
      <c r="E578" s="85">
        <v>2140.81</v>
      </c>
      <c r="F578" s="6">
        <v>2008572</v>
      </c>
      <c r="G578" s="12" t="s">
        <v>1076</v>
      </c>
      <c r="H578" s="12" t="s">
        <v>781</v>
      </c>
      <c r="I578" s="12" t="s">
        <v>756</v>
      </c>
      <c r="J578" s="84">
        <v>39569</v>
      </c>
      <c r="K578" s="84">
        <v>50526</v>
      </c>
      <c r="L578" s="12" t="s">
        <v>1077</v>
      </c>
      <c r="M578" s="12" t="s">
        <v>1078</v>
      </c>
      <c r="N578" s="75"/>
    </row>
    <row r="579" spans="1:14">
      <c r="A579" s="12">
        <v>576</v>
      </c>
      <c r="B579" s="12" t="s">
        <v>2413</v>
      </c>
      <c r="C579" s="12" t="s">
        <v>995</v>
      </c>
      <c r="D579" s="12" t="s">
        <v>2414</v>
      </c>
      <c r="E579" s="85">
        <v>23.42</v>
      </c>
      <c r="F579" s="6">
        <v>5830974</v>
      </c>
      <c r="G579" s="12" t="s">
        <v>1712</v>
      </c>
      <c r="H579" s="12" t="s">
        <v>755</v>
      </c>
      <c r="I579" s="12" t="s">
        <v>756</v>
      </c>
      <c r="J579" s="84">
        <v>39576</v>
      </c>
      <c r="K579" s="84">
        <v>50533</v>
      </c>
      <c r="L579" s="12" t="s">
        <v>375</v>
      </c>
      <c r="M579" s="12" t="s">
        <v>944</v>
      </c>
      <c r="N579" s="75"/>
    </row>
    <row r="580" spans="1:14">
      <c r="A580" s="12">
        <v>577</v>
      </c>
      <c r="B580" s="12" t="s">
        <v>2415</v>
      </c>
      <c r="C580" s="12" t="s">
        <v>752</v>
      </c>
      <c r="D580" s="12" t="s">
        <v>2416</v>
      </c>
      <c r="E580" s="85">
        <v>350.71</v>
      </c>
      <c r="F580" s="6">
        <v>5233232</v>
      </c>
      <c r="G580" s="12" t="s">
        <v>2417</v>
      </c>
      <c r="H580" s="12" t="s">
        <v>755</v>
      </c>
      <c r="I580" s="12" t="s">
        <v>756</v>
      </c>
      <c r="J580" s="84">
        <v>39581</v>
      </c>
      <c r="K580" s="84">
        <v>50538</v>
      </c>
      <c r="L580" s="12" t="s">
        <v>274</v>
      </c>
      <c r="M580" s="12" t="s">
        <v>874</v>
      </c>
      <c r="N580" s="75"/>
    </row>
    <row r="581" spans="1:14">
      <c r="A581" s="12">
        <v>578</v>
      </c>
      <c r="B581" s="12" t="s">
        <v>2418</v>
      </c>
      <c r="C581" s="12" t="s">
        <v>221</v>
      </c>
      <c r="D581" s="12" t="s">
        <v>2419</v>
      </c>
      <c r="E581" s="85">
        <v>458.44</v>
      </c>
      <c r="F581" s="6">
        <v>5106567</v>
      </c>
      <c r="G581" s="12" t="s">
        <v>2420</v>
      </c>
      <c r="H581" s="12" t="s">
        <v>755</v>
      </c>
      <c r="I581" s="12" t="s">
        <v>756</v>
      </c>
      <c r="J581" s="84">
        <v>39581</v>
      </c>
      <c r="K581" s="84">
        <v>50538</v>
      </c>
      <c r="L581" s="12" t="s">
        <v>170</v>
      </c>
      <c r="M581" s="12" t="s">
        <v>811</v>
      </c>
      <c r="N581" s="75"/>
    </row>
    <row r="582" spans="1:14">
      <c r="A582" s="12">
        <v>579</v>
      </c>
      <c r="B582" s="12" t="s">
        <v>2421</v>
      </c>
      <c r="C582" s="12" t="s">
        <v>1152</v>
      </c>
      <c r="D582" s="12" t="s">
        <v>2422</v>
      </c>
      <c r="E582" s="85">
        <v>38.53</v>
      </c>
      <c r="F582" s="6">
        <v>2614294</v>
      </c>
      <c r="G582" s="12" t="s">
        <v>2423</v>
      </c>
      <c r="H582" s="12" t="s">
        <v>755</v>
      </c>
      <c r="I582" s="12" t="s">
        <v>756</v>
      </c>
      <c r="J582" s="84">
        <v>39581</v>
      </c>
      <c r="K582" s="84">
        <v>50538</v>
      </c>
      <c r="L582" s="12" t="s">
        <v>128</v>
      </c>
      <c r="M582" s="12" t="s">
        <v>129</v>
      </c>
      <c r="N582" s="75"/>
    </row>
    <row r="583" spans="1:14">
      <c r="A583" s="12">
        <v>580</v>
      </c>
      <c r="B583" s="12" t="s">
        <v>2424</v>
      </c>
      <c r="C583" s="12" t="s">
        <v>200</v>
      </c>
      <c r="D583" s="12" t="s">
        <v>2425</v>
      </c>
      <c r="E583" s="85">
        <v>99.57</v>
      </c>
      <c r="F583" s="6">
        <v>6378781</v>
      </c>
      <c r="G583" s="12" t="s">
        <v>2426</v>
      </c>
      <c r="H583" s="12" t="s">
        <v>755</v>
      </c>
      <c r="I583" s="12" t="s">
        <v>756</v>
      </c>
      <c r="J583" s="84">
        <v>39596</v>
      </c>
      <c r="K583" s="84">
        <v>50553</v>
      </c>
      <c r="L583" s="12" t="s">
        <v>375</v>
      </c>
      <c r="M583" s="12" t="s">
        <v>893</v>
      </c>
      <c r="N583" s="75"/>
    </row>
    <row r="584" spans="1:14">
      <c r="A584" s="12">
        <v>581</v>
      </c>
      <c r="B584" s="12" t="s">
        <v>2427</v>
      </c>
      <c r="C584" s="12" t="s">
        <v>137</v>
      </c>
      <c r="D584" s="12" t="s">
        <v>1784</v>
      </c>
      <c r="E584" s="85">
        <v>111.52</v>
      </c>
      <c r="F584" s="6">
        <v>5130662</v>
      </c>
      <c r="G584" s="12" t="s">
        <v>2428</v>
      </c>
      <c r="H584" s="12" t="s">
        <v>848</v>
      </c>
      <c r="I584" s="12" t="s">
        <v>849</v>
      </c>
      <c r="J584" s="84">
        <v>39601</v>
      </c>
      <c r="K584" s="84">
        <v>50558</v>
      </c>
      <c r="L584" s="12" t="s">
        <v>782</v>
      </c>
      <c r="M584" s="12" t="s">
        <v>2429</v>
      </c>
      <c r="N584" s="75"/>
    </row>
    <row r="585" spans="1:14">
      <c r="A585" s="12">
        <v>582</v>
      </c>
      <c r="B585" s="12" t="s">
        <v>2430</v>
      </c>
      <c r="C585" s="12" t="s">
        <v>995</v>
      </c>
      <c r="D585" s="12" t="s">
        <v>2431</v>
      </c>
      <c r="E585" s="85">
        <v>77.47</v>
      </c>
      <c r="F585" s="6">
        <v>2109638</v>
      </c>
      <c r="G585" s="12" t="s">
        <v>2308</v>
      </c>
      <c r="H585" s="12" t="s">
        <v>755</v>
      </c>
      <c r="I585" s="12" t="s">
        <v>756</v>
      </c>
      <c r="J585" s="84">
        <v>39616</v>
      </c>
      <c r="K585" s="84">
        <v>50573</v>
      </c>
      <c r="L585" s="12" t="s">
        <v>205</v>
      </c>
      <c r="M585" s="12" t="s">
        <v>2041</v>
      </c>
      <c r="N585" s="75"/>
    </row>
    <row r="586" spans="1:14">
      <c r="A586" s="12">
        <v>583</v>
      </c>
      <c r="B586" s="12" t="s">
        <v>2432</v>
      </c>
      <c r="C586" s="12" t="s">
        <v>137</v>
      </c>
      <c r="D586" s="12" t="s">
        <v>2433</v>
      </c>
      <c r="E586" s="85">
        <v>39.04</v>
      </c>
      <c r="F586" s="6">
        <v>2051303</v>
      </c>
      <c r="G586" s="12" t="s">
        <v>1896</v>
      </c>
      <c r="H586" s="12" t="s">
        <v>1897</v>
      </c>
      <c r="I586" s="12" t="s">
        <v>756</v>
      </c>
      <c r="J586" s="84">
        <v>39626</v>
      </c>
      <c r="K586" s="84">
        <v>50583</v>
      </c>
      <c r="L586" s="12" t="s">
        <v>304</v>
      </c>
      <c r="M586" s="12" t="s">
        <v>773</v>
      </c>
      <c r="N586" s="75"/>
    </row>
    <row r="587" spans="1:14">
      <c r="A587" s="12">
        <v>584</v>
      </c>
      <c r="B587" s="12" t="s">
        <v>2434</v>
      </c>
      <c r="C587" s="12" t="s">
        <v>2435</v>
      </c>
      <c r="D587" s="12" t="s">
        <v>2436</v>
      </c>
      <c r="E587" s="85">
        <v>335.02</v>
      </c>
      <c r="F587" s="6">
        <v>5157846</v>
      </c>
      <c r="G587" s="12" t="s">
        <v>2437</v>
      </c>
      <c r="H587" s="12" t="s">
        <v>755</v>
      </c>
      <c r="I587" s="12" t="s">
        <v>756</v>
      </c>
      <c r="J587" s="84">
        <v>39633</v>
      </c>
      <c r="K587" s="84">
        <v>50590</v>
      </c>
      <c r="L587" s="12" t="s">
        <v>233</v>
      </c>
      <c r="M587" s="12" t="s">
        <v>237</v>
      </c>
      <c r="N587" s="75"/>
    </row>
    <row r="588" spans="1:14">
      <c r="A588" s="12">
        <v>585</v>
      </c>
      <c r="B588" s="12" t="s">
        <v>2438</v>
      </c>
      <c r="C588" s="12" t="s">
        <v>1017</v>
      </c>
      <c r="D588" s="12" t="s">
        <v>2439</v>
      </c>
      <c r="E588" s="85">
        <v>140.11000000000001</v>
      </c>
      <c r="F588" s="6">
        <v>2824833</v>
      </c>
      <c r="G588" s="12" t="s">
        <v>2440</v>
      </c>
      <c r="H588" s="12" t="s">
        <v>755</v>
      </c>
      <c r="I588" s="12" t="s">
        <v>756</v>
      </c>
      <c r="J588" s="84">
        <v>38170</v>
      </c>
      <c r="K588" s="84">
        <v>49127</v>
      </c>
      <c r="L588" s="12" t="s">
        <v>304</v>
      </c>
      <c r="M588" s="12" t="s">
        <v>305</v>
      </c>
      <c r="N588" s="75"/>
    </row>
    <row r="589" spans="1:14">
      <c r="A589" s="12">
        <v>586</v>
      </c>
      <c r="B589" s="12" t="s">
        <v>2441</v>
      </c>
      <c r="C589" s="12" t="s">
        <v>2442</v>
      </c>
      <c r="D589" s="12" t="s">
        <v>2443</v>
      </c>
      <c r="E589" s="85">
        <v>67.790000000000006</v>
      </c>
      <c r="F589" s="6">
        <v>2824833</v>
      </c>
      <c r="G589" s="12" t="s">
        <v>2440</v>
      </c>
      <c r="H589" s="12" t="s">
        <v>755</v>
      </c>
      <c r="I589" s="12" t="s">
        <v>756</v>
      </c>
      <c r="J589" s="84">
        <v>38673</v>
      </c>
      <c r="K589" s="84">
        <v>49630</v>
      </c>
      <c r="L589" s="12" t="s">
        <v>170</v>
      </c>
      <c r="M589" s="12" t="s">
        <v>2444</v>
      </c>
      <c r="N589" s="75"/>
    </row>
    <row r="590" spans="1:14">
      <c r="A590" s="12">
        <v>587</v>
      </c>
      <c r="B590" s="12" t="s">
        <v>2445</v>
      </c>
      <c r="C590" s="12" t="s">
        <v>2442</v>
      </c>
      <c r="D590" s="12" t="s">
        <v>2446</v>
      </c>
      <c r="E590" s="85">
        <v>67.75</v>
      </c>
      <c r="F590" s="6">
        <v>2824833</v>
      </c>
      <c r="G590" s="12" t="s">
        <v>2440</v>
      </c>
      <c r="H590" s="12" t="s">
        <v>755</v>
      </c>
      <c r="I590" s="12" t="s">
        <v>756</v>
      </c>
      <c r="J590" s="84">
        <v>38673</v>
      </c>
      <c r="K590" s="84">
        <v>49630</v>
      </c>
      <c r="L590" s="12" t="s">
        <v>170</v>
      </c>
      <c r="M590" s="12" t="s">
        <v>2444</v>
      </c>
      <c r="N590" s="75"/>
    </row>
    <row r="591" spans="1:14">
      <c r="A591" s="12">
        <v>588</v>
      </c>
      <c r="B591" s="12" t="s">
        <v>2447</v>
      </c>
      <c r="C591" s="12" t="s">
        <v>137</v>
      </c>
      <c r="D591" s="12" t="s">
        <v>2448</v>
      </c>
      <c r="E591" s="85">
        <v>275.63</v>
      </c>
      <c r="F591" s="6">
        <v>2045931</v>
      </c>
      <c r="G591" s="12" t="s">
        <v>2449</v>
      </c>
      <c r="H591" s="12" t="s">
        <v>755</v>
      </c>
      <c r="I591" s="12" t="s">
        <v>756</v>
      </c>
      <c r="J591" s="84">
        <v>39639</v>
      </c>
      <c r="K591" s="84">
        <v>50596</v>
      </c>
      <c r="L591" s="12" t="s">
        <v>170</v>
      </c>
      <c r="M591" s="12" t="s">
        <v>2450</v>
      </c>
      <c r="N591" s="75"/>
    </row>
    <row r="592" spans="1:14">
      <c r="A592" s="12">
        <v>589</v>
      </c>
      <c r="B592" s="12" t="s">
        <v>2451</v>
      </c>
      <c r="C592" s="12" t="s">
        <v>752</v>
      </c>
      <c r="D592" s="12" t="s">
        <v>2452</v>
      </c>
      <c r="E592" s="85">
        <v>334.13</v>
      </c>
      <c r="F592" s="6">
        <v>2003732</v>
      </c>
      <c r="G592" s="12" t="s">
        <v>1462</v>
      </c>
      <c r="H592" s="12" t="s">
        <v>755</v>
      </c>
      <c r="I592" s="12" t="s">
        <v>756</v>
      </c>
      <c r="J592" s="84">
        <v>39650</v>
      </c>
      <c r="K592" s="84">
        <v>50607</v>
      </c>
      <c r="L592" s="12" t="s">
        <v>288</v>
      </c>
      <c r="M592" s="12" t="s">
        <v>836</v>
      </c>
      <c r="N592" s="75"/>
    </row>
    <row r="593" spans="1:14">
      <c r="A593" s="12">
        <v>590</v>
      </c>
      <c r="B593" s="12" t="s">
        <v>2453</v>
      </c>
      <c r="C593" s="12" t="s">
        <v>221</v>
      </c>
      <c r="D593" s="12" t="s">
        <v>1218</v>
      </c>
      <c r="E593" s="85">
        <v>98.62</v>
      </c>
      <c r="F593" s="6">
        <v>2862522</v>
      </c>
      <c r="G593" s="12" t="s">
        <v>2454</v>
      </c>
      <c r="H593" s="12" t="s">
        <v>755</v>
      </c>
      <c r="I593" s="12" t="s">
        <v>756</v>
      </c>
      <c r="J593" s="84">
        <v>39660</v>
      </c>
      <c r="K593" s="84">
        <v>50617</v>
      </c>
      <c r="L593" s="12" t="s">
        <v>170</v>
      </c>
      <c r="M593" s="12" t="s">
        <v>171</v>
      </c>
      <c r="N593" s="75"/>
    </row>
    <row r="594" spans="1:14">
      <c r="A594" s="12">
        <v>591</v>
      </c>
      <c r="B594" s="12" t="s">
        <v>2455</v>
      </c>
      <c r="C594" s="12" t="s">
        <v>212</v>
      </c>
      <c r="D594" s="12" t="s">
        <v>1496</v>
      </c>
      <c r="E594" s="85">
        <v>38.409999999999997</v>
      </c>
      <c r="F594" s="6">
        <v>5411726</v>
      </c>
      <c r="G594" s="12" t="s">
        <v>2456</v>
      </c>
      <c r="H594" s="12" t="s">
        <v>755</v>
      </c>
      <c r="I594" s="12" t="s">
        <v>756</v>
      </c>
      <c r="J594" s="84">
        <v>39696</v>
      </c>
      <c r="K594" s="84">
        <v>50653</v>
      </c>
      <c r="L594" s="12" t="s">
        <v>170</v>
      </c>
      <c r="M594" s="12" t="s">
        <v>807</v>
      </c>
      <c r="N594" s="75"/>
    </row>
    <row r="595" spans="1:14">
      <c r="A595" s="12">
        <v>592</v>
      </c>
      <c r="B595" s="12" t="s">
        <v>2457</v>
      </c>
      <c r="C595" s="12" t="s">
        <v>2458</v>
      </c>
      <c r="D595" s="12" t="s">
        <v>1389</v>
      </c>
      <c r="E595" s="85">
        <v>277.54000000000002</v>
      </c>
      <c r="F595" s="6">
        <v>2067501</v>
      </c>
      <c r="G595" s="12" t="s">
        <v>2459</v>
      </c>
      <c r="H595" s="12" t="s">
        <v>755</v>
      </c>
      <c r="I595" s="12" t="s">
        <v>756</v>
      </c>
      <c r="J595" s="84">
        <v>39699</v>
      </c>
      <c r="K595" s="84">
        <v>50656</v>
      </c>
      <c r="L595" s="12" t="s">
        <v>274</v>
      </c>
      <c r="M595" s="12" t="s">
        <v>874</v>
      </c>
      <c r="N595" s="75"/>
    </row>
    <row r="596" spans="1:14">
      <c r="A596" s="12">
        <v>593</v>
      </c>
      <c r="B596" s="12" t="s">
        <v>2460</v>
      </c>
      <c r="C596" s="12" t="s">
        <v>752</v>
      </c>
      <c r="D596" s="12" t="s">
        <v>2461</v>
      </c>
      <c r="E596" s="85">
        <v>228.81</v>
      </c>
      <c r="F596" s="6">
        <v>2876965</v>
      </c>
      <c r="G596" s="12" t="s">
        <v>2148</v>
      </c>
      <c r="H596" s="12" t="s">
        <v>755</v>
      </c>
      <c r="I596" s="12" t="s">
        <v>756</v>
      </c>
      <c r="J596" s="84">
        <v>39702</v>
      </c>
      <c r="K596" s="84">
        <v>50659</v>
      </c>
      <c r="L596" s="12" t="s">
        <v>274</v>
      </c>
      <c r="M596" s="12" t="s">
        <v>790</v>
      </c>
      <c r="N596" s="75"/>
    </row>
    <row r="597" spans="1:14">
      <c r="A597" s="12">
        <v>594</v>
      </c>
      <c r="B597" s="12" t="s">
        <v>2462</v>
      </c>
      <c r="C597" s="12" t="s">
        <v>212</v>
      </c>
      <c r="D597" s="12" t="s">
        <v>2463</v>
      </c>
      <c r="E597" s="85">
        <v>24.69</v>
      </c>
      <c r="F597" s="6">
        <v>2028565</v>
      </c>
      <c r="G597" s="12" t="s">
        <v>1767</v>
      </c>
      <c r="H597" s="12" t="s">
        <v>766</v>
      </c>
      <c r="I597" s="12" t="s">
        <v>767</v>
      </c>
      <c r="J597" s="84">
        <v>38989</v>
      </c>
      <c r="K597" s="84">
        <v>49947</v>
      </c>
      <c r="L597" s="12" t="s">
        <v>170</v>
      </c>
      <c r="M597" s="12" t="s">
        <v>802</v>
      </c>
      <c r="N597" s="75"/>
    </row>
    <row r="598" spans="1:14">
      <c r="A598" s="12">
        <v>595</v>
      </c>
      <c r="B598" s="12" t="s">
        <v>2464</v>
      </c>
      <c r="C598" s="12" t="s">
        <v>1035</v>
      </c>
      <c r="D598" s="12" t="s">
        <v>2465</v>
      </c>
      <c r="E598" s="85">
        <v>353.54</v>
      </c>
      <c r="F598" s="6">
        <v>2619504</v>
      </c>
      <c r="G598" s="12" t="s">
        <v>2466</v>
      </c>
      <c r="H598" s="12" t="s">
        <v>755</v>
      </c>
      <c r="I598" s="12" t="s">
        <v>756</v>
      </c>
      <c r="J598" s="84">
        <v>39714</v>
      </c>
      <c r="K598" s="84">
        <v>50671</v>
      </c>
      <c r="L598" s="12" t="s">
        <v>288</v>
      </c>
      <c r="M598" s="12" t="s">
        <v>2467</v>
      </c>
      <c r="N598" s="75"/>
    </row>
    <row r="599" spans="1:14">
      <c r="A599" s="12">
        <v>596</v>
      </c>
      <c r="B599" s="12" t="s">
        <v>2468</v>
      </c>
      <c r="C599" s="12" t="s">
        <v>122</v>
      </c>
      <c r="D599" s="12" t="s">
        <v>2117</v>
      </c>
      <c r="E599" s="85">
        <v>201.77</v>
      </c>
      <c r="F599" s="6">
        <v>2862468</v>
      </c>
      <c r="G599" s="12" t="s">
        <v>1013</v>
      </c>
      <c r="H599" s="12" t="s">
        <v>766</v>
      </c>
      <c r="I599" s="12" t="s">
        <v>767</v>
      </c>
      <c r="J599" s="84">
        <v>38958</v>
      </c>
      <c r="K599" s="84">
        <v>49916</v>
      </c>
      <c r="L599" s="12" t="s">
        <v>1014</v>
      </c>
      <c r="M599" s="12" t="s">
        <v>1015</v>
      </c>
      <c r="N599" s="75"/>
    </row>
    <row r="600" spans="1:14">
      <c r="A600" s="12">
        <v>597</v>
      </c>
      <c r="B600" s="12" t="s">
        <v>2469</v>
      </c>
      <c r="C600" s="12" t="s">
        <v>212</v>
      </c>
      <c r="D600" s="12" t="s">
        <v>2470</v>
      </c>
      <c r="E600" s="85">
        <v>59.44</v>
      </c>
      <c r="F600" s="6">
        <v>5341205</v>
      </c>
      <c r="G600" s="12" t="s">
        <v>2471</v>
      </c>
      <c r="H600" s="12" t="s">
        <v>848</v>
      </c>
      <c r="I600" s="12" t="s">
        <v>849</v>
      </c>
      <c r="J600" s="84">
        <v>39720</v>
      </c>
      <c r="K600" s="84">
        <v>50677</v>
      </c>
      <c r="L600" s="12" t="s">
        <v>293</v>
      </c>
      <c r="M600" s="12" t="s">
        <v>181</v>
      </c>
      <c r="N600" s="75"/>
    </row>
    <row r="601" spans="1:14">
      <c r="A601" s="12">
        <v>598</v>
      </c>
      <c r="B601" s="12" t="s">
        <v>2472</v>
      </c>
      <c r="C601" s="12" t="s">
        <v>122</v>
      </c>
      <c r="D601" s="12" t="s">
        <v>2473</v>
      </c>
      <c r="E601" s="85">
        <v>65.540000000000006</v>
      </c>
      <c r="F601" s="6">
        <v>2784041</v>
      </c>
      <c r="G601" s="12" t="s">
        <v>2474</v>
      </c>
      <c r="H601" s="12" t="s">
        <v>755</v>
      </c>
      <c r="I601" s="12" t="s">
        <v>756</v>
      </c>
      <c r="J601" s="84">
        <v>39721</v>
      </c>
      <c r="K601" s="84">
        <v>50678</v>
      </c>
      <c r="L601" s="12" t="s">
        <v>836</v>
      </c>
      <c r="M601" s="12" t="s">
        <v>305</v>
      </c>
      <c r="N601" s="75"/>
    </row>
    <row r="602" spans="1:14">
      <c r="A602" s="12">
        <v>599</v>
      </c>
      <c r="B602" s="12" t="s">
        <v>2475</v>
      </c>
      <c r="C602" s="12" t="s">
        <v>212</v>
      </c>
      <c r="D602" s="12" t="s">
        <v>2476</v>
      </c>
      <c r="E602" s="85">
        <v>164.39</v>
      </c>
      <c r="F602" s="6">
        <v>5109884</v>
      </c>
      <c r="G602" s="12" t="s">
        <v>2477</v>
      </c>
      <c r="H602" s="12" t="s">
        <v>755</v>
      </c>
      <c r="I602" s="12" t="s">
        <v>756</v>
      </c>
      <c r="J602" s="84">
        <v>39729</v>
      </c>
      <c r="K602" s="84">
        <v>50686</v>
      </c>
      <c r="L602" s="12" t="s">
        <v>293</v>
      </c>
      <c r="M602" s="12" t="s">
        <v>181</v>
      </c>
      <c r="N602" s="75"/>
    </row>
    <row r="603" spans="1:14">
      <c r="A603" s="12">
        <v>600</v>
      </c>
      <c r="B603" s="12" t="s">
        <v>2478</v>
      </c>
      <c r="C603" s="12" t="s">
        <v>1152</v>
      </c>
      <c r="D603" s="12" t="s">
        <v>2479</v>
      </c>
      <c r="E603" s="85">
        <v>189.44</v>
      </c>
      <c r="F603" s="6">
        <v>5590051</v>
      </c>
      <c r="G603" s="12" t="s">
        <v>2480</v>
      </c>
      <c r="H603" s="12" t="s">
        <v>755</v>
      </c>
      <c r="I603" s="12" t="s">
        <v>756</v>
      </c>
      <c r="J603" s="84">
        <v>39737</v>
      </c>
      <c r="K603" s="84">
        <v>50694</v>
      </c>
      <c r="L603" s="12" t="s">
        <v>128</v>
      </c>
      <c r="M603" s="12" t="s">
        <v>129</v>
      </c>
      <c r="N603" s="75"/>
    </row>
    <row r="604" spans="1:14">
      <c r="A604" s="12">
        <v>601</v>
      </c>
      <c r="B604" s="12" t="s">
        <v>2481</v>
      </c>
      <c r="C604" s="12" t="s">
        <v>995</v>
      </c>
      <c r="D604" s="12" t="s">
        <v>2482</v>
      </c>
      <c r="E604" s="85">
        <v>36.369999999999997</v>
      </c>
      <c r="F604" s="6">
        <v>5121442</v>
      </c>
      <c r="G604" s="12" t="s">
        <v>2483</v>
      </c>
      <c r="H604" s="12" t="s">
        <v>755</v>
      </c>
      <c r="I604" s="12" t="s">
        <v>756</v>
      </c>
      <c r="J604" s="84">
        <v>39738</v>
      </c>
      <c r="K604" s="84">
        <v>50695</v>
      </c>
      <c r="L604" s="12" t="s">
        <v>128</v>
      </c>
      <c r="M604" s="12" t="s">
        <v>291</v>
      </c>
      <c r="N604" s="75"/>
    </row>
    <row r="605" spans="1:14">
      <c r="A605" s="12">
        <v>602</v>
      </c>
      <c r="B605" s="12" t="s">
        <v>2484</v>
      </c>
      <c r="C605" s="12" t="s">
        <v>212</v>
      </c>
      <c r="D605" s="12" t="s">
        <v>2485</v>
      </c>
      <c r="E605" s="85">
        <v>61.98</v>
      </c>
      <c r="F605" s="6">
        <v>5111803</v>
      </c>
      <c r="G605" s="12" t="s">
        <v>2486</v>
      </c>
      <c r="H605" s="12" t="s">
        <v>848</v>
      </c>
      <c r="I605" s="12" t="s">
        <v>849</v>
      </c>
      <c r="J605" s="84">
        <v>39738</v>
      </c>
      <c r="K605" s="84">
        <v>50695</v>
      </c>
      <c r="L605" s="12" t="s">
        <v>375</v>
      </c>
      <c r="M605" s="12" t="s">
        <v>1279</v>
      </c>
      <c r="N605" s="75"/>
    </row>
    <row r="606" spans="1:14">
      <c r="A606" s="12">
        <v>603</v>
      </c>
      <c r="B606" s="12" t="s">
        <v>2487</v>
      </c>
      <c r="C606" s="12" t="s">
        <v>2488</v>
      </c>
      <c r="D606" s="12" t="s">
        <v>2489</v>
      </c>
      <c r="E606" s="85">
        <v>26.02</v>
      </c>
      <c r="F606" s="6">
        <v>5344441</v>
      </c>
      <c r="G606" s="12" t="s">
        <v>2490</v>
      </c>
      <c r="H606" s="12" t="s">
        <v>755</v>
      </c>
      <c r="I606" s="12" t="s">
        <v>756</v>
      </c>
      <c r="J606" s="84">
        <v>39553</v>
      </c>
      <c r="K606" s="84">
        <v>50510</v>
      </c>
      <c r="L606" s="12" t="s">
        <v>128</v>
      </c>
      <c r="M606" s="12" t="s">
        <v>129</v>
      </c>
      <c r="N606" s="75"/>
    </row>
    <row r="607" spans="1:14">
      <c r="A607" s="12">
        <v>604</v>
      </c>
      <c r="B607" s="12" t="s">
        <v>2491</v>
      </c>
      <c r="C607" s="12" t="s">
        <v>752</v>
      </c>
      <c r="D607" s="12" t="s">
        <v>2492</v>
      </c>
      <c r="E607" s="85">
        <v>15</v>
      </c>
      <c r="F607" s="6">
        <v>5292638</v>
      </c>
      <c r="G607" s="12" t="s">
        <v>1859</v>
      </c>
      <c r="H607" s="12" t="s">
        <v>755</v>
      </c>
      <c r="I607" s="12" t="s">
        <v>756</v>
      </c>
      <c r="J607" s="84">
        <v>35240</v>
      </c>
      <c r="K607" s="84">
        <v>46197</v>
      </c>
      <c r="L607" s="12" t="s">
        <v>274</v>
      </c>
      <c r="M607" s="12" t="s">
        <v>275</v>
      </c>
      <c r="N607" s="75"/>
    </row>
    <row r="608" spans="1:14">
      <c r="A608" s="12">
        <v>605</v>
      </c>
      <c r="B608" s="12" t="s">
        <v>2493</v>
      </c>
      <c r="C608" s="12" t="s">
        <v>2494</v>
      </c>
      <c r="D608" s="12" t="s">
        <v>2495</v>
      </c>
      <c r="E608" s="85">
        <v>31.46</v>
      </c>
      <c r="F608" s="6">
        <v>5214335</v>
      </c>
      <c r="G608" s="12" t="s">
        <v>2496</v>
      </c>
      <c r="H608" s="12" t="s">
        <v>755</v>
      </c>
      <c r="I608" s="12" t="s">
        <v>756</v>
      </c>
      <c r="J608" s="84">
        <v>39757</v>
      </c>
      <c r="K608" s="84">
        <v>50714</v>
      </c>
      <c r="L608" s="12" t="s">
        <v>128</v>
      </c>
      <c r="M608" s="12" t="s">
        <v>129</v>
      </c>
      <c r="N608" s="75"/>
    </row>
    <row r="609" spans="1:14">
      <c r="A609" s="12">
        <v>606</v>
      </c>
      <c r="B609" s="12" t="s">
        <v>2497</v>
      </c>
      <c r="C609" s="12" t="s">
        <v>122</v>
      </c>
      <c r="D609" s="12" t="s">
        <v>2498</v>
      </c>
      <c r="E609" s="85">
        <v>51.25</v>
      </c>
      <c r="F609" s="6">
        <v>2661128</v>
      </c>
      <c r="G609" s="12" t="s">
        <v>1108</v>
      </c>
      <c r="H609" s="12" t="s">
        <v>755</v>
      </c>
      <c r="I609" s="12" t="s">
        <v>756</v>
      </c>
      <c r="J609" s="84">
        <v>39776</v>
      </c>
      <c r="K609" s="84">
        <v>50733</v>
      </c>
      <c r="L609" s="12" t="s">
        <v>782</v>
      </c>
      <c r="M609" s="12" t="s">
        <v>1109</v>
      </c>
      <c r="N609" s="75"/>
    </row>
    <row r="610" spans="1:14">
      <c r="A610" s="12">
        <v>607</v>
      </c>
      <c r="B610" s="12" t="s">
        <v>2499</v>
      </c>
      <c r="C610" s="12" t="s">
        <v>122</v>
      </c>
      <c r="D610" s="12" t="s">
        <v>1953</v>
      </c>
      <c r="E610" s="85">
        <v>92.75</v>
      </c>
      <c r="F610" s="6">
        <v>5877288</v>
      </c>
      <c r="G610" s="12" t="s">
        <v>2500</v>
      </c>
      <c r="H610" s="12" t="s">
        <v>755</v>
      </c>
      <c r="I610" s="12" t="s">
        <v>756</v>
      </c>
      <c r="J610" s="84">
        <v>39783</v>
      </c>
      <c r="K610" s="84">
        <v>50740</v>
      </c>
      <c r="L610" s="12" t="s">
        <v>170</v>
      </c>
      <c r="M610" s="12" t="s">
        <v>171</v>
      </c>
      <c r="N610" s="75"/>
    </row>
    <row r="611" spans="1:14">
      <c r="A611" s="12">
        <v>608</v>
      </c>
      <c r="B611" s="12" t="s">
        <v>2501</v>
      </c>
      <c r="C611" s="12" t="s">
        <v>122</v>
      </c>
      <c r="D611" s="12" t="s">
        <v>2502</v>
      </c>
      <c r="E611" s="85">
        <v>4481.82</v>
      </c>
      <c r="F611" s="6">
        <v>2887134</v>
      </c>
      <c r="G611" s="12" t="s">
        <v>2503</v>
      </c>
      <c r="H611" s="12" t="s">
        <v>848</v>
      </c>
      <c r="I611" s="12" t="s">
        <v>849</v>
      </c>
      <c r="J611" s="84">
        <v>39783</v>
      </c>
      <c r="K611" s="84">
        <v>50740</v>
      </c>
      <c r="L611" s="12" t="s">
        <v>233</v>
      </c>
      <c r="M611" s="12" t="s">
        <v>2504</v>
      </c>
      <c r="N611" s="75"/>
    </row>
    <row r="612" spans="1:14">
      <c r="A612" s="12">
        <v>609</v>
      </c>
      <c r="B612" s="12" t="s">
        <v>2505</v>
      </c>
      <c r="C612" s="12" t="s">
        <v>752</v>
      </c>
      <c r="D612" s="12" t="s">
        <v>2506</v>
      </c>
      <c r="E612" s="85">
        <v>159.80000000000001</v>
      </c>
      <c r="F612" s="6">
        <v>2851326</v>
      </c>
      <c r="G612" s="12" t="s">
        <v>2507</v>
      </c>
      <c r="H612" s="12" t="s">
        <v>755</v>
      </c>
      <c r="I612" s="12" t="s">
        <v>756</v>
      </c>
      <c r="J612" s="84">
        <v>38561</v>
      </c>
      <c r="K612" s="84">
        <v>51623</v>
      </c>
      <c r="L612" s="12" t="s">
        <v>274</v>
      </c>
      <c r="M612" s="12" t="s">
        <v>275</v>
      </c>
      <c r="N612" s="75"/>
    </row>
    <row r="613" spans="1:14">
      <c r="A613" s="12">
        <v>610</v>
      </c>
      <c r="B613" s="12" t="s">
        <v>2508</v>
      </c>
      <c r="C613" s="12" t="s">
        <v>212</v>
      </c>
      <c r="D613" s="12" t="s">
        <v>2296</v>
      </c>
      <c r="E613" s="85">
        <v>73.84</v>
      </c>
      <c r="F613" s="6">
        <v>5384915</v>
      </c>
      <c r="G613" s="12" t="s">
        <v>2267</v>
      </c>
      <c r="H613" s="12" t="s">
        <v>848</v>
      </c>
      <c r="I613" s="12" t="s">
        <v>849</v>
      </c>
      <c r="J613" s="84">
        <v>39786</v>
      </c>
      <c r="K613" s="84">
        <v>50743</v>
      </c>
      <c r="L613" s="12" t="s">
        <v>170</v>
      </c>
      <c r="M613" s="12" t="s">
        <v>807</v>
      </c>
      <c r="N613" s="75"/>
    </row>
    <row r="614" spans="1:14">
      <c r="A614" s="12">
        <v>611</v>
      </c>
      <c r="B614" s="12" t="s">
        <v>2509</v>
      </c>
      <c r="C614" s="12" t="s">
        <v>212</v>
      </c>
      <c r="D614" s="12" t="s">
        <v>2510</v>
      </c>
      <c r="E614" s="85">
        <v>159.69</v>
      </c>
      <c r="F614" s="6">
        <v>5105501</v>
      </c>
      <c r="G614" s="12" t="s">
        <v>2511</v>
      </c>
      <c r="H614" s="12" t="s">
        <v>755</v>
      </c>
      <c r="I614" s="12" t="s">
        <v>756</v>
      </c>
      <c r="J614" s="84">
        <v>39790</v>
      </c>
      <c r="K614" s="84">
        <v>50747</v>
      </c>
      <c r="L614" s="12" t="s">
        <v>138</v>
      </c>
      <c r="M614" s="12" t="s">
        <v>1927</v>
      </c>
      <c r="N614" s="75"/>
    </row>
    <row r="615" spans="1:14">
      <c r="A615" s="12">
        <v>612</v>
      </c>
      <c r="B615" s="12" t="s">
        <v>2512</v>
      </c>
      <c r="C615" s="12" t="s">
        <v>752</v>
      </c>
      <c r="D615" s="12" t="s">
        <v>2513</v>
      </c>
      <c r="E615" s="85">
        <v>550.53</v>
      </c>
      <c r="F615" s="6">
        <v>5429196</v>
      </c>
      <c r="G615" s="12" t="s">
        <v>2514</v>
      </c>
      <c r="H615" s="12" t="s">
        <v>755</v>
      </c>
      <c r="I615" s="12" t="s">
        <v>756</v>
      </c>
      <c r="J615" s="84">
        <v>39790</v>
      </c>
      <c r="K615" s="84">
        <v>50747</v>
      </c>
      <c r="L615" s="12" t="s">
        <v>304</v>
      </c>
      <c r="M615" s="12" t="s">
        <v>843</v>
      </c>
      <c r="N615" s="75"/>
    </row>
    <row r="616" spans="1:14">
      <c r="A616" s="12">
        <v>613</v>
      </c>
      <c r="B616" s="12" t="s">
        <v>2515</v>
      </c>
      <c r="C616" s="12" t="s">
        <v>122</v>
      </c>
      <c r="D616" s="12" t="s">
        <v>2516</v>
      </c>
      <c r="E616" s="85">
        <v>35.29</v>
      </c>
      <c r="F616" s="6">
        <v>2016931</v>
      </c>
      <c r="G616" s="12" t="s">
        <v>2517</v>
      </c>
      <c r="H616" s="12" t="s">
        <v>781</v>
      </c>
      <c r="I616" s="12" t="s">
        <v>756</v>
      </c>
      <c r="J616" s="84">
        <v>36545</v>
      </c>
      <c r="K616" s="84">
        <v>47503</v>
      </c>
      <c r="L616" s="12" t="s">
        <v>138</v>
      </c>
      <c r="M616" s="12" t="s">
        <v>138</v>
      </c>
      <c r="N616" s="75"/>
    </row>
    <row r="617" spans="1:14">
      <c r="A617" s="12">
        <v>614</v>
      </c>
      <c r="B617" s="12" t="s">
        <v>2518</v>
      </c>
      <c r="C617" s="12" t="s">
        <v>221</v>
      </c>
      <c r="D617" s="12" t="s">
        <v>2519</v>
      </c>
      <c r="E617" s="85">
        <v>42.82</v>
      </c>
      <c r="F617" s="6">
        <v>5038464</v>
      </c>
      <c r="G617" s="12" t="s">
        <v>2520</v>
      </c>
      <c r="H617" s="12" t="s">
        <v>755</v>
      </c>
      <c r="I617" s="12" t="s">
        <v>756</v>
      </c>
      <c r="J617" s="84">
        <v>39827</v>
      </c>
      <c r="K617" s="84">
        <v>50784</v>
      </c>
      <c r="L617" s="12" t="s">
        <v>170</v>
      </c>
      <c r="M617" s="12" t="s">
        <v>811</v>
      </c>
      <c r="N617" s="75"/>
    </row>
    <row r="618" spans="1:14">
      <c r="A618" s="12">
        <v>615</v>
      </c>
      <c r="B618" s="12" t="s">
        <v>2521</v>
      </c>
      <c r="C618" s="12" t="s">
        <v>122</v>
      </c>
      <c r="D618" s="12" t="s">
        <v>2522</v>
      </c>
      <c r="E618" s="85">
        <v>354.51</v>
      </c>
      <c r="F618" s="6">
        <v>5068827</v>
      </c>
      <c r="G618" s="12" t="s">
        <v>1053</v>
      </c>
      <c r="H618" s="12" t="s">
        <v>755</v>
      </c>
      <c r="I618" s="12" t="s">
        <v>756</v>
      </c>
      <c r="J618" s="84">
        <v>39927</v>
      </c>
      <c r="K618" s="84">
        <v>50884</v>
      </c>
      <c r="L618" s="12" t="s">
        <v>304</v>
      </c>
      <c r="M618" s="12" t="s">
        <v>1054</v>
      </c>
      <c r="N618" s="75"/>
    </row>
    <row r="619" spans="1:14">
      <c r="A619" s="12">
        <v>616</v>
      </c>
      <c r="B619" s="12" t="s">
        <v>2523</v>
      </c>
      <c r="C619" s="12" t="s">
        <v>1152</v>
      </c>
      <c r="D619" s="12" t="s">
        <v>2489</v>
      </c>
      <c r="E619" s="85">
        <v>20.38</v>
      </c>
      <c r="F619" s="6">
        <v>2112663</v>
      </c>
      <c r="G619" s="12" t="s">
        <v>2524</v>
      </c>
      <c r="H619" s="12" t="s">
        <v>755</v>
      </c>
      <c r="I619" s="12" t="s">
        <v>756</v>
      </c>
      <c r="J619" s="84">
        <v>39553</v>
      </c>
      <c r="K619" s="84">
        <v>50510</v>
      </c>
      <c r="L619" s="12" t="s">
        <v>128</v>
      </c>
      <c r="M619" s="12" t="s">
        <v>129</v>
      </c>
      <c r="N619" s="75"/>
    </row>
    <row r="620" spans="1:14">
      <c r="A620" s="12">
        <v>617</v>
      </c>
      <c r="B620" s="12" t="s">
        <v>2525</v>
      </c>
      <c r="C620" s="12" t="s">
        <v>752</v>
      </c>
      <c r="D620" s="12" t="s">
        <v>2526</v>
      </c>
      <c r="E620" s="85">
        <v>46.87</v>
      </c>
      <c r="F620" s="6">
        <v>2662213</v>
      </c>
      <c r="G620" s="12" t="s">
        <v>2527</v>
      </c>
      <c r="H620" s="12" t="s">
        <v>766</v>
      </c>
      <c r="I620" s="12" t="s">
        <v>767</v>
      </c>
      <c r="J620" s="84">
        <v>37530</v>
      </c>
      <c r="K620" s="84">
        <v>50063</v>
      </c>
      <c r="L620" s="12" t="s">
        <v>180</v>
      </c>
      <c r="M620" s="12" t="s">
        <v>927</v>
      </c>
      <c r="N620" s="75"/>
    </row>
    <row r="621" spans="1:14">
      <c r="A621" s="12">
        <v>618</v>
      </c>
      <c r="B621" s="12" t="s">
        <v>2528</v>
      </c>
      <c r="C621" s="12" t="s">
        <v>752</v>
      </c>
      <c r="D621" s="12" t="s">
        <v>753</v>
      </c>
      <c r="E621" s="85">
        <v>237.84</v>
      </c>
      <c r="F621" s="6">
        <v>2872943</v>
      </c>
      <c r="G621" s="12" t="s">
        <v>2529</v>
      </c>
      <c r="H621" s="12" t="s">
        <v>755</v>
      </c>
      <c r="I621" s="12" t="s">
        <v>756</v>
      </c>
      <c r="J621" s="84">
        <v>39846</v>
      </c>
      <c r="K621" s="84">
        <v>50803</v>
      </c>
      <c r="L621" s="12" t="s">
        <v>274</v>
      </c>
      <c r="M621" s="12" t="s">
        <v>275</v>
      </c>
      <c r="N621" s="75"/>
    </row>
    <row r="622" spans="1:14">
      <c r="A622" s="12">
        <v>619</v>
      </c>
      <c r="B622" s="12" t="s">
        <v>2530</v>
      </c>
      <c r="C622" s="12" t="s">
        <v>752</v>
      </c>
      <c r="D622" s="12" t="s">
        <v>2531</v>
      </c>
      <c r="E622" s="85">
        <v>25.01</v>
      </c>
      <c r="F622" s="6">
        <v>5445744</v>
      </c>
      <c r="G622" s="12" t="s">
        <v>2273</v>
      </c>
      <c r="H622" s="12" t="s">
        <v>755</v>
      </c>
      <c r="I622" s="12" t="s">
        <v>756</v>
      </c>
      <c r="J622" s="84">
        <v>39868</v>
      </c>
      <c r="K622" s="84">
        <v>50825</v>
      </c>
      <c r="L622" s="12" t="s">
        <v>768</v>
      </c>
      <c r="M622" s="12" t="s">
        <v>1386</v>
      </c>
      <c r="N622" s="75"/>
    </row>
    <row r="623" spans="1:14">
      <c r="A623" s="12">
        <v>620</v>
      </c>
      <c r="B623" s="12" t="s">
        <v>2532</v>
      </c>
      <c r="C623" s="12" t="s">
        <v>752</v>
      </c>
      <c r="D623" s="12" t="s">
        <v>2533</v>
      </c>
      <c r="E623" s="85">
        <v>56.74</v>
      </c>
      <c r="F623" s="6">
        <v>5445744</v>
      </c>
      <c r="G623" s="12" t="s">
        <v>2273</v>
      </c>
      <c r="H623" s="12" t="s">
        <v>755</v>
      </c>
      <c r="I623" s="12" t="s">
        <v>756</v>
      </c>
      <c r="J623" s="84">
        <v>39868</v>
      </c>
      <c r="K623" s="84">
        <v>50825</v>
      </c>
      <c r="L623" s="12" t="s">
        <v>768</v>
      </c>
      <c r="M623" s="12" t="s">
        <v>1386</v>
      </c>
      <c r="N623" s="75"/>
    </row>
    <row r="624" spans="1:14">
      <c r="A624" s="12">
        <v>621</v>
      </c>
      <c r="B624" s="12" t="s">
        <v>2534</v>
      </c>
      <c r="C624" s="12" t="s">
        <v>221</v>
      </c>
      <c r="D624" s="12" t="s">
        <v>2535</v>
      </c>
      <c r="E624" s="85">
        <v>541.08000000000004</v>
      </c>
      <c r="F624" s="6">
        <v>2546485</v>
      </c>
      <c r="G624" s="12" t="s">
        <v>2536</v>
      </c>
      <c r="H624" s="12" t="s">
        <v>755</v>
      </c>
      <c r="I624" s="12" t="s">
        <v>756</v>
      </c>
      <c r="J624" s="84">
        <v>39892</v>
      </c>
      <c r="K624" s="84">
        <v>50849</v>
      </c>
      <c r="L624" s="12" t="s">
        <v>274</v>
      </c>
      <c r="M624" s="12" t="s">
        <v>1042</v>
      </c>
      <c r="N624" s="75"/>
    </row>
    <row r="625" spans="1:14">
      <c r="A625" s="12">
        <v>622</v>
      </c>
      <c r="B625" s="12" t="s">
        <v>2537</v>
      </c>
      <c r="C625" s="12" t="s">
        <v>137</v>
      </c>
      <c r="D625" s="12" t="s">
        <v>2538</v>
      </c>
      <c r="E625" s="85">
        <v>365.36</v>
      </c>
      <c r="F625" s="6">
        <v>5244269</v>
      </c>
      <c r="G625" s="12" t="s">
        <v>2539</v>
      </c>
      <c r="H625" s="12" t="s">
        <v>848</v>
      </c>
      <c r="I625" s="12" t="s">
        <v>849</v>
      </c>
      <c r="J625" s="84">
        <v>39904</v>
      </c>
      <c r="K625" s="84">
        <v>50861</v>
      </c>
      <c r="L625" s="12" t="s">
        <v>170</v>
      </c>
      <c r="M625" s="12" t="s">
        <v>2450</v>
      </c>
      <c r="N625" s="75"/>
    </row>
    <row r="626" spans="1:14">
      <c r="A626" s="12">
        <v>623</v>
      </c>
      <c r="B626" s="12" t="s">
        <v>2540</v>
      </c>
      <c r="C626" s="12" t="s">
        <v>1152</v>
      </c>
      <c r="D626" s="12" t="s">
        <v>2541</v>
      </c>
      <c r="E626" s="85">
        <v>6.18</v>
      </c>
      <c r="F626" s="6">
        <v>5194199</v>
      </c>
      <c r="G626" s="12" t="s">
        <v>2542</v>
      </c>
      <c r="H626" s="12" t="s">
        <v>755</v>
      </c>
      <c r="I626" s="12" t="s">
        <v>756</v>
      </c>
      <c r="J626" s="84">
        <v>39925</v>
      </c>
      <c r="K626" s="84">
        <v>50882</v>
      </c>
      <c r="L626" s="12" t="s">
        <v>274</v>
      </c>
      <c r="M626" s="12" t="s">
        <v>1267</v>
      </c>
      <c r="N626" s="75"/>
    </row>
    <row r="627" spans="1:14">
      <c r="A627" s="12">
        <v>624</v>
      </c>
      <c r="B627" s="12" t="s">
        <v>2543</v>
      </c>
      <c r="C627" s="12" t="s">
        <v>122</v>
      </c>
      <c r="D627" s="12" t="s">
        <v>1081</v>
      </c>
      <c r="E627" s="85">
        <v>1082.42</v>
      </c>
      <c r="F627" s="6">
        <v>2095025</v>
      </c>
      <c r="G627" s="12" t="s">
        <v>870</v>
      </c>
      <c r="H627" s="12" t="s">
        <v>755</v>
      </c>
      <c r="I627" s="12" t="s">
        <v>756</v>
      </c>
      <c r="J627" s="84">
        <v>39938</v>
      </c>
      <c r="K627" s="84">
        <v>50895</v>
      </c>
      <c r="L627" s="12" t="s">
        <v>123</v>
      </c>
      <c r="M627" s="12" t="s">
        <v>1070</v>
      </c>
      <c r="N627" s="75"/>
    </row>
    <row r="628" spans="1:14">
      <c r="A628" s="12">
        <v>625</v>
      </c>
      <c r="B628" s="12" t="s">
        <v>2544</v>
      </c>
      <c r="C628" s="12" t="s">
        <v>1152</v>
      </c>
      <c r="D628" s="12" t="s">
        <v>2545</v>
      </c>
      <c r="E628" s="85">
        <v>36.020000000000003</v>
      </c>
      <c r="F628" s="6">
        <v>5167256</v>
      </c>
      <c r="G628" s="12" t="s">
        <v>2546</v>
      </c>
      <c r="H628" s="12" t="s">
        <v>755</v>
      </c>
      <c r="I628" s="12" t="s">
        <v>756</v>
      </c>
      <c r="J628" s="84">
        <v>39951</v>
      </c>
      <c r="K628" s="84">
        <v>50908</v>
      </c>
      <c r="L628" s="12" t="s">
        <v>274</v>
      </c>
      <c r="M628" s="12" t="s">
        <v>1267</v>
      </c>
      <c r="N628" s="75"/>
    </row>
    <row r="629" spans="1:14">
      <c r="A629" s="12">
        <v>626</v>
      </c>
      <c r="B629" s="12" t="s">
        <v>2547</v>
      </c>
      <c r="C629" s="12" t="s">
        <v>122</v>
      </c>
      <c r="D629" s="12" t="s">
        <v>2548</v>
      </c>
      <c r="E629" s="85">
        <v>1637.63</v>
      </c>
      <c r="F629" s="6">
        <v>5376467</v>
      </c>
      <c r="G629" s="12" t="s">
        <v>2549</v>
      </c>
      <c r="H629" s="12" t="s">
        <v>755</v>
      </c>
      <c r="I629" s="12" t="s">
        <v>756</v>
      </c>
      <c r="J629" s="84">
        <v>39951</v>
      </c>
      <c r="K629" s="84">
        <v>50908</v>
      </c>
      <c r="L629" s="12" t="s">
        <v>375</v>
      </c>
      <c r="M629" s="12" t="s">
        <v>2550</v>
      </c>
      <c r="N629" s="75"/>
    </row>
    <row r="630" spans="1:14">
      <c r="A630" s="12">
        <v>627</v>
      </c>
      <c r="B630" s="12" t="s">
        <v>2551</v>
      </c>
      <c r="C630" s="12" t="s">
        <v>1002</v>
      </c>
      <c r="D630" s="12" t="s">
        <v>1056</v>
      </c>
      <c r="E630" s="85">
        <v>8.09</v>
      </c>
      <c r="F630" s="6">
        <v>2305097</v>
      </c>
      <c r="G630" s="12" t="s">
        <v>2552</v>
      </c>
      <c r="H630" s="12" t="s">
        <v>2553</v>
      </c>
      <c r="I630" s="12" t="s">
        <v>756</v>
      </c>
      <c r="J630" s="84">
        <v>34842</v>
      </c>
      <c r="K630" s="84">
        <v>45800</v>
      </c>
      <c r="L630" s="12" t="s">
        <v>123</v>
      </c>
      <c r="M630" s="12" t="s">
        <v>1058</v>
      </c>
      <c r="N630" s="75"/>
    </row>
    <row r="631" spans="1:14">
      <c r="A631" s="12">
        <v>628</v>
      </c>
      <c r="B631" s="12" t="s">
        <v>2554</v>
      </c>
      <c r="C631" s="12" t="s">
        <v>752</v>
      </c>
      <c r="D631" s="12" t="s">
        <v>2555</v>
      </c>
      <c r="E631" s="85">
        <v>35.979999999999997</v>
      </c>
      <c r="F631" s="6">
        <v>5047706</v>
      </c>
      <c r="G631" s="12" t="s">
        <v>2556</v>
      </c>
      <c r="H631" s="12" t="s">
        <v>755</v>
      </c>
      <c r="I631" s="12" t="s">
        <v>756</v>
      </c>
      <c r="J631" s="84">
        <v>39960</v>
      </c>
      <c r="K631" s="84">
        <v>50917</v>
      </c>
      <c r="L631" s="12" t="s">
        <v>274</v>
      </c>
      <c r="M631" s="12" t="s">
        <v>275</v>
      </c>
      <c r="N631" s="75"/>
    </row>
    <row r="632" spans="1:14">
      <c r="A632" s="12">
        <v>629</v>
      </c>
      <c r="B632" s="12" t="s">
        <v>2557</v>
      </c>
      <c r="C632" s="12" t="s">
        <v>979</v>
      </c>
      <c r="D632" s="12" t="s">
        <v>2558</v>
      </c>
      <c r="E632" s="85">
        <v>39.119999999999997</v>
      </c>
      <c r="F632" s="6">
        <v>2708345</v>
      </c>
      <c r="G632" s="12" t="s">
        <v>2559</v>
      </c>
      <c r="H632" s="12" t="s">
        <v>766</v>
      </c>
      <c r="I632" s="12" t="s">
        <v>767</v>
      </c>
      <c r="J632" s="84">
        <v>39975</v>
      </c>
      <c r="K632" s="84">
        <v>50932</v>
      </c>
      <c r="L632" s="12" t="s">
        <v>138</v>
      </c>
      <c r="M632" s="12" t="s">
        <v>138</v>
      </c>
      <c r="N632" s="75"/>
    </row>
    <row r="633" spans="1:14">
      <c r="A633" s="12">
        <v>630</v>
      </c>
      <c r="B633" s="12" t="s">
        <v>2560</v>
      </c>
      <c r="C633" s="12" t="s">
        <v>1547</v>
      </c>
      <c r="D633" s="12" t="s">
        <v>2561</v>
      </c>
      <c r="E633" s="85">
        <v>506.3</v>
      </c>
      <c r="F633" s="6">
        <v>5268451</v>
      </c>
      <c r="G633" s="12" t="s">
        <v>2562</v>
      </c>
      <c r="H633" s="12" t="s">
        <v>755</v>
      </c>
      <c r="I633" s="12" t="s">
        <v>756</v>
      </c>
      <c r="J633" s="84">
        <v>39451</v>
      </c>
      <c r="K633" s="84">
        <v>50409</v>
      </c>
      <c r="L633" s="12" t="s">
        <v>233</v>
      </c>
      <c r="M633" s="12" t="s">
        <v>2563</v>
      </c>
      <c r="N633" s="75"/>
    </row>
    <row r="634" spans="1:14">
      <c r="A634" s="12">
        <v>631</v>
      </c>
      <c r="B634" s="12" t="s">
        <v>2564</v>
      </c>
      <c r="C634" s="12" t="s">
        <v>1152</v>
      </c>
      <c r="D634" s="12" t="s">
        <v>2565</v>
      </c>
      <c r="E634" s="85">
        <v>27</v>
      </c>
      <c r="F634" s="6">
        <v>5170591</v>
      </c>
      <c r="G634" s="12" t="s">
        <v>2566</v>
      </c>
      <c r="H634" s="12" t="s">
        <v>755</v>
      </c>
      <c r="I634" s="12" t="s">
        <v>756</v>
      </c>
      <c r="J634" s="84">
        <v>39987</v>
      </c>
      <c r="K634" s="84">
        <v>50944</v>
      </c>
      <c r="L634" s="12" t="s">
        <v>128</v>
      </c>
      <c r="M634" s="12" t="s">
        <v>129</v>
      </c>
      <c r="N634" s="75"/>
    </row>
    <row r="635" spans="1:14">
      <c r="A635" s="12">
        <v>632</v>
      </c>
      <c r="B635" s="12" t="s">
        <v>2567</v>
      </c>
      <c r="C635" s="12" t="s">
        <v>221</v>
      </c>
      <c r="D635" s="12" t="s">
        <v>2568</v>
      </c>
      <c r="E635" s="85">
        <v>24.89</v>
      </c>
      <c r="F635" s="6">
        <v>2050463</v>
      </c>
      <c r="G635" s="12" t="s">
        <v>2569</v>
      </c>
      <c r="H635" s="12" t="s">
        <v>914</v>
      </c>
      <c r="I635" s="12" t="s">
        <v>756</v>
      </c>
      <c r="J635" s="84">
        <v>39987</v>
      </c>
      <c r="K635" s="84">
        <v>50944</v>
      </c>
      <c r="L635" s="12" t="s">
        <v>180</v>
      </c>
      <c r="M635" s="12" t="s">
        <v>927</v>
      </c>
      <c r="N635" s="75"/>
    </row>
    <row r="636" spans="1:14">
      <c r="A636" s="12">
        <v>633</v>
      </c>
      <c r="B636" s="12" t="s">
        <v>2570</v>
      </c>
      <c r="C636" s="12" t="s">
        <v>752</v>
      </c>
      <c r="D636" s="12" t="s">
        <v>1976</v>
      </c>
      <c r="E636" s="85">
        <v>33.99</v>
      </c>
      <c r="F636" s="6">
        <v>5175739</v>
      </c>
      <c r="G636" s="12" t="s">
        <v>2571</v>
      </c>
      <c r="H636" s="12" t="s">
        <v>755</v>
      </c>
      <c r="I636" s="12" t="s">
        <v>756</v>
      </c>
      <c r="J636" s="84">
        <v>40002</v>
      </c>
      <c r="K636" s="84">
        <v>52739</v>
      </c>
      <c r="L636" s="12" t="s">
        <v>836</v>
      </c>
      <c r="M636" s="12" t="s">
        <v>837</v>
      </c>
      <c r="N636" s="75"/>
    </row>
    <row r="637" spans="1:14">
      <c r="A637" s="12">
        <v>634</v>
      </c>
      <c r="B637" s="12" t="s">
        <v>2572</v>
      </c>
      <c r="C637" s="12" t="s">
        <v>122</v>
      </c>
      <c r="D637" s="12" t="s">
        <v>2573</v>
      </c>
      <c r="E637" s="85">
        <v>1423.81</v>
      </c>
      <c r="F637" s="6">
        <v>5009138</v>
      </c>
      <c r="G637" s="12" t="s">
        <v>1905</v>
      </c>
      <c r="H637" s="12" t="s">
        <v>755</v>
      </c>
      <c r="I637" s="12" t="s">
        <v>756</v>
      </c>
      <c r="J637" s="84">
        <v>40002</v>
      </c>
      <c r="K637" s="84">
        <v>50959</v>
      </c>
      <c r="L637" s="12" t="s">
        <v>274</v>
      </c>
      <c r="M637" s="12" t="s">
        <v>982</v>
      </c>
      <c r="N637" s="75"/>
    </row>
    <row r="638" spans="1:14">
      <c r="A638" s="12">
        <v>635</v>
      </c>
      <c r="B638" s="12" t="s">
        <v>2574</v>
      </c>
      <c r="C638" s="12" t="s">
        <v>752</v>
      </c>
      <c r="D638" s="12" t="s">
        <v>2575</v>
      </c>
      <c r="E638" s="85">
        <v>264.8</v>
      </c>
      <c r="F638" s="6">
        <v>6309003</v>
      </c>
      <c r="G638" s="12" t="s">
        <v>2576</v>
      </c>
      <c r="H638" s="12" t="s">
        <v>755</v>
      </c>
      <c r="I638" s="12" t="s">
        <v>756</v>
      </c>
      <c r="J638" s="84">
        <v>40003</v>
      </c>
      <c r="K638" s="84">
        <v>51125</v>
      </c>
      <c r="L638" s="12" t="s">
        <v>180</v>
      </c>
      <c r="M638" s="12" t="s">
        <v>927</v>
      </c>
      <c r="N638" s="75"/>
    </row>
    <row r="639" spans="1:14">
      <c r="A639" s="12">
        <v>636</v>
      </c>
      <c r="B639" s="12" t="s">
        <v>2577</v>
      </c>
      <c r="C639" s="12" t="s">
        <v>2578</v>
      </c>
      <c r="D639" s="12" t="s">
        <v>2579</v>
      </c>
      <c r="E639" s="85">
        <v>1789.37</v>
      </c>
      <c r="F639" s="6">
        <v>2765888</v>
      </c>
      <c r="G639" s="12" t="s">
        <v>2580</v>
      </c>
      <c r="H639" s="12" t="s">
        <v>766</v>
      </c>
      <c r="I639" s="12" t="s">
        <v>767</v>
      </c>
      <c r="J639" s="84">
        <v>40003</v>
      </c>
      <c r="K639" s="84">
        <v>50960</v>
      </c>
      <c r="L639" s="12" t="s">
        <v>2581</v>
      </c>
      <c r="M639" s="12" t="s">
        <v>2582</v>
      </c>
      <c r="N639" s="75"/>
    </row>
    <row r="640" spans="1:14">
      <c r="A640" s="12">
        <v>637</v>
      </c>
      <c r="B640" s="12" t="s">
        <v>2583</v>
      </c>
      <c r="C640" s="12" t="s">
        <v>2320</v>
      </c>
      <c r="D640" s="12" t="s">
        <v>2584</v>
      </c>
      <c r="E640" s="85">
        <v>487.39</v>
      </c>
      <c r="F640" s="6">
        <v>5415853</v>
      </c>
      <c r="G640" s="12" t="s">
        <v>2585</v>
      </c>
      <c r="H640" s="12" t="s">
        <v>755</v>
      </c>
      <c r="I640" s="12" t="s">
        <v>756</v>
      </c>
      <c r="J640" s="84">
        <v>40017</v>
      </c>
      <c r="K640" s="84">
        <v>50974</v>
      </c>
      <c r="L640" s="12" t="s">
        <v>123</v>
      </c>
      <c r="M640" s="12" t="s">
        <v>790</v>
      </c>
      <c r="N640" s="75"/>
    </row>
    <row r="641" spans="1:14">
      <c r="A641" s="12">
        <v>638</v>
      </c>
      <c r="B641" s="12" t="s">
        <v>2586</v>
      </c>
      <c r="C641" s="12" t="s">
        <v>886</v>
      </c>
      <c r="D641" s="12" t="s">
        <v>1753</v>
      </c>
      <c r="E641" s="85">
        <v>541.52</v>
      </c>
      <c r="F641" s="6">
        <v>2724146</v>
      </c>
      <c r="G641" s="12" t="s">
        <v>1754</v>
      </c>
      <c r="H641" s="12" t="s">
        <v>848</v>
      </c>
      <c r="I641" s="12" t="s">
        <v>849</v>
      </c>
      <c r="J641" s="84">
        <v>40022</v>
      </c>
      <c r="K641" s="84">
        <v>50979</v>
      </c>
      <c r="L641" s="12" t="s">
        <v>233</v>
      </c>
      <c r="M641" s="12" t="s">
        <v>1755</v>
      </c>
      <c r="N641" s="75"/>
    </row>
    <row r="642" spans="1:14">
      <c r="A642" s="12">
        <v>639</v>
      </c>
      <c r="B642" s="12" t="s">
        <v>2587</v>
      </c>
      <c r="C642" s="12" t="s">
        <v>886</v>
      </c>
      <c r="D642" s="12" t="s">
        <v>2588</v>
      </c>
      <c r="E642" s="85">
        <v>424.89</v>
      </c>
      <c r="F642" s="6">
        <v>2724146</v>
      </c>
      <c r="G642" s="12" t="s">
        <v>1754</v>
      </c>
      <c r="H642" s="12" t="s">
        <v>848</v>
      </c>
      <c r="I642" s="12" t="s">
        <v>849</v>
      </c>
      <c r="J642" s="84">
        <v>40022</v>
      </c>
      <c r="K642" s="84">
        <v>50979</v>
      </c>
      <c r="L642" s="12" t="s">
        <v>233</v>
      </c>
      <c r="M642" s="12" t="s">
        <v>1755</v>
      </c>
      <c r="N642" s="75"/>
    </row>
    <row r="643" spans="1:14">
      <c r="A643" s="12">
        <v>640</v>
      </c>
      <c r="B643" s="12" t="s">
        <v>2589</v>
      </c>
      <c r="C643" s="12" t="s">
        <v>1451</v>
      </c>
      <c r="D643" s="12" t="s">
        <v>2590</v>
      </c>
      <c r="E643" s="85">
        <v>114.43</v>
      </c>
      <c r="F643" s="6">
        <v>5012821</v>
      </c>
      <c r="G643" s="12" t="s">
        <v>2591</v>
      </c>
      <c r="H643" s="12" t="s">
        <v>755</v>
      </c>
      <c r="I643" s="12" t="s">
        <v>756</v>
      </c>
      <c r="J643" s="84">
        <v>40023</v>
      </c>
      <c r="K643" s="84">
        <v>50980</v>
      </c>
      <c r="L643" s="12" t="s">
        <v>128</v>
      </c>
      <c r="M643" s="12" t="s">
        <v>291</v>
      </c>
      <c r="N643" s="75"/>
    </row>
    <row r="644" spans="1:14">
      <c r="A644" s="12">
        <v>641</v>
      </c>
      <c r="B644" s="12" t="s">
        <v>2592</v>
      </c>
      <c r="C644" s="12" t="s">
        <v>221</v>
      </c>
      <c r="D644" s="12" t="s">
        <v>2593</v>
      </c>
      <c r="E644" s="85">
        <v>1171.21</v>
      </c>
      <c r="F644" s="6">
        <v>5118115</v>
      </c>
      <c r="G644" s="12" t="s">
        <v>2594</v>
      </c>
      <c r="H644" s="12" t="s">
        <v>848</v>
      </c>
      <c r="I644" s="12" t="s">
        <v>849</v>
      </c>
      <c r="J644" s="84">
        <v>40024</v>
      </c>
      <c r="K644" s="84">
        <v>50981</v>
      </c>
      <c r="L644" s="12" t="s">
        <v>170</v>
      </c>
      <c r="M644" s="12" t="s">
        <v>171</v>
      </c>
      <c r="N644" s="75"/>
    </row>
    <row r="645" spans="1:14">
      <c r="A645" s="12">
        <v>642</v>
      </c>
      <c r="B645" s="12" t="s">
        <v>2595</v>
      </c>
      <c r="C645" s="12" t="s">
        <v>1124</v>
      </c>
      <c r="D645" s="12" t="s">
        <v>2596</v>
      </c>
      <c r="E645" s="85">
        <v>1508.2</v>
      </c>
      <c r="F645" s="6">
        <v>5035619</v>
      </c>
      <c r="G645" s="12" t="s">
        <v>2597</v>
      </c>
      <c r="H645" s="12" t="s">
        <v>848</v>
      </c>
      <c r="I645" s="12" t="s">
        <v>849</v>
      </c>
      <c r="J645" s="84">
        <v>40028</v>
      </c>
      <c r="K645" s="84">
        <v>53245</v>
      </c>
      <c r="L645" s="12" t="s">
        <v>170</v>
      </c>
      <c r="M645" s="12" t="s">
        <v>807</v>
      </c>
      <c r="N645" s="75"/>
    </row>
    <row r="646" spans="1:14">
      <c r="A646" s="12">
        <v>643</v>
      </c>
      <c r="B646" s="12" t="s">
        <v>2598</v>
      </c>
      <c r="C646" s="12" t="s">
        <v>122</v>
      </c>
      <c r="D646" s="12" t="s">
        <v>2599</v>
      </c>
      <c r="E646" s="85">
        <v>10541.01</v>
      </c>
      <c r="F646" s="6">
        <v>8399123</v>
      </c>
      <c r="G646" s="12" t="s">
        <v>2600</v>
      </c>
      <c r="H646" s="12" t="s">
        <v>755</v>
      </c>
      <c r="I646" s="12" t="s">
        <v>756</v>
      </c>
      <c r="J646" s="84">
        <v>40028</v>
      </c>
      <c r="K646" s="84">
        <v>50985</v>
      </c>
      <c r="L646" s="12" t="s">
        <v>233</v>
      </c>
      <c r="M646" s="12" t="s">
        <v>2601</v>
      </c>
      <c r="N646" s="75"/>
    </row>
    <row r="647" spans="1:14">
      <c r="A647" s="12">
        <v>644</v>
      </c>
      <c r="B647" s="12" t="s">
        <v>2602</v>
      </c>
      <c r="C647" s="12" t="s">
        <v>1152</v>
      </c>
      <c r="D647" s="12" t="s">
        <v>2603</v>
      </c>
      <c r="E647" s="85">
        <v>29.97</v>
      </c>
      <c r="F647" s="6">
        <v>2688123</v>
      </c>
      <c r="G647" s="12" t="s">
        <v>2604</v>
      </c>
      <c r="H647" s="12" t="s">
        <v>755</v>
      </c>
      <c r="I647" s="12" t="s">
        <v>756</v>
      </c>
      <c r="J647" s="84">
        <v>40028</v>
      </c>
      <c r="K647" s="84">
        <v>50985</v>
      </c>
      <c r="L647" s="12" t="s">
        <v>274</v>
      </c>
      <c r="M647" s="12" t="s">
        <v>1267</v>
      </c>
      <c r="N647" s="75"/>
    </row>
    <row r="648" spans="1:14">
      <c r="A648" s="12">
        <v>645</v>
      </c>
      <c r="B648" s="12" t="s">
        <v>2605</v>
      </c>
      <c r="C648" s="12" t="s">
        <v>752</v>
      </c>
      <c r="D648" s="12" t="s">
        <v>2606</v>
      </c>
      <c r="E648" s="85">
        <v>206.5</v>
      </c>
      <c r="F648" s="6">
        <v>5041589</v>
      </c>
      <c r="G648" s="12" t="s">
        <v>2607</v>
      </c>
      <c r="H648" s="12" t="s">
        <v>766</v>
      </c>
      <c r="I648" s="12" t="s">
        <v>767</v>
      </c>
      <c r="J648" s="84">
        <v>40038</v>
      </c>
      <c r="K648" s="84">
        <v>50995</v>
      </c>
      <c r="L648" s="12" t="s">
        <v>274</v>
      </c>
      <c r="M648" s="12" t="s">
        <v>275</v>
      </c>
      <c r="N648" s="75"/>
    </row>
    <row r="649" spans="1:14">
      <c r="A649" s="12">
        <v>646</v>
      </c>
      <c r="B649" s="12" t="s">
        <v>2608</v>
      </c>
      <c r="C649" s="12" t="s">
        <v>212</v>
      </c>
      <c r="D649" s="12" t="s">
        <v>2609</v>
      </c>
      <c r="E649" s="85">
        <v>354.67</v>
      </c>
      <c r="F649" s="6">
        <v>5872006</v>
      </c>
      <c r="G649" s="12" t="s">
        <v>2610</v>
      </c>
      <c r="H649" s="12" t="s">
        <v>848</v>
      </c>
      <c r="I649" s="12" t="s">
        <v>849</v>
      </c>
      <c r="J649" s="84">
        <v>40045</v>
      </c>
      <c r="K649" s="84">
        <v>51002</v>
      </c>
      <c r="L649" s="12" t="s">
        <v>170</v>
      </c>
      <c r="M649" s="12" t="s">
        <v>171</v>
      </c>
      <c r="N649" s="75"/>
    </row>
    <row r="650" spans="1:14">
      <c r="A650" s="12">
        <v>647</v>
      </c>
      <c r="B650" s="12" t="s">
        <v>2611</v>
      </c>
      <c r="C650" s="12" t="s">
        <v>122</v>
      </c>
      <c r="D650" s="12" t="s">
        <v>2612</v>
      </c>
      <c r="E650" s="85">
        <v>198.65</v>
      </c>
      <c r="F650" s="6">
        <v>5152542</v>
      </c>
      <c r="G650" s="12" t="s">
        <v>2613</v>
      </c>
      <c r="H650" s="12" t="s">
        <v>755</v>
      </c>
      <c r="I650" s="12" t="s">
        <v>756</v>
      </c>
      <c r="J650" s="84">
        <v>40056</v>
      </c>
      <c r="K650" s="84">
        <v>51013</v>
      </c>
      <c r="L650" s="12" t="s">
        <v>274</v>
      </c>
      <c r="M650" s="12" t="s">
        <v>874</v>
      </c>
      <c r="N650" s="75"/>
    </row>
    <row r="651" spans="1:14">
      <c r="A651" s="12">
        <v>648</v>
      </c>
      <c r="B651" s="12" t="s">
        <v>2614</v>
      </c>
      <c r="C651" s="12" t="s">
        <v>752</v>
      </c>
      <c r="D651" s="12" t="s">
        <v>2615</v>
      </c>
      <c r="E651" s="85">
        <v>98.5</v>
      </c>
      <c r="F651" s="6">
        <v>2855267</v>
      </c>
      <c r="G651" s="12" t="s">
        <v>2616</v>
      </c>
      <c r="H651" s="12" t="s">
        <v>755</v>
      </c>
      <c r="I651" s="12" t="s">
        <v>756</v>
      </c>
      <c r="J651" s="84">
        <v>40056</v>
      </c>
      <c r="K651" s="84">
        <v>51013</v>
      </c>
      <c r="L651" s="12" t="s">
        <v>180</v>
      </c>
      <c r="M651" s="12" t="s">
        <v>927</v>
      </c>
      <c r="N651" s="75"/>
    </row>
    <row r="652" spans="1:14">
      <c r="A652" s="12">
        <v>649</v>
      </c>
      <c r="B652" s="12" t="s">
        <v>2617</v>
      </c>
      <c r="C652" s="12" t="s">
        <v>212</v>
      </c>
      <c r="D652" s="12" t="s">
        <v>2618</v>
      </c>
      <c r="E652" s="85">
        <v>379.25</v>
      </c>
      <c r="F652" s="6">
        <v>6555349</v>
      </c>
      <c r="G652" s="12" t="s">
        <v>2619</v>
      </c>
      <c r="H652" s="12" t="s">
        <v>755</v>
      </c>
      <c r="I652" s="12" t="s">
        <v>756</v>
      </c>
      <c r="J652" s="84">
        <v>40065</v>
      </c>
      <c r="K652" s="84">
        <v>51022</v>
      </c>
      <c r="L652" s="12" t="s">
        <v>170</v>
      </c>
      <c r="M652" s="12" t="s">
        <v>807</v>
      </c>
      <c r="N652" s="75"/>
    </row>
    <row r="653" spans="1:14">
      <c r="A653" s="12">
        <v>650</v>
      </c>
      <c r="B653" s="12" t="s">
        <v>2620</v>
      </c>
      <c r="C653" s="12" t="s">
        <v>122</v>
      </c>
      <c r="D653" s="12" t="s">
        <v>2621</v>
      </c>
      <c r="E653" s="85">
        <v>523.64</v>
      </c>
      <c r="F653" s="6">
        <v>2036347</v>
      </c>
      <c r="G653" s="12" t="s">
        <v>2622</v>
      </c>
      <c r="H653" s="12" t="s">
        <v>755</v>
      </c>
      <c r="I653" s="12" t="s">
        <v>756</v>
      </c>
      <c r="J653" s="84">
        <v>40066</v>
      </c>
      <c r="K653" s="84">
        <v>51023</v>
      </c>
      <c r="L653" s="12" t="s">
        <v>2623</v>
      </c>
      <c r="M653" s="12" t="s">
        <v>2624</v>
      </c>
      <c r="N653" s="75"/>
    </row>
    <row r="654" spans="1:14">
      <c r="A654" s="12">
        <v>651</v>
      </c>
      <c r="B654" s="12" t="s">
        <v>2625</v>
      </c>
      <c r="C654" s="12" t="s">
        <v>1874</v>
      </c>
      <c r="D654" s="12" t="s">
        <v>2626</v>
      </c>
      <c r="E654" s="85">
        <v>78.67</v>
      </c>
      <c r="F654" s="6">
        <v>5081416</v>
      </c>
      <c r="G654" s="12" t="s">
        <v>2627</v>
      </c>
      <c r="H654" s="12" t="s">
        <v>755</v>
      </c>
      <c r="I654" s="12" t="s">
        <v>756</v>
      </c>
      <c r="J654" s="84">
        <v>40079</v>
      </c>
      <c r="K654" s="84">
        <v>51036</v>
      </c>
      <c r="L654" s="12" t="s">
        <v>138</v>
      </c>
      <c r="M654" s="12" t="s">
        <v>1216</v>
      </c>
      <c r="N654" s="75"/>
    </row>
    <row r="655" spans="1:14">
      <c r="A655" s="12">
        <v>652</v>
      </c>
      <c r="B655" s="12" t="s">
        <v>2628</v>
      </c>
      <c r="C655" s="12" t="s">
        <v>137</v>
      </c>
      <c r="D655" s="12" t="s">
        <v>2629</v>
      </c>
      <c r="E655" s="85">
        <v>30.92</v>
      </c>
      <c r="F655" s="6">
        <v>5567319</v>
      </c>
      <c r="G655" s="12" t="s">
        <v>2180</v>
      </c>
      <c r="H655" s="12" t="s">
        <v>848</v>
      </c>
      <c r="I655" s="12" t="s">
        <v>849</v>
      </c>
      <c r="J655" s="84">
        <v>40079</v>
      </c>
      <c r="K655" s="84">
        <v>51854</v>
      </c>
      <c r="L655" s="12" t="s">
        <v>836</v>
      </c>
      <c r="M655" s="12" t="s">
        <v>837</v>
      </c>
      <c r="N655" s="75"/>
    </row>
    <row r="656" spans="1:14">
      <c r="A656" s="12">
        <v>653</v>
      </c>
      <c r="B656" s="12" t="s">
        <v>2630</v>
      </c>
      <c r="C656" s="12" t="s">
        <v>979</v>
      </c>
      <c r="D656" s="12" t="s">
        <v>1872</v>
      </c>
      <c r="E656" s="85">
        <v>469.83</v>
      </c>
      <c r="F656" s="6">
        <v>5122392</v>
      </c>
      <c r="G656" s="12" t="s">
        <v>1215</v>
      </c>
      <c r="H656" s="12" t="s">
        <v>848</v>
      </c>
      <c r="I656" s="12" t="s">
        <v>849</v>
      </c>
      <c r="J656" s="84">
        <v>40086</v>
      </c>
      <c r="K656" s="84">
        <v>51043</v>
      </c>
      <c r="L656" s="12" t="s">
        <v>138</v>
      </c>
      <c r="M656" s="12" t="s">
        <v>1216</v>
      </c>
      <c r="N656" s="75"/>
    </row>
    <row r="657" spans="1:14">
      <c r="A657" s="12">
        <v>654</v>
      </c>
      <c r="B657" s="12" t="s">
        <v>2631</v>
      </c>
      <c r="C657" s="12" t="s">
        <v>752</v>
      </c>
      <c r="D657" s="12" t="s">
        <v>2632</v>
      </c>
      <c r="E657" s="85">
        <v>1684.89</v>
      </c>
      <c r="F657" s="6">
        <v>5010896</v>
      </c>
      <c r="G657" s="12" t="s">
        <v>2633</v>
      </c>
      <c r="H657" s="12" t="s">
        <v>755</v>
      </c>
      <c r="I657" s="12" t="s">
        <v>756</v>
      </c>
      <c r="J657" s="84">
        <v>40086</v>
      </c>
      <c r="K657" s="84">
        <v>51043</v>
      </c>
      <c r="L657" s="12" t="s">
        <v>768</v>
      </c>
      <c r="M657" s="12" t="s">
        <v>769</v>
      </c>
      <c r="N657" s="75"/>
    </row>
    <row r="658" spans="1:14">
      <c r="A658" s="12">
        <v>655</v>
      </c>
      <c r="B658" s="12" t="s">
        <v>2634</v>
      </c>
      <c r="C658" s="12" t="s">
        <v>2635</v>
      </c>
      <c r="D658" s="12" t="s">
        <v>2636</v>
      </c>
      <c r="E658" s="85">
        <v>125.66</v>
      </c>
      <c r="F658" s="6">
        <v>5154456</v>
      </c>
      <c r="G658" s="12" t="s">
        <v>2637</v>
      </c>
      <c r="H658" s="12" t="s">
        <v>848</v>
      </c>
      <c r="I658" s="12" t="s">
        <v>849</v>
      </c>
      <c r="J658" s="84">
        <v>40112</v>
      </c>
      <c r="K658" s="84">
        <v>51069</v>
      </c>
      <c r="L658" s="12" t="s">
        <v>233</v>
      </c>
      <c r="M658" s="12" t="s">
        <v>237</v>
      </c>
      <c r="N658" s="75"/>
    </row>
    <row r="659" spans="1:14">
      <c r="A659" s="12">
        <v>656</v>
      </c>
      <c r="B659" s="12" t="s">
        <v>2638</v>
      </c>
      <c r="C659" s="12" t="s">
        <v>212</v>
      </c>
      <c r="D659" s="12" t="s">
        <v>2639</v>
      </c>
      <c r="E659" s="85">
        <v>155.52000000000001</v>
      </c>
      <c r="F659" s="6">
        <v>5564913</v>
      </c>
      <c r="G659" s="12" t="s">
        <v>2640</v>
      </c>
      <c r="H659" s="12" t="s">
        <v>755</v>
      </c>
      <c r="I659" s="12" t="s">
        <v>756</v>
      </c>
      <c r="J659" s="84">
        <v>40113</v>
      </c>
      <c r="K659" s="84">
        <v>51070</v>
      </c>
      <c r="L659" s="12" t="s">
        <v>170</v>
      </c>
      <c r="M659" s="12" t="s">
        <v>171</v>
      </c>
      <c r="N659" s="75"/>
    </row>
    <row r="660" spans="1:14">
      <c r="A660" s="12">
        <v>657</v>
      </c>
      <c r="B660" s="12" t="s">
        <v>2641</v>
      </c>
      <c r="C660" s="12" t="s">
        <v>2642</v>
      </c>
      <c r="D660" s="12" t="s">
        <v>2573</v>
      </c>
      <c r="E660" s="85">
        <v>20327.400000000001</v>
      </c>
      <c r="F660" s="6">
        <v>2705133</v>
      </c>
      <c r="G660" s="12" t="s">
        <v>2643</v>
      </c>
      <c r="H660" s="12" t="s">
        <v>848</v>
      </c>
      <c r="I660" s="12" t="s">
        <v>849</v>
      </c>
      <c r="J660" s="84">
        <v>40113</v>
      </c>
      <c r="K660" s="84">
        <v>51070</v>
      </c>
      <c r="L660" s="12" t="s">
        <v>233</v>
      </c>
      <c r="M660" s="12" t="s">
        <v>2644</v>
      </c>
      <c r="N660" s="75"/>
    </row>
    <row r="661" spans="1:14">
      <c r="A661" s="12">
        <v>658</v>
      </c>
      <c r="B661" s="12" t="s">
        <v>2645</v>
      </c>
      <c r="C661" s="12" t="s">
        <v>2642</v>
      </c>
      <c r="D661" s="12" t="s">
        <v>2646</v>
      </c>
      <c r="E661" s="85">
        <v>42592.58</v>
      </c>
      <c r="F661" s="6">
        <v>2705133</v>
      </c>
      <c r="G661" s="12" t="s">
        <v>2643</v>
      </c>
      <c r="H661" s="12" t="s">
        <v>848</v>
      </c>
      <c r="I661" s="12" t="s">
        <v>849</v>
      </c>
      <c r="J661" s="84">
        <v>40113</v>
      </c>
      <c r="K661" s="84">
        <v>51070</v>
      </c>
      <c r="L661" s="12" t="s">
        <v>233</v>
      </c>
      <c r="M661" s="12" t="s">
        <v>2644</v>
      </c>
      <c r="N661" s="75"/>
    </row>
    <row r="662" spans="1:14">
      <c r="A662" s="12">
        <v>659</v>
      </c>
      <c r="B662" s="12" t="s">
        <v>2647</v>
      </c>
      <c r="C662" s="12" t="s">
        <v>212</v>
      </c>
      <c r="D662" s="12" t="s">
        <v>2296</v>
      </c>
      <c r="E662" s="85">
        <v>53.56</v>
      </c>
      <c r="F662" s="6">
        <v>5076307</v>
      </c>
      <c r="G662" s="12" t="s">
        <v>2648</v>
      </c>
      <c r="H662" s="12" t="s">
        <v>755</v>
      </c>
      <c r="I662" s="12" t="s">
        <v>756</v>
      </c>
      <c r="J662" s="84">
        <v>40119</v>
      </c>
      <c r="K662" s="84">
        <v>51076</v>
      </c>
      <c r="L662" s="12" t="s">
        <v>375</v>
      </c>
      <c r="M662" s="12" t="s">
        <v>2649</v>
      </c>
      <c r="N662" s="75"/>
    </row>
    <row r="663" spans="1:14">
      <c r="A663" s="12">
        <v>660</v>
      </c>
      <c r="B663" s="12" t="s">
        <v>2650</v>
      </c>
      <c r="C663" s="12" t="s">
        <v>995</v>
      </c>
      <c r="D663" s="12" t="s">
        <v>2651</v>
      </c>
      <c r="E663" s="85">
        <v>24.13</v>
      </c>
      <c r="F663" s="6">
        <v>5072743</v>
      </c>
      <c r="G663" s="12" t="s">
        <v>2652</v>
      </c>
      <c r="H663" s="12" t="s">
        <v>848</v>
      </c>
      <c r="I663" s="12" t="s">
        <v>849</v>
      </c>
      <c r="J663" s="84">
        <v>40123</v>
      </c>
      <c r="K663" s="84">
        <v>51080</v>
      </c>
      <c r="L663" s="12" t="s">
        <v>128</v>
      </c>
      <c r="M663" s="12" t="s">
        <v>862</v>
      </c>
      <c r="N663" s="75"/>
    </row>
    <row r="664" spans="1:14">
      <c r="A664" s="12">
        <v>661</v>
      </c>
      <c r="B664" s="12" t="s">
        <v>2653</v>
      </c>
      <c r="C664" s="12" t="s">
        <v>752</v>
      </c>
      <c r="D664" s="12" t="s">
        <v>2654</v>
      </c>
      <c r="E664" s="85">
        <v>178.31</v>
      </c>
      <c r="F664" s="6">
        <v>5328586</v>
      </c>
      <c r="G664" s="12" t="s">
        <v>2655</v>
      </c>
      <c r="H664" s="12" t="s">
        <v>755</v>
      </c>
      <c r="I664" s="12" t="s">
        <v>756</v>
      </c>
      <c r="J664" s="84">
        <v>40123</v>
      </c>
      <c r="K664" s="84">
        <v>51080</v>
      </c>
      <c r="L664" s="12" t="s">
        <v>274</v>
      </c>
      <c r="M664" s="12" t="s">
        <v>2656</v>
      </c>
      <c r="N664" s="75"/>
    </row>
    <row r="665" spans="1:14">
      <c r="A665" s="12">
        <v>662</v>
      </c>
      <c r="B665" s="12" t="s">
        <v>2657</v>
      </c>
      <c r="C665" s="12" t="s">
        <v>221</v>
      </c>
      <c r="D665" s="12" t="s">
        <v>2658</v>
      </c>
      <c r="E665" s="85">
        <v>61.44</v>
      </c>
      <c r="F665" s="6">
        <v>2641984</v>
      </c>
      <c r="G665" s="12" t="s">
        <v>2166</v>
      </c>
      <c r="H665" s="12" t="s">
        <v>914</v>
      </c>
      <c r="I665" s="12" t="s">
        <v>756</v>
      </c>
      <c r="J665" s="84">
        <v>40126</v>
      </c>
      <c r="K665" s="84">
        <v>51083</v>
      </c>
      <c r="L665" s="12" t="s">
        <v>304</v>
      </c>
      <c r="M665" s="12" t="s">
        <v>329</v>
      </c>
      <c r="N665" s="75"/>
    </row>
    <row r="666" spans="1:14">
      <c r="A666" s="12">
        <v>663</v>
      </c>
      <c r="B666" s="12" t="s">
        <v>2659</v>
      </c>
      <c r="C666" s="12" t="s">
        <v>979</v>
      </c>
      <c r="D666" s="12" t="s">
        <v>2660</v>
      </c>
      <c r="E666" s="85">
        <v>940.35</v>
      </c>
      <c r="F666" s="6">
        <v>5099005</v>
      </c>
      <c r="G666" s="12" t="s">
        <v>2661</v>
      </c>
      <c r="H666" s="12" t="s">
        <v>755</v>
      </c>
      <c r="I666" s="12" t="s">
        <v>756</v>
      </c>
      <c r="J666" s="84">
        <v>38741</v>
      </c>
      <c r="K666" s="84">
        <v>49698</v>
      </c>
      <c r="L666" s="12" t="s">
        <v>233</v>
      </c>
      <c r="M666" s="12" t="s">
        <v>2563</v>
      </c>
      <c r="N666" s="75"/>
    </row>
    <row r="667" spans="1:14">
      <c r="A667" s="12">
        <v>664</v>
      </c>
      <c r="B667" s="12" t="s">
        <v>2662</v>
      </c>
      <c r="C667" s="12" t="s">
        <v>979</v>
      </c>
      <c r="D667" s="12" t="s">
        <v>2663</v>
      </c>
      <c r="E667" s="85">
        <v>256.82</v>
      </c>
      <c r="F667" s="6">
        <v>5099005</v>
      </c>
      <c r="G667" s="12" t="s">
        <v>2661</v>
      </c>
      <c r="H667" s="12" t="s">
        <v>755</v>
      </c>
      <c r="I667" s="12" t="s">
        <v>756</v>
      </c>
      <c r="J667" s="84">
        <v>39575</v>
      </c>
      <c r="K667" s="84">
        <v>50532</v>
      </c>
      <c r="L667" s="12" t="s">
        <v>233</v>
      </c>
      <c r="M667" s="12" t="s">
        <v>2563</v>
      </c>
      <c r="N667" s="75"/>
    </row>
    <row r="668" spans="1:14">
      <c r="A668" s="12">
        <v>665</v>
      </c>
      <c r="B668" s="12" t="s">
        <v>2664</v>
      </c>
      <c r="C668" s="12" t="s">
        <v>979</v>
      </c>
      <c r="D668" s="12" t="s">
        <v>2665</v>
      </c>
      <c r="E668" s="85">
        <v>483.57</v>
      </c>
      <c r="F668" s="6">
        <v>5099005</v>
      </c>
      <c r="G668" s="12" t="s">
        <v>2661</v>
      </c>
      <c r="H668" s="12" t="s">
        <v>755</v>
      </c>
      <c r="I668" s="12" t="s">
        <v>756</v>
      </c>
      <c r="J668" s="84">
        <v>40014</v>
      </c>
      <c r="K668" s="84">
        <v>50971</v>
      </c>
      <c r="L668" s="12" t="s">
        <v>233</v>
      </c>
      <c r="M668" s="12" t="s">
        <v>2563</v>
      </c>
      <c r="N668" s="75"/>
    </row>
    <row r="669" spans="1:14">
      <c r="A669" s="12">
        <v>666</v>
      </c>
      <c r="B669" s="12" t="s">
        <v>2666</v>
      </c>
      <c r="C669" s="12" t="s">
        <v>979</v>
      </c>
      <c r="D669" s="12" t="s">
        <v>2667</v>
      </c>
      <c r="E669" s="85">
        <v>203.18</v>
      </c>
      <c r="F669" s="6">
        <v>5099005</v>
      </c>
      <c r="G669" s="12" t="s">
        <v>2661</v>
      </c>
      <c r="H669" s="12" t="s">
        <v>755</v>
      </c>
      <c r="I669" s="12" t="s">
        <v>756</v>
      </c>
      <c r="J669" s="84">
        <v>40014</v>
      </c>
      <c r="K669" s="84">
        <v>50971</v>
      </c>
      <c r="L669" s="12" t="s">
        <v>233</v>
      </c>
      <c r="M669" s="12" t="s">
        <v>2563</v>
      </c>
      <c r="N669" s="75"/>
    </row>
    <row r="670" spans="1:14">
      <c r="A670" s="12">
        <v>667</v>
      </c>
      <c r="B670" s="12" t="s">
        <v>2668</v>
      </c>
      <c r="C670" s="12" t="s">
        <v>979</v>
      </c>
      <c r="D670" s="12" t="s">
        <v>2669</v>
      </c>
      <c r="E670" s="85">
        <v>1204.47</v>
      </c>
      <c r="F670" s="6">
        <v>2094533</v>
      </c>
      <c r="G670" s="12" t="s">
        <v>847</v>
      </c>
      <c r="H670" s="12" t="s">
        <v>848</v>
      </c>
      <c r="I670" s="12" t="s">
        <v>849</v>
      </c>
      <c r="J670" s="84">
        <v>40137</v>
      </c>
      <c r="K670" s="84">
        <v>51094</v>
      </c>
      <c r="L670" s="12" t="s">
        <v>2670</v>
      </c>
      <c r="M670" s="12" t="s">
        <v>2671</v>
      </c>
      <c r="N670" s="75"/>
    </row>
    <row r="671" spans="1:14">
      <c r="A671" s="12">
        <v>668</v>
      </c>
      <c r="B671" s="12" t="s">
        <v>2672</v>
      </c>
      <c r="C671" s="12" t="s">
        <v>200</v>
      </c>
      <c r="D671" s="12" t="s">
        <v>2673</v>
      </c>
      <c r="E671" s="85">
        <v>350.98</v>
      </c>
      <c r="F671" s="6">
        <v>5219485</v>
      </c>
      <c r="G671" s="12" t="s">
        <v>2674</v>
      </c>
      <c r="H671" s="12" t="s">
        <v>848</v>
      </c>
      <c r="I671" s="12" t="s">
        <v>849</v>
      </c>
      <c r="J671" s="84">
        <v>40141</v>
      </c>
      <c r="K671" s="84">
        <v>51098</v>
      </c>
      <c r="L671" s="12" t="s">
        <v>375</v>
      </c>
      <c r="M671" s="12" t="s">
        <v>893</v>
      </c>
      <c r="N671" s="75"/>
    </row>
    <row r="672" spans="1:14">
      <c r="A672" s="12">
        <v>669</v>
      </c>
      <c r="B672" s="12" t="s">
        <v>2675</v>
      </c>
      <c r="C672" s="12" t="s">
        <v>122</v>
      </c>
      <c r="D672" s="12" t="s">
        <v>1499</v>
      </c>
      <c r="E672" s="85">
        <v>39.25</v>
      </c>
      <c r="F672" s="6">
        <v>5141583</v>
      </c>
      <c r="G672" s="12" t="s">
        <v>1101</v>
      </c>
      <c r="H672" s="12" t="s">
        <v>848</v>
      </c>
      <c r="I672" s="12" t="s">
        <v>849</v>
      </c>
      <c r="J672" s="84">
        <v>40140</v>
      </c>
      <c r="K672" s="84">
        <v>51097</v>
      </c>
      <c r="L672" s="12" t="s">
        <v>1102</v>
      </c>
      <c r="M672" s="12" t="s">
        <v>1103</v>
      </c>
      <c r="N672" s="75"/>
    </row>
    <row r="673" spans="1:14">
      <c r="A673" s="12">
        <v>670</v>
      </c>
      <c r="B673" s="12" t="s">
        <v>2676</v>
      </c>
      <c r="C673" s="12" t="s">
        <v>752</v>
      </c>
      <c r="D673" s="12" t="s">
        <v>2677</v>
      </c>
      <c r="E673" s="85">
        <v>178.04</v>
      </c>
      <c r="F673" s="6">
        <v>2885425</v>
      </c>
      <c r="G673" s="12" t="s">
        <v>2678</v>
      </c>
      <c r="H673" s="12" t="s">
        <v>755</v>
      </c>
      <c r="I673" s="12" t="s">
        <v>756</v>
      </c>
      <c r="J673" s="84">
        <v>39783</v>
      </c>
      <c r="K673" s="84">
        <v>50740</v>
      </c>
      <c r="L673" s="12" t="s">
        <v>163</v>
      </c>
      <c r="M673" s="12" t="s">
        <v>948</v>
      </c>
      <c r="N673" s="75"/>
    </row>
    <row r="674" spans="1:14">
      <c r="A674" s="12">
        <v>671</v>
      </c>
      <c r="B674" s="12" t="s">
        <v>2679</v>
      </c>
      <c r="C674" s="12" t="s">
        <v>758</v>
      </c>
      <c r="D674" s="12" t="s">
        <v>2680</v>
      </c>
      <c r="E674" s="85">
        <v>557.33000000000004</v>
      </c>
      <c r="F674" s="6">
        <v>2657449</v>
      </c>
      <c r="G674" s="12" t="s">
        <v>2681</v>
      </c>
      <c r="H674" s="12" t="s">
        <v>848</v>
      </c>
      <c r="I674" s="12" t="s">
        <v>849</v>
      </c>
      <c r="J674" s="84">
        <v>40151</v>
      </c>
      <c r="K674" s="84">
        <v>51108</v>
      </c>
      <c r="L674" s="12" t="s">
        <v>123</v>
      </c>
      <c r="M674" s="12" t="s">
        <v>2682</v>
      </c>
      <c r="N674" s="75"/>
    </row>
    <row r="675" spans="1:14">
      <c r="A675" s="12">
        <v>672</v>
      </c>
      <c r="B675" s="12" t="s">
        <v>2683</v>
      </c>
      <c r="C675" s="12" t="s">
        <v>752</v>
      </c>
      <c r="D675" s="12" t="s">
        <v>1510</v>
      </c>
      <c r="E675" s="85">
        <v>28.23</v>
      </c>
      <c r="F675" s="6">
        <v>2107961</v>
      </c>
      <c r="G675" s="12" t="s">
        <v>2684</v>
      </c>
      <c r="H675" s="12" t="s">
        <v>755</v>
      </c>
      <c r="I675" s="12" t="s">
        <v>756</v>
      </c>
      <c r="J675" s="84">
        <v>35846</v>
      </c>
      <c r="K675" s="84">
        <v>50352</v>
      </c>
      <c r="L675" s="12" t="s">
        <v>836</v>
      </c>
      <c r="M675" s="12" t="s">
        <v>837</v>
      </c>
      <c r="N675" s="75"/>
    </row>
    <row r="676" spans="1:14">
      <c r="A676" s="12">
        <v>673</v>
      </c>
      <c r="B676" s="12" t="s">
        <v>2685</v>
      </c>
      <c r="C676" s="12" t="s">
        <v>137</v>
      </c>
      <c r="D676" s="12" t="s">
        <v>2686</v>
      </c>
      <c r="E676" s="85">
        <v>1200.5999999999999</v>
      </c>
      <c r="F676" s="6">
        <v>5111625</v>
      </c>
      <c r="G676" s="12" t="s">
        <v>2687</v>
      </c>
      <c r="H676" s="12" t="s">
        <v>848</v>
      </c>
      <c r="I676" s="12" t="s">
        <v>849</v>
      </c>
      <c r="J676" s="84">
        <v>40151</v>
      </c>
      <c r="K676" s="84">
        <v>51108</v>
      </c>
      <c r="L676" s="12" t="s">
        <v>375</v>
      </c>
      <c r="M676" s="12" t="s">
        <v>1000</v>
      </c>
      <c r="N676" s="75"/>
    </row>
    <row r="677" spans="1:14">
      <c r="A677" s="12">
        <v>674</v>
      </c>
      <c r="B677" s="12" t="s">
        <v>2688</v>
      </c>
      <c r="C677" s="12" t="s">
        <v>1547</v>
      </c>
      <c r="D677" s="12" t="s">
        <v>2689</v>
      </c>
      <c r="E677" s="85">
        <v>2323.4899999999998</v>
      </c>
      <c r="F677" s="6">
        <v>5018056</v>
      </c>
      <c r="G677" s="12" t="s">
        <v>2690</v>
      </c>
      <c r="H677" s="12" t="s">
        <v>755</v>
      </c>
      <c r="I677" s="12" t="s">
        <v>756</v>
      </c>
      <c r="J677" s="84">
        <v>40151</v>
      </c>
      <c r="K677" s="84">
        <v>51108</v>
      </c>
      <c r="L677" s="12" t="s">
        <v>170</v>
      </c>
      <c r="M677" s="12" t="s">
        <v>2450</v>
      </c>
      <c r="N677" s="75"/>
    </row>
    <row r="678" spans="1:14">
      <c r="A678" s="12">
        <v>675</v>
      </c>
      <c r="B678" s="12" t="s">
        <v>2691</v>
      </c>
      <c r="C678" s="12" t="s">
        <v>200</v>
      </c>
      <c r="D678" s="12" t="s">
        <v>2246</v>
      </c>
      <c r="E678" s="85">
        <v>59.09</v>
      </c>
      <c r="F678" s="6">
        <v>5830974</v>
      </c>
      <c r="G678" s="12" t="s">
        <v>1712</v>
      </c>
      <c r="H678" s="12" t="s">
        <v>755</v>
      </c>
      <c r="I678" s="12" t="s">
        <v>756</v>
      </c>
      <c r="J678" s="84">
        <v>40157</v>
      </c>
      <c r="K678" s="84">
        <v>51114</v>
      </c>
      <c r="L678" s="12" t="s">
        <v>375</v>
      </c>
      <c r="M678" s="12" t="s">
        <v>893</v>
      </c>
      <c r="N678" s="75"/>
    </row>
    <row r="679" spans="1:14">
      <c r="A679" s="12">
        <v>676</v>
      </c>
      <c r="B679" s="12" t="s">
        <v>2692</v>
      </c>
      <c r="C679" s="12" t="s">
        <v>2388</v>
      </c>
      <c r="D679" s="12" t="s">
        <v>2693</v>
      </c>
      <c r="E679" s="85">
        <v>123.82</v>
      </c>
      <c r="F679" s="6">
        <v>5095549</v>
      </c>
      <c r="G679" s="12" t="s">
        <v>2390</v>
      </c>
      <c r="H679" s="12" t="s">
        <v>848</v>
      </c>
      <c r="I679" s="12" t="s">
        <v>849</v>
      </c>
      <c r="J679" s="84">
        <v>40175</v>
      </c>
      <c r="K679" s="84">
        <v>51132</v>
      </c>
      <c r="L679" s="12" t="s">
        <v>1014</v>
      </c>
      <c r="M679" s="12" t="s">
        <v>2391</v>
      </c>
      <c r="N679" s="75"/>
    </row>
    <row r="680" spans="1:14">
      <c r="A680" s="12">
        <v>677</v>
      </c>
      <c r="B680" s="12" t="s">
        <v>2694</v>
      </c>
      <c r="C680" s="12" t="s">
        <v>886</v>
      </c>
      <c r="D680" s="12" t="s">
        <v>2695</v>
      </c>
      <c r="E680" s="85">
        <v>873.6</v>
      </c>
      <c r="F680" s="6">
        <v>2844915</v>
      </c>
      <c r="G680" s="12" t="s">
        <v>2696</v>
      </c>
      <c r="H680" s="12" t="s">
        <v>766</v>
      </c>
      <c r="I680" s="12" t="s">
        <v>767</v>
      </c>
      <c r="J680" s="84">
        <v>40175</v>
      </c>
      <c r="K680" s="84">
        <v>51132</v>
      </c>
      <c r="L680" s="12" t="s">
        <v>288</v>
      </c>
      <c r="M680" s="12" t="s">
        <v>2697</v>
      </c>
      <c r="N680" s="75"/>
    </row>
    <row r="681" spans="1:14">
      <c r="A681" s="12">
        <v>678</v>
      </c>
      <c r="B681" s="12" t="s">
        <v>2698</v>
      </c>
      <c r="C681" s="12" t="s">
        <v>122</v>
      </c>
      <c r="D681" s="12" t="s">
        <v>2699</v>
      </c>
      <c r="E681" s="85">
        <v>81.7</v>
      </c>
      <c r="F681" s="6">
        <v>5294495</v>
      </c>
      <c r="G681" s="12" t="s">
        <v>1131</v>
      </c>
      <c r="H681" s="12" t="s">
        <v>755</v>
      </c>
      <c r="I681" s="12" t="s">
        <v>756</v>
      </c>
      <c r="J681" s="84">
        <v>40189</v>
      </c>
      <c r="K681" s="84">
        <v>51146</v>
      </c>
      <c r="L681" s="12" t="s">
        <v>1014</v>
      </c>
      <c r="M681" s="12" t="s">
        <v>1132</v>
      </c>
      <c r="N681" s="75"/>
    </row>
    <row r="682" spans="1:14">
      <c r="A682" s="12">
        <v>679</v>
      </c>
      <c r="B682" s="12" t="s">
        <v>2700</v>
      </c>
      <c r="C682" s="12" t="s">
        <v>752</v>
      </c>
      <c r="D682" s="12" t="s">
        <v>895</v>
      </c>
      <c r="E682" s="85">
        <v>266.70999999999998</v>
      </c>
      <c r="F682" s="6">
        <v>6019935</v>
      </c>
      <c r="G682" s="12" t="s">
        <v>2701</v>
      </c>
      <c r="H682" s="12" t="s">
        <v>755</v>
      </c>
      <c r="I682" s="12" t="s">
        <v>756</v>
      </c>
      <c r="J682" s="84">
        <v>38329</v>
      </c>
      <c r="K682" s="84">
        <v>49286</v>
      </c>
      <c r="L682" s="12" t="s">
        <v>831</v>
      </c>
      <c r="M682" s="12" t="s">
        <v>832</v>
      </c>
      <c r="N682" s="75"/>
    </row>
    <row r="683" spans="1:14">
      <c r="A683" s="12">
        <v>680</v>
      </c>
      <c r="B683" s="12" t="s">
        <v>2702</v>
      </c>
      <c r="C683" s="12" t="s">
        <v>122</v>
      </c>
      <c r="D683" s="12" t="s">
        <v>2703</v>
      </c>
      <c r="E683" s="85">
        <v>395.69</v>
      </c>
      <c r="F683" s="6">
        <v>2873575</v>
      </c>
      <c r="G683" s="12" t="s">
        <v>873</v>
      </c>
      <c r="H683" s="12" t="s">
        <v>755</v>
      </c>
      <c r="I683" s="12" t="s">
        <v>756</v>
      </c>
      <c r="J683" s="84">
        <v>40200</v>
      </c>
      <c r="K683" s="84">
        <v>51157</v>
      </c>
      <c r="L683" s="12" t="s">
        <v>274</v>
      </c>
      <c r="M683" s="12" t="s">
        <v>874</v>
      </c>
      <c r="N683" s="75"/>
    </row>
    <row r="684" spans="1:14">
      <c r="A684" s="12">
        <v>681</v>
      </c>
      <c r="B684" s="12" t="s">
        <v>2704</v>
      </c>
      <c r="C684" s="12" t="s">
        <v>979</v>
      </c>
      <c r="D684" s="12" t="s">
        <v>1937</v>
      </c>
      <c r="E684" s="85">
        <v>456.68</v>
      </c>
      <c r="F684" s="6">
        <v>5806771</v>
      </c>
      <c r="G684" s="12" t="s">
        <v>2705</v>
      </c>
      <c r="H684" s="12" t="s">
        <v>755</v>
      </c>
      <c r="I684" s="12" t="s">
        <v>756</v>
      </c>
      <c r="J684" s="84">
        <v>40203</v>
      </c>
      <c r="K684" s="84">
        <v>51160</v>
      </c>
      <c r="L684" s="12" t="s">
        <v>123</v>
      </c>
      <c r="M684" s="12" t="s">
        <v>272</v>
      </c>
      <c r="N684" s="75"/>
    </row>
    <row r="685" spans="1:14">
      <c r="A685" s="12">
        <v>682</v>
      </c>
      <c r="B685" s="12" t="s">
        <v>2706</v>
      </c>
      <c r="C685" s="12" t="s">
        <v>752</v>
      </c>
      <c r="D685" s="12" t="s">
        <v>2707</v>
      </c>
      <c r="E685" s="85">
        <v>156.22</v>
      </c>
      <c r="F685" s="6">
        <v>5744563</v>
      </c>
      <c r="G685" s="12" t="s">
        <v>2708</v>
      </c>
      <c r="H685" s="12" t="s">
        <v>755</v>
      </c>
      <c r="I685" s="12" t="s">
        <v>756</v>
      </c>
      <c r="J685" s="84">
        <v>35593</v>
      </c>
      <c r="K685" s="84">
        <v>50203</v>
      </c>
      <c r="L685" s="12" t="s">
        <v>274</v>
      </c>
      <c r="M685" s="12" t="s">
        <v>790</v>
      </c>
      <c r="N685" s="75"/>
    </row>
    <row r="686" spans="1:14">
      <c r="A686" s="12">
        <v>683</v>
      </c>
      <c r="B686" s="12" t="s">
        <v>2709</v>
      </c>
      <c r="C686" s="12" t="s">
        <v>752</v>
      </c>
      <c r="D686" s="12" t="s">
        <v>2710</v>
      </c>
      <c r="E686" s="85">
        <v>95.18</v>
      </c>
      <c r="F686" s="6">
        <v>4281918</v>
      </c>
      <c r="G686" s="12" t="s">
        <v>2711</v>
      </c>
      <c r="H686" s="12" t="s">
        <v>755</v>
      </c>
      <c r="I686" s="12" t="s">
        <v>756</v>
      </c>
      <c r="J686" s="84">
        <v>38624</v>
      </c>
      <c r="K686" s="84">
        <v>49609</v>
      </c>
      <c r="L686" s="12" t="s">
        <v>274</v>
      </c>
      <c r="M686" s="12" t="s">
        <v>1288</v>
      </c>
      <c r="N686" s="75"/>
    </row>
    <row r="687" spans="1:14">
      <c r="A687" s="12">
        <v>684</v>
      </c>
      <c r="B687" s="12" t="s">
        <v>2712</v>
      </c>
      <c r="C687" s="12" t="s">
        <v>1002</v>
      </c>
      <c r="D687" s="12" t="s">
        <v>2713</v>
      </c>
      <c r="E687" s="85">
        <v>151.57</v>
      </c>
      <c r="F687" s="6">
        <v>2317265</v>
      </c>
      <c r="G687" s="12" t="s">
        <v>2714</v>
      </c>
      <c r="H687" s="12" t="s">
        <v>755</v>
      </c>
      <c r="I687" s="12" t="s">
        <v>756</v>
      </c>
      <c r="J687" s="84">
        <v>35905</v>
      </c>
      <c r="K687" s="84">
        <v>46863</v>
      </c>
      <c r="L687" s="12" t="s">
        <v>1242</v>
      </c>
      <c r="M687" s="12" t="s">
        <v>2715</v>
      </c>
      <c r="N687" s="75"/>
    </row>
    <row r="688" spans="1:14">
      <c r="A688" s="12">
        <v>685</v>
      </c>
      <c r="B688" s="12" t="s">
        <v>2716</v>
      </c>
      <c r="C688" s="12" t="s">
        <v>1152</v>
      </c>
      <c r="D688" s="12" t="s">
        <v>2409</v>
      </c>
      <c r="E688" s="85">
        <v>23.98</v>
      </c>
      <c r="F688" s="6">
        <v>2038609</v>
      </c>
      <c r="G688" s="12" t="s">
        <v>2717</v>
      </c>
      <c r="H688" s="12" t="s">
        <v>914</v>
      </c>
      <c r="I688" s="12" t="s">
        <v>756</v>
      </c>
      <c r="J688" s="84">
        <v>38316</v>
      </c>
      <c r="K688" s="84">
        <v>49273</v>
      </c>
      <c r="L688" s="12" t="s">
        <v>274</v>
      </c>
      <c r="M688" s="12" t="s">
        <v>1267</v>
      </c>
      <c r="N688" s="75"/>
    </row>
    <row r="689" spans="1:14">
      <c r="A689" s="12">
        <v>686</v>
      </c>
      <c r="B689" s="12" t="s">
        <v>2718</v>
      </c>
      <c r="C689" s="12" t="s">
        <v>212</v>
      </c>
      <c r="D689" s="12" t="s">
        <v>2719</v>
      </c>
      <c r="E689" s="85">
        <v>87.45</v>
      </c>
      <c r="F689" s="6">
        <v>5642876</v>
      </c>
      <c r="G689" s="12" t="s">
        <v>2720</v>
      </c>
      <c r="H689" s="12" t="s">
        <v>755</v>
      </c>
      <c r="I689" s="12" t="s">
        <v>756</v>
      </c>
      <c r="J689" s="84">
        <v>39043</v>
      </c>
      <c r="K689" s="84">
        <v>46348</v>
      </c>
      <c r="L689" s="12" t="s">
        <v>375</v>
      </c>
      <c r="M689" s="12" t="s">
        <v>1476</v>
      </c>
      <c r="N689" s="75"/>
    </row>
    <row r="690" spans="1:14">
      <c r="A690" s="12">
        <v>687</v>
      </c>
      <c r="B690" s="12" t="s">
        <v>2721</v>
      </c>
      <c r="C690" s="12" t="s">
        <v>212</v>
      </c>
      <c r="D690" s="12" t="s">
        <v>2722</v>
      </c>
      <c r="E690" s="85">
        <v>35.6</v>
      </c>
      <c r="F690" s="6">
        <v>5021065</v>
      </c>
      <c r="G690" s="12" t="s">
        <v>2723</v>
      </c>
      <c r="H690" s="12" t="s">
        <v>755</v>
      </c>
      <c r="I690" s="12" t="s">
        <v>756</v>
      </c>
      <c r="J690" s="84">
        <v>39569</v>
      </c>
      <c r="K690" s="84">
        <v>50526</v>
      </c>
      <c r="L690" s="12" t="s">
        <v>293</v>
      </c>
      <c r="M690" s="12" t="s">
        <v>815</v>
      </c>
      <c r="N690" s="75"/>
    </row>
    <row r="691" spans="1:14">
      <c r="A691" s="12">
        <v>688</v>
      </c>
      <c r="B691" s="12" t="s">
        <v>2724</v>
      </c>
      <c r="C691" s="12" t="s">
        <v>200</v>
      </c>
      <c r="D691" s="12" t="s">
        <v>922</v>
      </c>
      <c r="E691" s="85">
        <v>73.739999999999995</v>
      </c>
      <c r="F691" s="6">
        <v>2683083</v>
      </c>
      <c r="G691" s="12" t="s">
        <v>2725</v>
      </c>
      <c r="H691" s="12" t="s">
        <v>755</v>
      </c>
      <c r="I691" s="12" t="s">
        <v>756</v>
      </c>
      <c r="J691" s="84">
        <v>37501</v>
      </c>
      <c r="K691" s="84">
        <v>48459</v>
      </c>
      <c r="L691" s="12" t="s">
        <v>170</v>
      </c>
      <c r="M691" s="12" t="s">
        <v>924</v>
      </c>
      <c r="N691" s="75"/>
    </row>
    <row r="692" spans="1:14">
      <c r="A692" s="12">
        <v>689</v>
      </c>
      <c r="B692" s="12" t="s">
        <v>2726</v>
      </c>
      <c r="C692" s="12" t="s">
        <v>752</v>
      </c>
      <c r="D692" s="12" t="s">
        <v>1395</v>
      </c>
      <c r="E692" s="85">
        <v>27.06</v>
      </c>
      <c r="F692" s="6">
        <v>2714299</v>
      </c>
      <c r="G692" s="12" t="s">
        <v>2727</v>
      </c>
      <c r="H692" s="12" t="s">
        <v>755</v>
      </c>
      <c r="I692" s="12" t="s">
        <v>756</v>
      </c>
      <c r="J692" s="84">
        <v>37716</v>
      </c>
      <c r="K692" s="84">
        <v>48674</v>
      </c>
      <c r="L692" s="12" t="s">
        <v>180</v>
      </c>
      <c r="M692" s="12" t="s">
        <v>927</v>
      </c>
      <c r="N692" s="75"/>
    </row>
    <row r="693" spans="1:14">
      <c r="A693" s="12">
        <v>690</v>
      </c>
      <c r="B693" s="12" t="s">
        <v>2728</v>
      </c>
      <c r="C693" s="12" t="s">
        <v>752</v>
      </c>
      <c r="D693" s="12" t="s">
        <v>2729</v>
      </c>
      <c r="E693" s="85">
        <v>86.96</v>
      </c>
      <c r="F693" s="6">
        <v>2024128</v>
      </c>
      <c r="G693" s="12" t="s">
        <v>2730</v>
      </c>
      <c r="H693" s="12" t="s">
        <v>755</v>
      </c>
      <c r="I693" s="12" t="s">
        <v>756</v>
      </c>
      <c r="J693" s="84">
        <v>38293</v>
      </c>
      <c r="K693" s="84">
        <v>52903</v>
      </c>
      <c r="L693" s="12" t="s">
        <v>304</v>
      </c>
      <c r="M693" s="12" t="s">
        <v>843</v>
      </c>
      <c r="N693" s="75"/>
    </row>
    <row r="694" spans="1:14">
      <c r="A694" s="12">
        <v>691</v>
      </c>
      <c r="B694" s="12" t="s">
        <v>2731</v>
      </c>
      <c r="C694" s="12" t="s">
        <v>995</v>
      </c>
      <c r="D694" s="12" t="s">
        <v>2732</v>
      </c>
      <c r="E694" s="85">
        <v>37.53</v>
      </c>
      <c r="F694" s="6">
        <v>9073523</v>
      </c>
      <c r="G694" s="12" t="s">
        <v>2733</v>
      </c>
      <c r="H694" s="12" t="s">
        <v>901</v>
      </c>
      <c r="I694" s="12" t="s">
        <v>756</v>
      </c>
      <c r="J694" s="84">
        <v>40211</v>
      </c>
      <c r="K694" s="84">
        <v>51167</v>
      </c>
      <c r="L694" s="12" t="s">
        <v>293</v>
      </c>
      <c r="M694" s="12" t="s">
        <v>1342</v>
      </c>
      <c r="N694" s="75"/>
    </row>
    <row r="695" spans="1:14">
      <c r="A695" s="12">
        <v>692</v>
      </c>
      <c r="B695" s="12" t="s">
        <v>2734</v>
      </c>
      <c r="C695" s="12" t="s">
        <v>212</v>
      </c>
      <c r="D695" s="12" t="s">
        <v>2735</v>
      </c>
      <c r="E695" s="85">
        <v>76.069999999999993</v>
      </c>
      <c r="F695" s="6">
        <v>5185033</v>
      </c>
      <c r="G695" s="12" t="s">
        <v>2736</v>
      </c>
      <c r="H695" s="12" t="s">
        <v>755</v>
      </c>
      <c r="I695" s="12" t="s">
        <v>756</v>
      </c>
      <c r="J695" s="84">
        <v>40248</v>
      </c>
      <c r="K695" s="84">
        <v>51206</v>
      </c>
      <c r="L695" s="12" t="s">
        <v>170</v>
      </c>
      <c r="M695" s="12" t="s">
        <v>807</v>
      </c>
      <c r="N695" s="75"/>
    </row>
    <row r="696" spans="1:14">
      <c r="A696" s="12">
        <v>693</v>
      </c>
      <c r="B696" s="12" t="s">
        <v>2737</v>
      </c>
      <c r="C696" s="12" t="s">
        <v>752</v>
      </c>
      <c r="D696" s="12" t="s">
        <v>2738</v>
      </c>
      <c r="E696" s="85">
        <v>119.3</v>
      </c>
      <c r="F696" s="6">
        <v>5179173</v>
      </c>
      <c r="G696" s="12" t="s">
        <v>959</v>
      </c>
      <c r="H696" s="12" t="s">
        <v>755</v>
      </c>
      <c r="I696" s="12" t="s">
        <v>756</v>
      </c>
      <c r="J696" s="84">
        <v>40211</v>
      </c>
      <c r="K696" s="84">
        <v>51168</v>
      </c>
      <c r="L696" s="12" t="s">
        <v>180</v>
      </c>
      <c r="M696" s="12" t="s">
        <v>960</v>
      </c>
      <c r="N696" s="75"/>
    </row>
    <row r="697" spans="1:14">
      <c r="A697" s="12">
        <v>694</v>
      </c>
      <c r="B697" s="12" t="s">
        <v>2739</v>
      </c>
      <c r="C697" s="12" t="s">
        <v>752</v>
      </c>
      <c r="D697" s="12" t="s">
        <v>2740</v>
      </c>
      <c r="E697" s="85">
        <v>90</v>
      </c>
      <c r="F697" s="6">
        <v>2670232</v>
      </c>
      <c r="G697" s="12" t="s">
        <v>2741</v>
      </c>
      <c r="H697" s="12" t="s">
        <v>755</v>
      </c>
      <c r="I697" s="12" t="s">
        <v>756</v>
      </c>
      <c r="J697" s="84">
        <v>40227</v>
      </c>
      <c r="K697" s="84">
        <v>51184</v>
      </c>
      <c r="L697" s="12" t="s">
        <v>836</v>
      </c>
      <c r="M697" s="12" t="s">
        <v>304</v>
      </c>
      <c r="N697" s="75"/>
    </row>
    <row r="698" spans="1:14">
      <c r="A698" s="12">
        <v>695</v>
      </c>
      <c r="B698" s="12" t="s">
        <v>2742</v>
      </c>
      <c r="C698" s="12" t="s">
        <v>752</v>
      </c>
      <c r="D698" s="12" t="s">
        <v>2579</v>
      </c>
      <c r="E698" s="85">
        <v>259.55</v>
      </c>
      <c r="F698" s="6">
        <v>2618621</v>
      </c>
      <c r="G698" s="12" t="s">
        <v>2743</v>
      </c>
      <c r="H698" s="12" t="s">
        <v>755</v>
      </c>
      <c r="I698" s="12" t="s">
        <v>756</v>
      </c>
      <c r="J698" s="84">
        <v>40217</v>
      </c>
      <c r="K698" s="84">
        <v>51174</v>
      </c>
      <c r="L698" s="12" t="s">
        <v>2581</v>
      </c>
      <c r="M698" s="12" t="s">
        <v>2582</v>
      </c>
      <c r="N698" s="75"/>
    </row>
    <row r="699" spans="1:14">
      <c r="A699" s="12">
        <v>696</v>
      </c>
      <c r="B699" s="12" t="s">
        <v>2744</v>
      </c>
      <c r="C699" s="12" t="s">
        <v>916</v>
      </c>
      <c r="D699" s="12" t="s">
        <v>1855</v>
      </c>
      <c r="E699" s="85">
        <v>115.36</v>
      </c>
      <c r="F699" s="6">
        <v>2772787</v>
      </c>
      <c r="G699" s="12" t="s">
        <v>2745</v>
      </c>
      <c r="H699" s="12" t="s">
        <v>755</v>
      </c>
      <c r="I699" s="12" t="s">
        <v>756</v>
      </c>
      <c r="J699" s="84">
        <v>38631</v>
      </c>
      <c r="K699" s="84">
        <v>49588</v>
      </c>
      <c r="L699" s="12" t="s">
        <v>170</v>
      </c>
      <c r="M699" s="12" t="s">
        <v>280</v>
      </c>
      <c r="N699" s="75"/>
    </row>
    <row r="700" spans="1:14">
      <c r="A700" s="12">
        <v>697</v>
      </c>
      <c r="B700" s="12" t="s">
        <v>2746</v>
      </c>
      <c r="C700" s="12" t="s">
        <v>752</v>
      </c>
      <c r="D700" s="12" t="s">
        <v>2747</v>
      </c>
      <c r="E700" s="85">
        <v>82.74</v>
      </c>
      <c r="F700" s="6">
        <v>5380618</v>
      </c>
      <c r="G700" s="12" t="s">
        <v>2748</v>
      </c>
      <c r="H700" s="12" t="s">
        <v>848</v>
      </c>
      <c r="I700" s="12" t="s">
        <v>849</v>
      </c>
      <c r="J700" s="84">
        <v>40280</v>
      </c>
      <c r="K700" s="84">
        <v>51238</v>
      </c>
      <c r="L700" s="12" t="s">
        <v>180</v>
      </c>
      <c r="M700" s="12" t="s">
        <v>927</v>
      </c>
      <c r="N700" s="75"/>
    </row>
    <row r="701" spans="1:14">
      <c r="A701" s="12">
        <v>698</v>
      </c>
      <c r="B701" s="12" t="s">
        <v>2749</v>
      </c>
      <c r="C701" s="12" t="s">
        <v>1060</v>
      </c>
      <c r="D701" s="12" t="s">
        <v>2750</v>
      </c>
      <c r="E701" s="85">
        <v>503</v>
      </c>
      <c r="F701" s="6">
        <v>5830974</v>
      </c>
      <c r="G701" s="12" t="s">
        <v>1712</v>
      </c>
      <c r="H701" s="12" t="s">
        <v>755</v>
      </c>
      <c r="I701" s="12" t="s">
        <v>756</v>
      </c>
      <c r="J701" s="84">
        <v>40280</v>
      </c>
      <c r="K701" s="84">
        <v>51238</v>
      </c>
      <c r="L701" s="12" t="s">
        <v>170</v>
      </c>
      <c r="M701" s="12" t="s">
        <v>171</v>
      </c>
      <c r="N701" s="75"/>
    </row>
    <row r="702" spans="1:14">
      <c r="A702" s="12">
        <v>699</v>
      </c>
      <c r="B702" s="12" t="s">
        <v>2751</v>
      </c>
      <c r="C702" s="12" t="s">
        <v>937</v>
      </c>
      <c r="D702" s="12" t="s">
        <v>2752</v>
      </c>
      <c r="E702" s="85">
        <v>33.770000000000003</v>
      </c>
      <c r="F702" s="6">
        <v>2095025</v>
      </c>
      <c r="G702" s="12" t="s">
        <v>870</v>
      </c>
      <c r="H702" s="12" t="s">
        <v>755</v>
      </c>
      <c r="I702" s="12" t="s">
        <v>756</v>
      </c>
      <c r="J702" s="84">
        <v>40280</v>
      </c>
      <c r="K702" s="84">
        <v>51238</v>
      </c>
      <c r="L702" s="12" t="s">
        <v>128</v>
      </c>
      <c r="M702" s="12" t="s">
        <v>862</v>
      </c>
      <c r="N702" s="75"/>
    </row>
    <row r="703" spans="1:14">
      <c r="A703" s="12">
        <v>700</v>
      </c>
      <c r="B703" s="12" t="s">
        <v>2753</v>
      </c>
      <c r="C703" s="12" t="s">
        <v>752</v>
      </c>
      <c r="D703" s="12" t="s">
        <v>2754</v>
      </c>
      <c r="E703" s="85">
        <v>20.07</v>
      </c>
      <c r="F703" s="6">
        <v>5926629</v>
      </c>
      <c r="G703" s="12" t="s">
        <v>2755</v>
      </c>
      <c r="H703" s="12" t="s">
        <v>755</v>
      </c>
      <c r="I703" s="12" t="s">
        <v>756</v>
      </c>
      <c r="J703" s="84">
        <v>40275</v>
      </c>
      <c r="K703" s="84">
        <v>51233</v>
      </c>
      <c r="L703" s="12" t="s">
        <v>836</v>
      </c>
      <c r="M703" s="12" t="s">
        <v>837</v>
      </c>
      <c r="N703" s="75"/>
    </row>
    <row r="704" spans="1:14">
      <c r="A704" s="12">
        <v>701</v>
      </c>
      <c r="B704" s="12" t="s">
        <v>2756</v>
      </c>
      <c r="C704" s="12" t="s">
        <v>122</v>
      </c>
      <c r="D704" s="12" t="s">
        <v>2757</v>
      </c>
      <c r="E704" s="85">
        <v>627.74</v>
      </c>
      <c r="F704" s="6">
        <v>5101158</v>
      </c>
      <c r="G704" s="12" t="s">
        <v>2758</v>
      </c>
      <c r="H704" s="12" t="s">
        <v>755</v>
      </c>
      <c r="I704" s="12" t="s">
        <v>756</v>
      </c>
      <c r="J704" s="84">
        <v>40288</v>
      </c>
      <c r="K704" s="84">
        <v>51246</v>
      </c>
      <c r="L704" s="12" t="s">
        <v>274</v>
      </c>
      <c r="M704" s="12" t="s">
        <v>2759</v>
      </c>
      <c r="N704" s="75"/>
    </row>
    <row r="705" spans="1:14">
      <c r="A705" s="12">
        <v>702</v>
      </c>
      <c r="B705" s="12" t="s">
        <v>2760</v>
      </c>
      <c r="C705" s="12" t="s">
        <v>1035</v>
      </c>
      <c r="D705" s="12" t="s">
        <v>2761</v>
      </c>
      <c r="E705" s="85">
        <v>489.04</v>
      </c>
      <c r="F705" s="6">
        <v>5171873</v>
      </c>
      <c r="G705" s="12" t="s">
        <v>2762</v>
      </c>
      <c r="H705" s="12" t="s">
        <v>755</v>
      </c>
      <c r="I705" s="12" t="s">
        <v>756</v>
      </c>
      <c r="J705" s="84">
        <v>40287</v>
      </c>
      <c r="K705" s="84">
        <v>51245</v>
      </c>
      <c r="L705" s="12" t="s">
        <v>293</v>
      </c>
      <c r="M705" s="12" t="s">
        <v>1826</v>
      </c>
      <c r="N705" s="75"/>
    </row>
    <row r="706" spans="1:14">
      <c r="A706" s="12">
        <v>703</v>
      </c>
      <c r="B706" s="12" t="s">
        <v>2763</v>
      </c>
      <c r="C706" s="12" t="s">
        <v>995</v>
      </c>
      <c r="D706" s="12" t="s">
        <v>2764</v>
      </c>
      <c r="E706" s="85">
        <v>31.99</v>
      </c>
      <c r="F706" s="6">
        <v>4001621</v>
      </c>
      <c r="G706" s="12" t="s">
        <v>2765</v>
      </c>
      <c r="H706" s="12" t="s">
        <v>755</v>
      </c>
      <c r="I706" s="12" t="s">
        <v>756</v>
      </c>
      <c r="J706" s="84">
        <v>40284</v>
      </c>
      <c r="K706" s="84">
        <v>51242</v>
      </c>
      <c r="L706" s="12" t="s">
        <v>782</v>
      </c>
      <c r="M706" s="12" t="s">
        <v>2766</v>
      </c>
      <c r="N706" s="75"/>
    </row>
    <row r="707" spans="1:14">
      <c r="A707" s="12">
        <v>704</v>
      </c>
      <c r="B707" s="12" t="s">
        <v>2767</v>
      </c>
      <c r="C707" s="12" t="s">
        <v>212</v>
      </c>
      <c r="D707" s="12" t="s">
        <v>2768</v>
      </c>
      <c r="E707" s="85">
        <v>41.5</v>
      </c>
      <c r="F707" s="6">
        <v>5102316</v>
      </c>
      <c r="G707" s="12" t="s">
        <v>2769</v>
      </c>
      <c r="H707" s="12" t="s">
        <v>848</v>
      </c>
      <c r="I707" s="12" t="s">
        <v>849</v>
      </c>
      <c r="J707" s="84">
        <v>40262</v>
      </c>
      <c r="K707" s="84">
        <v>51220</v>
      </c>
      <c r="L707" s="12" t="s">
        <v>123</v>
      </c>
      <c r="M707" s="12" t="s">
        <v>836</v>
      </c>
      <c r="N707" s="75"/>
    </row>
    <row r="708" spans="1:14">
      <c r="A708" s="12">
        <v>705</v>
      </c>
      <c r="B708" s="12" t="s">
        <v>2770</v>
      </c>
      <c r="C708" s="12" t="s">
        <v>937</v>
      </c>
      <c r="D708" s="12" t="s">
        <v>2771</v>
      </c>
      <c r="E708" s="85">
        <v>32.15</v>
      </c>
      <c r="F708" s="6">
        <v>5072115</v>
      </c>
      <c r="G708" s="12" t="s">
        <v>2772</v>
      </c>
      <c r="H708" s="12" t="s">
        <v>755</v>
      </c>
      <c r="I708" s="12" t="s">
        <v>756</v>
      </c>
      <c r="J708" s="84">
        <v>40326</v>
      </c>
      <c r="K708" s="84">
        <v>51284</v>
      </c>
      <c r="L708" s="12" t="s">
        <v>128</v>
      </c>
      <c r="M708" s="12" t="s">
        <v>862</v>
      </c>
      <c r="N708" s="75"/>
    </row>
    <row r="709" spans="1:14">
      <c r="A709" s="12">
        <v>706</v>
      </c>
      <c r="B709" s="12" t="s">
        <v>2773</v>
      </c>
      <c r="C709" s="12" t="s">
        <v>752</v>
      </c>
      <c r="D709" s="12" t="s">
        <v>2774</v>
      </c>
      <c r="E709" s="85">
        <v>135.72</v>
      </c>
      <c r="F709" s="6">
        <v>3197549</v>
      </c>
      <c r="G709" s="12" t="s">
        <v>2775</v>
      </c>
      <c r="H709" s="12" t="s">
        <v>755</v>
      </c>
      <c r="I709" s="12" t="s">
        <v>756</v>
      </c>
      <c r="J709" s="84">
        <v>40326</v>
      </c>
      <c r="K709" s="84">
        <v>51284</v>
      </c>
      <c r="L709" s="12" t="s">
        <v>274</v>
      </c>
      <c r="M709" s="12" t="s">
        <v>275</v>
      </c>
      <c r="N709" s="75"/>
    </row>
    <row r="710" spans="1:14">
      <c r="A710" s="12">
        <v>707</v>
      </c>
      <c r="B710" s="12" t="s">
        <v>2776</v>
      </c>
      <c r="C710" s="12" t="s">
        <v>1035</v>
      </c>
      <c r="D710" s="12" t="s">
        <v>2777</v>
      </c>
      <c r="E710" s="85">
        <v>673.41</v>
      </c>
      <c r="F710" s="6">
        <v>4247949</v>
      </c>
      <c r="G710" s="12" t="s">
        <v>2778</v>
      </c>
      <c r="H710" s="12" t="s">
        <v>755</v>
      </c>
      <c r="I710" s="12" t="s">
        <v>756</v>
      </c>
      <c r="J710" s="84">
        <v>40337</v>
      </c>
      <c r="K710" s="84">
        <v>51295</v>
      </c>
      <c r="L710" s="12" t="s">
        <v>293</v>
      </c>
      <c r="M710" s="12" t="s">
        <v>1206</v>
      </c>
      <c r="N710" s="75"/>
    </row>
    <row r="711" spans="1:14">
      <c r="A711" s="12">
        <v>708</v>
      </c>
      <c r="B711" s="12" t="s">
        <v>2779</v>
      </c>
      <c r="C711" s="12" t="s">
        <v>752</v>
      </c>
      <c r="D711" s="12" t="s">
        <v>1566</v>
      </c>
      <c r="E711" s="85">
        <v>184.72</v>
      </c>
      <c r="F711" s="6">
        <v>2061848</v>
      </c>
      <c r="G711" s="12" t="s">
        <v>2780</v>
      </c>
      <c r="H711" s="12" t="s">
        <v>755</v>
      </c>
      <c r="I711" s="12" t="s">
        <v>756</v>
      </c>
      <c r="J711" s="84">
        <v>40350</v>
      </c>
      <c r="K711" s="84">
        <v>51308</v>
      </c>
      <c r="L711" s="12" t="s">
        <v>293</v>
      </c>
      <c r="M711" s="12" t="s">
        <v>794</v>
      </c>
      <c r="N711" s="75"/>
    </row>
    <row r="712" spans="1:14">
      <c r="A712" s="12">
        <v>709</v>
      </c>
      <c r="B712" s="12" t="s">
        <v>2781</v>
      </c>
      <c r="C712" s="12" t="s">
        <v>122</v>
      </c>
      <c r="D712" s="12" t="s">
        <v>2782</v>
      </c>
      <c r="E712" s="85">
        <v>29.25</v>
      </c>
      <c r="F712" s="6">
        <v>2542579</v>
      </c>
      <c r="G712" s="12" t="s">
        <v>2783</v>
      </c>
      <c r="H712" s="12" t="s">
        <v>755</v>
      </c>
      <c r="I712" s="12" t="s">
        <v>756</v>
      </c>
      <c r="J712" s="84">
        <v>40350</v>
      </c>
      <c r="K712" s="84">
        <v>51308</v>
      </c>
      <c r="L712" s="12" t="s">
        <v>128</v>
      </c>
      <c r="M712" s="12" t="s">
        <v>862</v>
      </c>
      <c r="N712" s="75"/>
    </row>
    <row r="713" spans="1:14">
      <c r="A713" s="12">
        <v>710</v>
      </c>
      <c r="B713" s="12" t="s">
        <v>2784</v>
      </c>
      <c r="C713" s="12" t="s">
        <v>137</v>
      </c>
      <c r="D713" s="12" t="s">
        <v>1015</v>
      </c>
      <c r="E713" s="85">
        <v>571.03</v>
      </c>
      <c r="F713" s="6">
        <v>5382432</v>
      </c>
      <c r="G713" s="12" t="s">
        <v>2785</v>
      </c>
      <c r="H713" s="12" t="s">
        <v>755</v>
      </c>
      <c r="I713" s="12" t="s">
        <v>756</v>
      </c>
      <c r="J713" s="84">
        <v>40350</v>
      </c>
      <c r="K713" s="84">
        <v>51308</v>
      </c>
      <c r="L713" s="12" t="s">
        <v>170</v>
      </c>
      <c r="M713" s="12" t="s">
        <v>2786</v>
      </c>
      <c r="N713" s="75"/>
    </row>
    <row r="714" spans="1:14">
      <c r="A714" s="12">
        <v>711</v>
      </c>
      <c r="B714" s="12" t="s">
        <v>2787</v>
      </c>
      <c r="C714" s="12" t="s">
        <v>122</v>
      </c>
      <c r="D714" s="12" t="s">
        <v>2788</v>
      </c>
      <c r="E714" s="85">
        <v>435.55</v>
      </c>
      <c r="F714" s="6">
        <v>2893444</v>
      </c>
      <c r="G714" s="12" t="s">
        <v>2789</v>
      </c>
      <c r="H714" s="12" t="s">
        <v>848</v>
      </c>
      <c r="I714" s="12" t="s">
        <v>849</v>
      </c>
      <c r="J714" s="84">
        <v>40350</v>
      </c>
      <c r="K714" s="84">
        <v>51308</v>
      </c>
      <c r="L714" s="12" t="s">
        <v>233</v>
      </c>
      <c r="M714" s="12" t="s">
        <v>1300</v>
      </c>
      <c r="N714" s="75"/>
    </row>
    <row r="715" spans="1:14">
      <c r="A715" s="12">
        <v>712</v>
      </c>
      <c r="B715" s="12" t="s">
        <v>2790</v>
      </c>
      <c r="C715" s="12" t="s">
        <v>752</v>
      </c>
      <c r="D715" s="12" t="s">
        <v>2791</v>
      </c>
      <c r="E715" s="85">
        <v>235.15</v>
      </c>
      <c r="F715" s="6">
        <v>2061848</v>
      </c>
      <c r="G715" s="12" t="s">
        <v>2780</v>
      </c>
      <c r="H715" s="12" t="s">
        <v>755</v>
      </c>
      <c r="I715" s="12" t="s">
        <v>756</v>
      </c>
      <c r="J715" s="84">
        <v>40350</v>
      </c>
      <c r="K715" s="84">
        <v>51308</v>
      </c>
      <c r="L715" s="12" t="s">
        <v>293</v>
      </c>
      <c r="M715" s="12" t="s">
        <v>794</v>
      </c>
      <c r="N715" s="75"/>
    </row>
    <row r="716" spans="1:14">
      <c r="A716" s="12">
        <v>713</v>
      </c>
      <c r="B716" s="12" t="s">
        <v>2792</v>
      </c>
      <c r="C716" s="12" t="s">
        <v>886</v>
      </c>
      <c r="D716" s="12" t="s">
        <v>2793</v>
      </c>
      <c r="E716" s="85">
        <v>449.21</v>
      </c>
      <c r="F716" s="6">
        <v>5382475</v>
      </c>
      <c r="G716" s="12" t="s">
        <v>2794</v>
      </c>
      <c r="H716" s="12" t="s">
        <v>848</v>
      </c>
      <c r="I716" s="12" t="s">
        <v>849</v>
      </c>
      <c r="J716" s="84">
        <v>38722</v>
      </c>
      <c r="K716" s="84">
        <v>49679</v>
      </c>
      <c r="L716" s="12" t="s">
        <v>288</v>
      </c>
      <c r="M716" s="12" t="s">
        <v>902</v>
      </c>
      <c r="N716" s="75"/>
    </row>
    <row r="717" spans="1:14">
      <c r="A717" s="12">
        <v>714</v>
      </c>
      <c r="B717" s="12" t="s">
        <v>2795</v>
      </c>
      <c r="C717" s="12" t="s">
        <v>137</v>
      </c>
      <c r="D717" s="12" t="s">
        <v>2796</v>
      </c>
      <c r="E717" s="85">
        <v>158.38999999999999</v>
      </c>
      <c r="F717" s="6">
        <v>5452503</v>
      </c>
      <c r="G717" s="12" t="s">
        <v>2797</v>
      </c>
      <c r="H717" s="12" t="s">
        <v>766</v>
      </c>
      <c r="I717" s="12" t="s">
        <v>767</v>
      </c>
      <c r="J717" s="84">
        <v>40358</v>
      </c>
      <c r="K717" s="84">
        <v>51316</v>
      </c>
      <c r="L717" s="12" t="s">
        <v>138</v>
      </c>
      <c r="M717" s="12" t="s">
        <v>1759</v>
      </c>
      <c r="N717" s="75"/>
    </row>
    <row r="718" spans="1:14">
      <c r="A718" s="12">
        <v>715</v>
      </c>
      <c r="B718" s="12" t="s">
        <v>2798</v>
      </c>
      <c r="C718" s="12" t="s">
        <v>752</v>
      </c>
      <c r="D718" s="12" t="s">
        <v>792</v>
      </c>
      <c r="E718" s="85">
        <v>104.87</v>
      </c>
      <c r="F718" s="6">
        <v>2061848</v>
      </c>
      <c r="G718" s="12" t="s">
        <v>2780</v>
      </c>
      <c r="H718" s="12" t="s">
        <v>755</v>
      </c>
      <c r="I718" s="12" t="s">
        <v>756</v>
      </c>
      <c r="J718" s="84">
        <v>40350</v>
      </c>
      <c r="K718" s="84">
        <v>51308</v>
      </c>
      <c r="L718" s="12" t="s">
        <v>293</v>
      </c>
      <c r="M718" s="12" t="s">
        <v>794</v>
      </c>
      <c r="N718" s="75"/>
    </row>
    <row r="719" spans="1:14">
      <c r="A719" s="12">
        <v>716</v>
      </c>
      <c r="B719" s="12" t="s">
        <v>2799</v>
      </c>
      <c r="C719" s="12" t="s">
        <v>752</v>
      </c>
      <c r="D719" s="12" t="s">
        <v>2800</v>
      </c>
      <c r="E719" s="85">
        <v>81.239999999999995</v>
      </c>
      <c r="F719" s="6">
        <v>5364884</v>
      </c>
      <c r="G719" s="12" t="s">
        <v>1912</v>
      </c>
      <c r="H719" s="12" t="s">
        <v>766</v>
      </c>
      <c r="I719" s="12" t="s">
        <v>767</v>
      </c>
      <c r="J719" s="84">
        <v>40358</v>
      </c>
      <c r="K719" s="84">
        <v>52872</v>
      </c>
      <c r="L719" s="12" t="s">
        <v>782</v>
      </c>
      <c r="M719" s="12" t="s">
        <v>1913</v>
      </c>
      <c r="N719" s="75"/>
    </row>
    <row r="720" spans="1:14">
      <c r="A720" s="12">
        <v>717</v>
      </c>
      <c r="B720" s="12" t="s">
        <v>2801</v>
      </c>
      <c r="C720" s="12" t="s">
        <v>979</v>
      </c>
      <c r="D720" s="12" t="s">
        <v>2802</v>
      </c>
      <c r="E720" s="85">
        <v>1027.1400000000001</v>
      </c>
      <c r="F720" s="6">
        <v>2663937</v>
      </c>
      <c r="G720" s="12" t="s">
        <v>1189</v>
      </c>
      <c r="H720" s="12" t="s">
        <v>755</v>
      </c>
      <c r="I720" s="12" t="s">
        <v>756</v>
      </c>
      <c r="J720" s="84">
        <v>40360</v>
      </c>
      <c r="K720" s="84">
        <v>51318</v>
      </c>
      <c r="L720" s="12" t="s">
        <v>2670</v>
      </c>
      <c r="M720" s="12" t="s">
        <v>2671</v>
      </c>
      <c r="N720" s="75"/>
    </row>
    <row r="721" spans="1:14">
      <c r="A721" s="12">
        <v>718</v>
      </c>
      <c r="B721" s="12" t="s">
        <v>2803</v>
      </c>
      <c r="C721" s="12" t="s">
        <v>979</v>
      </c>
      <c r="D721" s="12" t="s">
        <v>2804</v>
      </c>
      <c r="E721" s="85">
        <v>830.01</v>
      </c>
      <c r="F721" s="6">
        <v>2663937</v>
      </c>
      <c r="G721" s="12" t="s">
        <v>1189</v>
      </c>
      <c r="H721" s="12" t="s">
        <v>755</v>
      </c>
      <c r="I721" s="12" t="s">
        <v>756</v>
      </c>
      <c r="J721" s="84">
        <v>40360</v>
      </c>
      <c r="K721" s="84">
        <v>51318</v>
      </c>
      <c r="L721" s="12" t="s">
        <v>2670</v>
      </c>
      <c r="M721" s="12" t="s">
        <v>2671</v>
      </c>
      <c r="N721" s="75"/>
    </row>
    <row r="722" spans="1:14">
      <c r="A722" s="12">
        <v>719</v>
      </c>
      <c r="B722" s="12" t="s">
        <v>2805</v>
      </c>
      <c r="C722" s="12" t="s">
        <v>979</v>
      </c>
      <c r="D722" s="12" t="s">
        <v>2806</v>
      </c>
      <c r="E722" s="85">
        <v>599.45000000000005</v>
      </c>
      <c r="F722" s="6">
        <v>2663937</v>
      </c>
      <c r="G722" s="12" t="s">
        <v>1189</v>
      </c>
      <c r="H722" s="12" t="s">
        <v>755</v>
      </c>
      <c r="I722" s="12" t="s">
        <v>756</v>
      </c>
      <c r="J722" s="84">
        <v>40360</v>
      </c>
      <c r="K722" s="84">
        <v>51318</v>
      </c>
      <c r="L722" s="12" t="s">
        <v>304</v>
      </c>
      <c r="M722" s="12" t="s">
        <v>777</v>
      </c>
      <c r="N722" s="75"/>
    </row>
    <row r="723" spans="1:14">
      <c r="A723" s="12">
        <v>720</v>
      </c>
      <c r="B723" s="12" t="s">
        <v>2807</v>
      </c>
      <c r="C723" s="12" t="s">
        <v>122</v>
      </c>
      <c r="D723" s="12" t="s">
        <v>2808</v>
      </c>
      <c r="E723" s="85">
        <v>1684.39</v>
      </c>
      <c r="F723" s="6">
        <v>5295777</v>
      </c>
      <c r="G723" s="12" t="s">
        <v>2809</v>
      </c>
      <c r="H723" s="12" t="s">
        <v>755</v>
      </c>
      <c r="I723" s="12" t="s">
        <v>756</v>
      </c>
      <c r="J723" s="84">
        <v>40359</v>
      </c>
      <c r="K723" s="84">
        <v>51317</v>
      </c>
      <c r="L723" s="12" t="s">
        <v>123</v>
      </c>
      <c r="M723" s="12" t="s">
        <v>2201</v>
      </c>
      <c r="N723" s="75"/>
    </row>
    <row r="724" spans="1:14">
      <c r="A724" s="12">
        <v>721</v>
      </c>
      <c r="B724" s="12" t="s">
        <v>2810</v>
      </c>
      <c r="C724" s="12" t="s">
        <v>752</v>
      </c>
      <c r="D724" s="12" t="s">
        <v>856</v>
      </c>
      <c r="E724" s="85">
        <v>183.75</v>
      </c>
      <c r="F724" s="6">
        <v>5545366</v>
      </c>
      <c r="G724" s="12" t="s">
        <v>2811</v>
      </c>
      <c r="H724" s="12" t="s">
        <v>755</v>
      </c>
      <c r="I724" s="12" t="s">
        <v>756</v>
      </c>
      <c r="J724" s="84">
        <v>40373</v>
      </c>
      <c r="K724" s="84">
        <v>51331</v>
      </c>
      <c r="L724" s="12" t="s">
        <v>123</v>
      </c>
      <c r="M724" s="12" t="s">
        <v>272</v>
      </c>
      <c r="N724" s="75"/>
    </row>
    <row r="725" spans="1:14">
      <c r="A725" s="12">
        <v>722</v>
      </c>
      <c r="B725" s="12" t="s">
        <v>2812</v>
      </c>
      <c r="C725" s="12" t="s">
        <v>1035</v>
      </c>
      <c r="D725" s="12" t="s">
        <v>1476</v>
      </c>
      <c r="E725" s="85">
        <v>164.29</v>
      </c>
      <c r="F725" s="6">
        <v>5090385</v>
      </c>
      <c r="G725" s="12" t="s">
        <v>2813</v>
      </c>
      <c r="H725" s="12" t="s">
        <v>755</v>
      </c>
      <c r="I725" s="12" t="s">
        <v>756</v>
      </c>
      <c r="J725" s="84">
        <v>40382</v>
      </c>
      <c r="K725" s="84">
        <v>51340</v>
      </c>
      <c r="L725" s="12" t="s">
        <v>163</v>
      </c>
      <c r="M725" s="12" t="s">
        <v>1417</v>
      </c>
      <c r="N725" s="75"/>
    </row>
    <row r="726" spans="1:14">
      <c r="A726" s="12">
        <v>723</v>
      </c>
      <c r="B726" s="12" t="s">
        <v>2814</v>
      </c>
      <c r="C726" s="12" t="s">
        <v>758</v>
      </c>
      <c r="D726" s="12" t="s">
        <v>2815</v>
      </c>
      <c r="E726" s="85">
        <v>1859.2</v>
      </c>
      <c r="F726" s="6">
        <v>2657449</v>
      </c>
      <c r="G726" s="12" t="s">
        <v>2681</v>
      </c>
      <c r="H726" s="12" t="s">
        <v>848</v>
      </c>
      <c r="I726" s="12" t="s">
        <v>849</v>
      </c>
      <c r="J726" s="84">
        <v>40401</v>
      </c>
      <c r="K726" s="84">
        <v>51359</v>
      </c>
      <c r="L726" s="12" t="s">
        <v>123</v>
      </c>
      <c r="M726" s="12" t="s">
        <v>1472</v>
      </c>
      <c r="N726" s="75"/>
    </row>
    <row r="727" spans="1:14">
      <c r="A727" s="12">
        <v>724</v>
      </c>
      <c r="B727" s="12" t="s">
        <v>2816</v>
      </c>
      <c r="C727" s="12" t="s">
        <v>1547</v>
      </c>
      <c r="D727" s="12" t="s">
        <v>1108</v>
      </c>
      <c r="E727" s="85">
        <v>2036.63</v>
      </c>
      <c r="F727" s="6">
        <v>5433207</v>
      </c>
      <c r="G727" s="12" t="s">
        <v>2817</v>
      </c>
      <c r="H727" s="12" t="s">
        <v>848</v>
      </c>
      <c r="I727" s="12" t="s">
        <v>849</v>
      </c>
      <c r="J727" s="84">
        <v>40382</v>
      </c>
      <c r="K727" s="84">
        <v>51340</v>
      </c>
      <c r="L727" s="12" t="s">
        <v>233</v>
      </c>
      <c r="M727" s="12" t="s">
        <v>2818</v>
      </c>
      <c r="N727" s="75"/>
    </row>
    <row r="728" spans="1:14">
      <c r="A728" s="12">
        <v>725</v>
      </c>
      <c r="B728" s="12" t="s">
        <v>2819</v>
      </c>
      <c r="C728" s="12" t="s">
        <v>752</v>
      </c>
      <c r="D728" s="12" t="s">
        <v>2820</v>
      </c>
      <c r="E728" s="85">
        <v>138.91999999999999</v>
      </c>
      <c r="F728" s="6">
        <v>5185874</v>
      </c>
      <c r="G728" s="12" t="s">
        <v>2821</v>
      </c>
      <c r="H728" s="12" t="s">
        <v>755</v>
      </c>
      <c r="I728" s="12" t="s">
        <v>756</v>
      </c>
      <c r="J728" s="84">
        <v>40395</v>
      </c>
      <c r="K728" s="84">
        <v>51353</v>
      </c>
      <c r="L728" s="12" t="s">
        <v>782</v>
      </c>
      <c r="M728" s="12" t="s">
        <v>2822</v>
      </c>
      <c r="N728" s="75"/>
    </row>
    <row r="729" spans="1:14">
      <c r="A729" s="12">
        <v>726</v>
      </c>
      <c r="B729" s="12" t="s">
        <v>2823</v>
      </c>
      <c r="C729" s="12" t="s">
        <v>752</v>
      </c>
      <c r="D729" s="12" t="s">
        <v>2078</v>
      </c>
      <c r="E729" s="85">
        <v>291.32</v>
      </c>
      <c r="F729" s="6">
        <v>5645794</v>
      </c>
      <c r="G729" s="12" t="s">
        <v>2824</v>
      </c>
      <c r="H729" s="12" t="s">
        <v>766</v>
      </c>
      <c r="I729" s="12" t="s">
        <v>767</v>
      </c>
      <c r="J729" s="84">
        <v>40403</v>
      </c>
      <c r="K729" s="84">
        <v>51361</v>
      </c>
      <c r="L729" s="12" t="s">
        <v>1014</v>
      </c>
      <c r="M729" s="12" t="s">
        <v>2825</v>
      </c>
      <c r="N729" s="75"/>
    </row>
    <row r="730" spans="1:14">
      <c r="A730" s="12">
        <v>727</v>
      </c>
      <c r="B730" s="12" t="s">
        <v>2826</v>
      </c>
      <c r="C730" s="12" t="s">
        <v>995</v>
      </c>
      <c r="D730" s="12" t="s">
        <v>2827</v>
      </c>
      <c r="E730" s="85">
        <v>25.56</v>
      </c>
      <c r="F730" s="6">
        <v>5274761</v>
      </c>
      <c r="G730" s="12" t="s">
        <v>2828</v>
      </c>
      <c r="H730" s="12" t="s">
        <v>755</v>
      </c>
      <c r="I730" s="12" t="s">
        <v>756</v>
      </c>
      <c r="J730" s="84">
        <v>35961</v>
      </c>
      <c r="K730" s="84">
        <v>46919</v>
      </c>
      <c r="L730" s="12" t="s">
        <v>304</v>
      </c>
      <c r="M730" s="12" t="s">
        <v>2829</v>
      </c>
      <c r="N730" s="75"/>
    </row>
    <row r="731" spans="1:14">
      <c r="A731" s="12">
        <v>728</v>
      </c>
      <c r="B731" s="12" t="s">
        <v>2830</v>
      </c>
      <c r="C731" s="12" t="s">
        <v>212</v>
      </c>
      <c r="D731" s="12" t="s">
        <v>1642</v>
      </c>
      <c r="E731" s="85">
        <v>48.49</v>
      </c>
      <c r="F731" s="6">
        <v>2057417</v>
      </c>
      <c r="G731" s="12" t="s">
        <v>2831</v>
      </c>
      <c r="H731" s="12" t="s">
        <v>755</v>
      </c>
      <c r="I731" s="12" t="s">
        <v>756</v>
      </c>
      <c r="J731" s="84">
        <v>38695</v>
      </c>
      <c r="K731" s="84">
        <v>49652</v>
      </c>
      <c r="L731" s="12" t="s">
        <v>170</v>
      </c>
      <c r="M731" s="12" t="s">
        <v>171</v>
      </c>
      <c r="N731" s="75"/>
    </row>
    <row r="732" spans="1:14">
      <c r="A732" s="12">
        <v>729</v>
      </c>
      <c r="B732" s="12" t="s">
        <v>2832</v>
      </c>
      <c r="C732" s="12" t="s">
        <v>212</v>
      </c>
      <c r="D732" s="12" t="s">
        <v>2833</v>
      </c>
      <c r="E732" s="85">
        <v>33.49</v>
      </c>
      <c r="F732" s="6">
        <v>2830701</v>
      </c>
      <c r="G732" s="12" t="s">
        <v>2834</v>
      </c>
      <c r="H732" s="12" t="s">
        <v>848</v>
      </c>
      <c r="I732" s="12" t="s">
        <v>849</v>
      </c>
      <c r="J732" s="84">
        <v>38880</v>
      </c>
      <c r="K732" s="84">
        <v>49838</v>
      </c>
      <c r="L732" s="12" t="s">
        <v>375</v>
      </c>
      <c r="M732" s="12" t="s">
        <v>944</v>
      </c>
      <c r="N732" s="75"/>
    </row>
    <row r="733" spans="1:14">
      <c r="A733" s="12">
        <v>730</v>
      </c>
      <c r="B733" s="12" t="s">
        <v>2835</v>
      </c>
      <c r="C733" s="12" t="s">
        <v>995</v>
      </c>
      <c r="D733" s="12" t="s">
        <v>2836</v>
      </c>
      <c r="E733" s="85">
        <v>98.51</v>
      </c>
      <c r="F733" s="6">
        <v>5079322</v>
      </c>
      <c r="G733" s="12" t="s">
        <v>2837</v>
      </c>
      <c r="H733" s="12" t="s">
        <v>766</v>
      </c>
      <c r="I733" s="12" t="s">
        <v>767</v>
      </c>
      <c r="J733" s="84">
        <v>40409</v>
      </c>
      <c r="K733" s="84">
        <v>51367</v>
      </c>
      <c r="L733" s="12" t="s">
        <v>138</v>
      </c>
      <c r="M733" s="12" t="s">
        <v>2838</v>
      </c>
      <c r="N733" s="75"/>
    </row>
    <row r="734" spans="1:14">
      <c r="A734" s="12">
        <v>731</v>
      </c>
      <c r="B734" s="12" t="s">
        <v>2839</v>
      </c>
      <c r="C734" s="12" t="s">
        <v>1027</v>
      </c>
      <c r="D734" s="12" t="s">
        <v>2840</v>
      </c>
      <c r="E734" s="85">
        <v>122.77</v>
      </c>
      <c r="F734" s="6">
        <v>4001575</v>
      </c>
      <c r="G734" s="12" t="s">
        <v>2841</v>
      </c>
      <c r="H734" s="12" t="s">
        <v>755</v>
      </c>
      <c r="I734" s="12" t="s">
        <v>756</v>
      </c>
      <c r="J734" s="84">
        <v>40413</v>
      </c>
      <c r="K734" s="84">
        <v>51392</v>
      </c>
      <c r="L734" s="12" t="s">
        <v>782</v>
      </c>
      <c r="M734" s="12" t="s">
        <v>2842</v>
      </c>
      <c r="N734" s="75"/>
    </row>
    <row r="735" spans="1:14">
      <c r="A735" s="12">
        <v>732</v>
      </c>
      <c r="B735" s="12" t="s">
        <v>2843</v>
      </c>
      <c r="C735" s="12" t="s">
        <v>752</v>
      </c>
      <c r="D735" s="12" t="s">
        <v>2844</v>
      </c>
      <c r="E735" s="85">
        <v>106.51</v>
      </c>
      <c r="F735" s="6">
        <v>6171788</v>
      </c>
      <c r="G735" s="12" t="s">
        <v>2845</v>
      </c>
      <c r="H735" s="12" t="s">
        <v>755</v>
      </c>
      <c r="I735" s="12" t="s">
        <v>756</v>
      </c>
      <c r="J735" s="84">
        <v>40417</v>
      </c>
      <c r="K735" s="84">
        <v>51375</v>
      </c>
      <c r="L735" s="12" t="s">
        <v>768</v>
      </c>
      <c r="M735" s="12" t="s">
        <v>867</v>
      </c>
      <c r="N735" s="75"/>
    </row>
    <row r="736" spans="1:14">
      <c r="A736" s="12">
        <v>733</v>
      </c>
      <c r="B736" s="12" t="s">
        <v>2846</v>
      </c>
      <c r="C736" s="12" t="s">
        <v>752</v>
      </c>
      <c r="D736" s="12" t="s">
        <v>2847</v>
      </c>
      <c r="E736" s="85">
        <v>35.049999999999997</v>
      </c>
      <c r="F736" s="6">
        <v>5082137</v>
      </c>
      <c r="G736" s="12" t="s">
        <v>2848</v>
      </c>
      <c r="H736" s="12" t="s">
        <v>755</v>
      </c>
      <c r="I736" s="12" t="s">
        <v>756</v>
      </c>
      <c r="J736" s="84">
        <v>40415</v>
      </c>
      <c r="K736" s="84">
        <v>51373</v>
      </c>
      <c r="L736" s="12" t="s">
        <v>304</v>
      </c>
      <c r="M736" s="12" t="s">
        <v>843</v>
      </c>
      <c r="N736" s="75"/>
    </row>
    <row r="737" spans="1:14">
      <c r="A737" s="12">
        <v>734</v>
      </c>
      <c r="B737" s="12" t="s">
        <v>2849</v>
      </c>
      <c r="C737" s="12" t="s">
        <v>979</v>
      </c>
      <c r="D737" s="12" t="s">
        <v>2850</v>
      </c>
      <c r="E737" s="85">
        <v>235.65</v>
      </c>
      <c r="F737" s="6">
        <v>6081827</v>
      </c>
      <c r="G737" s="12" t="s">
        <v>2851</v>
      </c>
      <c r="H737" s="12" t="s">
        <v>755</v>
      </c>
      <c r="I737" s="12" t="s">
        <v>756</v>
      </c>
      <c r="J737" s="84">
        <v>40374</v>
      </c>
      <c r="K737" s="84">
        <v>51332</v>
      </c>
      <c r="L737" s="12" t="s">
        <v>180</v>
      </c>
      <c r="M737" s="12" t="s">
        <v>960</v>
      </c>
      <c r="N737" s="75"/>
    </row>
    <row r="738" spans="1:14">
      <c r="A738" s="12">
        <v>735</v>
      </c>
      <c r="B738" s="12" t="s">
        <v>2852</v>
      </c>
      <c r="C738" s="12" t="s">
        <v>937</v>
      </c>
      <c r="D738" s="12" t="s">
        <v>2853</v>
      </c>
      <c r="E738" s="85">
        <v>33.74</v>
      </c>
      <c r="F738" s="6">
        <v>2095025</v>
      </c>
      <c r="G738" s="12" t="s">
        <v>870</v>
      </c>
      <c r="H738" s="12" t="s">
        <v>755</v>
      </c>
      <c r="I738" s="12" t="s">
        <v>756</v>
      </c>
      <c r="J738" s="84">
        <v>40428</v>
      </c>
      <c r="K738" s="84">
        <v>51386</v>
      </c>
      <c r="L738" s="12" t="s">
        <v>128</v>
      </c>
      <c r="M738" s="12" t="s">
        <v>862</v>
      </c>
      <c r="N738" s="75"/>
    </row>
    <row r="739" spans="1:14">
      <c r="A739" s="12">
        <v>736</v>
      </c>
      <c r="B739" s="12" t="s">
        <v>2854</v>
      </c>
      <c r="C739" s="12" t="s">
        <v>2855</v>
      </c>
      <c r="D739" s="12" t="s">
        <v>2856</v>
      </c>
      <c r="E739" s="85">
        <v>49.68</v>
      </c>
      <c r="F739" s="6">
        <v>5320259</v>
      </c>
      <c r="G739" s="12" t="s">
        <v>2857</v>
      </c>
      <c r="H739" s="12" t="s">
        <v>755</v>
      </c>
      <c r="I739" s="12" t="s">
        <v>756</v>
      </c>
      <c r="J739" s="84">
        <v>40429</v>
      </c>
      <c r="K739" s="84">
        <v>51387</v>
      </c>
      <c r="L739" s="12" t="s">
        <v>274</v>
      </c>
      <c r="M739" s="12" t="s">
        <v>1267</v>
      </c>
      <c r="N739" s="75"/>
    </row>
    <row r="740" spans="1:14">
      <c r="A740" s="12">
        <v>737</v>
      </c>
      <c r="B740" s="12" t="s">
        <v>2858</v>
      </c>
      <c r="C740" s="12" t="s">
        <v>752</v>
      </c>
      <c r="D740" s="12" t="s">
        <v>2859</v>
      </c>
      <c r="E740" s="85">
        <v>613.82000000000005</v>
      </c>
      <c r="F740" s="6">
        <v>5912245</v>
      </c>
      <c r="G740" s="12" t="s">
        <v>2860</v>
      </c>
      <c r="H740" s="12" t="s">
        <v>755</v>
      </c>
      <c r="I740" s="12" t="s">
        <v>756</v>
      </c>
      <c r="J740" s="84">
        <v>40429</v>
      </c>
      <c r="K740" s="84">
        <v>51387</v>
      </c>
      <c r="L740" s="12" t="s">
        <v>768</v>
      </c>
      <c r="M740" s="12" t="s">
        <v>982</v>
      </c>
      <c r="N740" s="75"/>
    </row>
    <row r="741" spans="1:14">
      <c r="A741" s="12">
        <v>738</v>
      </c>
      <c r="B741" s="12" t="s">
        <v>2861</v>
      </c>
      <c r="C741" s="12" t="s">
        <v>137</v>
      </c>
      <c r="D741" s="12" t="s">
        <v>2435</v>
      </c>
      <c r="E741" s="85">
        <v>133.08000000000001</v>
      </c>
      <c r="F741" s="6">
        <v>2550466</v>
      </c>
      <c r="G741" s="12" t="s">
        <v>801</v>
      </c>
      <c r="H741" s="12" t="s">
        <v>761</v>
      </c>
      <c r="I741" s="12" t="s">
        <v>756</v>
      </c>
      <c r="J741" s="84">
        <v>40437</v>
      </c>
      <c r="K741" s="84">
        <v>51395</v>
      </c>
      <c r="L741" s="12" t="s">
        <v>293</v>
      </c>
      <c r="M741" s="12" t="s">
        <v>181</v>
      </c>
      <c r="N741" s="75"/>
    </row>
    <row r="742" spans="1:14">
      <c r="A742" s="12">
        <v>739</v>
      </c>
      <c r="B742" s="12" t="s">
        <v>2862</v>
      </c>
      <c r="C742" s="12" t="s">
        <v>995</v>
      </c>
      <c r="D742" s="12" t="s">
        <v>2863</v>
      </c>
      <c r="E742" s="85">
        <v>28.34</v>
      </c>
      <c r="F742" s="6">
        <v>5166187</v>
      </c>
      <c r="G742" s="12" t="s">
        <v>2864</v>
      </c>
      <c r="H742" s="12" t="s">
        <v>755</v>
      </c>
      <c r="I742" s="12" t="s">
        <v>756</v>
      </c>
      <c r="J742" s="84">
        <v>40443</v>
      </c>
      <c r="K742" s="84">
        <v>51401</v>
      </c>
      <c r="L742" s="12" t="s">
        <v>128</v>
      </c>
      <c r="M742" s="12" t="s">
        <v>291</v>
      </c>
      <c r="N742" s="75"/>
    </row>
    <row r="743" spans="1:14">
      <c r="A743" s="12">
        <v>740</v>
      </c>
      <c r="B743" s="12" t="s">
        <v>2865</v>
      </c>
      <c r="C743" s="12" t="s">
        <v>200</v>
      </c>
      <c r="D743" s="12" t="s">
        <v>2866</v>
      </c>
      <c r="E743" s="85">
        <v>451.25</v>
      </c>
      <c r="F743" s="6">
        <v>2656523</v>
      </c>
      <c r="G743" s="12" t="s">
        <v>2867</v>
      </c>
      <c r="H743" s="12" t="s">
        <v>755</v>
      </c>
      <c r="I743" s="12" t="s">
        <v>756</v>
      </c>
      <c r="J743" s="84">
        <v>40449</v>
      </c>
      <c r="K743" s="84">
        <v>51407</v>
      </c>
      <c r="L743" s="12" t="s">
        <v>375</v>
      </c>
      <c r="M743" s="12" t="s">
        <v>893</v>
      </c>
      <c r="N743" s="75"/>
    </row>
    <row r="744" spans="1:14">
      <c r="A744" s="12">
        <v>741</v>
      </c>
      <c r="B744" s="12" t="s">
        <v>2868</v>
      </c>
      <c r="C744" s="12" t="s">
        <v>200</v>
      </c>
      <c r="D744" s="12" t="s">
        <v>2869</v>
      </c>
      <c r="E744" s="85">
        <v>154.46</v>
      </c>
      <c r="F744" s="6">
        <v>2656523</v>
      </c>
      <c r="G744" s="12" t="s">
        <v>2867</v>
      </c>
      <c r="H744" s="12" t="s">
        <v>755</v>
      </c>
      <c r="I744" s="12" t="s">
        <v>756</v>
      </c>
      <c r="J744" s="84">
        <v>40449</v>
      </c>
      <c r="K744" s="84">
        <v>51407</v>
      </c>
      <c r="L744" s="12" t="s">
        <v>375</v>
      </c>
      <c r="M744" s="12" t="s">
        <v>893</v>
      </c>
      <c r="N744" s="75"/>
    </row>
    <row r="745" spans="1:14">
      <c r="A745" s="12">
        <v>742</v>
      </c>
      <c r="B745" s="12" t="s">
        <v>2870</v>
      </c>
      <c r="C745" s="12" t="s">
        <v>752</v>
      </c>
      <c r="D745" s="12" t="s">
        <v>2871</v>
      </c>
      <c r="E745" s="85">
        <v>657.97</v>
      </c>
      <c r="F745" s="6">
        <v>5990661</v>
      </c>
      <c r="G745" s="12" t="s">
        <v>2872</v>
      </c>
      <c r="H745" s="12" t="s">
        <v>755</v>
      </c>
      <c r="I745" s="12" t="s">
        <v>756</v>
      </c>
      <c r="J745" s="84">
        <v>40430</v>
      </c>
      <c r="K745" s="84">
        <v>51388</v>
      </c>
      <c r="L745" s="12" t="s">
        <v>768</v>
      </c>
      <c r="M745" s="12" t="s">
        <v>867</v>
      </c>
      <c r="N745" s="75"/>
    </row>
    <row r="746" spans="1:14">
      <c r="A746" s="12">
        <v>743</v>
      </c>
      <c r="B746" s="12" t="s">
        <v>2873</v>
      </c>
      <c r="C746" s="12" t="s">
        <v>752</v>
      </c>
      <c r="D746" s="12" t="s">
        <v>2874</v>
      </c>
      <c r="E746" s="85">
        <v>304.02999999999997</v>
      </c>
      <c r="F746" s="6">
        <v>5199174</v>
      </c>
      <c r="G746" s="12" t="s">
        <v>2875</v>
      </c>
      <c r="H746" s="12" t="s">
        <v>755</v>
      </c>
      <c r="I746" s="12" t="s">
        <v>756</v>
      </c>
      <c r="J746" s="84">
        <v>40437</v>
      </c>
      <c r="K746" s="84">
        <v>51395</v>
      </c>
      <c r="L746" s="12" t="s">
        <v>123</v>
      </c>
      <c r="M746" s="12" t="s">
        <v>2876</v>
      </c>
      <c r="N746" s="75"/>
    </row>
    <row r="747" spans="1:14">
      <c r="A747" s="12">
        <v>744</v>
      </c>
      <c r="B747" s="12" t="s">
        <v>2877</v>
      </c>
      <c r="C747" s="12" t="s">
        <v>137</v>
      </c>
      <c r="D747" s="12" t="s">
        <v>2878</v>
      </c>
      <c r="E747" s="85">
        <v>583.83000000000004</v>
      </c>
      <c r="F747" s="6">
        <v>5110475</v>
      </c>
      <c r="G747" s="12" t="s">
        <v>2879</v>
      </c>
      <c r="H747" s="12" t="s">
        <v>755</v>
      </c>
      <c r="I747" s="12" t="s">
        <v>756</v>
      </c>
      <c r="J747" s="84">
        <v>40442</v>
      </c>
      <c r="K747" s="84">
        <v>51400</v>
      </c>
      <c r="L747" s="12" t="s">
        <v>123</v>
      </c>
      <c r="M747" s="12" t="s">
        <v>1058</v>
      </c>
      <c r="N747" s="75"/>
    </row>
    <row r="748" spans="1:14">
      <c r="A748" s="12">
        <v>745</v>
      </c>
      <c r="B748" s="12" t="s">
        <v>2880</v>
      </c>
      <c r="C748" s="12" t="s">
        <v>122</v>
      </c>
      <c r="D748" s="12" t="s">
        <v>2881</v>
      </c>
      <c r="E748" s="85">
        <v>755.55</v>
      </c>
      <c r="F748" s="6">
        <v>5215919</v>
      </c>
      <c r="G748" s="12" t="s">
        <v>2882</v>
      </c>
      <c r="H748" s="12" t="s">
        <v>848</v>
      </c>
      <c r="I748" s="12" t="s">
        <v>849</v>
      </c>
      <c r="J748" s="84">
        <v>40459</v>
      </c>
      <c r="K748" s="84">
        <v>51417</v>
      </c>
      <c r="L748" s="12" t="s">
        <v>138</v>
      </c>
      <c r="M748" s="12" t="s">
        <v>1806</v>
      </c>
      <c r="N748" s="75"/>
    </row>
    <row r="749" spans="1:14">
      <c r="A749" s="12">
        <v>746</v>
      </c>
      <c r="B749" s="12" t="s">
        <v>2883</v>
      </c>
      <c r="C749" s="12" t="s">
        <v>2320</v>
      </c>
      <c r="D749" s="12" t="s">
        <v>2884</v>
      </c>
      <c r="E749" s="85">
        <v>216.85</v>
      </c>
      <c r="F749" s="6">
        <v>5087414</v>
      </c>
      <c r="G749" s="12" t="s">
        <v>2885</v>
      </c>
      <c r="H749" s="12" t="s">
        <v>755</v>
      </c>
      <c r="I749" s="12" t="s">
        <v>756</v>
      </c>
      <c r="J749" s="84">
        <v>40467</v>
      </c>
      <c r="K749" s="84">
        <v>51425</v>
      </c>
      <c r="L749" s="12" t="s">
        <v>274</v>
      </c>
      <c r="M749" s="12" t="s">
        <v>2327</v>
      </c>
      <c r="N749" s="75"/>
    </row>
    <row r="750" spans="1:14">
      <c r="A750" s="12">
        <v>747</v>
      </c>
      <c r="B750" s="12" t="s">
        <v>2886</v>
      </c>
      <c r="C750" s="12" t="s">
        <v>137</v>
      </c>
      <c r="D750" s="12" t="s">
        <v>2887</v>
      </c>
      <c r="E750" s="85">
        <v>117.12</v>
      </c>
      <c r="F750" s="6">
        <v>2827514</v>
      </c>
      <c r="G750" s="12" t="s">
        <v>2888</v>
      </c>
      <c r="H750" s="12" t="s">
        <v>755</v>
      </c>
      <c r="I750" s="12" t="s">
        <v>756</v>
      </c>
      <c r="J750" s="84">
        <v>40467</v>
      </c>
      <c r="K750" s="84">
        <v>51425</v>
      </c>
      <c r="L750" s="12" t="s">
        <v>782</v>
      </c>
      <c r="M750" s="12" t="s">
        <v>2889</v>
      </c>
      <c r="N750" s="75"/>
    </row>
    <row r="751" spans="1:14">
      <c r="A751" s="12">
        <v>748</v>
      </c>
      <c r="B751" s="12" t="s">
        <v>2890</v>
      </c>
      <c r="C751" s="12" t="s">
        <v>200</v>
      </c>
      <c r="D751" s="12" t="s">
        <v>2891</v>
      </c>
      <c r="E751" s="85">
        <v>330.5</v>
      </c>
      <c r="F751" s="6">
        <v>5488605</v>
      </c>
      <c r="G751" s="12" t="s">
        <v>2892</v>
      </c>
      <c r="H751" s="12" t="s">
        <v>755</v>
      </c>
      <c r="I751" s="12" t="s">
        <v>756</v>
      </c>
      <c r="J751" s="84">
        <v>40467</v>
      </c>
      <c r="K751" s="84">
        <v>51425</v>
      </c>
      <c r="L751" s="12" t="s">
        <v>375</v>
      </c>
      <c r="M751" s="12" t="s">
        <v>893</v>
      </c>
      <c r="N751" s="75"/>
    </row>
    <row r="752" spans="1:14">
      <c r="A752" s="12">
        <v>749</v>
      </c>
      <c r="B752" s="12" t="s">
        <v>2893</v>
      </c>
      <c r="C752" s="12" t="s">
        <v>200</v>
      </c>
      <c r="D752" s="12" t="s">
        <v>2891</v>
      </c>
      <c r="E752" s="85">
        <v>94.51</v>
      </c>
      <c r="F752" s="6">
        <v>5488605</v>
      </c>
      <c r="G752" s="12" t="s">
        <v>2892</v>
      </c>
      <c r="H752" s="12" t="s">
        <v>755</v>
      </c>
      <c r="I752" s="12" t="s">
        <v>756</v>
      </c>
      <c r="J752" s="84">
        <v>40467</v>
      </c>
      <c r="K752" s="84">
        <v>51425</v>
      </c>
      <c r="L752" s="12" t="s">
        <v>375</v>
      </c>
      <c r="M752" s="12" t="s">
        <v>893</v>
      </c>
      <c r="N752" s="75"/>
    </row>
    <row r="753" spans="1:14">
      <c r="A753" s="12">
        <v>750</v>
      </c>
      <c r="B753" s="12" t="s">
        <v>2894</v>
      </c>
      <c r="C753" s="12" t="s">
        <v>122</v>
      </c>
      <c r="D753" s="12" t="s">
        <v>1459</v>
      </c>
      <c r="E753" s="85">
        <v>5403.13</v>
      </c>
      <c r="F753" s="6">
        <v>5257352</v>
      </c>
      <c r="G753" s="12" t="s">
        <v>2895</v>
      </c>
      <c r="H753" s="12" t="s">
        <v>755</v>
      </c>
      <c r="I753" s="12" t="s">
        <v>756</v>
      </c>
      <c r="J753" s="84">
        <v>40467</v>
      </c>
      <c r="K753" s="84">
        <v>51425</v>
      </c>
      <c r="L753" s="12" t="s">
        <v>170</v>
      </c>
      <c r="M753" s="12" t="s">
        <v>1426</v>
      </c>
      <c r="N753" s="75"/>
    </row>
    <row r="754" spans="1:14">
      <c r="A754" s="12">
        <v>751</v>
      </c>
      <c r="B754" s="12" t="s">
        <v>2896</v>
      </c>
      <c r="C754" s="12" t="s">
        <v>212</v>
      </c>
      <c r="D754" s="12" t="s">
        <v>2382</v>
      </c>
      <c r="E754" s="85">
        <v>237.15</v>
      </c>
      <c r="F754" s="6">
        <v>5102081</v>
      </c>
      <c r="G754" s="12" t="s">
        <v>2010</v>
      </c>
      <c r="H754" s="12" t="s">
        <v>755</v>
      </c>
      <c r="I754" s="12" t="s">
        <v>756</v>
      </c>
      <c r="J754" s="84">
        <v>40465</v>
      </c>
      <c r="K754" s="84">
        <v>51423</v>
      </c>
      <c r="L754" s="12" t="s">
        <v>293</v>
      </c>
      <c r="M754" s="12" t="s">
        <v>181</v>
      </c>
      <c r="N754" s="75"/>
    </row>
    <row r="755" spans="1:14">
      <c r="A755" s="12">
        <v>752</v>
      </c>
      <c r="B755" s="12" t="s">
        <v>2897</v>
      </c>
      <c r="C755" s="12" t="s">
        <v>212</v>
      </c>
      <c r="D755" s="12" t="s">
        <v>2898</v>
      </c>
      <c r="E755" s="85">
        <v>337.57</v>
      </c>
      <c r="F755" s="6">
        <v>2166631</v>
      </c>
      <c r="G755" s="12" t="s">
        <v>2899</v>
      </c>
      <c r="H755" s="12" t="s">
        <v>755</v>
      </c>
      <c r="I755" s="12" t="s">
        <v>756</v>
      </c>
      <c r="J755" s="84">
        <v>40473</v>
      </c>
      <c r="K755" s="84">
        <v>51431</v>
      </c>
      <c r="L755" s="12" t="s">
        <v>138</v>
      </c>
      <c r="M755" s="12" t="s">
        <v>1591</v>
      </c>
      <c r="N755" s="75"/>
    </row>
    <row r="756" spans="1:14">
      <c r="A756" s="12">
        <v>753</v>
      </c>
      <c r="B756" s="12" t="s">
        <v>2900</v>
      </c>
      <c r="C756" s="12" t="s">
        <v>752</v>
      </c>
      <c r="D756" s="12" t="s">
        <v>2901</v>
      </c>
      <c r="E756" s="85">
        <v>148.44999999999999</v>
      </c>
      <c r="F756" s="6">
        <v>3555763</v>
      </c>
      <c r="G756" s="12" t="s">
        <v>947</v>
      </c>
      <c r="H756" s="12" t="s">
        <v>755</v>
      </c>
      <c r="I756" s="12" t="s">
        <v>756</v>
      </c>
      <c r="J756" s="84">
        <v>34859</v>
      </c>
      <c r="K756" s="84">
        <v>45817</v>
      </c>
      <c r="L756" s="12" t="s">
        <v>163</v>
      </c>
      <c r="M756" s="12" t="s">
        <v>948</v>
      </c>
      <c r="N756" s="75"/>
    </row>
    <row r="757" spans="1:14">
      <c r="A757" s="12">
        <v>754</v>
      </c>
      <c r="B757" s="12" t="s">
        <v>2902</v>
      </c>
      <c r="C757" s="12" t="s">
        <v>137</v>
      </c>
      <c r="D757" s="12" t="s">
        <v>2903</v>
      </c>
      <c r="E757" s="85">
        <v>38.07</v>
      </c>
      <c r="F757" s="6">
        <v>5517931</v>
      </c>
      <c r="G757" s="12" t="s">
        <v>2904</v>
      </c>
      <c r="H757" s="12" t="s">
        <v>755</v>
      </c>
      <c r="I757" s="12" t="s">
        <v>756</v>
      </c>
      <c r="J757" s="84">
        <v>40473</v>
      </c>
      <c r="K757" s="84">
        <v>51431</v>
      </c>
      <c r="L757" s="12" t="s">
        <v>782</v>
      </c>
      <c r="M757" s="12" t="s">
        <v>2889</v>
      </c>
      <c r="N757" s="75"/>
    </row>
    <row r="758" spans="1:14">
      <c r="A758" s="12">
        <v>755</v>
      </c>
      <c r="B758" s="12" t="s">
        <v>2905</v>
      </c>
      <c r="C758" s="12" t="s">
        <v>122</v>
      </c>
      <c r="D758" s="12" t="s">
        <v>2573</v>
      </c>
      <c r="E758" s="85">
        <v>141.11000000000001</v>
      </c>
      <c r="F758" s="6">
        <v>5009138</v>
      </c>
      <c r="G758" s="12" t="s">
        <v>1905</v>
      </c>
      <c r="H758" s="12" t="s">
        <v>755</v>
      </c>
      <c r="I758" s="12" t="s">
        <v>756</v>
      </c>
      <c r="J758" s="84">
        <v>40490</v>
      </c>
      <c r="K758" s="84">
        <v>51448</v>
      </c>
      <c r="L758" s="12" t="s">
        <v>274</v>
      </c>
      <c r="M758" s="12" t="s">
        <v>982</v>
      </c>
      <c r="N758" s="75"/>
    </row>
    <row r="759" spans="1:14">
      <c r="A759" s="12">
        <v>756</v>
      </c>
      <c r="B759" s="12" t="s">
        <v>2906</v>
      </c>
      <c r="C759" s="12" t="s">
        <v>221</v>
      </c>
      <c r="D759" s="12" t="s">
        <v>2907</v>
      </c>
      <c r="E759" s="85">
        <v>503.38</v>
      </c>
      <c r="F759" s="6">
        <v>5074959</v>
      </c>
      <c r="G759" s="12" t="s">
        <v>2908</v>
      </c>
      <c r="H759" s="12" t="s">
        <v>755</v>
      </c>
      <c r="I759" s="12" t="s">
        <v>756</v>
      </c>
      <c r="J759" s="84">
        <v>40492</v>
      </c>
      <c r="K759" s="84">
        <v>51450</v>
      </c>
      <c r="L759" s="12" t="s">
        <v>180</v>
      </c>
      <c r="M759" s="12" t="s">
        <v>927</v>
      </c>
      <c r="N759" s="75"/>
    </row>
    <row r="760" spans="1:14">
      <c r="A760" s="12">
        <v>757</v>
      </c>
      <c r="B760" s="12" t="s">
        <v>2909</v>
      </c>
      <c r="C760" s="12" t="s">
        <v>212</v>
      </c>
      <c r="D760" s="12" t="s">
        <v>1766</v>
      </c>
      <c r="E760" s="85">
        <v>29.57</v>
      </c>
      <c r="F760" s="6">
        <v>5190118</v>
      </c>
      <c r="G760" s="12" t="s">
        <v>2910</v>
      </c>
      <c r="H760" s="12" t="s">
        <v>755</v>
      </c>
      <c r="I760" s="12" t="s">
        <v>756</v>
      </c>
      <c r="J760" s="84">
        <v>40493</v>
      </c>
      <c r="K760" s="84">
        <v>51451</v>
      </c>
      <c r="L760" s="12" t="s">
        <v>170</v>
      </c>
      <c r="M760" s="12" t="s">
        <v>802</v>
      </c>
      <c r="N760" s="75"/>
    </row>
    <row r="761" spans="1:14">
      <c r="A761" s="12">
        <v>758</v>
      </c>
      <c r="B761" s="12" t="s">
        <v>2911</v>
      </c>
      <c r="C761" s="12" t="s">
        <v>212</v>
      </c>
      <c r="D761" s="12" t="s">
        <v>2912</v>
      </c>
      <c r="E761" s="85">
        <v>31.97</v>
      </c>
      <c r="F761" s="6">
        <v>5201896</v>
      </c>
      <c r="G761" s="12" t="s">
        <v>2913</v>
      </c>
      <c r="H761" s="12" t="s">
        <v>848</v>
      </c>
      <c r="I761" s="12" t="s">
        <v>849</v>
      </c>
      <c r="J761" s="84">
        <v>40493</v>
      </c>
      <c r="K761" s="84">
        <v>51451</v>
      </c>
      <c r="L761" s="12" t="s">
        <v>123</v>
      </c>
      <c r="M761" s="12" t="s">
        <v>1256</v>
      </c>
      <c r="N761" s="75"/>
    </row>
    <row r="762" spans="1:14">
      <c r="A762" s="12">
        <v>759</v>
      </c>
      <c r="B762" s="12" t="s">
        <v>2914</v>
      </c>
      <c r="C762" s="12" t="s">
        <v>752</v>
      </c>
      <c r="D762" s="12" t="s">
        <v>946</v>
      </c>
      <c r="E762" s="85">
        <v>72.739999999999995</v>
      </c>
      <c r="F762" s="6">
        <v>3553779</v>
      </c>
      <c r="G762" s="12" t="s">
        <v>2915</v>
      </c>
      <c r="H762" s="12" t="s">
        <v>755</v>
      </c>
      <c r="I762" s="12" t="s">
        <v>756</v>
      </c>
      <c r="J762" s="84">
        <v>34859</v>
      </c>
      <c r="K762" s="84">
        <v>45817</v>
      </c>
      <c r="L762" s="12" t="s">
        <v>163</v>
      </c>
      <c r="M762" s="12" t="s">
        <v>948</v>
      </c>
      <c r="N762" s="75"/>
    </row>
    <row r="763" spans="1:14">
      <c r="A763" s="12">
        <v>760</v>
      </c>
      <c r="B763" s="12" t="s">
        <v>2916</v>
      </c>
      <c r="C763" s="12" t="s">
        <v>752</v>
      </c>
      <c r="D763" s="12" t="s">
        <v>1050</v>
      </c>
      <c r="E763" s="85">
        <v>76.040000000000006</v>
      </c>
      <c r="F763" s="6">
        <v>2819996</v>
      </c>
      <c r="G763" s="12" t="s">
        <v>977</v>
      </c>
      <c r="H763" s="12" t="s">
        <v>755</v>
      </c>
      <c r="I763" s="12" t="s">
        <v>756</v>
      </c>
      <c r="J763" s="84">
        <v>35051</v>
      </c>
      <c r="K763" s="84">
        <v>46009</v>
      </c>
      <c r="L763" s="12" t="s">
        <v>274</v>
      </c>
      <c r="M763" s="12" t="s">
        <v>275</v>
      </c>
      <c r="N763" s="75"/>
    </row>
    <row r="764" spans="1:14">
      <c r="A764" s="12">
        <v>761</v>
      </c>
      <c r="B764" s="12" t="s">
        <v>2917</v>
      </c>
      <c r="C764" s="12" t="s">
        <v>995</v>
      </c>
      <c r="D764" s="12" t="s">
        <v>2918</v>
      </c>
      <c r="E764" s="85">
        <v>25.07</v>
      </c>
      <c r="F764" s="6">
        <v>5222575</v>
      </c>
      <c r="G764" s="12" t="s">
        <v>2919</v>
      </c>
      <c r="H764" s="12" t="s">
        <v>755</v>
      </c>
      <c r="I764" s="12" t="s">
        <v>756</v>
      </c>
      <c r="J764" s="84">
        <v>39993</v>
      </c>
      <c r="K764" s="84">
        <v>50950</v>
      </c>
      <c r="L764" s="12" t="s">
        <v>128</v>
      </c>
      <c r="M764" s="12" t="s">
        <v>862</v>
      </c>
      <c r="N764" s="75"/>
    </row>
    <row r="765" spans="1:14">
      <c r="A765" s="12">
        <v>762</v>
      </c>
      <c r="B765" s="12" t="s">
        <v>2920</v>
      </c>
      <c r="C765" s="12" t="s">
        <v>2320</v>
      </c>
      <c r="D765" s="12" t="s">
        <v>2884</v>
      </c>
      <c r="E765" s="85">
        <v>552.41999999999996</v>
      </c>
      <c r="F765" s="6">
        <v>5415853</v>
      </c>
      <c r="G765" s="12" t="s">
        <v>2585</v>
      </c>
      <c r="H765" s="12" t="s">
        <v>755</v>
      </c>
      <c r="I765" s="12" t="s">
        <v>756</v>
      </c>
      <c r="J765" s="84">
        <v>40467</v>
      </c>
      <c r="K765" s="84">
        <v>51425</v>
      </c>
      <c r="L765" s="12" t="s">
        <v>274</v>
      </c>
      <c r="M765" s="12" t="s">
        <v>2327</v>
      </c>
      <c r="N765" s="75"/>
    </row>
    <row r="766" spans="1:14">
      <c r="A766" s="12">
        <v>763</v>
      </c>
      <c r="B766" s="12" t="s">
        <v>2921</v>
      </c>
      <c r="C766" s="12" t="s">
        <v>2922</v>
      </c>
      <c r="D766" s="12" t="s">
        <v>2923</v>
      </c>
      <c r="E766" s="85">
        <v>24.91</v>
      </c>
      <c r="F766" s="6">
        <v>5095034</v>
      </c>
      <c r="G766" s="12" t="s">
        <v>2924</v>
      </c>
      <c r="H766" s="12" t="s">
        <v>755</v>
      </c>
      <c r="I766" s="12" t="s">
        <v>756</v>
      </c>
      <c r="J766" s="84">
        <v>40519</v>
      </c>
      <c r="K766" s="84">
        <v>51477</v>
      </c>
      <c r="L766" s="12" t="s">
        <v>128</v>
      </c>
      <c r="M766" s="12" t="s">
        <v>2925</v>
      </c>
      <c r="N766" s="75"/>
    </row>
    <row r="767" spans="1:14">
      <c r="A767" s="12">
        <v>764</v>
      </c>
      <c r="B767" s="12" t="s">
        <v>2926</v>
      </c>
      <c r="C767" s="12" t="s">
        <v>1889</v>
      </c>
      <c r="D767" s="12" t="s">
        <v>1516</v>
      </c>
      <c r="E767" s="85">
        <v>76.89</v>
      </c>
      <c r="F767" s="6">
        <v>5830974</v>
      </c>
      <c r="G767" s="12" t="s">
        <v>1712</v>
      </c>
      <c r="H767" s="12" t="s">
        <v>755</v>
      </c>
      <c r="I767" s="12" t="s">
        <v>756</v>
      </c>
      <c r="J767" s="84">
        <v>40520</v>
      </c>
      <c r="K767" s="84">
        <v>51478</v>
      </c>
      <c r="L767" s="12" t="s">
        <v>170</v>
      </c>
      <c r="M767" s="12" t="s">
        <v>807</v>
      </c>
      <c r="N767" s="75"/>
    </row>
    <row r="768" spans="1:14">
      <c r="A768" s="12">
        <v>765</v>
      </c>
      <c r="B768" s="12" t="s">
        <v>2927</v>
      </c>
      <c r="C768" s="12" t="s">
        <v>881</v>
      </c>
      <c r="D768" s="12" t="s">
        <v>2928</v>
      </c>
      <c r="E768" s="85">
        <v>87.57</v>
      </c>
      <c r="F768" s="6">
        <v>5830974</v>
      </c>
      <c r="G768" s="12" t="s">
        <v>1712</v>
      </c>
      <c r="H768" s="12" t="s">
        <v>755</v>
      </c>
      <c r="I768" s="12" t="s">
        <v>756</v>
      </c>
      <c r="J768" s="84">
        <v>40520</v>
      </c>
      <c r="K768" s="84">
        <v>51478</v>
      </c>
      <c r="L768" s="12" t="s">
        <v>170</v>
      </c>
      <c r="M768" s="12" t="s">
        <v>171</v>
      </c>
      <c r="N768" s="75"/>
    </row>
    <row r="769" spans="1:14">
      <c r="A769" s="12">
        <v>766</v>
      </c>
      <c r="B769" s="12" t="s">
        <v>2929</v>
      </c>
      <c r="C769" s="12" t="s">
        <v>752</v>
      </c>
      <c r="D769" s="12" t="s">
        <v>2930</v>
      </c>
      <c r="E769" s="85">
        <v>52.88</v>
      </c>
      <c r="F769" s="6">
        <v>6183786</v>
      </c>
      <c r="G769" s="12" t="s">
        <v>2931</v>
      </c>
      <c r="H769" s="12" t="s">
        <v>755</v>
      </c>
      <c r="I769" s="12" t="s">
        <v>756</v>
      </c>
      <c r="J769" s="84">
        <v>40539</v>
      </c>
      <c r="K769" s="84">
        <v>52631</v>
      </c>
      <c r="L769" s="12" t="s">
        <v>274</v>
      </c>
      <c r="M769" s="12" t="s">
        <v>275</v>
      </c>
      <c r="N769" s="75"/>
    </row>
    <row r="770" spans="1:14">
      <c r="A770" s="12">
        <v>767</v>
      </c>
      <c r="B770" s="12" t="s">
        <v>2932</v>
      </c>
      <c r="C770" s="12" t="s">
        <v>212</v>
      </c>
      <c r="D770" s="12" t="s">
        <v>2296</v>
      </c>
      <c r="E770" s="85">
        <v>118.15</v>
      </c>
      <c r="F770" s="6">
        <v>2852772</v>
      </c>
      <c r="G770" s="12" t="s">
        <v>2933</v>
      </c>
      <c r="H770" s="12" t="s">
        <v>848</v>
      </c>
      <c r="I770" s="12" t="s">
        <v>849</v>
      </c>
      <c r="J770" s="84">
        <v>37859</v>
      </c>
      <c r="K770" s="84">
        <v>48817</v>
      </c>
      <c r="L770" s="12" t="s">
        <v>375</v>
      </c>
      <c r="M770" s="12" t="s">
        <v>2649</v>
      </c>
      <c r="N770" s="75"/>
    </row>
    <row r="771" spans="1:14">
      <c r="A771" s="12">
        <v>768</v>
      </c>
      <c r="B771" s="12" t="s">
        <v>2934</v>
      </c>
      <c r="C771" s="12" t="s">
        <v>752</v>
      </c>
      <c r="D771" s="12" t="s">
        <v>2935</v>
      </c>
      <c r="E771" s="85">
        <v>126.89</v>
      </c>
      <c r="F771" s="6">
        <v>2291142</v>
      </c>
      <c r="G771" s="12" t="s">
        <v>2936</v>
      </c>
      <c r="H771" s="12" t="s">
        <v>755</v>
      </c>
      <c r="I771" s="12" t="s">
        <v>756</v>
      </c>
      <c r="J771" s="84">
        <v>40557</v>
      </c>
      <c r="K771" s="84">
        <v>51515</v>
      </c>
      <c r="L771" s="12" t="s">
        <v>274</v>
      </c>
      <c r="M771" s="12" t="s">
        <v>874</v>
      </c>
      <c r="N771" s="75"/>
    </row>
    <row r="772" spans="1:14">
      <c r="A772" s="12">
        <v>769</v>
      </c>
      <c r="B772" s="12" t="s">
        <v>2937</v>
      </c>
      <c r="C772" s="12" t="s">
        <v>752</v>
      </c>
      <c r="D772" s="12" t="s">
        <v>2938</v>
      </c>
      <c r="E772" s="85">
        <v>160.59</v>
      </c>
      <c r="F772" s="6">
        <v>2100231</v>
      </c>
      <c r="G772" s="12" t="s">
        <v>896</v>
      </c>
      <c r="H772" s="12" t="s">
        <v>755</v>
      </c>
      <c r="I772" s="12" t="s">
        <v>756</v>
      </c>
      <c r="J772" s="84">
        <v>36027</v>
      </c>
      <c r="K772" s="84">
        <v>46985</v>
      </c>
      <c r="L772" s="12" t="s">
        <v>836</v>
      </c>
      <c r="M772" s="12" t="s">
        <v>837</v>
      </c>
      <c r="N772" s="75"/>
    </row>
    <row r="773" spans="1:14">
      <c r="A773" s="12">
        <v>770</v>
      </c>
      <c r="B773" s="12" t="s">
        <v>2939</v>
      </c>
      <c r="C773" s="12" t="s">
        <v>122</v>
      </c>
      <c r="D773" s="12" t="s">
        <v>1781</v>
      </c>
      <c r="E773" s="85">
        <v>300.32</v>
      </c>
      <c r="F773" s="6">
        <v>5183308</v>
      </c>
      <c r="G773" s="12" t="s">
        <v>1782</v>
      </c>
      <c r="H773" s="12" t="s">
        <v>848</v>
      </c>
      <c r="I773" s="12" t="s">
        <v>849</v>
      </c>
      <c r="J773" s="84">
        <v>40570</v>
      </c>
      <c r="K773" s="84">
        <v>51528</v>
      </c>
      <c r="L773" s="12" t="s">
        <v>293</v>
      </c>
      <c r="M773" s="12" t="s">
        <v>1315</v>
      </c>
      <c r="N773" s="75"/>
    </row>
    <row r="774" spans="1:14">
      <c r="A774" s="12">
        <v>771</v>
      </c>
      <c r="B774" s="12" t="s">
        <v>2940</v>
      </c>
      <c r="C774" s="12" t="s">
        <v>212</v>
      </c>
      <c r="D774" s="12" t="s">
        <v>2941</v>
      </c>
      <c r="E774" s="85">
        <v>30.75</v>
      </c>
      <c r="F774" s="6">
        <v>5288703</v>
      </c>
      <c r="G774" s="12" t="s">
        <v>1259</v>
      </c>
      <c r="H774" s="12" t="s">
        <v>766</v>
      </c>
      <c r="I774" s="12" t="s">
        <v>767</v>
      </c>
      <c r="J774" s="84">
        <v>40574</v>
      </c>
      <c r="K774" s="84">
        <v>51532</v>
      </c>
      <c r="L774" s="12" t="s">
        <v>293</v>
      </c>
      <c r="M774" s="12" t="s">
        <v>294</v>
      </c>
      <c r="N774" s="75"/>
    </row>
    <row r="775" spans="1:14">
      <c r="A775" s="12">
        <v>772</v>
      </c>
      <c r="B775" s="12" t="s">
        <v>2942</v>
      </c>
      <c r="C775" s="12" t="s">
        <v>881</v>
      </c>
      <c r="D775" s="12" t="s">
        <v>2943</v>
      </c>
      <c r="E775" s="85">
        <v>90.55</v>
      </c>
      <c r="F775" s="6">
        <v>5320569</v>
      </c>
      <c r="G775" s="12" t="s">
        <v>2944</v>
      </c>
      <c r="H775" s="12" t="s">
        <v>755</v>
      </c>
      <c r="I775" s="12" t="s">
        <v>756</v>
      </c>
      <c r="J775" s="84">
        <v>40582</v>
      </c>
      <c r="K775" s="84">
        <v>51540</v>
      </c>
      <c r="L775" s="12" t="s">
        <v>128</v>
      </c>
      <c r="M775" s="12" t="s">
        <v>129</v>
      </c>
      <c r="N775" s="75"/>
    </row>
    <row r="776" spans="1:14">
      <c r="A776" s="12">
        <v>773</v>
      </c>
      <c r="B776" s="12" t="s">
        <v>2945</v>
      </c>
      <c r="C776" s="12" t="s">
        <v>979</v>
      </c>
      <c r="D776" s="12" t="s">
        <v>2946</v>
      </c>
      <c r="E776" s="85">
        <v>450.73</v>
      </c>
      <c r="F776" s="6">
        <v>5699134</v>
      </c>
      <c r="G776" s="12" t="s">
        <v>2947</v>
      </c>
      <c r="H776" s="12" t="s">
        <v>755</v>
      </c>
      <c r="I776" s="12" t="s">
        <v>756</v>
      </c>
      <c r="J776" s="84">
        <v>40554</v>
      </c>
      <c r="K776" s="84">
        <v>51512</v>
      </c>
      <c r="L776" s="12" t="s">
        <v>233</v>
      </c>
      <c r="M776" s="12" t="s">
        <v>2563</v>
      </c>
      <c r="N776" s="75"/>
    </row>
    <row r="777" spans="1:14">
      <c r="A777" s="12">
        <v>774</v>
      </c>
      <c r="B777" s="12" t="s">
        <v>2948</v>
      </c>
      <c r="C777" s="12" t="s">
        <v>2949</v>
      </c>
      <c r="D777" s="12" t="s">
        <v>2950</v>
      </c>
      <c r="E777" s="85">
        <v>117.93</v>
      </c>
      <c r="F777" s="6">
        <v>5165407</v>
      </c>
      <c r="G777" s="12" t="s">
        <v>2951</v>
      </c>
      <c r="H777" s="12" t="s">
        <v>848</v>
      </c>
      <c r="I777" s="12" t="s">
        <v>849</v>
      </c>
      <c r="J777" s="84">
        <v>40616</v>
      </c>
      <c r="K777" s="84">
        <v>51574</v>
      </c>
      <c r="L777" s="12" t="s">
        <v>375</v>
      </c>
      <c r="M777" s="12" t="s">
        <v>944</v>
      </c>
      <c r="N777" s="75"/>
    </row>
    <row r="778" spans="1:14">
      <c r="A778" s="12">
        <v>775</v>
      </c>
      <c r="B778" s="12" t="s">
        <v>2952</v>
      </c>
      <c r="C778" s="12" t="s">
        <v>2642</v>
      </c>
      <c r="D778" s="12" t="s">
        <v>2953</v>
      </c>
      <c r="E778" s="85">
        <v>1452.43</v>
      </c>
      <c r="F778" s="6">
        <v>2860708</v>
      </c>
      <c r="G778" s="12" t="s">
        <v>2954</v>
      </c>
      <c r="H778" s="12" t="s">
        <v>755</v>
      </c>
      <c r="I778" s="12" t="s">
        <v>756</v>
      </c>
      <c r="J778" s="84">
        <v>40618</v>
      </c>
      <c r="K778" s="84">
        <v>51576</v>
      </c>
      <c r="L778" s="12" t="s">
        <v>375</v>
      </c>
      <c r="M778" s="12" t="s">
        <v>2955</v>
      </c>
      <c r="N778" s="75"/>
    </row>
    <row r="779" spans="1:14">
      <c r="A779" s="12">
        <v>776</v>
      </c>
      <c r="B779" s="12" t="s">
        <v>2956</v>
      </c>
      <c r="C779" s="12" t="s">
        <v>2855</v>
      </c>
      <c r="D779" s="12" t="s">
        <v>2957</v>
      </c>
      <c r="E779" s="85">
        <v>67.790000000000006</v>
      </c>
      <c r="F779" s="6">
        <v>2112663</v>
      </c>
      <c r="G779" s="12" t="s">
        <v>2524</v>
      </c>
      <c r="H779" s="12" t="s">
        <v>755</v>
      </c>
      <c r="I779" s="12" t="s">
        <v>756</v>
      </c>
      <c r="J779" s="84">
        <v>40618</v>
      </c>
      <c r="K779" s="84">
        <v>51576</v>
      </c>
      <c r="L779" s="12" t="s">
        <v>128</v>
      </c>
      <c r="M779" s="12" t="s">
        <v>291</v>
      </c>
      <c r="N779" s="75"/>
    </row>
    <row r="780" spans="1:14">
      <c r="A780" s="12">
        <v>777</v>
      </c>
      <c r="B780" s="12" t="s">
        <v>2958</v>
      </c>
      <c r="C780" s="12" t="s">
        <v>221</v>
      </c>
      <c r="D780" s="12" t="s">
        <v>1218</v>
      </c>
      <c r="E780" s="85">
        <v>39.9</v>
      </c>
      <c r="F780" s="6">
        <v>4061101</v>
      </c>
      <c r="G780" s="12" t="s">
        <v>2959</v>
      </c>
      <c r="H780" s="12" t="s">
        <v>755</v>
      </c>
      <c r="I780" s="12" t="s">
        <v>756</v>
      </c>
      <c r="J780" s="84">
        <v>40617</v>
      </c>
      <c r="K780" s="84">
        <v>51575</v>
      </c>
      <c r="L780" s="12" t="s">
        <v>1102</v>
      </c>
      <c r="M780" s="12" t="s">
        <v>2761</v>
      </c>
      <c r="N780" s="75"/>
    </row>
    <row r="781" spans="1:14">
      <c r="A781" s="12">
        <v>778</v>
      </c>
      <c r="B781" s="12" t="s">
        <v>2960</v>
      </c>
      <c r="C781" s="12" t="s">
        <v>212</v>
      </c>
      <c r="D781" s="12" t="s">
        <v>2961</v>
      </c>
      <c r="E781" s="85">
        <v>76.08</v>
      </c>
      <c r="F781" s="6">
        <v>6414877</v>
      </c>
      <c r="G781" s="12" t="s">
        <v>2962</v>
      </c>
      <c r="H781" s="12" t="s">
        <v>755</v>
      </c>
      <c r="I781" s="12" t="s">
        <v>756</v>
      </c>
      <c r="J781" s="84">
        <v>38253</v>
      </c>
      <c r="K781" s="84">
        <v>49210</v>
      </c>
      <c r="L781" s="12" t="s">
        <v>170</v>
      </c>
      <c r="M781" s="12" t="s">
        <v>807</v>
      </c>
      <c r="N781" s="75"/>
    </row>
    <row r="782" spans="1:14">
      <c r="A782" s="12">
        <v>779</v>
      </c>
      <c r="B782" s="12" t="s">
        <v>2963</v>
      </c>
      <c r="C782" s="12" t="s">
        <v>122</v>
      </c>
      <c r="D782" s="12" t="s">
        <v>2599</v>
      </c>
      <c r="E782" s="85">
        <v>1498.44</v>
      </c>
      <c r="F782" s="6">
        <v>5164621</v>
      </c>
      <c r="G782" s="12" t="s">
        <v>2964</v>
      </c>
      <c r="H782" s="12" t="s">
        <v>848</v>
      </c>
      <c r="I782" s="12" t="s">
        <v>849</v>
      </c>
      <c r="J782" s="84">
        <v>40640</v>
      </c>
      <c r="K782" s="84">
        <v>51598</v>
      </c>
      <c r="L782" s="12" t="s">
        <v>233</v>
      </c>
      <c r="M782" s="12" t="s">
        <v>2965</v>
      </c>
      <c r="N782" s="75"/>
    </row>
    <row r="783" spans="1:14">
      <c r="A783" s="12">
        <v>780</v>
      </c>
      <c r="B783" s="12" t="s">
        <v>2966</v>
      </c>
      <c r="C783" s="12" t="s">
        <v>752</v>
      </c>
      <c r="D783" s="12" t="s">
        <v>2967</v>
      </c>
      <c r="E783" s="85">
        <v>53.47</v>
      </c>
      <c r="F783" s="6">
        <v>5102545</v>
      </c>
      <c r="G783" s="12" t="s">
        <v>2968</v>
      </c>
      <c r="H783" s="12" t="s">
        <v>755</v>
      </c>
      <c r="I783" s="12" t="s">
        <v>756</v>
      </c>
      <c r="J783" s="84">
        <v>38495</v>
      </c>
      <c r="K783" s="84">
        <v>49431</v>
      </c>
      <c r="L783" s="12" t="s">
        <v>274</v>
      </c>
      <c r="M783" s="12" t="s">
        <v>2327</v>
      </c>
      <c r="N783" s="75"/>
    </row>
    <row r="784" spans="1:14">
      <c r="A784" s="12">
        <v>781</v>
      </c>
      <c r="B784" s="12" t="s">
        <v>2969</v>
      </c>
      <c r="C784" s="12" t="s">
        <v>752</v>
      </c>
      <c r="D784" s="12" t="s">
        <v>2970</v>
      </c>
      <c r="E784" s="85">
        <v>96.45</v>
      </c>
      <c r="F784" s="6">
        <v>5102545</v>
      </c>
      <c r="G784" s="12" t="s">
        <v>2968</v>
      </c>
      <c r="H784" s="12" t="s">
        <v>755</v>
      </c>
      <c r="I784" s="12" t="s">
        <v>756</v>
      </c>
      <c r="J784" s="84">
        <v>38495</v>
      </c>
      <c r="K784" s="84">
        <v>49431</v>
      </c>
      <c r="L784" s="12" t="s">
        <v>274</v>
      </c>
      <c r="M784" s="12" t="s">
        <v>2327</v>
      </c>
      <c r="N784" s="75"/>
    </row>
    <row r="785" spans="1:14">
      <c r="A785" s="12">
        <v>782</v>
      </c>
      <c r="B785" s="12" t="s">
        <v>2971</v>
      </c>
      <c r="C785" s="12" t="s">
        <v>212</v>
      </c>
      <c r="D785" s="12" t="s">
        <v>2972</v>
      </c>
      <c r="E785" s="85">
        <v>98.37</v>
      </c>
      <c r="F785" s="6">
        <v>2618176</v>
      </c>
      <c r="G785" s="12" t="s">
        <v>2973</v>
      </c>
      <c r="H785" s="12" t="s">
        <v>848</v>
      </c>
      <c r="I785" s="12" t="s">
        <v>849</v>
      </c>
      <c r="J785" s="84">
        <v>40661</v>
      </c>
      <c r="K785" s="84">
        <v>51619</v>
      </c>
      <c r="L785" s="12" t="s">
        <v>293</v>
      </c>
      <c r="M785" s="12" t="s">
        <v>933</v>
      </c>
      <c r="N785" s="75"/>
    </row>
    <row r="786" spans="1:14">
      <c r="A786" s="12">
        <v>783</v>
      </c>
      <c r="B786" s="12" t="s">
        <v>2974</v>
      </c>
      <c r="C786" s="12" t="s">
        <v>1803</v>
      </c>
      <c r="D786" s="12" t="s">
        <v>2975</v>
      </c>
      <c r="E786" s="85">
        <v>2616.9</v>
      </c>
      <c r="F786" s="6">
        <v>5060222</v>
      </c>
      <c r="G786" s="12" t="s">
        <v>2136</v>
      </c>
      <c r="H786" s="12" t="s">
        <v>755</v>
      </c>
      <c r="I786" s="12" t="s">
        <v>756</v>
      </c>
      <c r="J786" s="84">
        <v>40661</v>
      </c>
      <c r="K786" s="84">
        <v>51619</v>
      </c>
      <c r="L786" s="12" t="s">
        <v>138</v>
      </c>
      <c r="M786" s="12" t="s">
        <v>1806</v>
      </c>
      <c r="N786" s="75"/>
    </row>
    <row r="787" spans="1:14">
      <c r="A787" s="12">
        <v>784</v>
      </c>
      <c r="B787" s="12" t="s">
        <v>2976</v>
      </c>
      <c r="C787" s="12" t="s">
        <v>995</v>
      </c>
      <c r="D787" s="12" t="s">
        <v>2977</v>
      </c>
      <c r="E787" s="85">
        <v>49.24</v>
      </c>
      <c r="F787" s="6">
        <v>2845458</v>
      </c>
      <c r="G787" s="12" t="s">
        <v>2978</v>
      </c>
      <c r="H787" s="12" t="s">
        <v>755</v>
      </c>
      <c r="I787" s="12" t="s">
        <v>756</v>
      </c>
      <c r="J787" s="84">
        <v>40667</v>
      </c>
      <c r="K787" s="84">
        <v>51625</v>
      </c>
      <c r="L787" s="12" t="s">
        <v>128</v>
      </c>
      <c r="M787" s="12" t="s">
        <v>862</v>
      </c>
      <c r="N787" s="75"/>
    </row>
    <row r="788" spans="1:14">
      <c r="A788" s="12">
        <v>785</v>
      </c>
      <c r="B788" s="12" t="s">
        <v>2979</v>
      </c>
      <c r="C788" s="12" t="s">
        <v>2980</v>
      </c>
      <c r="D788" s="12" t="s">
        <v>2981</v>
      </c>
      <c r="E788" s="85">
        <v>100.75</v>
      </c>
      <c r="F788" s="6">
        <v>2565587</v>
      </c>
      <c r="G788" s="12" t="s">
        <v>2982</v>
      </c>
      <c r="H788" s="12" t="s">
        <v>755</v>
      </c>
      <c r="I788" s="12" t="s">
        <v>756</v>
      </c>
      <c r="J788" s="84">
        <v>36293</v>
      </c>
      <c r="K788" s="84">
        <v>47251</v>
      </c>
      <c r="L788" s="12" t="s">
        <v>274</v>
      </c>
      <c r="M788" s="12" t="s">
        <v>1023</v>
      </c>
      <c r="N788" s="75"/>
    </row>
    <row r="789" spans="1:14">
      <c r="A789" s="12">
        <v>786</v>
      </c>
      <c r="B789" s="12" t="s">
        <v>2983</v>
      </c>
      <c r="C789" s="12" t="s">
        <v>2642</v>
      </c>
      <c r="D789" s="12" t="s">
        <v>2984</v>
      </c>
      <c r="E789" s="85">
        <v>412.46</v>
      </c>
      <c r="F789" s="6">
        <v>5538394</v>
      </c>
      <c r="G789" s="12" t="s">
        <v>2985</v>
      </c>
      <c r="H789" s="12" t="s">
        <v>755</v>
      </c>
      <c r="I789" s="12" t="s">
        <v>756</v>
      </c>
      <c r="J789" s="84">
        <v>40680</v>
      </c>
      <c r="K789" s="84">
        <v>51638</v>
      </c>
      <c r="L789" s="12" t="s">
        <v>123</v>
      </c>
      <c r="M789" s="12" t="s">
        <v>1472</v>
      </c>
      <c r="N789" s="75"/>
    </row>
    <row r="790" spans="1:14">
      <c r="A790" s="12">
        <v>787</v>
      </c>
      <c r="B790" s="12" t="s">
        <v>2986</v>
      </c>
      <c r="C790" s="12" t="s">
        <v>221</v>
      </c>
      <c r="D790" s="12" t="s">
        <v>2987</v>
      </c>
      <c r="E790" s="85">
        <v>24.88</v>
      </c>
      <c r="F790" s="6">
        <v>5718902</v>
      </c>
      <c r="G790" s="12" t="s">
        <v>2988</v>
      </c>
      <c r="H790" s="12" t="s">
        <v>755</v>
      </c>
      <c r="I790" s="12" t="s">
        <v>756</v>
      </c>
      <c r="J790" s="84">
        <v>37732</v>
      </c>
      <c r="K790" s="84">
        <v>48690</v>
      </c>
      <c r="L790" s="12" t="s">
        <v>180</v>
      </c>
      <c r="M790" s="12" t="s">
        <v>927</v>
      </c>
      <c r="N790" s="75"/>
    </row>
    <row r="791" spans="1:14">
      <c r="A791" s="12">
        <v>788</v>
      </c>
      <c r="B791" s="12" t="s">
        <v>2989</v>
      </c>
      <c r="C791" s="12" t="s">
        <v>979</v>
      </c>
      <c r="D791" s="12" t="s">
        <v>2990</v>
      </c>
      <c r="E791" s="85">
        <v>182.56</v>
      </c>
      <c r="F791" s="6">
        <v>2767562</v>
      </c>
      <c r="G791" s="12" t="s">
        <v>2991</v>
      </c>
      <c r="H791" s="12" t="s">
        <v>755</v>
      </c>
      <c r="I791" s="12" t="s">
        <v>756</v>
      </c>
      <c r="J791" s="84">
        <v>40689</v>
      </c>
      <c r="K791" s="84">
        <v>51647</v>
      </c>
      <c r="L791" s="12" t="s">
        <v>293</v>
      </c>
      <c r="M791" s="12" t="s">
        <v>794</v>
      </c>
      <c r="N791" s="75"/>
    </row>
    <row r="792" spans="1:14">
      <c r="A792" s="12">
        <v>789</v>
      </c>
      <c r="B792" s="12" t="s">
        <v>2992</v>
      </c>
      <c r="C792" s="12" t="s">
        <v>1152</v>
      </c>
      <c r="D792" s="12" t="s">
        <v>2993</v>
      </c>
      <c r="E792" s="85">
        <v>41.99</v>
      </c>
      <c r="F792" s="6">
        <v>5609372</v>
      </c>
      <c r="G792" s="12" t="s">
        <v>2994</v>
      </c>
      <c r="H792" s="12" t="s">
        <v>755</v>
      </c>
      <c r="I792" s="12" t="s">
        <v>756</v>
      </c>
      <c r="J792" s="84">
        <v>40689</v>
      </c>
      <c r="K792" s="84">
        <v>51647</v>
      </c>
      <c r="L792" s="12" t="s">
        <v>128</v>
      </c>
      <c r="M792" s="12" t="s">
        <v>129</v>
      </c>
      <c r="N792" s="75"/>
    </row>
    <row r="793" spans="1:14">
      <c r="A793" s="12">
        <v>790</v>
      </c>
      <c r="B793" s="12" t="s">
        <v>2995</v>
      </c>
      <c r="C793" s="12" t="s">
        <v>752</v>
      </c>
      <c r="D793" s="12" t="s">
        <v>2996</v>
      </c>
      <c r="E793" s="85">
        <v>53.72</v>
      </c>
      <c r="F793" s="6">
        <v>2107961</v>
      </c>
      <c r="G793" s="12" t="s">
        <v>2684</v>
      </c>
      <c r="H793" s="12" t="s">
        <v>755</v>
      </c>
      <c r="I793" s="12" t="s">
        <v>756</v>
      </c>
      <c r="J793" s="84">
        <v>37898</v>
      </c>
      <c r="K793" s="84">
        <v>48856</v>
      </c>
      <c r="L793" s="12" t="s">
        <v>831</v>
      </c>
      <c r="M793" s="12" t="s">
        <v>832</v>
      </c>
      <c r="N793" s="75"/>
    </row>
    <row r="794" spans="1:14">
      <c r="A794" s="12">
        <v>791</v>
      </c>
      <c r="B794" s="12" t="s">
        <v>2997</v>
      </c>
      <c r="C794" s="12" t="s">
        <v>1152</v>
      </c>
      <c r="D794" s="12" t="s">
        <v>2998</v>
      </c>
      <c r="E794" s="85">
        <v>72.260000000000005</v>
      </c>
      <c r="F794" s="6">
        <v>2875993</v>
      </c>
      <c r="G794" s="12" t="s">
        <v>2999</v>
      </c>
      <c r="H794" s="12" t="s">
        <v>766</v>
      </c>
      <c r="I794" s="12" t="s">
        <v>767</v>
      </c>
      <c r="J794" s="84">
        <v>39030</v>
      </c>
      <c r="K794" s="84">
        <v>49988</v>
      </c>
      <c r="L794" s="12" t="s">
        <v>128</v>
      </c>
      <c r="M794" s="12" t="s">
        <v>129</v>
      </c>
      <c r="N794" s="75"/>
    </row>
    <row r="795" spans="1:14">
      <c r="A795" s="12">
        <v>792</v>
      </c>
      <c r="B795" s="12" t="s">
        <v>3000</v>
      </c>
      <c r="C795" s="12" t="s">
        <v>758</v>
      </c>
      <c r="D795" s="12" t="s">
        <v>3001</v>
      </c>
      <c r="E795" s="85">
        <v>6041.03</v>
      </c>
      <c r="F795" s="6">
        <v>2874229</v>
      </c>
      <c r="G795" s="12" t="s">
        <v>3002</v>
      </c>
      <c r="H795" s="12" t="s">
        <v>848</v>
      </c>
      <c r="I795" s="12" t="s">
        <v>849</v>
      </c>
      <c r="J795" s="84">
        <v>40689</v>
      </c>
      <c r="K795" s="84">
        <v>51647</v>
      </c>
      <c r="L795" s="12" t="s">
        <v>768</v>
      </c>
      <c r="M795" s="12" t="s">
        <v>1198</v>
      </c>
      <c r="N795" s="75"/>
    </row>
    <row r="796" spans="1:14">
      <c r="A796" s="12">
        <v>793</v>
      </c>
      <c r="B796" s="12" t="s">
        <v>3003</v>
      </c>
      <c r="C796" s="12" t="s">
        <v>221</v>
      </c>
      <c r="D796" s="12" t="s">
        <v>3004</v>
      </c>
      <c r="E796" s="85">
        <v>122.3</v>
      </c>
      <c r="F796" s="6">
        <v>2110903</v>
      </c>
      <c r="G796" s="12" t="s">
        <v>3005</v>
      </c>
      <c r="H796" s="12" t="s">
        <v>755</v>
      </c>
      <c r="I796" s="12" t="s">
        <v>756</v>
      </c>
      <c r="J796" s="84">
        <v>40703</v>
      </c>
      <c r="K796" s="84">
        <v>51968</v>
      </c>
      <c r="L796" s="12" t="s">
        <v>170</v>
      </c>
      <c r="M796" s="12" t="s">
        <v>171</v>
      </c>
      <c r="N796" s="75"/>
    </row>
    <row r="797" spans="1:14">
      <c r="A797" s="12">
        <v>794</v>
      </c>
      <c r="B797" s="12" t="s">
        <v>3006</v>
      </c>
      <c r="C797" s="12" t="s">
        <v>881</v>
      </c>
      <c r="D797" s="12" t="s">
        <v>3007</v>
      </c>
      <c r="E797" s="85">
        <v>130.36000000000001</v>
      </c>
      <c r="F797" s="6">
        <v>2678586</v>
      </c>
      <c r="G797" s="12" t="s">
        <v>3008</v>
      </c>
      <c r="H797" s="12" t="s">
        <v>755</v>
      </c>
      <c r="I797" s="12" t="s">
        <v>756</v>
      </c>
      <c r="J797" s="84">
        <v>40709</v>
      </c>
      <c r="K797" s="84">
        <v>51667</v>
      </c>
      <c r="L797" s="12" t="s">
        <v>128</v>
      </c>
      <c r="M797" s="12" t="s">
        <v>291</v>
      </c>
      <c r="N797" s="75"/>
    </row>
    <row r="798" spans="1:14">
      <c r="A798" s="12">
        <v>795</v>
      </c>
      <c r="B798" s="12" t="s">
        <v>3009</v>
      </c>
      <c r="C798" s="12" t="s">
        <v>1035</v>
      </c>
      <c r="D798" s="12" t="s">
        <v>3010</v>
      </c>
      <c r="E798" s="85">
        <v>190.58</v>
      </c>
      <c r="F798" s="6">
        <v>6836437</v>
      </c>
      <c r="G798" s="12" t="s">
        <v>3011</v>
      </c>
      <c r="H798" s="12" t="s">
        <v>848</v>
      </c>
      <c r="I798" s="12" t="s">
        <v>849</v>
      </c>
      <c r="J798" s="84">
        <v>40715</v>
      </c>
      <c r="K798" s="84">
        <v>51673</v>
      </c>
      <c r="L798" s="12" t="s">
        <v>138</v>
      </c>
      <c r="M798" s="12" t="s">
        <v>138</v>
      </c>
      <c r="N798" s="75"/>
    </row>
    <row r="799" spans="1:14">
      <c r="A799" s="12">
        <v>796</v>
      </c>
      <c r="B799" s="12" t="s">
        <v>3012</v>
      </c>
      <c r="C799" s="12" t="s">
        <v>122</v>
      </c>
      <c r="D799" s="12" t="s">
        <v>1084</v>
      </c>
      <c r="E799" s="85">
        <v>1469.53</v>
      </c>
      <c r="F799" s="6">
        <v>5314429</v>
      </c>
      <c r="G799" s="12" t="s">
        <v>3013</v>
      </c>
      <c r="H799" s="12" t="s">
        <v>766</v>
      </c>
      <c r="I799" s="12" t="s">
        <v>767</v>
      </c>
      <c r="J799" s="84">
        <v>40718</v>
      </c>
      <c r="K799" s="84">
        <v>51676</v>
      </c>
      <c r="L799" s="12" t="s">
        <v>375</v>
      </c>
      <c r="M799" s="12" t="s">
        <v>1085</v>
      </c>
      <c r="N799" s="75"/>
    </row>
    <row r="800" spans="1:14">
      <c r="A800" s="12">
        <v>797</v>
      </c>
      <c r="B800" s="12" t="s">
        <v>3014</v>
      </c>
      <c r="C800" s="12" t="s">
        <v>212</v>
      </c>
      <c r="D800" s="12" t="s">
        <v>2347</v>
      </c>
      <c r="E800" s="85">
        <v>92.87</v>
      </c>
      <c r="F800" s="6">
        <v>5236517</v>
      </c>
      <c r="G800" s="12" t="s">
        <v>3015</v>
      </c>
      <c r="H800" s="12" t="s">
        <v>848</v>
      </c>
      <c r="I800" s="12" t="s">
        <v>849</v>
      </c>
      <c r="J800" s="84">
        <v>40718</v>
      </c>
      <c r="K800" s="84">
        <v>51676</v>
      </c>
      <c r="L800" s="12" t="s">
        <v>293</v>
      </c>
      <c r="M800" s="12" t="s">
        <v>124</v>
      </c>
      <c r="N800" s="75"/>
    </row>
    <row r="801" spans="1:14">
      <c r="A801" s="12">
        <v>798</v>
      </c>
      <c r="B801" s="12" t="s">
        <v>3016</v>
      </c>
      <c r="C801" s="12" t="s">
        <v>122</v>
      </c>
      <c r="D801" s="12" t="s">
        <v>3017</v>
      </c>
      <c r="E801" s="85">
        <v>2657.94</v>
      </c>
      <c r="F801" s="6">
        <v>5026628</v>
      </c>
      <c r="G801" s="12" t="s">
        <v>3018</v>
      </c>
      <c r="H801" s="12" t="s">
        <v>755</v>
      </c>
      <c r="I801" s="12" t="s">
        <v>756</v>
      </c>
      <c r="J801" s="84">
        <v>40722</v>
      </c>
      <c r="K801" s="84">
        <v>51680</v>
      </c>
      <c r="L801" s="12" t="s">
        <v>233</v>
      </c>
      <c r="M801" s="12" t="s">
        <v>3019</v>
      </c>
      <c r="N801" s="75"/>
    </row>
    <row r="802" spans="1:14">
      <c r="A802" s="12">
        <v>799</v>
      </c>
      <c r="B802" s="12" t="s">
        <v>3020</v>
      </c>
      <c r="C802" s="12" t="s">
        <v>937</v>
      </c>
      <c r="D802" s="12" t="s">
        <v>3021</v>
      </c>
      <c r="E802" s="85">
        <v>32.1</v>
      </c>
      <c r="F802" s="6">
        <v>5329434</v>
      </c>
      <c r="G802" s="12" t="s">
        <v>3022</v>
      </c>
      <c r="H802" s="12" t="s">
        <v>755</v>
      </c>
      <c r="I802" s="12" t="s">
        <v>756</v>
      </c>
      <c r="J802" s="84">
        <v>40722</v>
      </c>
      <c r="K802" s="84">
        <v>51680</v>
      </c>
      <c r="L802" s="12" t="s">
        <v>128</v>
      </c>
      <c r="M802" s="12" t="s">
        <v>129</v>
      </c>
      <c r="N802" s="75"/>
    </row>
    <row r="803" spans="1:14">
      <c r="A803" s="12">
        <v>800</v>
      </c>
      <c r="B803" s="12" t="s">
        <v>3023</v>
      </c>
      <c r="C803" s="12" t="s">
        <v>122</v>
      </c>
      <c r="D803" s="12" t="s">
        <v>3024</v>
      </c>
      <c r="E803" s="85">
        <v>2925.75</v>
      </c>
      <c r="F803" s="6">
        <v>5261198</v>
      </c>
      <c r="G803" s="12" t="s">
        <v>3025</v>
      </c>
      <c r="H803" s="12" t="s">
        <v>755</v>
      </c>
      <c r="I803" s="12" t="s">
        <v>756</v>
      </c>
      <c r="J803" s="84">
        <v>40722</v>
      </c>
      <c r="K803" s="84">
        <v>51680</v>
      </c>
      <c r="L803" s="12" t="s">
        <v>170</v>
      </c>
      <c r="M803" s="12" t="s">
        <v>3026</v>
      </c>
      <c r="N803" s="75"/>
    </row>
    <row r="804" spans="1:14">
      <c r="A804" s="12">
        <v>801</v>
      </c>
      <c r="B804" s="12" t="s">
        <v>3027</v>
      </c>
      <c r="C804" s="12" t="s">
        <v>752</v>
      </c>
      <c r="D804" s="12" t="s">
        <v>2898</v>
      </c>
      <c r="E804" s="85">
        <v>137.97999999999999</v>
      </c>
      <c r="F804" s="6">
        <v>5111145</v>
      </c>
      <c r="G804" s="12" t="s">
        <v>3028</v>
      </c>
      <c r="H804" s="12" t="s">
        <v>755</v>
      </c>
      <c r="I804" s="12" t="s">
        <v>756</v>
      </c>
      <c r="J804" s="84">
        <v>40728</v>
      </c>
      <c r="K804" s="84">
        <v>51686</v>
      </c>
      <c r="L804" s="12" t="s">
        <v>836</v>
      </c>
      <c r="M804" s="12" t="s">
        <v>3029</v>
      </c>
      <c r="N804" s="75"/>
    </row>
    <row r="805" spans="1:14">
      <c r="A805" s="12">
        <v>802</v>
      </c>
      <c r="B805" s="12" t="s">
        <v>3030</v>
      </c>
      <c r="C805" s="12" t="s">
        <v>122</v>
      </c>
      <c r="D805" s="12" t="s">
        <v>3031</v>
      </c>
      <c r="E805" s="85">
        <v>10992.92</v>
      </c>
      <c r="F805" s="6">
        <v>5084555</v>
      </c>
      <c r="G805" s="12" t="s">
        <v>2276</v>
      </c>
      <c r="H805" s="12" t="s">
        <v>848</v>
      </c>
      <c r="I805" s="12" t="s">
        <v>849</v>
      </c>
      <c r="J805" s="84">
        <v>40728</v>
      </c>
      <c r="K805" s="84">
        <v>52194</v>
      </c>
      <c r="L805" s="12" t="s">
        <v>233</v>
      </c>
      <c r="M805" s="12" t="s">
        <v>3032</v>
      </c>
      <c r="N805" s="75"/>
    </row>
    <row r="806" spans="1:14">
      <c r="A806" s="12">
        <v>803</v>
      </c>
      <c r="B806" s="12" t="s">
        <v>3033</v>
      </c>
      <c r="C806" s="12" t="s">
        <v>212</v>
      </c>
      <c r="D806" s="12" t="s">
        <v>3034</v>
      </c>
      <c r="E806" s="85">
        <v>103.87</v>
      </c>
      <c r="F806" s="6">
        <v>5002311</v>
      </c>
      <c r="G806" s="12" t="s">
        <v>3035</v>
      </c>
      <c r="H806" s="12" t="s">
        <v>755</v>
      </c>
      <c r="I806" s="12" t="s">
        <v>756</v>
      </c>
      <c r="J806" s="84">
        <v>38807</v>
      </c>
      <c r="K806" s="84">
        <v>49765</v>
      </c>
      <c r="L806" s="12" t="s">
        <v>170</v>
      </c>
      <c r="M806" s="12" t="s">
        <v>807</v>
      </c>
      <c r="N806" s="75"/>
    </row>
    <row r="807" spans="1:14">
      <c r="A807" s="12">
        <v>804</v>
      </c>
      <c r="B807" s="12" t="s">
        <v>3036</v>
      </c>
      <c r="C807" s="12" t="s">
        <v>122</v>
      </c>
      <c r="D807" s="12" t="s">
        <v>3037</v>
      </c>
      <c r="E807" s="85">
        <v>6124.37</v>
      </c>
      <c r="F807" s="6">
        <v>5168171</v>
      </c>
      <c r="G807" s="12" t="s">
        <v>3038</v>
      </c>
      <c r="H807" s="12" t="s">
        <v>848</v>
      </c>
      <c r="I807" s="12" t="s">
        <v>849</v>
      </c>
      <c r="J807" s="84">
        <v>40730</v>
      </c>
      <c r="K807" s="84">
        <v>51688</v>
      </c>
      <c r="L807" s="12" t="s">
        <v>274</v>
      </c>
      <c r="M807" s="12" t="s">
        <v>944</v>
      </c>
      <c r="N807" s="75"/>
    </row>
    <row r="808" spans="1:14">
      <c r="A808" s="12">
        <v>805</v>
      </c>
      <c r="B808" s="12" t="s">
        <v>3039</v>
      </c>
      <c r="C808" s="12" t="s">
        <v>122</v>
      </c>
      <c r="D808" s="12" t="s">
        <v>3040</v>
      </c>
      <c r="E808" s="85">
        <v>67992.5</v>
      </c>
      <c r="F808" s="6">
        <v>5314577</v>
      </c>
      <c r="G808" s="12" t="s">
        <v>3041</v>
      </c>
      <c r="H808" s="12" t="s">
        <v>755</v>
      </c>
      <c r="I808" s="12" t="s">
        <v>756</v>
      </c>
      <c r="J808" s="84">
        <v>40730</v>
      </c>
      <c r="K808" s="84">
        <v>51688</v>
      </c>
      <c r="L808" s="12" t="s">
        <v>233</v>
      </c>
      <c r="M808" s="12" t="s">
        <v>933</v>
      </c>
      <c r="N808" s="75"/>
    </row>
    <row r="809" spans="1:14">
      <c r="A809" s="12">
        <v>806</v>
      </c>
      <c r="B809" s="12" t="s">
        <v>3042</v>
      </c>
      <c r="C809" s="12" t="s">
        <v>1152</v>
      </c>
      <c r="D809" s="12" t="s">
        <v>3043</v>
      </c>
      <c r="E809" s="85">
        <v>37.229999999999997</v>
      </c>
      <c r="F809" s="6">
        <v>5197376</v>
      </c>
      <c r="G809" s="12" t="s">
        <v>3044</v>
      </c>
      <c r="H809" s="12" t="s">
        <v>755</v>
      </c>
      <c r="I809" s="12" t="s">
        <v>756</v>
      </c>
      <c r="J809" s="84">
        <v>40734</v>
      </c>
      <c r="K809" s="84">
        <v>51692</v>
      </c>
      <c r="L809" s="12" t="s">
        <v>128</v>
      </c>
      <c r="M809" s="12" t="s">
        <v>129</v>
      </c>
      <c r="N809" s="75"/>
    </row>
    <row r="810" spans="1:14">
      <c r="A810" s="12">
        <v>807</v>
      </c>
      <c r="B810" s="12" t="s">
        <v>3045</v>
      </c>
      <c r="C810" s="12" t="s">
        <v>328</v>
      </c>
      <c r="D810" s="12" t="s">
        <v>3046</v>
      </c>
      <c r="E810" s="85">
        <v>27.09</v>
      </c>
      <c r="F810" s="6">
        <v>2007916</v>
      </c>
      <c r="G810" s="12" t="s">
        <v>3047</v>
      </c>
      <c r="H810" s="12" t="s">
        <v>755</v>
      </c>
      <c r="I810" s="12" t="s">
        <v>756</v>
      </c>
      <c r="J810" s="84">
        <v>40734</v>
      </c>
      <c r="K810" s="84">
        <v>51692</v>
      </c>
      <c r="L810" s="12" t="s">
        <v>836</v>
      </c>
      <c r="M810" s="12" t="s">
        <v>3048</v>
      </c>
      <c r="N810" s="75"/>
    </row>
    <row r="811" spans="1:14">
      <c r="A811" s="12">
        <v>808</v>
      </c>
      <c r="B811" s="12" t="s">
        <v>3049</v>
      </c>
      <c r="C811" s="12" t="s">
        <v>212</v>
      </c>
      <c r="D811" s="12" t="s">
        <v>1228</v>
      </c>
      <c r="E811" s="85">
        <v>35.659999999999997</v>
      </c>
      <c r="F811" s="6">
        <v>2609436</v>
      </c>
      <c r="G811" s="12" t="s">
        <v>1229</v>
      </c>
      <c r="H811" s="12" t="s">
        <v>755</v>
      </c>
      <c r="I811" s="12" t="s">
        <v>756</v>
      </c>
      <c r="J811" s="84">
        <v>40733</v>
      </c>
      <c r="K811" s="84">
        <v>51691</v>
      </c>
      <c r="L811" s="12" t="s">
        <v>293</v>
      </c>
      <c r="M811" s="12" t="s">
        <v>181</v>
      </c>
      <c r="N811" s="75"/>
    </row>
    <row r="812" spans="1:14">
      <c r="A812" s="12">
        <v>809</v>
      </c>
      <c r="B812" s="12" t="s">
        <v>3050</v>
      </c>
      <c r="C812" s="12" t="s">
        <v>1152</v>
      </c>
      <c r="D812" s="12" t="s">
        <v>3051</v>
      </c>
      <c r="E812" s="85">
        <v>56.23</v>
      </c>
      <c r="F812" s="6">
        <v>2861224</v>
      </c>
      <c r="G812" s="12" t="s">
        <v>3052</v>
      </c>
      <c r="H812" s="12" t="s">
        <v>755</v>
      </c>
      <c r="I812" s="12" t="s">
        <v>756</v>
      </c>
      <c r="J812" s="84">
        <v>40734</v>
      </c>
      <c r="K812" s="84">
        <v>51692</v>
      </c>
      <c r="L812" s="12" t="s">
        <v>128</v>
      </c>
      <c r="M812" s="12" t="s">
        <v>129</v>
      </c>
      <c r="N812" s="75"/>
    </row>
    <row r="813" spans="1:14">
      <c r="A813" s="12">
        <v>810</v>
      </c>
      <c r="B813" s="12" t="s">
        <v>3053</v>
      </c>
      <c r="C813" s="12" t="s">
        <v>122</v>
      </c>
      <c r="D813" s="12" t="s">
        <v>2110</v>
      </c>
      <c r="E813" s="85">
        <v>556.72</v>
      </c>
      <c r="F813" s="6">
        <v>5435528</v>
      </c>
      <c r="G813" s="12" t="s">
        <v>2099</v>
      </c>
      <c r="H813" s="12" t="s">
        <v>914</v>
      </c>
      <c r="I813" s="12" t="s">
        <v>756</v>
      </c>
      <c r="J813" s="84">
        <v>38958</v>
      </c>
      <c r="K813" s="84">
        <v>49916</v>
      </c>
      <c r="L813" s="12" t="s">
        <v>233</v>
      </c>
      <c r="M813" s="12" t="s">
        <v>252</v>
      </c>
      <c r="N813" s="75"/>
    </row>
    <row r="814" spans="1:14">
      <c r="A814" s="12">
        <v>811</v>
      </c>
      <c r="B814" s="12" t="s">
        <v>3054</v>
      </c>
      <c r="C814" s="12" t="s">
        <v>122</v>
      </c>
      <c r="D814" s="12" t="s">
        <v>2115</v>
      </c>
      <c r="E814" s="85">
        <v>2447.13</v>
      </c>
      <c r="F814" s="6">
        <v>5435528</v>
      </c>
      <c r="G814" s="12" t="s">
        <v>2099</v>
      </c>
      <c r="H814" s="12" t="s">
        <v>914</v>
      </c>
      <c r="I814" s="12" t="s">
        <v>756</v>
      </c>
      <c r="J814" s="84">
        <v>38958</v>
      </c>
      <c r="K814" s="84">
        <v>49916</v>
      </c>
      <c r="L814" s="12" t="s">
        <v>233</v>
      </c>
      <c r="M814" s="12" t="s">
        <v>252</v>
      </c>
      <c r="N814" s="75"/>
    </row>
    <row r="815" spans="1:14">
      <c r="A815" s="12">
        <v>812</v>
      </c>
      <c r="B815" s="12" t="s">
        <v>3055</v>
      </c>
      <c r="C815" s="12" t="s">
        <v>122</v>
      </c>
      <c r="D815" s="12" t="s">
        <v>2113</v>
      </c>
      <c r="E815" s="85">
        <v>700.39</v>
      </c>
      <c r="F815" s="6">
        <v>5435528</v>
      </c>
      <c r="G815" s="12" t="s">
        <v>2099</v>
      </c>
      <c r="H815" s="12" t="s">
        <v>914</v>
      </c>
      <c r="I815" s="12" t="s">
        <v>756</v>
      </c>
      <c r="J815" s="84">
        <v>38958</v>
      </c>
      <c r="K815" s="84">
        <v>49916</v>
      </c>
      <c r="L815" s="12" t="s">
        <v>233</v>
      </c>
      <c r="M815" s="12" t="s">
        <v>252</v>
      </c>
      <c r="N815" s="75"/>
    </row>
    <row r="816" spans="1:14">
      <c r="A816" s="12">
        <v>813</v>
      </c>
      <c r="B816" s="12" t="s">
        <v>3056</v>
      </c>
      <c r="C816" s="12" t="s">
        <v>122</v>
      </c>
      <c r="D816" s="12" t="s">
        <v>2159</v>
      </c>
      <c r="E816" s="85">
        <v>16.84</v>
      </c>
      <c r="F816" s="6">
        <v>5087163</v>
      </c>
      <c r="G816" s="12" t="s">
        <v>3057</v>
      </c>
      <c r="H816" s="12" t="s">
        <v>766</v>
      </c>
      <c r="I816" s="12" t="s">
        <v>767</v>
      </c>
      <c r="J816" s="84">
        <v>38750</v>
      </c>
      <c r="K816" s="84">
        <v>49707</v>
      </c>
      <c r="L816" s="12" t="s">
        <v>375</v>
      </c>
      <c r="M816" s="12" t="s">
        <v>944</v>
      </c>
      <c r="N816" s="75"/>
    </row>
    <row r="817" spans="1:14">
      <c r="A817" s="12">
        <v>814</v>
      </c>
      <c r="B817" s="12" t="s">
        <v>3058</v>
      </c>
      <c r="C817" s="12" t="s">
        <v>752</v>
      </c>
      <c r="D817" s="12" t="s">
        <v>2754</v>
      </c>
      <c r="E817" s="85">
        <v>30.71</v>
      </c>
      <c r="F817" s="6">
        <v>5485932</v>
      </c>
      <c r="G817" s="12" t="s">
        <v>3059</v>
      </c>
      <c r="H817" s="12" t="s">
        <v>755</v>
      </c>
      <c r="I817" s="12" t="s">
        <v>756</v>
      </c>
      <c r="J817" s="84">
        <v>40275</v>
      </c>
      <c r="K817" s="84">
        <v>51233</v>
      </c>
      <c r="L817" s="12" t="s">
        <v>836</v>
      </c>
      <c r="M817" s="12" t="s">
        <v>837</v>
      </c>
      <c r="N817" s="75"/>
    </row>
    <row r="818" spans="1:14">
      <c r="A818" s="12">
        <v>815</v>
      </c>
      <c r="B818" s="12" t="s">
        <v>3060</v>
      </c>
      <c r="C818" s="12" t="s">
        <v>221</v>
      </c>
      <c r="D818" s="12" t="s">
        <v>3061</v>
      </c>
      <c r="E818" s="85">
        <v>138.68</v>
      </c>
      <c r="F818" s="6">
        <v>2737221</v>
      </c>
      <c r="G818" s="12" t="s">
        <v>3062</v>
      </c>
      <c r="H818" s="12" t="s">
        <v>848</v>
      </c>
      <c r="I818" s="12" t="s">
        <v>849</v>
      </c>
      <c r="J818" s="84">
        <v>40758</v>
      </c>
      <c r="K818" s="84">
        <v>51716</v>
      </c>
      <c r="L818" s="12" t="s">
        <v>304</v>
      </c>
      <c r="M818" s="12" t="s">
        <v>1634</v>
      </c>
      <c r="N818" s="75"/>
    </row>
    <row r="819" spans="1:14">
      <c r="A819" s="12">
        <v>816</v>
      </c>
      <c r="B819" s="12" t="s">
        <v>3063</v>
      </c>
      <c r="C819" s="12" t="s">
        <v>200</v>
      </c>
      <c r="D819" s="12" t="s">
        <v>3064</v>
      </c>
      <c r="E819" s="85">
        <v>166.25</v>
      </c>
      <c r="F819" s="6">
        <v>5830974</v>
      </c>
      <c r="G819" s="12" t="s">
        <v>1712</v>
      </c>
      <c r="H819" s="12" t="s">
        <v>755</v>
      </c>
      <c r="I819" s="12" t="s">
        <v>756</v>
      </c>
      <c r="J819" s="84">
        <v>40758</v>
      </c>
      <c r="K819" s="84">
        <v>51716</v>
      </c>
      <c r="L819" s="12" t="s">
        <v>375</v>
      </c>
      <c r="M819" s="12" t="s">
        <v>893</v>
      </c>
      <c r="N819" s="75"/>
    </row>
    <row r="820" spans="1:14">
      <c r="A820" s="12">
        <v>817</v>
      </c>
      <c r="B820" s="12" t="s">
        <v>3065</v>
      </c>
      <c r="C820" s="12" t="s">
        <v>752</v>
      </c>
      <c r="D820" s="12" t="s">
        <v>3066</v>
      </c>
      <c r="E820" s="85">
        <v>41.91</v>
      </c>
      <c r="F820" s="6">
        <v>6008194</v>
      </c>
      <c r="G820" s="12" t="s">
        <v>3067</v>
      </c>
      <c r="H820" s="12" t="s">
        <v>755</v>
      </c>
      <c r="I820" s="12" t="s">
        <v>756</v>
      </c>
      <c r="J820" s="84">
        <v>40767</v>
      </c>
      <c r="K820" s="84">
        <v>51725</v>
      </c>
      <c r="L820" s="12" t="s">
        <v>304</v>
      </c>
      <c r="M820" s="12" t="s">
        <v>773</v>
      </c>
      <c r="N820" s="75"/>
    </row>
    <row r="821" spans="1:14">
      <c r="A821" s="12">
        <v>818</v>
      </c>
      <c r="B821" s="12" t="s">
        <v>3068</v>
      </c>
      <c r="C821" s="12" t="s">
        <v>752</v>
      </c>
      <c r="D821" s="12" t="s">
        <v>3069</v>
      </c>
      <c r="E821" s="85">
        <v>150.75</v>
      </c>
      <c r="F821" s="6">
        <v>2097109</v>
      </c>
      <c r="G821" s="12" t="s">
        <v>3070</v>
      </c>
      <c r="H821" s="12" t="s">
        <v>755</v>
      </c>
      <c r="I821" s="12" t="s">
        <v>756</v>
      </c>
      <c r="J821" s="84">
        <v>40777</v>
      </c>
      <c r="K821" s="84">
        <v>51735</v>
      </c>
      <c r="L821" s="12" t="s">
        <v>274</v>
      </c>
      <c r="M821" s="12" t="s">
        <v>790</v>
      </c>
      <c r="N821" s="75"/>
    </row>
    <row r="822" spans="1:14">
      <c r="A822" s="12">
        <v>819</v>
      </c>
      <c r="B822" s="12" t="s">
        <v>3071</v>
      </c>
      <c r="C822" s="12" t="s">
        <v>881</v>
      </c>
      <c r="D822" s="12" t="s">
        <v>3072</v>
      </c>
      <c r="E822" s="85">
        <v>255.26</v>
      </c>
      <c r="F822" s="6">
        <v>5244501</v>
      </c>
      <c r="G822" s="12" t="s">
        <v>3073</v>
      </c>
      <c r="H822" s="12" t="s">
        <v>755</v>
      </c>
      <c r="I822" s="12" t="s">
        <v>756</v>
      </c>
      <c r="J822" s="84">
        <v>40780</v>
      </c>
      <c r="K822" s="84">
        <v>51738</v>
      </c>
      <c r="L822" s="12" t="s">
        <v>274</v>
      </c>
      <c r="M822" s="12" t="s">
        <v>790</v>
      </c>
      <c r="N822" s="75"/>
    </row>
    <row r="823" spans="1:14">
      <c r="A823" s="12">
        <v>820</v>
      </c>
      <c r="B823" s="12" t="s">
        <v>3074</v>
      </c>
      <c r="C823" s="12" t="s">
        <v>1017</v>
      </c>
      <c r="D823" s="12" t="s">
        <v>3075</v>
      </c>
      <c r="E823" s="85">
        <v>74.180000000000007</v>
      </c>
      <c r="F823" s="6">
        <v>2824833</v>
      </c>
      <c r="G823" s="12" t="s">
        <v>2440</v>
      </c>
      <c r="H823" s="12" t="s">
        <v>755</v>
      </c>
      <c r="I823" s="12" t="s">
        <v>756</v>
      </c>
      <c r="J823" s="84">
        <v>40784</v>
      </c>
      <c r="K823" s="84">
        <v>51742</v>
      </c>
      <c r="L823" s="12" t="s">
        <v>304</v>
      </c>
      <c r="M823" s="12" t="s">
        <v>305</v>
      </c>
      <c r="N823" s="75"/>
    </row>
    <row r="824" spans="1:14">
      <c r="A824" s="12">
        <v>821</v>
      </c>
      <c r="B824" s="12" t="s">
        <v>3076</v>
      </c>
      <c r="C824" s="12" t="s">
        <v>200</v>
      </c>
      <c r="D824" s="12" t="s">
        <v>2869</v>
      </c>
      <c r="E824" s="85">
        <v>31.98</v>
      </c>
      <c r="F824" s="6">
        <v>5108713</v>
      </c>
      <c r="G824" s="12" t="s">
        <v>3077</v>
      </c>
      <c r="H824" s="12" t="s">
        <v>755</v>
      </c>
      <c r="I824" s="12" t="s">
        <v>756</v>
      </c>
      <c r="J824" s="84">
        <v>40449</v>
      </c>
      <c r="K824" s="84">
        <v>51407</v>
      </c>
      <c r="L824" s="12" t="s">
        <v>375</v>
      </c>
      <c r="M824" s="12" t="s">
        <v>893</v>
      </c>
      <c r="N824" s="75"/>
    </row>
    <row r="825" spans="1:14">
      <c r="A825" s="12">
        <v>822</v>
      </c>
      <c r="B825" s="12" t="s">
        <v>3078</v>
      </c>
      <c r="C825" s="12" t="s">
        <v>752</v>
      </c>
      <c r="D825" s="12" t="s">
        <v>1344</v>
      </c>
      <c r="E825" s="85">
        <v>24.33</v>
      </c>
      <c r="F825" s="6">
        <v>5266386</v>
      </c>
      <c r="G825" s="12" t="s">
        <v>3079</v>
      </c>
      <c r="H825" s="12" t="s">
        <v>755</v>
      </c>
      <c r="I825" s="12" t="s">
        <v>756</v>
      </c>
      <c r="J825" s="84">
        <v>40816</v>
      </c>
      <c r="K825" s="84">
        <v>51774</v>
      </c>
      <c r="L825" s="12" t="s">
        <v>274</v>
      </c>
      <c r="M825" s="12" t="s">
        <v>275</v>
      </c>
      <c r="N825" s="75"/>
    </row>
    <row r="826" spans="1:14">
      <c r="A826" s="12">
        <v>823</v>
      </c>
      <c r="B826" s="12" t="s">
        <v>3080</v>
      </c>
      <c r="C826" s="12" t="s">
        <v>1035</v>
      </c>
      <c r="D826" s="12" t="s">
        <v>3081</v>
      </c>
      <c r="E826" s="85">
        <v>250.76</v>
      </c>
      <c r="F826" s="6">
        <v>5114039</v>
      </c>
      <c r="G826" s="12" t="s">
        <v>3082</v>
      </c>
      <c r="H826" s="12" t="s">
        <v>848</v>
      </c>
      <c r="I826" s="12" t="s">
        <v>849</v>
      </c>
      <c r="J826" s="84">
        <v>40816</v>
      </c>
      <c r="K826" s="84">
        <v>51774</v>
      </c>
      <c r="L826" s="12" t="s">
        <v>293</v>
      </c>
      <c r="M826" s="12" t="s">
        <v>1816</v>
      </c>
      <c r="N826" s="75"/>
    </row>
    <row r="827" spans="1:14">
      <c r="A827" s="12">
        <v>824</v>
      </c>
      <c r="B827" s="12" t="s">
        <v>3083</v>
      </c>
      <c r="C827" s="12" t="s">
        <v>212</v>
      </c>
      <c r="D827" s="12" t="s">
        <v>3084</v>
      </c>
      <c r="E827" s="85">
        <v>47.85</v>
      </c>
      <c r="F827" s="6">
        <v>5504767</v>
      </c>
      <c r="G827" s="12" t="s">
        <v>3085</v>
      </c>
      <c r="H827" s="12" t="s">
        <v>848</v>
      </c>
      <c r="I827" s="12" t="s">
        <v>849</v>
      </c>
      <c r="J827" s="84">
        <v>40828</v>
      </c>
      <c r="K827" s="84">
        <v>51786</v>
      </c>
      <c r="L827" s="12" t="s">
        <v>375</v>
      </c>
      <c r="M827" s="12" t="s">
        <v>3086</v>
      </c>
      <c r="N827" s="75"/>
    </row>
    <row r="828" spans="1:14">
      <c r="A828" s="12">
        <v>825</v>
      </c>
      <c r="B828" s="12" t="s">
        <v>3087</v>
      </c>
      <c r="C828" s="12" t="s">
        <v>1035</v>
      </c>
      <c r="D828" s="12" t="s">
        <v>3088</v>
      </c>
      <c r="E828" s="85">
        <v>97.25</v>
      </c>
      <c r="F828" s="6">
        <v>5266084</v>
      </c>
      <c r="G828" s="12" t="s">
        <v>3089</v>
      </c>
      <c r="H828" s="12" t="s">
        <v>755</v>
      </c>
      <c r="I828" s="12" t="s">
        <v>756</v>
      </c>
      <c r="J828" s="84">
        <v>40830</v>
      </c>
      <c r="K828" s="84">
        <v>51788</v>
      </c>
      <c r="L828" s="12" t="s">
        <v>288</v>
      </c>
      <c r="M828" s="12" t="s">
        <v>902</v>
      </c>
      <c r="N828" s="75"/>
    </row>
    <row r="829" spans="1:14">
      <c r="A829" s="12">
        <v>826</v>
      </c>
      <c r="B829" s="12" t="s">
        <v>3090</v>
      </c>
      <c r="C829" s="12" t="s">
        <v>1035</v>
      </c>
      <c r="D829" s="12" t="s">
        <v>3091</v>
      </c>
      <c r="E829" s="85">
        <v>75.05</v>
      </c>
      <c r="F829" s="6">
        <v>5266084</v>
      </c>
      <c r="G829" s="12" t="s">
        <v>3089</v>
      </c>
      <c r="H829" s="12" t="s">
        <v>755</v>
      </c>
      <c r="I829" s="12" t="s">
        <v>756</v>
      </c>
      <c r="J829" s="84">
        <v>40830</v>
      </c>
      <c r="K829" s="84">
        <v>51788</v>
      </c>
      <c r="L829" s="12" t="s">
        <v>288</v>
      </c>
      <c r="M829" s="12" t="s">
        <v>902</v>
      </c>
      <c r="N829" s="75"/>
    </row>
    <row r="830" spans="1:14">
      <c r="A830" s="12">
        <v>827</v>
      </c>
      <c r="B830" s="12" t="s">
        <v>3092</v>
      </c>
      <c r="C830" s="12" t="s">
        <v>942</v>
      </c>
      <c r="D830" s="12" t="s">
        <v>3093</v>
      </c>
      <c r="E830" s="85">
        <v>253.63</v>
      </c>
      <c r="F830" s="6">
        <v>5212448</v>
      </c>
      <c r="G830" s="12" t="s">
        <v>3094</v>
      </c>
      <c r="H830" s="12" t="s">
        <v>755</v>
      </c>
      <c r="I830" s="12" t="s">
        <v>756</v>
      </c>
      <c r="J830" s="84">
        <v>40830</v>
      </c>
      <c r="K830" s="84">
        <v>51788</v>
      </c>
      <c r="L830" s="12" t="s">
        <v>170</v>
      </c>
      <c r="M830" s="12" t="s">
        <v>280</v>
      </c>
      <c r="N830" s="75"/>
    </row>
    <row r="831" spans="1:14">
      <c r="A831" s="12">
        <v>828</v>
      </c>
      <c r="B831" s="12" t="s">
        <v>3095</v>
      </c>
      <c r="C831" s="12" t="s">
        <v>212</v>
      </c>
      <c r="D831" s="12" t="s">
        <v>1340</v>
      </c>
      <c r="E831" s="85">
        <v>46.18</v>
      </c>
      <c r="F831" s="6">
        <v>3310132</v>
      </c>
      <c r="G831" s="12" t="s">
        <v>3096</v>
      </c>
      <c r="H831" s="12" t="s">
        <v>755</v>
      </c>
      <c r="I831" s="12" t="s">
        <v>756</v>
      </c>
      <c r="J831" s="84">
        <v>40826</v>
      </c>
      <c r="K831" s="84">
        <v>51784</v>
      </c>
      <c r="L831" s="12" t="s">
        <v>293</v>
      </c>
      <c r="M831" s="12" t="s">
        <v>815</v>
      </c>
      <c r="N831" s="75"/>
    </row>
    <row r="832" spans="1:14">
      <c r="A832" s="12">
        <v>829</v>
      </c>
      <c r="B832" s="12" t="s">
        <v>3097</v>
      </c>
      <c r="C832" s="12" t="s">
        <v>212</v>
      </c>
      <c r="D832" s="12" t="s">
        <v>2738</v>
      </c>
      <c r="E832" s="85">
        <v>89.65</v>
      </c>
      <c r="F832" s="6">
        <v>5234751</v>
      </c>
      <c r="G832" s="12" t="s">
        <v>3098</v>
      </c>
      <c r="H832" s="12" t="s">
        <v>755</v>
      </c>
      <c r="I832" s="12" t="s">
        <v>756</v>
      </c>
      <c r="J832" s="84">
        <v>40828</v>
      </c>
      <c r="K832" s="84">
        <v>51786</v>
      </c>
      <c r="L832" s="12" t="s">
        <v>170</v>
      </c>
      <c r="M832" s="12" t="s">
        <v>171</v>
      </c>
      <c r="N832" s="75"/>
    </row>
    <row r="833" spans="1:14">
      <c r="A833" s="12">
        <v>830</v>
      </c>
      <c r="B833" s="12" t="s">
        <v>3099</v>
      </c>
      <c r="C833" s="12" t="s">
        <v>1203</v>
      </c>
      <c r="D833" s="12" t="s">
        <v>3100</v>
      </c>
      <c r="E833" s="85">
        <v>406.06</v>
      </c>
      <c r="F833" s="6">
        <v>5317312</v>
      </c>
      <c r="G833" s="12" t="s">
        <v>3101</v>
      </c>
      <c r="H833" s="12" t="s">
        <v>848</v>
      </c>
      <c r="I833" s="12" t="s">
        <v>849</v>
      </c>
      <c r="J833" s="84">
        <v>40834</v>
      </c>
      <c r="K833" s="84">
        <v>51792</v>
      </c>
      <c r="L833" s="12" t="s">
        <v>293</v>
      </c>
      <c r="M833" s="12" t="s">
        <v>1206</v>
      </c>
      <c r="N833" s="75"/>
    </row>
    <row r="834" spans="1:14">
      <c r="A834" s="12">
        <v>831</v>
      </c>
      <c r="B834" s="12" t="s">
        <v>3102</v>
      </c>
      <c r="C834" s="12" t="s">
        <v>212</v>
      </c>
      <c r="D834" s="12" t="s">
        <v>3103</v>
      </c>
      <c r="E834" s="85">
        <v>212.91</v>
      </c>
      <c r="F834" s="6">
        <v>5106753</v>
      </c>
      <c r="G834" s="12" t="s">
        <v>3104</v>
      </c>
      <c r="H834" s="12" t="s">
        <v>755</v>
      </c>
      <c r="I834" s="12" t="s">
        <v>756</v>
      </c>
      <c r="J834" s="84">
        <v>40842</v>
      </c>
      <c r="K834" s="84">
        <v>51800</v>
      </c>
      <c r="L834" s="12" t="s">
        <v>293</v>
      </c>
      <c r="M834" s="12" t="s">
        <v>815</v>
      </c>
      <c r="N834" s="75"/>
    </row>
    <row r="835" spans="1:14">
      <c r="A835" s="12">
        <v>832</v>
      </c>
      <c r="B835" s="12" t="s">
        <v>3105</v>
      </c>
      <c r="C835" s="12" t="s">
        <v>122</v>
      </c>
      <c r="D835" s="12" t="s">
        <v>3106</v>
      </c>
      <c r="E835" s="85">
        <v>2719.94</v>
      </c>
      <c r="F835" s="6">
        <v>5301769</v>
      </c>
      <c r="G835" s="12" t="s">
        <v>3107</v>
      </c>
      <c r="H835" s="12" t="s">
        <v>848</v>
      </c>
      <c r="I835" s="12" t="s">
        <v>849</v>
      </c>
      <c r="J835" s="84">
        <v>40836</v>
      </c>
      <c r="K835" s="84">
        <v>51794</v>
      </c>
      <c r="L835" s="12" t="s">
        <v>138</v>
      </c>
      <c r="M835" s="12" t="s">
        <v>1379</v>
      </c>
      <c r="N835" s="75"/>
    </row>
    <row r="836" spans="1:14">
      <c r="A836" s="12">
        <v>833</v>
      </c>
      <c r="B836" s="12" t="s">
        <v>3108</v>
      </c>
      <c r="C836" s="12" t="s">
        <v>137</v>
      </c>
      <c r="D836" s="12" t="s">
        <v>2579</v>
      </c>
      <c r="E836" s="85">
        <v>649.01</v>
      </c>
      <c r="F836" s="6">
        <v>5467268</v>
      </c>
      <c r="G836" s="12" t="s">
        <v>194</v>
      </c>
      <c r="H836" s="12" t="s">
        <v>755</v>
      </c>
      <c r="I836" s="12" t="s">
        <v>756</v>
      </c>
      <c r="J836" s="84">
        <v>40857</v>
      </c>
      <c r="K836" s="84">
        <v>51815</v>
      </c>
      <c r="L836" s="12" t="s">
        <v>304</v>
      </c>
      <c r="M836" s="12" t="s">
        <v>773</v>
      </c>
      <c r="N836" s="75"/>
    </row>
    <row r="837" spans="1:14">
      <c r="A837" s="12">
        <v>834</v>
      </c>
      <c r="B837" s="12" t="s">
        <v>3109</v>
      </c>
      <c r="C837" s="12" t="s">
        <v>2642</v>
      </c>
      <c r="D837" s="12" t="s">
        <v>3110</v>
      </c>
      <c r="E837" s="85">
        <v>1933.96</v>
      </c>
      <c r="F837" s="6">
        <v>5194423</v>
      </c>
      <c r="G837" s="12" t="s">
        <v>3111</v>
      </c>
      <c r="H837" s="12" t="s">
        <v>848</v>
      </c>
      <c r="I837" s="12" t="s">
        <v>849</v>
      </c>
      <c r="J837" s="84">
        <v>40863</v>
      </c>
      <c r="K837" s="84">
        <v>51821</v>
      </c>
      <c r="L837" s="12" t="s">
        <v>768</v>
      </c>
      <c r="M837" s="12" t="s">
        <v>3112</v>
      </c>
      <c r="N837" s="75"/>
    </row>
    <row r="838" spans="1:14">
      <c r="A838" s="12">
        <v>835</v>
      </c>
      <c r="B838" s="12" t="s">
        <v>3113</v>
      </c>
      <c r="C838" s="12" t="s">
        <v>122</v>
      </c>
      <c r="D838" s="12" t="s">
        <v>3114</v>
      </c>
      <c r="E838" s="85">
        <v>29100.14</v>
      </c>
      <c r="F838" s="6">
        <v>5217652</v>
      </c>
      <c r="G838" s="12" t="s">
        <v>3115</v>
      </c>
      <c r="H838" s="12" t="s">
        <v>848</v>
      </c>
      <c r="I838" s="12" t="s">
        <v>849</v>
      </c>
      <c r="J838" s="84">
        <v>40865</v>
      </c>
      <c r="K838" s="84">
        <v>51823</v>
      </c>
      <c r="L838" s="12" t="s">
        <v>233</v>
      </c>
      <c r="M838" s="12" t="s">
        <v>237</v>
      </c>
      <c r="N838" s="75"/>
    </row>
    <row r="839" spans="1:14">
      <c r="A839" s="12">
        <v>836</v>
      </c>
      <c r="B839" s="12" t="s">
        <v>3116</v>
      </c>
      <c r="C839" s="12" t="s">
        <v>122</v>
      </c>
      <c r="D839" s="12" t="s">
        <v>1459</v>
      </c>
      <c r="E839" s="85">
        <v>2979.36</v>
      </c>
      <c r="F839" s="6">
        <v>5103797</v>
      </c>
      <c r="G839" s="12" t="s">
        <v>3117</v>
      </c>
      <c r="H839" s="12" t="s">
        <v>848</v>
      </c>
      <c r="I839" s="12" t="s">
        <v>849</v>
      </c>
      <c r="J839" s="84">
        <v>40875</v>
      </c>
      <c r="K839" s="84">
        <v>51833</v>
      </c>
      <c r="L839" s="12" t="s">
        <v>170</v>
      </c>
      <c r="M839" s="12" t="s">
        <v>1426</v>
      </c>
      <c r="N839" s="75"/>
    </row>
    <row r="840" spans="1:14">
      <c r="A840" s="12">
        <v>837</v>
      </c>
      <c r="B840" s="12" t="s">
        <v>3118</v>
      </c>
      <c r="C840" s="12" t="s">
        <v>122</v>
      </c>
      <c r="D840" s="12" t="s">
        <v>3119</v>
      </c>
      <c r="E840" s="85">
        <v>1695.74</v>
      </c>
      <c r="F840" s="6">
        <v>5103797</v>
      </c>
      <c r="G840" s="12" t="s">
        <v>3117</v>
      </c>
      <c r="H840" s="12" t="s">
        <v>848</v>
      </c>
      <c r="I840" s="12" t="s">
        <v>849</v>
      </c>
      <c r="J840" s="84">
        <v>40875</v>
      </c>
      <c r="K840" s="84">
        <v>51833</v>
      </c>
      <c r="L840" s="12" t="s">
        <v>170</v>
      </c>
      <c r="M840" s="12" t="s">
        <v>1426</v>
      </c>
      <c r="N840" s="75"/>
    </row>
    <row r="841" spans="1:14">
      <c r="A841" s="12">
        <v>838</v>
      </c>
      <c r="B841" s="12" t="s">
        <v>3120</v>
      </c>
      <c r="C841" s="12" t="s">
        <v>137</v>
      </c>
      <c r="D841" s="12" t="s">
        <v>3121</v>
      </c>
      <c r="E841" s="85">
        <v>544.54</v>
      </c>
      <c r="F841" s="6">
        <v>5197201</v>
      </c>
      <c r="G841" s="12" t="s">
        <v>3122</v>
      </c>
      <c r="H841" s="12" t="s">
        <v>755</v>
      </c>
      <c r="I841" s="12" t="s">
        <v>756</v>
      </c>
      <c r="J841" s="84">
        <v>40878</v>
      </c>
      <c r="K841" s="84">
        <v>51836</v>
      </c>
      <c r="L841" s="12" t="s">
        <v>123</v>
      </c>
      <c r="M841" s="12" t="s">
        <v>3123</v>
      </c>
      <c r="N841" s="75"/>
    </row>
    <row r="842" spans="1:14">
      <c r="A842" s="12">
        <v>839</v>
      </c>
      <c r="B842" s="12" t="s">
        <v>3124</v>
      </c>
      <c r="C842" s="12" t="s">
        <v>752</v>
      </c>
      <c r="D842" s="12" t="s">
        <v>3125</v>
      </c>
      <c r="E842" s="85">
        <v>84.19</v>
      </c>
      <c r="F842" s="6">
        <v>5079527</v>
      </c>
      <c r="G842" s="12" t="s">
        <v>3126</v>
      </c>
      <c r="H842" s="12" t="s">
        <v>755</v>
      </c>
      <c r="I842" s="12" t="s">
        <v>756</v>
      </c>
      <c r="J842" s="84">
        <v>40885</v>
      </c>
      <c r="K842" s="84">
        <v>52207</v>
      </c>
      <c r="L842" s="12" t="s">
        <v>782</v>
      </c>
      <c r="M842" s="12" t="s">
        <v>233</v>
      </c>
      <c r="N842" s="75"/>
    </row>
    <row r="843" spans="1:14">
      <c r="A843" s="12">
        <v>840</v>
      </c>
      <c r="B843" s="12" t="s">
        <v>3127</v>
      </c>
      <c r="C843" s="12" t="s">
        <v>212</v>
      </c>
      <c r="D843" s="12" t="s">
        <v>1811</v>
      </c>
      <c r="E843" s="85">
        <v>30.41</v>
      </c>
      <c r="F843" s="6">
        <v>5237572</v>
      </c>
      <c r="G843" s="12" t="s">
        <v>3128</v>
      </c>
      <c r="H843" s="12" t="s">
        <v>755</v>
      </c>
      <c r="I843" s="12" t="s">
        <v>756</v>
      </c>
      <c r="J843" s="84">
        <v>38567</v>
      </c>
      <c r="K843" s="84">
        <v>49524</v>
      </c>
      <c r="L843" s="12" t="s">
        <v>170</v>
      </c>
      <c r="M843" s="12" t="s">
        <v>171</v>
      </c>
      <c r="N843" s="75"/>
    </row>
    <row r="844" spans="1:14">
      <c r="A844" s="12">
        <v>841</v>
      </c>
      <c r="B844" s="12" t="s">
        <v>3129</v>
      </c>
      <c r="C844" s="12" t="s">
        <v>212</v>
      </c>
      <c r="D844" s="12" t="s">
        <v>3130</v>
      </c>
      <c r="E844" s="85">
        <v>30.91</v>
      </c>
      <c r="F844" s="6">
        <v>5488087</v>
      </c>
      <c r="G844" s="12" t="s">
        <v>3131</v>
      </c>
      <c r="H844" s="12" t="s">
        <v>755</v>
      </c>
      <c r="I844" s="12" t="s">
        <v>756</v>
      </c>
      <c r="J844" s="84">
        <v>39128</v>
      </c>
      <c r="K844" s="84">
        <v>50086</v>
      </c>
      <c r="L844" s="12" t="s">
        <v>170</v>
      </c>
      <c r="M844" s="12" t="s">
        <v>807</v>
      </c>
      <c r="N844" s="75"/>
    </row>
    <row r="845" spans="1:14">
      <c r="A845" s="12">
        <v>842</v>
      </c>
      <c r="B845" s="12" t="s">
        <v>3132</v>
      </c>
      <c r="C845" s="12" t="s">
        <v>122</v>
      </c>
      <c r="D845" s="12" t="s">
        <v>3133</v>
      </c>
      <c r="E845" s="85">
        <v>13382.85</v>
      </c>
      <c r="F845" s="6">
        <v>5161312</v>
      </c>
      <c r="G845" s="12" t="s">
        <v>3134</v>
      </c>
      <c r="H845" s="12" t="s">
        <v>848</v>
      </c>
      <c r="I845" s="12" t="s">
        <v>849</v>
      </c>
      <c r="J845" s="84">
        <v>40905</v>
      </c>
      <c r="K845" s="84">
        <v>51863</v>
      </c>
      <c r="L845" s="12" t="s">
        <v>233</v>
      </c>
      <c r="M845" s="12" t="s">
        <v>3019</v>
      </c>
      <c r="N845" s="75"/>
    </row>
    <row r="846" spans="1:14">
      <c r="A846" s="12">
        <v>843</v>
      </c>
      <c r="B846" s="12" t="s">
        <v>3135</v>
      </c>
      <c r="C846" s="12" t="s">
        <v>122</v>
      </c>
      <c r="D846" s="12" t="s">
        <v>2884</v>
      </c>
      <c r="E846" s="85">
        <v>537.95000000000005</v>
      </c>
      <c r="F846" s="6">
        <v>5615631</v>
      </c>
      <c r="G846" s="12" t="s">
        <v>3136</v>
      </c>
      <c r="H846" s="12" t="s">
        <v>755</v>
      </c>
      <c r="I846" s="12" t="s">
        <v>756</v>
      </c>
      <c r="J846" s="84">
        <v>40907</v>
      </c>
      <c r="K846" s="84">
        <v>51865</v>
      </c>
      <c r="L846" s="12" t="s">
        <v>138</v>
      </c>
      <c r="M846" s="12" t="s">
        <v>138</v>
      </c>
      <c r="N846" s="75"/>
    </row>
    <row r="847" spans="1:14">
      <c r="A847" s="12">
        <v>844</v>
      </c>
      <c r="B847" s="12" t="s">
        <v>3137</v>
      </c>
      <c r="C847" s="12" t="s">
        <v>979</v>
      </c>
      <c r="D847" s="12" t="s">
        <v>3138</v>
      </c>
      <c r="E847" s="85">
        <v>85.74</v>
      </c>
      <c r="F847" s="6">
        <v>2577453</v>
      </c>
      <c r="G847" s="12" t="s">
        <v>3139</v>
      </c>
      <c r="H847" s="12" t="s">
        <v>755</v>
      </c>
      <c r="I847" s="12" t="s">
        <v>756</v>
      </c>
      <c r="J847" s="84">
        <v>37547</v>
      </c>
      <c r="K847" s="84">
        <v>48505</v>
      </c>
      <c r="L847" s="12" t="s">
        <v>304</v>
      </c>
      <c r="M847" s="12" t="s">
        <v>141</v>
      </c>
      <c r="N847" s="75"/>
    </row>
    <row r="848" spans="1:14">
      <c r="A848" s="12">
        <v>845</v>
      </c>
      <c r="B848" s="12" t="s">
        <v>3140</v>
      </c>
      <c r="C848" s="12" t="s">
        <v>752</v>
      </c>
      <c r="D848" s="12" t="s">
        <v>3081</v>
      </c>
      <c r="E848" s="85">
        <v>11.97</v>
      </c>
      <c r="F848" s="6">
        <v>2577453</v>
      </c>
      <c r="G848" s="12" t="s">
        <v>3139</v>
      </c>
      <c r="H848" s="12" t="s">
        <v>755</v>
      </c>
      <c r="I848" s="12" t="s">
        <v>756</v>
      </c>
      <c r="J848" s="84">
        <v>36999</v>
      </c>
      <c r="K848" s="84">
        <v>47956</v>
      </c>
      <c r="L848" s="12" t="s">
        <v>304</v>
      </c>
      <c r="M848" s="12" t="s">
        <v>141</v>
      </c>
      <c r="N848" s="75"/>
    </row>
    <row r="849" spans="1:14">
      <c r="A849" s="12">
        <v>846</v>
      </c>
      <c r="B849" s="12" t="s">
        <v>3141</v>
      </c>
      <c r="C849" s="12" t="s">
        <v>979</v>
      </c>
      <c r="D849" s="12" t="s">
        <v>856</v>
      </c>
      <c r="E849" s="85">
        <v>84.49</v>
      </c>
      <c r="F849" s="6">
        <v>2577453</v>
      </c>
      <c r="G849" s="12" t="s">
        <v>3139</v>
      </c>
      <c r="H849" s="12" t="s">
        <v>755</v>
      </c>
      <c r="I849" s="12" t="s">
        <v>756</v>
      </c>
      <c r="J849" s="84">
        <v>37501</v>
      </c>
      <c r="K849" s="84">
        <v>48459</v>
      </c>
      <c r="L849" s="12" t="s">
        <v>304</v>
      </c>
      <c r="M849" s="12" t="s">
        <v>141</v>
      </c>
      <c r="N849" s="75"/>
    </row>
    <row r="850" spans="1:14">
      <c r="A850" s="12">
        <v>847</v>
      </c>
      <c r="B850" s="12" t="s">
        <v>3142</v>
      </c>
      <c r="C850" s="12" t="s">
        <v>212</v>
      </c>
      <c r="D850" s="12" t="s">
        <v>2255</v>
      </c>
      <c r="E850" s="85">
        <v>76.91</v>
      </c>
      <c r="F850" s="6">
        <v>5215331</v>
      </c>
      <c r="G850" s="12" t="s">
        <v>3143</v>
      </c>
      <c r="H850" s="12" t="s">
        <v>848</v>
      </c>
      <c r="I850" s="12" t="s">
        <v>849</v>
      </c>
      <c r="J850" s="84">
        <v>40920</v>
      </c>
      <c r="K850" s="84">
        <v>51878</v>
      </c>
      <c r="L850" s="12" t="s">
        <v>170</v>
      </c>
      <c r="M850" s="12" t="s">
        <v>807</v>
      </c>
      <c r="N850" s="75"/>
    </row>
    <row r="851" spans="1:14">
      <c r="A851" s="12">
        <v>848</v>
      </c>
      <c r="B851" s="12" t="s">
        <v>3144</v>
      </c>
      <c r="C851" s="12" t="s">
        <v>212</v>
      </c>
      <c r="D851" s="12" t="s">
        <v>3145</v>
      </c>
      <c r="E851" s="85">
        <v>55.79</v>
      </c>
      <c r="F851" s="6">
        <v>5215331</v>
      </c>
      <c r="G851" s="12" t="s">
        <v>3143</v>
      </c>
      <c r="H851" s="12" t="s">
        <v>848</v>
      </c>
      <c r="I851" s="12" t="s">
        <v>849</v>
      </c>
      <c r="J851" s="84">
        <v>40920</v>
      </c>
      <c r="K851" s="84">
        <v>51878</v>
      </c>
      <c r="L851" s="12" t="s">
        <v>170</v>
      </c>
      <c r="M851" s="12" t="s">
        <v>807</v>
      </c>
      <c r="N851" s="75"/>
    </row>
    <row r="852" spans="1:14">
      <c r="A852" s="12">
        <v>849</v>
      </c>
      <c r="B852" s="12" t="s">
        <v>3146</v>
      </c>
      <c r="C852" s="12" t="s">
        <v>122</v>
      </c>
      <c r="D852" s="12" t="s">
        <v>3147</v>
      </c>
      <c r="E852" s="85">
        <v>887.13</v>
      </c>
      <c r="F852" s="6">
        <v>5097282</v>
      </c>
      <c r="G852" s="12" t="s">
        <v>3148</v>
      </c>
      <c r="H852" s="12" t="s">
        <v>755</v>
      </c>
      <c r="I852" s="12" t="s">
        <v>756</v>
      </c>
      <c r="J852" s="84">
        <v>40920</v>
      </c>
      <c r="K852" s="84">
        <v>51878</v>
      </c>
      <c r="L852" s="12" t="s">
        <v>274</v>
      </c>
      <c r="M852" s="12" t="s">
        <v>944</v>
      </c>
      <c r="N852" s="75"/>
    </row>
    <row r="853" spans="1:14">
      <c r="A853" s="12">
        <v>850</v>
      </c>
      <c r="B853" s="12" t="s">
        <v>3149</v>
      </c>
      <c r="C853" s="12" t="s">
        <v>752</v>
      </c>
      <c r="D853" s="12" t="s">
        <v>3125</v>
      </c>
      <c r="E853" s="85">
        <v>71.040000000000006</v>
      </c>
      <c r="F853" s="6">
        <v>5079527</v>
      </c>
      <c r="G853" s="12" t="s">
        <v>3126</v>
      </c>
      <c r="H853" s="12" t="s">
        <v>755</v>
      </c>
      <c r="I853" s="12" t="s">
        <v>756</v>
      </c>
      <c r="J853" s="84">
        <v>40927</v>
      </c>
      <c r="K853" s="84">
        <v>52249</v>
      </c>
      <c r="L853" s="12" t="s">
        <v>782</v>
      </c>
      <c r="M853" s="12" t="s">
        <v>233</v>
      </c>
      <c r="N853" s="75"/>
    </row>
    <row r="854" spans="1:14">
      <c r="A854" s="12">
        <v>851</v>
      </c>
      <c r="B854" s="12" t="s">
        <v>3150</v>
      </c>
      <c r="C854" s="12" t="s">
        <v>752</v>
      </c>
      <c r="D854" s="12" t="s">
        <v>1395</v>
      </c>
      <c r="E854" s="85">
        <v>91.61</v>
      </c>
      <c r="F854" s="6">
        <v>5535565</v>
      </c>
      <c r="G854" s="12" t="s">
        <v>3151</v>
      </c>
      <c r="H854" s="12" t="s">
        <v>755</v>
      </c>
      <c r="I854" s="12" t="s">
        <v>756</v>
      </c>
      <c r="J854" s="84">
        <v>38427</v>
      </c>
      <c r="K854" s="84">
        <v>49384</v>
      </c>
      <c r="L854" s="12" t="s">
        <v>180</v>
      </c>
      <c r="M854" s="12" t="s">
        <v>798</v>
      </c>
      <c r="N854" s="75"/>
    </row>
    <row r="855" spans="1:14">
      <c r="A855" s="12">
        <v>852</v>
      </c>
      <c r="B855" s="12" t="s">
        <v>3152</v>
      </c>
      <c r="C855" s="12" t="s">
        <v>752</v>
      </c>
      <c r="D855" s="12" t="s">
        <v>1645</v>
      </c>
      <c r="E855" s="85">
        <v>154.56</v>
      </c>
      <c r="F855" s="6">
        <v>5535565</v>
      </c>
      <c r="G855" s="12" t="s">
        <v>3151</v>
      </c>
      <c r="H855" s="12" t="s">
        <v>755</v>
      </c>
      <c r="I855" s="12" t="s">
        <v>756</v>
      </c>
      <c r="J855" s="84">
        <v>38212</v>
      </c>
      <c r="K855" s="84">
        <v>49169</v>
      </c>
      <c r="L855" s="12" t="s">
        <v>180</v>
      </c>
      <c r="M855" s="12" t="s">
        <v>960</v>
      </c>
      <c r="N855" s="75"/>
    </row>
    <row r="856" spans="1:14">
      <c r="A856" s="12">
        <v>853</v>
      </c>
      <c r="B856" s="12" t="s">
        <v>3153</v>
      </c>
      <c r="C856" s="12" t="s">
        <v>2642</v>
      </c>
      <c r="D856" s="12" t="s">
        <v>3154</v>
      </c>
      <c r="E856" s="85">
        <v>1086.57</v>
      </c>
      <c r="F856" s="6">
        <v>5258774</v>
      </c>
      <c r="G856" s="12" t="s">
        <v>3155</v>
      </c>
      <c r="H856" s="12" t="s">
        <v>755</v>
      </c>
      <c r="I856" s="12" t="s">
        <v>756</v>
      </c>
      <c r="J856" s="84">
        <v>40924</v>
      </c>
      <c r="K856" s="84">
        <v>51882</v>
      </c>
      <c r="L856" s="12" t="s">
        <v>288</v>
      </c>
      <c r="M856" s="12" t="s">
        <v>2697</v>
      </c>
      <c r="N856" s="75"/>
    </row>
    <row r="857" spans="1:14">
      <c r="A857" s="12">
        <v>854</v>
      </c>
      <c r="B857" s="12" t="s">
        <v>3156</v>
      </c>
      <c r="C857" s="12" t="s">
        <v>2642</v>
      </c>
      <c r="D857" s="12" t="s">
        <v>3157</v>
      </c>
      <c r="E857" s="85">
        <v>843.09</v>
      </c>
      <c r="F857" s="6">
        <v>5258774</v>
      </c>
      <c r="G857" s="12" t="s">
        <v>3155</v>
      </c>
      <c r="H857" s="12" t="s">
        <v>755</v>
      </c>
      <c r="I857" s="12" t="s">
        <v>756</v>
      </c>
      <c r="J857" s="84">
        <v>40924</v>
      </c>
      <c r="K857" s="84">
        <v>51882</v>
      </c>
      <c r="L857" s="12" t="s">
        <v>288</v>
      </c>
      <c r="M857" s="12" t="s">
        <v>2697</v>
      </c>
      <c r="N857" s="75"/>
    </row>
    <row r="858" spans="1:14">
      <c r="A858" s="12">
        <v>855</v>
      </c>
      <c r="B858" s="12" t="s">
        <v>3158</v>
      </c>
      <c r="C858" s="12" t="s">
        <v>147</v>
      </c>
      <c r="D858" s="12" t="s">
        <v>3159</v>
      </c>
      <c r="E858" s="85">
        <v>527.42999999999995</v>
      </c>
      <c r="F858" s="6">
        <v>5429013</v>
      </c>
      <c r="G858" s="12" t="s">
        <v>3160</v>
      </c>
      <c r="H858" s="12" t="s">
        <v>848</v>
      </c>
      <c r="I858" s="12" t="s">
        <v>849</v>
      </c>
      <c r="J858" s="84">
        <v>40927</v>
      </c>
      <c r="K858" s="84">
        <v>51885</v>
      </c>
      <c r="L858" s="12" t="s">
        <v>288</v>
      </c>
      <c r="M858" s="12" t="s">
        <v>902</v>
      </c>
      <c r="N858" s="75"/>
    </row>
    <row r="859" spans="1:14">
      <c r="A859" s="12">
        <v>856</v>
      </c>
      <c r="B859" s="12" t="s">
        <v>3161</v>
      </c>
      <c r="C859" s="12" t="s">
        <v>122</v>
      </c>
      <c r="D859" s="12" t="s">
        <v>3162</v>
      </c>
      <c r="E859" s="85">
        <v>816.66</v>
      </c>
      <c r="F859" s="6">
        <v>5039681</v>
      </c>
      <c r="G859" s="12" t="s">
        <v>3163</v>
      </c>
      <c r="H859" s="12" t="s">
        <v>755</v>
      </c>
      <c r="I859" s="12" t="s">
        <v>756</v>
      </c>
      <c r="J859" s="84">
        <v>40954</v>
      </c>
      <c r="K859" s="84">
        <v>51912</v>
      </c>
      <c r="L859" s="12" t="s">
        <v>233</v>
      </c>
      <c r="M859" s="12" t="s">
        <v>1300</v>
      </c>
      <c r="N859" s="75"/>
    </row>
    <row r="860" spans="1:14">
      <c r="A860" s="12">
        <v>857</v>
      </c>
      <c r="B860" s="12" t="s">
        <v>3164</v>
      </c>
      <c r="C860" s="12" t="s">
        <v>212</v>
      </c>
      <c r="D860" s="12" t="s">
        <v>3004</v>
      </c>
      <c r="E860" s="85">
        <v>460.39</v>
      </c>
      <c r="F860" s="6">
        <v>2734877</v>
      </c>
      <c r="G860" s="12" t="s">
        <v>3165</v>
      </c>
      <c r="H860" s="12" t="s">
        <v>848</v>
      </c>
      <c r="I860" s="12" t="s">
        <v>849</v>
      </c>
      <c r="J860" s="84">
        <v>40970</v>
      </c>
      <c r="K860" s="84">
        <v>51927</v>
      </c>
      <c r="L860" s="12" t="s">
        <v>123</v>
      </c>
      <c r="M860" s="12" t="s">
        <v>2201</v>
      </c>
      <c r="N860" s="75"/>
    </row>
    <row r="861" spans="1:14">
      <c r="A861" s="12">
        <v>858</v>
      </c>
      <c r="B861" s="12" t="s">
        <v>3166</v>
      </c>
      <c r="C861" s="12" t="s">
        <v>122</v>
      </c>
      <c r="D861" s="12" t="s">
        <v>3167</v>
      </c>
      <c r="E861" s="85">
        <v>6845.14</v>
      </c>
      <c r="F861" s="6">
        <v>5306361</v>
      </c>
      <c r="G861" s="12" t="s">
        <v>3168</v>
      </c>
      <c r="H861" s="12" t="s">
        <v>848</v>
      </c>
      <c r="I861" s="12" t="s">
        <v>849</v>
      </c>
      <c r="J861" s="84">
        <v>40980</v>
      </c>
      <c r="K861" s="84">
        <v>51937</v>
      </c>
      <c r="L861" s="12" t="s">
        <v>375</v>
      </c>
      <c r="M861" s="12" t="s">
        <v>3169</v>
      </c>
      <c r="N861" s="75"/>
    </row>
    <row r="862" spans="1:14">
      <c r="A862" s="12">
        <v>859</v>
      </c>
      <c r="B862" s="12" t="s">
        <v>3170</v>
      </c>
      <c r="C862" s="12" t="s">
        <v>979</v>
      </c>
      <c r="D862" s="12" t="s">
        <v>3171</v>
      </c>
      <c r="E862" s="85">
        <v>1885.62</v>
      </c>
      <c r="F862" s="6">
        <v>5746035</v>
      </c>
      <c r="G862" s="12" t="s">
        <v>3172</v>
      </c>
      <c r="H862" s="12" t="s">
        <v>848</v>
      </c>
      <c r="I862" s="12" t="s">
        <v>849</v>
      </c>
      <c r="J862" s="84">
        <v>40980</v>
      </c>
      <c r="K862" s="84">
        <v>51937</v>
      </c>
      <c r="L862" s="12" t="s">
        <v>233</v>
      </c>
      <c r="M862" s="12" t="s">
        <v>3019</v>
      </c>
      <c r="N862" s="75"/>
    </row>
    <row r="863" spans="1:14">
      <c r="A863" s="12">
        <v>860</v>
      </c>
      <c r="B863" s="12" t="s">
        <v>3173</v>
      </c>
      <c r="C863" s="12" t="s">
        <v>137</v>
      </c>
      <c r="D863" s="12" t="s">
        <v>3174</v>
      </c>
      <c r="E863" s="85">
        <v>84.73</v>
      </c>
      <c r="F863" s="6">
        <v>5378834</v>
      </c>
      <c r="G863" s="12" t="s">
        <v>3175</v>
      </c>
      <c r="H863" s="12" t="s">
        <v>755</v>
      </c>
      <c r="I863" s="12" t="s">
        <v>756</v>
      </c>
      <c r="J863" s="84">
        <v>41002</v>
      </c>
      <c r="K863" s="84">
        <v>51959</v>
      </c>
      <c r="L863" s="12" t="s">
        <v>304</v>
      </c>
      <c r="M863" s="12" t="s">
        <v>773</v>
      </c>
      <c r="N863" s="75"/>
    </row>
    <row r="864" spans="1:14">
      <c r="A864" s="12">
        <v>861</v>
      </c>
      <c r="B864" s="12" t="s">
        <v>3176</v>
      </c>
      <c r="C864" s="12" t="s">
        <v>752</v>
      </c>
      <c r="D864" s="12" t="s">
        <v>141</v>
      </c>
      <c r="E864" s="85">
        <v>14.68</v>
      </c>
      <c r="F864" s="6">
        <v>5938988</v>
      </c>
      <c r="G864" s="12" t="s">
        <v>3177</v>
      </c>
      <c r="H864" s="12" t="s">
        <v>755</v>
      </c>
      <c r="I864" s="12" t="s">
        <v>756</v>
      </c>
      <c r="J864" s="84">
        <v>35818</v>
      </c>
      <c r="K864" s="84">
        <v>46775</v>
      </c>
      <c r="L864" s="12" t="s">
        <v>274</v>
      </c>
      <c r="M864" s="12" t="s">
        <v>275</v>
      </c>
      <c r="N864" s="75"/>
    </row>
    <row r="865" spans="1:14">
      <c r="A865" s="12">
        <v>862</v>
      </c>
      <c r="B865" s="12" t="s">
        <v>3178</v>
      </c>
      <c r="C865" s="12" t="s">
        <v>752</v>
      </c>
      <c r="D865" s="12" t="s">
        <v>3179</v>
      </c>
      <c r="E865" s="85">
        <v>282.69</v>
      </c>
      <c r="F865" s="6">
        <v>3551083</v>
      </c>
      <c r="G865" s="12" t="s">
        <v>3180</v>
      </c>
      <c r="H865" s="12" t="s">
        <v>755</v>
      </c>
      <c r="I865" s="12" t="s">
        <v>756</v>
      </c>
      <c r="J865" s="84">
        <v>41030</v>
      </c>
      <c r="K865" s="84">
        <v>51987</v>
      </c>
      <c r="L865" s="12" t="s">
        <v>163</v>
      </c>
      <c r="M865" s="12" t="s">
        <v>948</v>
      </c>
      <c r="N865" s="75"/>
    </row>
    <row r="866" spans="1:14">
      <c r="A866" s="12">
        <v>863</v>
      </c>
      <c r="B866" s="12" t="s">
        <v>3181</v>
      </c>
      <c r="C866" s="12" t="s">
        <v>137</v>
      </c>
      <c r="D866" s="12" t="s">
        <v>1188</v>
      </c>
      <c r="E866" s="85">
        <v>326.44</v>
      </c>
      <c r="F866" s="6">
        <v>2777223</v>
      </c>
      <c r="G866" s="12" t="s">
        <v>3182</v>
      </c>
      <c r="H866" s="12" t="s">
        <v>848</v>
      </c>
      <c r="I866" s="12" t="s">
        <v>849</v>
      </c>
      <c r="J866" s="84">
        <v>38357</v>
      </c>
      <c r="K866" s="84">
        <v>49314</v>
      </c>
      <c r="L866" s="12" t="s">
        <v>375</v>
      </c>
      <c r="M866" s="12" t="s">
        <v>944</v>
      </c>
      <c r="N866" s="75"/>
    </row>
    <row r="867" spans="1:14">
      <c r="A867" s="12">
        <v>864</v>
      </c>
      <c r="B867" s="12" t="s">
        <v>3183</v>
      </c>
      <c r="C867" s="12" t="s">
        <v>979</v>
      </c>
      <c r="D867" s="12" t="s">
        <v>3184</v>
      </c>
      <c r="E867" s="85">
        <v>41.66</v>
      </c>
      <c r="F867" s="6">
        <v>2872544</v>
      </c>
      <c r="G867" s="12" t="s">
        <v>3185</v>
      </c>
      <c r="H867" s="12" t="s">
        <v>755</v>
      </c>
      <c r="I867" s="12" t="s">
        <v>756</v>
      </c>
      <c r="J867" s="84">
        <v>41047</v>
      </c>
      <c r="K867" s="84">
        <v>52004</v>
      </c>
      <c r="L867" s="12" t="s">
        <v>274</v>
      </c>
      <c r="M867" s="12" t="s">
        <v>3186</v>
      </c>
      <c r="N867" s="75"/>
    </row>
    <row r="868" spans="1:14">
      <c r="A868" s="12">
        <v>865</v>
      </c>
      <c r="B868" s="12" t="s">
        <v>3187</v>
      </c>
      <c r="C868" s="12" t="s">
        <v>1203</v>
      </c>
      <c r="D868" s="12" t="s">
        <v>1816</v>
      </c>
      <c r="E868" s="85">
        <v>115.34</v>
      </c>
      <c r="F868" s="6">
        <v>5196175</v>
      </c>
      <c r="G868" s="12" t="s">
        <v>3188</v>
      </c>
      <c r="H868" s="12" t="s">
        <v>755</v>
      </c>
      <c r="I868" s="12" t="s">
        <v>756</v>
      </c>
      <c r="J868" s="84">
        <v>41050</v>
      </c>
      <c r="K868" s="84">
        <v>52007</v>
      </c>
      <c r="L868" s="12" t="s">
        <v>293</v>
      </c>
      <c r="M868" s="12" t="s">
        <v>1816</v>
      </c>
      <c r="N868" s="75"/>
    </row>
    <row r="869" spans="1:14">
      <c r="A869" s="12">
        <v>866</v>
      </c>
      <c r="B869" s="12" t="s">
        <v>3189</v>
      </c>
      <c r="C869" s="12" t="s">
        <v>995</v>
      </c>
      <c r="D869" s="12" t="s">
        <v>3190</v>
      </c>
      <c r="E869" s="85">
        <v>122.48</v>
      </c>
      <c r="F869" s="6">
        <v>5807697</v>
      </c>
      <c r="G869" s="12" t="s">
        <v>3191</v>
      </c>
      <c r="H869" s="12" t="s">
        <v>755</v>
      </c>
      <c r="I869" s="12" t="s">
        <v>756</v>
      </c>
      <c r="J869" s="84">
        <v>38609</v>
      </c>
      <c r="K869" s="84">
        <v>49566</v>
      </c>
      <c r="L869" s="12" t="s">
        <v>128</v>
      </c>
      <c r="M869" s="12" t="s">
        <v>129</v>
      </c>
      <c r="N869" s="75"/>
    </row>
    <row r="870" spans="1:14">
      <c r="A870" s="12">
        <v>867</v>
      </c>
      <c r="B870" s="12" t="s">
        <v>3192</v>
      </c>
      <c r="C870" s="12" t="s">
        <v>221</v>
      </c>
      <c r="D870" s="12" t="s">
        <v>3193</v>
      </c>
      <c r="E870" s="85">
        <v>33.57</v>
      </c>
      <c r="F870" s="6">
        <v>5314593</v>
      </c>
      <c r="G870" s="12" t="s">
        <v>3194</v>
      </c>
      <c r="H870" s="12" t="s">
        <v>755</v>
      </c>
      <c r="I870" s="12" t="s">
        <v>756</v>
      </c>
      <c r="J870" s="84">
        <v>41057</v>
      </c>
      <c r="K870" s="84">
        <v>52014</v>
      </c>
      <c r="L870" s="12" t="s">
        <v>180</v>
      </c>
      <c r="M870" s="12" t="s">
        <v>927</v>
      </c>
      <c r="N870" s="75"/>
    </row>
    <row r="871" spans="1:14">
      <c r="A871" s="12">
        <v>868</v>
      </c>
      <c r="B871" s="12" t="s">
        <v>3195</v>
      </c>
      <c r="C871" s="12" t="s">
        <v>212</v>
      </c>
      <c r="D871" s="12" t="s">
        <v>3196</v>
      </c>
      <c r="E871" s="85">
        <v>82.87</v>
      </c>
      <c r="F871" s="6">
        <v>5288126</v>
      </c>
      <c r="G871" s="12" t="s">
        <v>3197</v>
      </c>
      <c r="H871" s="12" t="s">
        <v>755</v>
      </c>
      <c r="I871" s="12" t="s">
        <v>756</v>
      </c>
      <c r="J871" s="84">
        <v>41054</v>
      </c>
      <c r="K871" s="84">
        <v>52011</v>
      </c>
      <c r="L871" s="12" t="s">
        <v>170</v>
      </c>
      <c r="M871" s="12" t="s">
        <v>807</v>
      </c>
      <c r="N871" s="75"/>
    </row>
    <row r="872" spans="1:14">
      <c r="A872" s="12">
        <v>869</v>
      </c>
      <c r="B872" s="12" t="s">
        <v>3198</v>
      </c>
      <c r="C872" s="12" t="s">
        <v>979</v>
      </c>
      <c r="D872" s="12" t="s">
        <v>3199</v>
      </c>
      <c r="E872" s="85">
        <v>2665.65</v>
      </c>
      <c r="F872" s="6">
        <v>5746035</v>
      </c>
      <c r="G872" s="12" t="s">
        <v>3172</v>
      </c>
      <c r="H872" s="12" t="s">
        <v>848</v>
      </c>
      <c r="I872" s="12" t="s">
        <v>849</v>
      </c>
      <c r="J872" s="84">
        <v>41057</v>
      </c>
      <c r="K872" s="84">
        <v>52014</v>
      </c>
      <c r="L872" s="12" t="s">
        <v>233</v>
      </c>
      <c r="M872" s="12" t="s">
        <v>3019</v>
      </c>
      <c r="N872" s="75"/>
    </row>
    <row r="873" spans="1:14">
      <c r="A873" s="12">
        <v>870</v>
      </c>
      <c r="B873" s="12" t="s">
        <v>3200</v>
      </c>
      <c r="C873" s="12" t="s">
        <v>137</v>
      </c>
      <c r="D873" s="12" t="s">
        <v>1457</v>
      </c>
      <c r="E873" s="85">
        <v>106.44</v>
      </c>
      <c r="F873" s="6">
        <v>5276934</v>
      </c>
      <c r="G873" s="12" t="s">
        <v>3201</v>
      </c>
      <c r="H873" s="12" t="s">
        <v>848</v>
      </c>
      <c r="I873" s="12" t="s">
        <v>849</v>
      </c>
      <c r="J873" s="84">
        <v>41064</v>
      </c>
      <c r="K873" s="84">
        <v>52021</v>
      </c>
      <c r="L873" s="12" t="s">
        <v>170</v>
      </c>
      <c r="M873" s="12" t="s">
        <v>171</v>
      </c>
      <c r="N873" s="75"/>
    </row>
    <row r="874" spans="1:14">
      <c r="A874" s="12">
        <v>871</v>
      </c>
      <c r="B874" s="12" t="s">
        <v>3202</v>
      </c>
      <c r="C874" s="12" t="s">
        <v>122</v>
      </c>
      <c r="D874" s="12" t="s">
        <v>3203</v>
      </c>
      <c r="E874" s="85">
        <v>122.54</v>
      </c>
      <c r="F874" s="6">
        <v>2862468</v>
      </c>
      <c r="G874" s="12" t="s">
        <v>1013</v>
      </c>
      <c r="H874" s="12" t="s">
        <v>766</v>
      </c>
      <c r="I874" s="12" t="s">
        <v>767</v>
      </c>
      <c r="J874" s="84">
        <v>41064</v>
      </c>
      <c r="K874" s="84">
        <v>52021</v>
      </c>
      <c r="L874" s="12" t="s">
        <v>768</v>
      </c>
      <c r="M874" s="12" t="s">
        <v>1198</v>
      </c>
      <c r="N874" s="75"/>
    </row>
    <row r="875" spans="1:14">
      <c r="A875" s="12">
        <v>872</v>
      </c>
      <c r="B875" s="12" t="s">
        <v>3204</v>
      </c>
      <c r="C875" s="12" t="s">
        <v>122</v>
      </c>
      <c r="D875" s="12" t="s">
        <v>3205</v>
      </c>
      <c r="E875" s="85">
        <v>394.79</v>
      </c>
      <c r="F875" s="6">
        <v>2862468</v>
      </c>
      <c r="G875" s="12" t="s">
        <v>1013</v>
      </c>
      <c r="H875" s="12" t="s">
        <v>766</v>
      </c>
      <c r="I875" s="12" t="s">
        <v>767</v>
      </c>
      <c r="J875" s="84">
        <v>41064</v>
      </c>
      <c r="K875" s="84">
        <v>52021</v>
      </c>
      <c r="L875" s="12" t="s">
        <v>768</v>
      </c>
      <c r="M875" s="12" t="s">
        <v>1198</v>
      </c>
      <c r="N875" s="75"/>
    </row>
    <row r="876" spans="1:14">
      <c r="A876" s="12">
        <v>873</v>
      </c>
      <c r="B876" s="12" t="s">
        <v>3206</v>
      </c>
      <c r="C876" s="12" t="s">
        <v>122</v>
      </c>
      <c r="D876" s="12" t="s">
        <v>826</v>
      </c>
      <c r="E876" s="85">
        <v>5093.01</v>
      </c>
      <c r="F876" s="6">
        <v>2862468</v>
      </c>
      <c r="G876" s="12" t="s">
        <v>1013</v>
      </c>
      <c r="H876" s="12" t="s">
        <v>766</v>
      </c>
      <c r="I876" s="12" t="s">
        <v>767</v>
      </c>
      <c r="J876" s="84">
        <v>41064</v>
      </c>
      <c r="K876" s="84">
        <v>52021</v>
      </c>
      <c r="L876" s="12" t="s">
        <v>768</v>
      </c>
      <c r="M876" s="12" t="s">
        <v>1198</v>
      </c>
      <c r="N876" s="75"/>
    </row>
    <row r="877" spans="1:14">
      <c r="A877" s="12">
        <v>874</v>
      </c>
      <c r="B877" s="12" t="s">
        <v>3207</v>
      </c>
      <c r="C877" s="12" t="s">
        <v>122</v>
      </c>
      <c r="D877" s="12" t="s">
        <v>3208</v>
      </c>
      <c r="E877" s="85">
        <v>66.989999999999995</v>
      </c>
      <c r="F877" s="6">
        <v>2862468</v>
      </c>
      <c r="G877" s="12" t="s">
        <v>1013</v>
      </c>
      <c r="H877" s="12" t="s">
        <v>766</v>
      </c>
      <c r="I877" s="12" t="s">
        <v>767</v>
      </c>
      <c r="J877" s="84">
        <v>41064</v>
      </c>
      <c r="K877" s="84">
        <v>52021</v>
      </c>
      <c r="L877" s="12" t="s">
        <v>768</v>
      </c>
      <c r="M877" s="12" t="s">
        <v>1198</v>
      </c>
      <c r="N877" s="75"/>
    </row>
    <row r="878" spans="1:14">
      <c r="A878" s="12">
        <v>875</v>
      </c>
      <c r="B878" s="12" t="s">
        <v>3209</v>
      </c>
      <c r="C878" s="12" t="s">
        <v>221</v>
      </c>
      <c r="D878" s="12" t="s">
        <v>3210</v>
      </c>
      <c r="E878" s="85">
        <v>22.11</v>
      </c>
      <c r="F878" s="6">
        <v>2063158</v>
      </c>
      <c r="G878" s="12" t="s">
        <v>3211</v>
      </c>
      <c r="H878" s="12" t="s">
        <v>755</v>
      </c>
      <c r="I878" s="12" t="s">
        <v>756</v>
      </c>
      <c r="J878" s="84">
        <v>41068</v>
      </c>
      <c r="K878" s="84">
        <v>52025</v>
      </c>
      <c r="L878" s="12" t="s">
        <v>274</v>
      </c>
      <c r="M878" s="12" t="s">
        <v>874</v>
      </c>
      <c r="N878" s="75"/>
    </row>
    <row r="879" spans="1:14">
      <c r="A879" s="12">
        <v>876</v>
      </c>
      <c r="B879" s="12" t="s">
        <v>3212</v>
      </c>
      <c r="C879" s="12" t="s">
        <v>979</v>
      </c>
      <c r="D879" s="12" t="s">
        <v>3213</v>
      </c>
      <c r="E879" s="85">
        <v>3959.69</v>
      </c>
      <c r="F879" s="6">
        <v>5298679</v>
      </c>
      <c r="G879" s="12" t="s">
        <v>3214</v>
      </c>
      <c r="H879" s="12" t="s">
        <v>848</v>
      </c>
      <c r="I879" s="12" t="s">
        <v>849</v>
      </c>
      <c r="J879" s="84">
        <v>41075</v>
      </c>
      <c r="K879" s="84">
        <v>52032</v>
      </c>
      <c r="L879" s="12" t="s">
        <v>170</v>
      </c>
      <c r="M879" s="12" t="s">
        <v>2444</v>
      </c>
      <c r="N879" s="75"/>
    </row>
    <row r="880" spans="1:14">
      <c r="A880" s="12">
        <v>877</v>
      </c>
      <c r="B880" s="12" t="s">
        <v>3215</v>
      </c>
      <c r="C880" s="12" t="s">
        <v>221</v>
      </c>
      <c r="D880" s="12" t="s">
        <v>811</v>
      </c>
      <c r="E880" s="85">
        <v>2361.9499999999998</v>
      </c>
      <c r="F880" s="6">
        <v>2029278</v>
      </c>
      <c r="G880" s="12" t="s">
        <v>840</v>
      </c>
      <c r="H880" s="12" t="s">
        <v>755</v>
      </c>
      <c r="I880" s="12" t="s">
        <v>756</v>
      </c>
      <c r="J880" s="84">
        <v>41082</v>
      </c>
      <c r="K880" s="84">
        <v>52039</v>
      </c>
      <c r="L880" s="12" t="s">
        <v>170</v>
      </c>
      <c r="M880" s="12" t="s">
        <v>811</v>
      </c>
      <c r="N880" s="75"/>
    </row>
    <row r="881" spans="1:14">
      <c r="A881" s="12">
        <v>878</v>
      </c>
      <c r="B881" s="12" t="s">
        <v>3216</v>
      </c>
      <c r="C881" s="12" t="s">
        <v>1017</v>
      </c>
      <c r="D881" s="12" t="s">
        <v>856</v>
      </c>
      <c r="E881" s="85">
        <v>75.89</v>
      </c>
      <c r="F881" s="6">
        <v>2793016</v>
      </c>
      <c r="G881" s="12" t="s">
        <v>3217</v>
      </c>
      <c r="H881" s="12" t="s">
        <v>755</v>
      </c>
      <c r="I881" s="12" t="s">
        <v>756</v>
      </c>
      <c r="J881" s="84">
        <v>41107</v>
      </c>
      <c r="K881" s="84">
        <v>52064</v>
      </c>
      <c r="L881" s="12" t="s">
        <v>205</v>
      </c>
      <c r="M881" s="12" t="s">
        <v>3218</v>
      </c>
      <c r="N881" s="75"/>
    </row>
    <row r="882" spans="1:14">
      <c r="A882" s="12">
        <v>879</v>
      </c>
      <c r="B882" s="12" t="s">
        <v>3219</v>
      </c>
      <c r="C882" s="12" t="s">
        <v>137</v>
      </c>
      <c r="D882" s="12" t="s">
        <v>3220</v>
      </c>
      <c r="E882" s="85">
        <v>1097.4000000000001</v>
      </c>
      <c r="F882" s="6">
        <v>5243904</v>
      </c>
      <c r="G882" s="12" t="s">
        <v>3221</v>
      </c>
      <c r="H882" s="12" t="s">
        <v>755</v>
      </c>
      <c r="I882" s="12" t="s">
        <v>756</v>
      </c>
      <c r="J882" s="84">
        <v>41107</v>
      </c>
      <c r="K882" s="84">
        <v>52064</v>
      </c>
      <c r="L882" s="12" t="s">
        <v>1014</v>
      </c>
      <c r="M882" s="12" t="s">
        <v>3222</v>
      </c>
      <c r="N882" s="75"/>
    </row>
    <row r="883" spans="1:14">
      <c r="A883" s="12">
        <v>880</v>
      </c>
      <c r="B883" s="12" t="s">
        <v>3223</v>
      </c>
      <c r="C883" s="12" t="s">
        <v>122</v>
      </c>
      <c r="D883" s="12" t="s">
        <v>3224</v>
      </c>
      <c r="E883" s="85">
        <v>5985.46</v>
      </c>
      <c r="F883" s="6">
        <v>5152674</v>
      </c>
      <c r="G883" s="12" t="s">
        <v>3225</v>
      </c>
      <c r="H883" s="12" t="s">
        <v>766</v>
      </c>
      <c r="I883" s="12" t="s">
        <v>767</v>
      </c>
      <c r="J883" s="84">
        <v>41107</v>
      </c>
      <c r="K883" s="84">
        <v>52064</v>
      </c>
      <c r="L883" s="12" t="s">
        <v>170</v>
      </c>
      <c r="M883" s="12" t="s">
        <v>1426</v>
      </c>
      <c r="N883" s="75"/>
    </row>
    <row r="884" spans="1:14">
      <c r="A884" s="12">
        <v>881</v>
      </c>
      <c r="B884" s="12" t="s">
        <v>3226</v>
      </c>
      <c r="C884" s="12" t="s">
        <v>752</v>
      </c>
      <c r="D884" s="12" t="s">
        <v>3227</v>
      </c>
      <c r="E884" s="85">
        <v>731.27</v>
      </c>
      <c r="F884" s="6">
        <v>3124916</v>
      </c>
      <c r="G884" s="12" t="s">
        <v>3228</v>
      </c>
      <c r="H884" s="12" t="s">
        <v>755</v>
      </c>
      <c r="I884" s="12" t="s">
        <v>756</v>
      </c>
      <c r="J884" s="84">
        <v>41110</v>
      </c>
      <c r="K884" s="84">
        <v>52067</v>
      </c>
      <c r="L884" s="12" t="s">
        <v>768</v>
      </c>
      <c r="M884" s="12" t="s">
        <v>3229</v>
      </c>
      <c r="N884" s="75"/>
    </row>
    <row r="885" spans="1:14">
      <c r="A885" s="12">
        <v>882</v>
      </c>
      <c r="B885" s="12" t="s">
        <v>3230</v>
      </c>
      <c r="C885" s="12" t="s">
        <v>752</v>
      </c>
      <c r="D885" s="12" t="s">
        <v>3231</v>
      </c>
      <c r="E885" s="85">
        <v>346.75</v>
      </c>
      <c r="F885" s="6">
        <v>3124916</v>
      </c>
      <c r="G885" s="12" t="s">
        <v>3228</v>
      </c>
      <c r="H885" s="12" t="s">
        <v>755</v>
      </c>
      <c r="I885" s="12" t="s">
        <v>756</v>
      </c>
      <c r="J885" s="84">
        <v>41110</v>
      </c>
      <c r="K885" s="84">
        <v>52067</v>
      </c>
      <c r="L885" s="12" t="s">
        <v>768</v>
      </c>
      <c r="M885" s="12" t="s">
        <v>933</v>
      </c>
      <c r="N885" s="75"/>
    </row>
    <row r="886" spans="1:14">
      <c r="A886" s="12">
        <v>883</v>
      </c>
      <c r="B886" s="12" t="s">
        <v>3232</v>
      </c>
      <c r="C886" s="12" t="s">
        <v>1939</v>
      </c>
      <c r="D886" s="12" t="s">
        <v>1317</v>
      </c>
      <c r="E886" s="85">
        <v>965.41</v>
      </c>
      <c r="F886" s="6">
        <v>5413702</v>
      </c>
      <c r="G886" s="12" t="s">
        <v>2154</v>
      </c>
      <c r="H886" s="12" t="s">
        <v>755</v>
      </c>
      <c r="I886" s="12" t="s">
        <v>756</v>
      </c>
      <c r="J886" s="84">
        <v>41116</v>
      </c>
      <c r="K886" s="84">
        <v>52073</v>
      </c>
      <c r="L886" s="12" t="s">
        <v>293</v>
      </c>
      <c r="M886" s="12" t="s">
        <v>2155</v>
      </c>
      <c r="N886" s="75"/>
    </row>
    <row r="887" spans="1:14">
      <c r="A887" s="12">
        <v>884</v>
      </c>
      <c r="B887" s="12" t="s">
        <v>3233</v>
      </c>
      <c r="C887" s="12" t="s">
        <v>2642</v>
      </c>
      <c r="D887" s="12" t="s">
        <v>1753</v>
      </c>
      <c r="E887" s="85">
        <v>2931.07</v>
      </c>
      <c r="F887" s="6">
        <v>2875578</v>
      </c>
      <c r="G887" s="12" t="s">
        <v>3234</v>
      </c>
      <c r="H887" s="12" t="s">
        <v>766</v>
      </c>
      <c r="I887" s="12" t="s">
        <v>767</v>
      </c>
      <c r="J887" s="84">
        <v>41120</v>
      </c>
      <c r="K887" s="84">
        <v>52077</v>
      </c>
      <c r="L887" s="12" t="s">
        <v>768</v>
      </c>
      <c r="M887" s="12" t="s">
        <v>3235</v>
      </c>
      <c r="N887" s="75"/>
    </row>
    <row r="888" spans="1:14">
      <c r="A888" s="12">
        <v>885</v>
      </c>
      <c r="B888" s="12" t="s">
        <v>3236</v>
      </c>
      <c r="C888" s="12" t="s">
        <v>1035</v>
      </c>
      <c r="D888" s="12" t="s">
        <v>3237</v>
      </c>
      <c r="E888" s="85">
        <v>236.12</v>
      </c>
      <c r="F888" s="6">
        <v>5060222</v>
      </c>
      <c r="G888" s="12" t="s">
        <v>2136</v>
      </c>
      <c r="H888" s="12" t="s">
        <v>755</v>
      </c>
      <c r="I888" s="12" t="s">
        <v>756</v>
      </c>
      <c r="J888" s="84">
        <v>41122</v>
      </c>
      <c r="K888" s="84">
        <v>52079</v>
      </c>
      <c r="L888" s="12" t="s">
        <v>138</v>
      </c>
      <c r="M888" s="12" t="s">
        <v>1806</v>
      </c>
      <c r="N888" s="75"/>
    </row>
    <row r="889" spans="1:14">
      <c r="A889" s="12">
        <v>886</v>
      </c>
      <c r="B889" s="12" t="s">
        <v>3238</v>
      </c>
      <c r="C889" s="12" t="s">
        <v>122</v>
      </c>
      <c r="D889" s="12" t="s">
        <v>2133</v>
      </c>
      <c r="E889" s="85">
        <v>5144.04</v>
      </c>
      <c r="F889" s="6">
        <v>5104424</v>
      </c>
      <c r="G889" s="12" t="s">
        <v>3239</v>
      </c>
      <c r="H889" s="12" t="s">
        <v>848</v>
      </c>
      <c r="I889" s="12" t="s">
        <v>849</v>
      </c>
      <c r="J889" s="84">
        <v>41131</v>
      </c>
      <c r="K889" s="84">
        <v>52088</v>
      </c>
      <c r="L889" s="12" t="s">
        <v>205</v>
      </c>
      <c r="M889" s="12" t="s">
        <v>206</v>
      </c>
      <c r="N889" s="75"/>
    </row>
    <row r="890" spans="1:14">
      <c r="A890" s="12">
        <v>887</v>
      </c>
      <c r="B890" s="12" t="s">
        <v>3240</v>
      </c>
      <c r="C890" s="12" t="s">
        <v>137</v>
      </c>
      <c r="D890" s="12" t="s">
        <v>1516</v>
      </c>
      <c r="E890" s="85">
        <v>55.91</v>
      </c>
      <c r="F890" s="6">
        <v>5281857</v>
      </c>
      <c r="G890" s="12" t="s">
        <v>3241</v>
      </c>
      <c r="H890" s="12" t="s">
        <v>755</v>
      </c>
      <c r="I890" s="12" t="s">
        <v>756</v>
      </c>
      <c r="J890" s="84">
        <v>41129</v>
      </c>
      <c r="K890" s="84">
        <v>52086</v>
      </c>
      <c r="L890" s="12" t="s">
        <v>1518</v>
      </c>
      <c r="M890" s="12" t="s">
        <v>1519</v>
      </c>
      <c r="N890" s="75"/>
    </row>
    <row r="891" spans="1:14">
      <c r="A891" s="12">
        <v>888</v>
      </c>
      <c r="B891" s="12" t="s">
        <v>3242</v>
      </c>
      <c r="C891" s="12" t="s">
        <v>752</v>
      </c>
      <c r="D891" s="12" t="s">
        <v>1346</v>
      </c>
      <c r="E891" s="85">
        <v>39.39</v>
      </c>
      <c r="F891" s="6">
        <v>2554518</v>
      </c>
      <c r="G891" s="12" t="s">
        <v>1347</v>
      </c>
      <c r="H891" s="12" t="s">
        <v>755</v>
      </c>
      <c r="I891" s="12" t="s">
        <v>756</v>
      </c>
      <c r="J891" s="84">
        <v>37518</v>
      </c>
      <c r="K891" s="84">
        <v>48476</v>
      </c>
      <c r="L891" s="12" t="s">
        <v>274</v>
      </c>
      <c r="M891" s="12" t="s">
        <v>275</v>
      </c>
      <c r="N891" s="75"/>
    </row>
    <row r="892" spans="1:14">
      <c r="A892" s="12">
        <v>889</v>
      </c>
      <c r="B892" s="12" t="s">
        <v>3243</v>
      </c>
      <c r="C892" s="12" t="s">
        <v>979</v>
      </c>
      <c r="D892" s="12" t="s">
        <v>2599</v>
      </c>
      <c r="E892" s="85">
        <v>837.11</v>
      </c>
      <c r="F892" s="6">
        <v>6454763</v>
      </c>
      <c r="G892" s="12" t="s">
        <v>3244</v>
      </c>
      <c r="H892" s="12" t="s">
        <v>848</v>
      </c>
      <c r="I892" s="12" t="s">
        <v>849</v>
      </c>
      <c r="J892" s="84">
        <v>41141</v>
      </c>
      <c r="K892" s="84">
        <v>52098</v>
      </c>
      <c r="L892" s="12" t="s">
        <v>1102</v>
      </c>
      <c r="M892" s="12" t="s">
        <v>1550</v>
      </c>
      <c r="N892" s="75"/>
    </row>
    <row r="893" spans="1:14">
      <c r="A893" s="12">
        <v>890</v>
      </c>
      <c r="B893" s="12" t="s">
        <v>3245</v>
      </c>
      <c r="C893" s="12" t="s">
        <v>3246</v>
      </c>
      <c r="D893" s="12" t="s">
        <v>3247</v>
      </c>
      <c r="E893" s="85">
        <v>5492.63</v>
      </c>
      <c r="F893" s="6">
        <v>6101615</v>
      </c>
      <c r="G893" s="12" t="s">
        <v>3248</v>
      </c>
      <c r="H893" s="12" t="s">
        <v>848</v>
      </c>
      <c r="I893" s="12" t="s">
        <v>849</v>
      </c>
      <c r="J893" s="84">
        <v>41152</v>
      </c>
      <c r="K893" s="84">
        <v>52109</v>
      </c>
      <c r="L893" s="12" t="s">
        <v>123</v>
      </c>
      <c r="M893" s="12" t="s">
        <v>998</v>
      </c>
      <c r="N893" s="75"/>
    </row>
    <row r="894" spans="1:14">
      <c r="A894" s="12">
        <v>891</v>
      </c>
      <c r="B894" s="12" t="s">
        <v>3249</v>
      </c>
      <c r="C894" s="12" t="s">
        <v>122</v>
      </c>
      <c r="D894" s="12" t="s">
        <v>3250</v>
      </c>
      <c r="E894" s="85">
        <v>1108.57</v>
      </c>
      <c r="F894" s="6">
        <v>5527252</v>
      </c>
      <c r="G894" s="12" t="s">
        <v>3251</v>
      </c>
      <c r="H894" s="12" t="s">
        <v>755</v>
      </c>
      <c r="I894" s="12" t="s">
        <v>756</v>
      </c>
      <c r="J894" s="84">
        <v>41152</v>
      </c>
      <c r="K894" s="84">
        <v>52109</v>
      </c>
      <c r="L894" s="12" t="s">
        <v>170</v>
      </c>
      <c r="M894" s="12" t="s">
        <v>802</v>
      </c>
      <c r="N894" s="75"/>
    </row>
    <row r="895" spans="1:14">
      <c r="A895" s="12">
        <v>892</v>
      </c>
      <c r="B895" s="12" t="s">
        <v>3252</v>
      </c>
      <c r="C895" s="12" t="s">
        <v>221</v>
      </c>
      <c r="D895" s="12" t="s">
        <v>3253</v>
      </c>
      <c r="E895" s="85">
        <v>403.16</v>
      </c>
      <c r="F895" s="6">
        <v>5488605</v>
      </c>
      <c r="G895" s="12" t="s">
        <v>2892</v>
      </c>
      <c r="H895" s="12" t="s">
        <v>755</v>
      </c>
      <c r="I895" s="12" t="s">
        <v>756</v>
      </c>
      <c r="J895" s="84">
        <v>41152</v>
      </c>
      <c r="K895" s="84">
        <v>52109</v>
      </c>
      <c r="L895" s="12" t="s">
        <v>375</v>
      </c>
      <c r="M895" s="12" t="s">
        <v>944</v>
      </c>
      <c r="N895" s="75"/>
    </row>
    <row r="896" spans="1:14">
      <c r="A896" s="12">
        <v>893</v>
      </c>
      <c r="B896" s="12" t="s">
        <v>3254</v>
      </c>
      <c r="C896" s="12" t="s">
        <v>752</v>
      </c>
      <c r="D896" s="12" t="s">
        <v>2078</v>
      </c>
      <c r="E896" s="85">
        <v>321.70999999999998</v>
      </c>
      <c r="F896" s="6">
        <v>5645794</v>
      </c>
      <c r="G896" s="12" t="s">
        <v>2824</v>
      </c>
      <c r="H896" s="12" t="s">
        <v>766</v>
      </c>
      <c r="I896" s="12" t="s">
        <v>767</v>
      </c>
      <c r="J896" s="84">
        <v>41159</v>
      </c>
      <c r="K896" s="84">
        <v>52116</v>
      </c>
      <c r="L896" s="12" t="s">
        <v>1014</v>
      </c>
      <c r="M896" s="12" t="s">
        <v>2825</v>
      </c>
      <c r="N896" s="75"/>
    </row>
    <row r="897" spans="1:14">
      <c r="A897" s="12">
        <v>894</v>
      </c>
      <c r="B897" s="12" t="s">
        <v>3255</v>
      </c>
      <c r="C897" s="12" t="s">
        <v>1874</v>
      </c>
      <c r="D897" s="12" t="s">
        <v>3256</v>
      </c>
      <c r="E897" s="85">
        <v>450.56</v>
      </c>
      <c r="F897" s="6">
        <v>6140416</v>
      </c>
      <c r="G897" s="12" t="s">
        <v>3257</v>
      </c>
      <c r="H897" s="12" t="s">
        <v>848</v>
      </c>
      <c r="I897" s="12" t="s">
        <v>849</v>
      </c>
      <c r="J897" s="84">
        <v>41159</v>
      </c>
      <c r="K897" s="84">
        <v>52116</v>
      </c>
      <c r="L897" s="12" t="s">
        <v>375</v>
      </c>
      <c r="M897" s="12" t="s">
        <v>1279</v>
      </c>
      <c r="N897" s="75"/>
    </row>
    <row r="898" spans="1:14">
      <c r="A898" s="12">
        <v>895</v>
      </c>
      <c r="B898" s="12" t="s">
        <v>3258</v>
      </c>
      <c r="C898" s="12" t="s">
        <v>137</v>
      </c>
      <c r="D898" s="12" t="s">
        <v>3259</v>
      </c>
      <c r="E898" s="85">
        <v>907.49</v>
      </c>
      <c r="F898" s="6">
        <v>2777223</v>
      </c>
      <c r="G898" s="12" t="s">
        <v>3182</v>
      </c>
      <c r="H898" s="12" t="s">
        <v>848</v>
      </c>
      <c r="I898" s="12" t="s">
        <v>849</v>
      </c>
      <c r="J898" s="84">
        <v>41158</v>
      </c>
      <c r="K898" s="84">
        <v>52115</v>
      </c>
      <c r="L898" s="12" t="s">
        <v>170</v>
      </c>
      <c r="M898" s="12" t="s">
        <v>171</v>
      </c>
      <c r="N898" s="75"/>
    </row>
    <row r="899" spans="1:14">
      <c r="A899" s="12">
        <v>896</v>
      </c>
      <c r="B899" s="12" t="s">
        <v>3260</v>
      </c>
      <c r="C899" s="12" t="s">
        <v>122</v>
      </c>
      <c r="D899" s="12" t="s">
        <v>3261</v>
      </c>
      <c r="E899" s="85">
        <v>53.63</v>
      </c>
      <c r="F899" s="6">
        <v>2023202</v>
      </c>
      <c r="G899" s="12" t="s">
        <v>1468</v>
      </c>
      <c r="H899" s="12" t="s">
        <v>755</v>
      </c>
      <c r="I899" s="12" t="s">
        <v>756</v>
      </c>
      <c r="J899" s="84">
        <v>41158</v>
      </c>
      <c r="K899" s="84">
        <v>52115</v>
      </c>
      <c r="L899" s="12" t="s">
        <v>1014</v>
      </c>
      <c r="M899" s="12" t="s">
        <v>3262</v>
      </c>
      <c r="N899" s="75"/>
    </row>
    <row r="900" spans="1:14">
      <c r="A900" s="12">
        <v>897</v>
      </c>
      <c r="B900" s="12" t="s">
        <v>3263</v>
      </c>
      <c r="C900" s="12" t="s">
        <v>2642</v>
      </c>
      <c r="D900" s="12" t="s">
        <v>3264</v>
      </c>
      <c r="E900" s="85">
        <v>5757.04</v>
      </c>
      <c r="F900" s="6">
        <v>5247462</v>
      </c>
      <c r="G900" s="12" t="s">
        <v>3265</v>
      </c>
      <c r="H900" s="12" t="s">
        <v>755</v>
      </c>
      <c r="I900" s="12" t="s">
        <v>756</v>
      </c>
      <c r="J900" s="84">
        <v>41164</v>
      </c>
      <c r="K900" s="84">
        <v>52121</v>
      </c>
      <c r="L900" s="12" t="s">
        <v>170</v>
      </c>
      <c r="M900" s="12" t="s">
        <v>2444</v>
      </c>
      <c r="N900" s="75"/>
    </row>
    <row r="901" spans="1:14">
      <c r="A901" s="12">
        <v>898</v>
      </c>
      <c r="B901" s="12" t="s">
        <v>3266</v>
      </c>
      <c r="C901" s="12" t="s">
        <v>137</v>
      </c>
      <c r="D901" s="12" t="s">
        <v>2815</v>
      </c>
      <c r="E901" s="85">
        <v>585.54999999999995</v>
      </c>
      <c r="F901" s="6">
        <v>2045931</v>
      </c>
      <c r="G901" s="12" t="s">
        <v>2449</v>
      </c>
      <c r="H901" s="12" t="s">
        <v>755</v>
      </c>
      <c r="I901" s="12" t="s">
        <v>756</v>
      </c>
      <c r="J901" s="84">
        <v>41164</v>
      </c>
      <c r="K901" s="84">
        <v>52121</v>
      </c>
      <c r="L901" s="12" t="s">
        <v>304</v>
      </c>
      <c r="M901" s="12" t="s">
        <v>777</v>
      </c>
      <c r="N901" s="75"/>
    </row>
    <row r="902" spans="1:14">
      <c r="A902" s="12">
        <v>899</v>
      </c>
      <c r="B902" s="12" t="s">
        <v>3267</v>
      </c>
      <c r="C902" s="12" t="s">
        <v>752</v>
      </c>
      <c r="D902" s="12" t="s">
        <v>3268</v>
      </c>
      <c r="E902" s="85">
        <v>166.08</v>
      </c>
      <c r="F902" s="6">
        <v>6130062</v>
      </c>
      <c r="G902" s="12" t="s">
        <v>3269</v>
      </c>
      <c r="H902" s="12" t="s">
        <v>755</v>
      </c>
      <c r="I902" s="12" t="s">
        <v>756</v>
      </c>
      <c r="J902" s="84">
        <v>36371</v>
      </c>
      <c r="K902" s="84">
        <v>47329</v>
      </c>
      <c r="L902" s="12" t="s">
        <v>274</v>
      </c>
      <c r="M902" s="12" t="s">
        <v>275</v>
      </c>
      <c r="N902" s="75"/>
    </row>
    <row r="903" spans="1:14">
      <c r="A903" s="12">
        <v>900</v>
      </c>
      <c r="B903" s="12" t="s">
        <v>3270</v>
      </c>
      <c r="C903" s="12" t="s">
        <v>979</v>
      </c>
      <c r="D903" s="12" t="s">
        <v>3271</v>
      </c>
      <c r="E903" s="85">
        <v>46.13</v>
      </c>
      <c r="F903" s="6">
        <v>2075652</v>
      </c>
      <c r="G903" s="12" t="s">
        <v>1277</v>
      </c>
      <c r="H903" s="12" t="s">
        <v>848</v>
      </c>
      <c r="I903" s="12" t="s">
        <v>849</v>
      </c>
      <c r="J903" s="84">
        <v>38174</v>
      </c>
      <c r="K903" s="84">
        <v>49131</v>
      </c>
      <c r="L903" s="12" t="s">
        <v>274</v>
      </c>
      <c r="M903" s="12" t="s">
        <v>275</v>
      </c>
      <c r="N903" s="75"/>
    </row>
    <row r="904" spans="1:14">
      <c r="A904" s="12">
        <v>901</v>
      </c>
      <c r="B904" s="12" t="s">
        <v>3272</v>
      </c>
      <c r="C904" s="12" t="s">
        <v>979</v>
      </c>
      <c r="D904" s="12" t="s">
        <v>3273</v>
      </c>
      <c r="E904" s="85">
        <v>39.67</v>
      </c>
      <c r="F904" s="6">
        <v>2075652</v>
      </c>
      <c r="G904" s="12" t="s">
        <v>1277</v>
      </c>
      <c r="H904" s="12" t="s">
        <v>848</v>
      </c>
      <c r="I904" s="12" t="s">
        <v>849</v>
      </c>
      <c r="J904" s="84">
        <v>38174</v>
      </c>
      <c r="K904" s="84">
        <v>49131</v>
      </c>
      <c r="L904" s="12" t="s">
        <v>274</v>
      </c>
      <c r="M904" s="12" t="s">
        <v>275</v>
      </c>
      <c r="N904" s="75"/>
    </row>
    <row r="905" spans="1:14">
      <c r="A905" s="12">
        <v>902</v>
      </c>
      <c r="B905" s="12" t="s">
        <v>3274</v>
      </c>
      <c r="C905" s="12" t="s">
        <v>979</v>
      </c>
      <c r="D905" s="12" t="s">
        <v>3275</v>
      </c>
      <c r="E905" s="85">
        <v>24.43</v>
      </c>
      <c r="F905" s="6">
        <v>2075652</v>
      </c>
      <c r="G905" s="12" t="s">
        <v>1277</v>
      </c>
      <c r="H905" s="12" t="s">
        <v>848</v>
      </c>
      <c r="I905" s="12" t="s">
        <v>849</v>
      </c>
      <c r="J905" s="84">
        <v>37936</v>
      </c>
      <c r="K905" s="84">
        <v>48894</v>
      </c>
      <c r="L905" s="12" t="s">
        <v>274</v>
      </c>
      <c r="M905" s="12" t="s">
        <v>275</v>
      </c>
      <c r="N905" s="75"/>
    </row>
    <row r="906" spans="1:14">
      <c r="A906" s="12">
        <v>903</v>
      </c>
      <c r="B906" s="12" t="s">
        <v>3276</v>
      </c>
      <c r="C906" s="12" t="s">
        <v>979</v>
      </c>
      <c r="D906" s="12" t="s">
        <v>3277</v>
      </c>
      <c r="E906" s="85">
        <v>24.44</v>
      </c>
      <c r="F906" s="6">
        <v>2075652</v>
      </c>
      <c r="G906" s="12" t="s">
        <v>1277</v>
      </c>
      <c r="H906" s="12" t="s">
        <v>848</v>
      </c>
      <c r="I906" s="12" t="s">
        <v>849</v>
      </c>
      <c r="J906" s="84">
        <v>37936</v>
      </c>
      <c r="K906" s="84">
        <v>48894</v>
      </c>
      <c r="L906" s="12" t="s">
        <v>274</v>
      </c>
      <c r="M906" s="12" t="s">
        <v>275</v>
      </c>
      <c r="N906" s="75"/>
    </row>
    <row r="907" spans="1:14">
      <c r="A907" s="12">
        <v>904</v>
      </c>
      <c r="B907" s="12" t="s">
        <v>3278</v>
      </c>
      <c r="C907" s="12" t="s">
        <v>979</v>
      </c>
      <c r="D907" s="12" t="s">
        <v>1277</v>
      </c>
      <c r="E907" s="85">
        <v>24.46</v>
      </c>
      <c r="F907" s="6">
        <v>2075652</v>
      </c>
      <c r="G907" s="12" t="s">
        <v>1277</v>
      </c>
      <c r="H907" s="12" t="s">
        <v>848</v>
      </c>
      <c r="I907" s="12" t="s">
        <v>849</v>
      </c>
      <c r="J907" s="84">
        <v>35748</v>
      </c>
      <c r="K907" s="84">
        <v>46705</v>
      </c>
      <c r="L907" s="12" t="s">
        <v>274</v>
      </c>
      <c r="M907" s="12" t="s">
        <v>275</v>
      </c>
      <c r="N907" s="75"/>
    </row>
    <row r="908" spans="1:14">
      <c r="A908" s="12">
        <v>905</v>
      </c>
      <c r="B908" s="12" t="s">
        <v>3279</v>
      </c>
      <c r="C908" s="12" t="s">
        <v>122</v>
      </c>
      <c r="D908" s="12" t="s">
        <v>3280</v>
      </c>
      <c r="E908" s="85">
        <v>21251.84</v>
      </c>
      <c r="F908" s="6">
        <v>5352827</v>
      </c>
      <c r="G908" s="12" t="s">
        <v>3281</v>
      </c>
      <c r="H908" s="12" t="s">
        <v>755</v>
      </c>
      <c r="I908" s="12" t="s">
        <v>756</v>
      </c>
      <c r="J908" s="84">
        <v>41194</v>
      </c>
      <c r="K908" s="84">
        <v>52151</v>
      </c>
      <c r="L908" s="12" t="s">
        <v>233</v>
      </c>
      <c r="M908" s="12" t="s">
        <v>3019</v>
      </c>
      <c r="N908" s="75"/>
    </row>
    <row r="909" spans="1:14">
      <c r="A909" s="12">
        <v>906</v>
      </c>
      <c r="B909" s="12" t="s">
        <v>3282</v>
      </c>
      <c r="C909" s="12" t="s">
        <v>752</v>
      </c>
      <c r="D909" s="12" t="s">
        <v>3283</v>
      </c>
      <c r="E909" s="85">
        <v>497.9</v>
      </c>
      <c r="F909" s="6">
        <v>5381584</v>
      </c>
      <c r="G909" s="12" t="s">
        <v>3284</v>
      </c>
      <c r="H909" s="12" t="s">
        <v>755</v>
      </c>
      <c r="I909" s="12" t="s">
        <v>756</v>
      </c>
      <c r="J909" s="84">
        <v>41194</v>
      </c>
      <c r="K909" s="84">
        <v>52151</v>
      </c>
      <c r="L909" s="12" t="s">
        <v>123</v>
      </c>
      <c r="M909" s="12" t="s">
        <v>272</v>
      </c>
      <c r="N909" s="75"/>
    </row>
    <row r="910" spans="1:14">
      <c r="A910" s="12">
        <v>907</v>
      </c>
      <c r="B910" s="12" t="s">
        <v>3285</v>
      </c>
      <c r="C910" s="12" t="s">
        <v>137</v>
      </c>
      <c r="D910" s="12" t="s">
        <v>3286</v>
      </c>
      <c r="E910" s="85">
        <v>535.02</v>
      </c>
      <c r="F910" s="6">
        <v>5374367</v>
      </c>
      <c r="G910" s="12" t="s">
        <v>3287</v>
      </c>
      <c r="H910" s="12" t="s">
        <v>848</v>
      </c>
      <c r="I910" s="12" t="s">
        <v>849</v>
      </c>
      <c r="J910" s="84">
        <v>41194</v>
      </c>
      <c r="K910" s="84">
        <v>52151</v>
      </c>
      <c r="L910" s="12" t="s">
        <v>375</v>
      </c>
      <c r="M910" s="12" t="s">
        <v>1279</v>
      </c>
      <c r="N910" s="75"/>
    </row>
    <row r="911" spans="1:14">
      <c r="A911" s="12">
        <v>908</v>
      </c>
      <c r="B911" s="12" t="s">
        <v>3288</v>
      </c>
      <c r="C911" s="12" t="s">
        <v>881</v>
      </c>
      <c r="D911" s="12" t="s">
        <v>2950</v>
      </c>
      <c r="E911" s="85">
        <v>25.11</v>
      </c>
      <c r="F911" s="6">
        <v>2726793</v>
      </c>
      <c r="G911" s="12" t="s">
        <v>3289</v>
      </c>
      <c r="H911" s="12" t="s">
        <v>755</v>
      </c>
      <c r="I911" s="12" t="s">
        <v>756</v>
      </c>
      <c r="J911" s="84">
        <v>41194</v>
      </c>
      <c r="K911" s="84">
        <v>52151</v>
      </c>
      <c r="L911" s="12" t="s">
        <v>274</v>
      </c>
      <c r="M911" s="12" t="s">
        <v>1267</v>
      </c>
      <c r="N911" s="75"/>
    </row>
    <row r="912" spans="1:14">
      <c r="A912" s="12">
        <v>909</v>
      </c>
      <c r="B912" s="12" t="s">
        <v>3290</v>
      </c>
      <c r="C912" s="12" t="s">
        <v>122</v>
      </c>
      <c r="D912" s="12" t="s">
        <v>1132</v>
      </c>
      <c r="E912" s="85">
        <v>235.52</v>
      </c>
      <c r="F912" s="6">
        <v>5101158</v>
      </c>
      <c r="G912" s="12" t="s">
        <v>2758</v>
      </c>
      <c r="H912" s="12" t="s">
        <v>755</v>
      </c>
      <c r="I912" s="12" t="s">
        <v>756</v>
      </c>
      <c r="J912" s="84">
        <v>41197</v>
      </c>
      <c r="K912" s="84">
        <v>52154</v>
      </c>
      <c r="L912" s="12" t="s">
        <v>274</v>
      </c>
      <c r="M912" s="12" t="s">
        <v>2759</v>
      </c>
      <c r="N912" s="75"/>
    </row>
    <row r="913" spans="1:14">
      <c r="A913" s="12">
        <v>910</v>
      </c>
      <c r="B913" s="12" t="s">
        <v>3291</v>
      </c>
      <c r="C913" s="12" t="s">
        <v>122</v>
      </c>
      <c r="D913" s="12" t="s">
        <v>2612</v>
      </c>
      <c r="E913" s="85">
        <v>256.2</v>
      </c>
      <c r="F913" s="6">
        <v>5482046</v>
      </c>
      <c r="G913" s="12" t="s">
        <v>3292</v>
      </c>
      <c r="H913" s="12" t="s">
        <v>755</v>
      </c>
      <c r="I913" s="12" t="s">
        <v>756</v>
      </c>
      <c r="J913" s="84">
        <v>41199</v>
      </c>
      <c r="K913" s="84">
        <v>52156</v>
      </c>
      <c r="L913" s="12" t="s">
        <v>274</v>
      </c>
      <c r="M913" s="12" t="s">
        <v>874</v>
      </c>
      <c r="N913" s="75"/>
    </row>
    <row r="914" spans="1:14">
      <c r="A914" s="12">
        <v>911</v>
      </c>
      <c r="B914" s="12" t="s">
        <v>3293</v>
      </c>
      <c r="C914" s="12" t="s">
        <v>122</v>
      </c>
      <c r="D914" s="12" t="s">
        <v>2321</v>
      </c>
      <c r="E914" s="85">
        <v>79.16</v>
      </c>
      <c r="F914" s="6">
        <v>5685311</v>
      </c>
      <c r="G914" s="12" t="s">
        <v>1486</v>
      </c>
      <c r="H914" s="12" t="s">
        <v>755</v>
      </c>
      <c r="I914" s="12" t="s">
        <v>756</v>
      </c>
      <c r="J914" s="84">
        <v>41199</v>
      </c>
      <c r="K914" s="84">
        <v>52156</v>
      </c>
      <c r="L914" s="12" t="s">
        <v>274</v>
      </c>
      <c r="M914" s="12" t="s">
        <v>874</v>
      </c>
      <c r="N914" s="75"/>
    </row>
    <row r="915" spans="1:14">
      <c r="A915" s="12">
        <v>912</v>
      </c>
      <c r="B915" s="12" t="s">
        <v>3294</v>
      </c>
      <c r="C915" s="12" t="s">
        <v>212</v>
      </c>
      <c r="D915" s="12" t="s">
        <v>3295</v>
      </c>
      <c r="E915" s="85">
        <v>148.43</v>
      </c>
      <c r="F915" s="6">
        <v>5101883</v>
      </c>
      <c r="G915" s="12" t="s">
        <v>3296</v>
      </c>
      <c r="H915" s="12" t="s">
        <v>755</v>
      </c>
      <c r="I915" s="12" t="s">
        <v>756</v>
      </c>
      <c r="J915" s="84">
        <v>41201</v>
      </c>
      <c r="K915" s="84">
        <v>52158</v>
      </c>
      <c r="L915" s="12" t="s">
        <v>293</v>
      </c>
      <c r="M915" s="12" t="s">
        <v>815</v>
      </c>
      <c r="N915" s="75"/>
    </row>
    <row r="916" spans="1:14">
      <c r="A916" s="12">
        <v>913</v>
      </c>
      <c r="B916" s="12" t="s">
        <v>3297</v>
      </c>
      <c r="C916" s="12" t="s">
        <v>937</v>
      </c>
      <c r="D916" s="12" t="s">
        <v>3298</v>
      </c>
      <c r="E916" s="85">
        <v>60.87</v>
      </c>
      <c r="F916" s="6">
        <v>3369978</v>
      </c>
      <c r="G916" s="12" t="s">
        <v>3299</v>
      </c>
      <c r="H916" s="12" t="s">
        <v>755</v>
      </c>
      <c r="I916" s="12" t="s">
        <v>756</v>
      </c>
      <c r="J916" s="84">
        <v>41201</v>
      </c>
      <c r="K916" s="84">
        <v>52158</v>
      </c>
      <c r="L916" s="12" t="s">
        <v>123</v>
      </c>
      <c r="M916" s="12" t="s">
        <v>124</v>
      </c>
      <c r="N916" s="75"/>
    </row>
    <row r="917" spans="1:14">
      <c r="A917" s="12">
        <v>914</v>
      </c>
      <c r="B917" s="12" t="s">
        <v>3300</v>
      </c>
      <c r="C917" s="12" t="s">
        <v>881</v>
      </c>
      <c r="D917" s="12" t="s">
        <v>3301</v>
      </c>
      <c r="E917" s="85">
        <v>40.25</v>
      </c>
      <c r="F917" s="6">
        <v>5315425</v>
      </c>
      <c r="G917" s="12" t="s">
        <v>3302</v>
      </c>
      <c r="H917" s="12" t="s">
        <v>766</v>
      </c>
      <c r="I917" s="12" t="s">
        <v>767</v>
      </c>
      <c r="J917" s="84">
        <v>41206</v>
      </c>
      <c r="K917" s="84">
        <v>52163</v>
      </c>
      <c r="L917" s="12" t="s">
        <v>128</v>
      </c>
      <c r="M917" s="12" t="s">
        <v>129</v>
      </c>
      <c r="N917" s="75"/>
    </row>
    <row r="918" spans="1:14">
      <c r="A918" s="12">
        <v>915</v>
      </c>
      <c r="B918" s="12" t="s">
        <v>3303</v>
      </c>
      <c r="C918" s="12" t="s">
        <v>122</v>
      </c>
      <c r="D918" s="12" t="s">
        <v>3304</v>
      </c>
      <c r="E918" s="85">
        <v>5360.99</v>
      </c>
      <c r="F918" s="6">
        <v>2070022</v>
      </c>
      <c r="G918" s="12" t="s">
        <v>3305</v>
      </c>
      <c r="H918" s="12" t="s">
        <v>755</v>
      </c>
      <c r="I918" s="12" t="s">
        <v>756</v>
      </c>
      <c r="J918" s="84">
        <v>41200</v>
      </c>
      <c r="K918" s="84">
        <v>52157</v>
      </c>
      <c r="L918" s="12" t="s">
        <v>375</v>
      </c>
      <c r="M918" s="12" t="s">
        <v>3306</v>
      </c>
      <c r="N918" s="75"/>
    </row>
    <row r="919" spans="1:14">
      <c r="A919" s="12">
        <v>916</v>
      </c>
      <c r="B919" s="12" t="s">
        <v>3307</v>
      </c>
      <c r="C919" s="12" t="s">
        <v>212</v>
      </c>
      <c r="D919" s="12" t="s">
        <v>3308</v>
      </c>
      <c r="E919" s="85">
        <v>94</v>
      </c>
      <c r="F919" s="6">
        <v>5218624</v>
      </c>
      <c r="G919" s="12" t="s">
        <v>3309</v>
      </c>
      <c r="H919" s="12" t="s">
        <v>755</v>
      </c>
      <c r="I919" s="12" t="s">
        <v>756</v>
      </c>
      <c r="J919" s="84">
        <v>41204</v>
      </c>
      <c r="K919" s="84">
        <v>52161</v>
      </c>
      <c r="L919" s="12" t="s">
        <v>138</v>
      </c>
      <c r="M919" s="12" t="s">
        <v>138</v>
      </c>
      <c r="N919" s="75"/>
    </row>
    <row r="920" spans="1:14">
      <c r="A920" s="12">
        <v>917</v>
      </c>
      <c r="B920" s="12" t="s">
        <v>3310</v>
      </c>
      <c r="C920" s="12" t="s">
        <v>122</v>
      </c>
      <c r="D920" s="12" t="s">
        <v>3311</v>
      </c>
      <c r="E920" s="85">
        <v>502.26</v>
      </c>
      <c r="F920" s="6">
        <v>5522935</v>
      </c>
      <c r="G920" s="12" t="s">
        <v>3312</v>
      </c>
      <c r="H920" s="12" t="s">
        <v>848</v>
      </c>
      <c r="I920" s="12" t="s">
        <v>849</v>
      </c>
      <c r="J920" s="84">
        <v>41208</v>
      </c>
      <c r="K920" s="84">
        <v>52165</v>
      </c>
      <c r="L920" s="12" t="s">
        <v>170</v>
      </c>
      <c r="M920" s="12" t="s">
        <v>1738</v>
      </c>
      <c r="N920" s="75"/>
    </row>
    <row r="921" spans="1:14">
      <c r="A921" s="12">
        <v>918</v>
      </c>
      <c r="B921" s="12" t="s">
        <v>3313</v>
      </c>
      <c r="C921" s="12" t="s">
        <v>979</v>
      </c>
      <c r="D921" s="12" t="s">
        <v>3314</v>
      </c>
      <c r="E921" s="85">
        <v>71.12</v>
      </c>
      <c r="F921" s="6">
        <v>2075652</v>
      </c>
      <c r="G921" s="12" t="s">
        <v>1277</v>
      </c>
      <c r="H921" s="12" t="s">
        <v>848</v>
      </c>
      <c r="I921" s="12" t="s">
        <v>849</v>
      </c>
      <c r="J921" s="84">
        <v>41215</v>
      </c>
      <c r="K921" s="84">
        <v>52172</v>
      </c>
      <c r="L921" s="12" t="s">
        <v>274</v>
      </c>
      <c r="M921" s="12" t="s">
        <v>275</v>
      </c>
      <c r="N921" s="75"/>
    </row>
    <row r="922" spans="1:14">
      <c r="A922" s="12">
        <v>919</v>
      </c>
      <c r="B922" s="12" t="s">
        <v>3315</v>
      </c>
      <c r="C922" s="12" t="s">
        <v>212</v>
      </c>
      <c r="D922" s="12" t="s">
        <v>2874</v>
      </c>
      <c r="E922" s="85">
        <v>146.72999999999999</v>
      </c>
      <c r="F922" s="6">
        <v>5098033</v>
      </c>
      <c r="G922" s="12" t="s">
        <v>3316</v>
      </c>
      <c r="H922" s="12" t="s">
        <v>848</v>
      </c>
      <c r="I922" s="12" t="s">
        <v>849</v>
      </c>
      <c r="J922" s="84">
        <v>41228</v>
      </c>
      <c r="K922" s="84">
        <v>52185</v>
      </c>
      <c r="L922" s="12" t="s">
        <v>375</v>
      </c>
      <c r="M922" s="12" t="s">
        <v>3317</v>
      </c>
      <c r="N922" s="75"/>
    </row>
    <row r="923" spans="1:14">
      <c r="A923" s="12">
        <v>920</v>
      </c>
      <c r="B923" s="12" t="s">
        <v>3318</v>
      </c>
      <c r="C923" s="12" t="s">
        <v>221</v>
      </c>
      <c r="D923" s="12" t="s">
        <v>2842</v>
      </c>
      <c r="E923" s="85">
        <v>156.05000000000001</v>
      </c>
      <c r="F923" s="6">
        <v>2143097</v>
      </c>
      <c r="G923" s="12" t="s">
        <v>3319</v>
      </c>
      <c r="H923" s="12" t="s">
        <v>755</v>
      </c>
      <c r="I923" s="12" t="s">
        <v>756</v>
      </c>
      <c r="J923" s="84">
        <v>41235</v>
      </c>
      <c r="K923" s="84">
        <v>52192</v>
      </c>
      <c r="L923" s="12" t="s">
        <v>288</v>
      </c>
      <c r="M923" s="12" t="s">
        <v>3320</v>
      </c>
      <c r="N923" s="75"/>
    </row>
    <row r="924" spans="1:14">
      <c r="A924" s="12">
        <v>921</v>
      </c>
      <c r="B924" s="12" t="s">
        <v>3321</v>
      </c>
      <c r="C924" s="12" t="s">
        <v>137</v>
      </c>
      <c r="D924" s="12" t="s">
        <v>3322</v>
      </c>
      <c r="E924" s="85">
        <v>350.56</v>
      </c>
      <c r="F924" s="6">
        <v>5112885</v>
      </c>
      <c r="G924" s="12" t="s">
        <v>3323</v>
      </c>
      <c r="H924" s="12" t="s">
        <v>755</v>
      </c>
      <c r="I924" s="12" t="s">
        <v>756</v>
      </c>
      <c r="J924" s="84">
        <v>41247</v>
      </c>
      <c r="K924" s="84">
        <v>52204</v>
      </c>
      <c r="L924" s="12" t="s">
        <v>274</v>
      </c>
      <c r="M924" s="12" t="s">
        <v>1934</v>
      </c>
      <c r="N924" s="75"/>
    </row>
    <row r="925" spans="1:14">
      <c r="A925" s="12">
        <v>922</v>
      </c>
      <c r="B925" s="12" t="s">
        <v>3324</v>
      </c>
      <c r="C925" s="12" t="s">
        <v>886</v>
      </c>
      <c r="D925" s="12" t="s">
        <v>792</v>
      </c>
      <c r="E925" s="85">
        <v>734.22</v>
      </c>
      <c r="F925" s="6">
        <v>2780518</v>
      </c>
      <c r="G925" s="12" t="s">
        <v>3325</v>
      </c>
      <c r="H925" s="12" t="s">
        <v>848</v>
      </c>
      <c r="I925" s="12" t="s">
        <v>849</v>
      </c>
      <c r="J925" s="84">
        <v>41247</v>
      </c>
      <c r="K925" s="84">
        <v>52204</v>
      </c>
      <c r="L925" s="12" t="s">
        <v>123</v>
      </c>
      <c r="M925" s="12" t="s">
        <v>1256</v>
      </c>
      <c r="N925" s="75"/>
    </row>
    <row r="926" spans="1:14">
      <c r="A926" s="12">
        <v>923</v>
      </c>
      <c r="B926" s="12" t="s">
        <v>3326</v>
      </c>
      <c r="C926" s="12" t="s">
        <v>1152</v>
      </c>
      <c r="D926" s="12" t="s">
        <v>3327</v>
      </c>
      <c r="E926" s="85">
        <v>37.03</v>
      </c>
      <c r="F926" s="6">
        <v>5446317</v>
      </c>
      <c r="G926" s="12" t="s">
        <v>3328</v>
      </c>
      <c r="H926" s="12" t="s">
        <v>755</v>
      </c>
      <c r="I926" s="12" t="s">
        <v>756</v>
      </c>
      <c r="J926" s="84">
        <v>41254</v>
      </c>
      <c r="K926" s="84">
        <v>52211</v>
      </c>
      <c r="L926" s="12" t="s">
        <v>128</v>
      </c>
      <c r="M926" s="12" t="s">
        <v>129</v>
      </c>
      <c r="N926" s="75"/>
    </row>
    <row r="927" spans="1:14">
      <c r="A927" s="12">
        <v>924</v>
      </c>
      <c r="B927" s="12" t="s">
        <v>3329</v>
      </c>
      <c r="C927" s="12" t="s">
        <v>1035</v>
      </c>
      <c r="D927" s="12" t="s">
        <v>3330</v>
      </c>
      <c r="E927" s="85">
        <v>607.94000000000005</v>
      </c>
      <c r="F927" s="6">
        <v>5511712</v>
      </c>
      <c r="G927" s="12" t="s">
        <v>3331</v>
      </c>
      <c r="H927" s="12" t="s">
        <v>848</v>
      </c>
      <c r="I927" s="12" t="s">
        <v>849</v>
      </c>
      <c r="J927" s="84">
        <v>41256</v>
      </c>
      <c r="K927" s="84">
        <v>52213</v>
      </c>
      <c r="L927" s="12" t="s">
        <v>274</v>
      </c>
      <c r="M927" s="12" t="s">
        <v>2184</v>
      </c>
      <c r="N927" s="75"/>
    </row>
    <row r="928" spans="1:14">
      <c r="A928" s="12">
        <v>925</v>
      </c>
      <c r="B928" s="12" t="s">
        <v>3332</v>
      </c>
      <c r="C928" s="12" t="s">
        <v>122</v>
      </c>
      <c r="D928" s="12" t="s">
        <v>3333</v>
      </c>
      <c r="E928" s="85">
        <v>4749.3900000000003</v>
      </c>
      <c r="F928" s="6">
        <v>2070022</v>
      </c>
      <c r="G928" s="12" t="s">
        <v>3305</v>
      </c>
      <c r="H928" s="12" t="s">
        <v>755</v>
      </c>
      <c r="I928" s="12" t="s">
        <v>756</v>
      </c>
      <c r="J928" s="84">
        <v>41257</v>
      </c>
      <c r="K928" s="84">
        <v>52214</v>
      </c>
      <c r="L928" s="12" t="s">
        <v>375</v>
      </c>
      <c r="M928" s="12" t="s">
        <v>3334</v>
      </c>
      <c r="N928" s="75"/>
    </row>
    <row r="929" spans="1:14">
      <c r="A929" s="12">
        <v>926</v>
      </c>
      <c r="B929" s="12" t="s">
        <v>3335</v>
      </c>
      <c r="C929" s="12" t="s">
        <v>752</v>
      </c>
      <c r="D929" s="12" t="s">
        <v>3336</v>
      </c>
      <c r="E929" s="85">
        <v>316.67</v>
      </c>
      <c r="F929" s="6">
        <v>2763788</v>
      </c>
      <c r="G929" s="12" t="s">
        <v>1209</v>
      </c>
      <c r="H929" s="12" t="s">
        <v>755</v>
      </c>
      <c r="I929" s="12" t="s">
        <v>756</v>
      </c>
      <c r="J929" s="84">
        <v>41262</v>
      </c>
      <c r="K929" s="84">
        <v>52219</v>
      </c>
      <c r="L929" s="12" t="s">
        <v>836</v>
      </c>
      <c r="M929" s="12" t="s">
        <v>837</v>
      </c>
      <c r="N929" s="75"/>
    </row>
    <row r="930" spans="1:14">
      <c r="A930" s="12">
        <v>927</v>
      </c>
      <c r="B930" s="12" t="s">
        <v>3337</v>
      </c>
      <c r="C930" s="12" t="s">
        <v>122</v>
      </c>
      <c r="D930" s="12" t="s">
        <v>3338</v>
      </c>
      <c r="E930" s="85">
        <v>146.22</v>
      </c>
      <c r="F930" s="6">
        <v>5112486</v>
      </c>
      <c r="G930" s="12" t="s">
        <v>3339</v>
      </c>
      <c r="H930" s="12" t="s">
        <v>848</v>
      </c>
      <c r="I930" s="12" t="s">
        <v>849</v>
      </c>
      <c r="J930" s="84">
        <v>41267</v>
      </c>
      <c r="K930" s="84">
        <v>52224</v>
      </c>
      <c r="L930" s="12" t="s">
        <v>233</v>
      </c>
      <c r="M930" s="12" t="s">
        <v>1300</v>
      </c>
      <c r="N930" s="75"/>
    </row>
    <row r="931" spans="1:14">
      <c r="A931" s="12">
        <v>928</v>
      </c>
      <c r="B931" s="12" t="s">
        <v>3340</v>
      </c>
      <c r="C931" s="12" t="s">
        <v>3341</v>
      </c>
      <c r="D931" s="12" t="s">
        <v>3342</v>
      </c>
      <c r="E931" s="85">
        <v>402.54</v>
      </c>
      <c r="F931" s="6">
        <v>2090511</v>
      </c>
      <c r="G931" s="12" t="s">
        <v>3343</v>
      </c>
      <c r="H931" s="12" t="s">
        <v>755</v>
      </c>
      <c r="I931" s="12" t="s">
        <v>756</v>
      </c>
      <c r="J931" s="84">
        <v>41270</v>
      </c>
      <c r="K931" s="84">
        <v>52227</v>
      </c>
      <c r="L931" s="12" t="s">
        <v>1014</v>
      </c>
      <c r="M931" s="12" t="s">
        <v>3043</v>
      </c>
      <c r="N931" s="75"/>
    </row>
    <row r="932" spans="1:14">
      <c r="A932" s="12">
        <v>929</v>
      </c>
      <c r="B932" s="12" t="s">
        <v>3344</v>
      </c>
      <c r="C932" s="12" t="s">
        <v>122</v>
      </c>
      <c r="D932" s="12" t="s">
        <v>952</v>
      </c>
      <c r="E932" s="85">
        <v>85.21</v>
      </c>
      <c r="F932" s="6">
        <v>2034859</v>
      </c>
      <c r="G932" s="12" t="s">
        <v>952</v>
      </c>
      <c r="H932" s="12" t="s">
        <v>781</v>
      </c>
      <c r="I932" s="12" t="s">
        <v>756</v>
      </c>
      <c r="J932" s="84">
        <v>41289</v>
      </c>
      <c r="K932" s="84">
        <v>52246</v>
      </c>
      <c r="L932" s="12" t="s">
        <v>205</v>
      </c>
      <c r="M932" s="12" t="s">
        <v>206</v>
      </c>
      <c r="N932" s="75"/>
    </row>
    <row r="933" spans="1:14">
      <c r="A933" s="12">
        <v>930</v>
      </c>
      <c r="B933" s="12" t="s">
        <v>3345</v>
      </c>
      <c r="C933" s="12" t="s">
        <v>212</v>
      </c>
      <c r="D933" s="12" t="s">
        <v>3346</v>
      </c>
      <c r="E933" s="85">
        <v>24.93</v>
      </c>
      <c r="F933" s="6">
        <v>2732521</v>
      </c>
      <c r="G933" s="12" t="s">
        <v>3347</v>
      </c>
      <c r="H933" s="12" t="s">
        <v>755</v>
      </c>
      <c r="I933" s="12" t="s">
        <v>756</v>
      </c>
      <c r="J933" s="84">
        <v>41303</v>
      </c>
      <c r="K933" s="84">
        <v>52260</v>
      </c>
      <c r="L933" s="12" t="s">
        <v>170</v>
      </c>
      <c r="M933" s="12" t="s">
        <v>171</v>
      </c>
      <c r="N933" s="75"/>
    </row>
    <row r="934" spans="1:14">
      <c r="A934" s="12">
        <v>931</v>
      </c>
      <c r="B934" s="12" t="s">
        <v>3348</v>
      </c>
      <c r="C934" s="12" t="s">
        <v>752</v>
      </c>
      <c r="D934" s="12" t="s">
        <v>3349</v>
      </c>
      <c r="E934" s="85">
        <v>341.48</v>
      </c>
      <c r="F934" s="6">
        <v>5110297</v>
      </c>
      <c r="G934" s="12" t="s">
        <v>3350</v>
      </c>
      <c r="H934" s="12" t="s">
        <v>755</v>
      </c>
      <c r="I934" s="12" t="s">
        <v>756</v>
      </c>
      <c r="J934" s="84">
        <v>41309</v>
      </c>
      <c r="K934" s="84">
        <v>52266</v>
      </c>
      <c r="L934" s="12" t="s">
        <v>274</v>
      </c>
      <c r="M934" s="12" t="s">
        <v>790</v>
      </c>
      <c r="N934" s="75"/>
    </row>
    <row r="935" spans="1:14">
      <c r="A935" s="12">
        <v>932</v>
      </c>
      <c r="B935" s="12" t="s">
        <v>3351</v>
      </c>
      <c r="C935" s="12" t="s">
        <v>979</v>
      </c>
      <c r="D935" s="12" t="s">
        <v>3103</v>
      </c>
      <c r="E935" s="85">
        <v>25.34</v>
      </c>
      <c r="F935" s="6">
        <v>6016138</v>
      </c>
      <c r="G935" s="12" t="s">
        <v>3352</v>
      </c>
      <c r="H935" s="12" t="s">
        <v>755</v>
      </c>
      <c r="I935" s="12" t="s">
        <v>756</v>
      </c>
      <c r="J935" s="84">
        <v>41320</v>
      </c>
      <c r="K935" s="84">
        <v>52277</v>
      </c>
      <c r="L935" s="12" t="s">
        <v>274</v>
      </c>
      <c r="M935" s="12" t="s">
        <v>874</v>
      </c>
      <c r="N935" s="75"/>
    </row>
    <row r="936" spans="1:14">
      <c r="A936" s="12">
        <v>933</v>
      </c>
      <c r="B936" s="12" t="s">
        <v>3353</v>
      </c>
      <c r="C936" s="12" t="s">
        <v>3354</v>
      </c>
      <c r="D936" s="12" t="s">
        <v>3355</v>
      </c>
      <c r="E936" s="85">
        <v>596.16999999999996</v>
      </c>
      <c r="F936" s="6">
        <v>2095866</v>
      </c>
      <c r="G936" s="12" t="s">
        <v>3356</v>
      </c>
      <c r="H936" s="12" t="s">
        <v>755</v>
      </c>
      <c r="I936" s="12" t="s">
        <v>756</v>
      </c>
      <c r="J936" s="84">
        <v>38797</v>
      </c>
      <c r="K936" s="84">
        <v>49755</v>
      </c>
      <c r="L936" s="12" t="s">
        <v>1102</v>
      </c>
      <c r="M936" s="12" t="s">
        <v>3357</v>
      </c>
      <c r="N936" s="75"/>
    </row>
    <row r="937" spans="1:14">
      <c r="A937" s="12">
        <v>934</v>
      </c>
      <c r="B937" s="12" t="s">
        <v>3358</v>
      </c>
      <c r="C937" s="12" t="s">
        <v>1152</v>
      </c>
      <c r="D937" s="12" t="s">
        <v>3359</v>
      </c>
      <c r="E937" s="85">
        <v>92.81</v>
      </c>
      <c r="F937" s="6">
        <v>5442346</v>
      </c>
      <c r="G937" s="12" t="s">
        <v>3360</v>
      </c>
      <c r="H937" s="12" t="s">
        <v>755</v>
      </c>
      <c r="I937" s="12" t="s">
        <v>756</v>
      </c>
      <c r="J937" s="84">
        <v>41051</v>
      </c>
      <c r="K937" s="84">
        <v>52008</v>
      </c>
      <c r="L937" s="12" t="s">
        <v>274</v>
      </c>
      <c r="M937" s="12" t="s">
        <v>1267</v>
      </c>
      <c r="N937" s="75"/>
    </row>
    <row r="938" spans="1:14">
      <c r="A938" s="12">
        <v>935</v>
      </c>
      <c r="B938" s="12" t="s">
        <v>3361</v>
      </c>
      <c r="C938" s="12" t="s">
        <v>212</v>
      </c>
      <c r="D938" s="12" t="s">
        <v>3362</v>
      </c>
      <c r="E938" s="85">
        <v>130.07</v>
      </c>
      <c r="F938" s="6">
        <v>5105439</v>
      </c>
      <c r="G938" s="12" t="s">
        <v>3363</v>
      </c>
      <c r="H938" s="12" t="s">
        <v>755</v>
      </c>
      <c r="I938" s="12" t="s">
        <v>756</v>
      </c>
      <c r="J938" s="84">
        <v>41372</v>
      </c>
      <c r="K938" s="84">
        <v>52329</v>
      </c>
      <c r="L938" s="12" t="s">
        <v>170</v>
      </c>
      <c r="M938" s="12" t="s">
        <v>171</v>
      </c>
      <c r="N938" s="75"/>
    </row>
    <row r="939" spans="1:14">
      <c r="A939" s="12">
        <v>936</v>
      </c>
      <c r="B939" s="12" t="s">
        <v>3364</v>
      </c>
      <c r="C939" s="12" t="s">
        <v>122</v>
      </c>
      <c r="D939" s="12" t="s">
        <v>3365</v>
      </c>
      <c r="E939" s="85">
        <v>1623.8</v>
      </c>
      <c r="F939" s="6">
        <v>2679868</v>
      </c>
      <c r="G939" s="12" t="s">
        <v>3366</v>
      </c>
      <c r="H939" s="12" t="s">
        <v>755</v>
      </c>
      <c r="I939" s="12" t="s">
        <v>756</v>
      </c>
      <c r="J939" s="84">
        <v>41372</v>
      </c>
      <c r="K939" s="84">
        <v>52329</v>
      </c>
      <c r="L939" s="12" t="s">
        <v>1014</v>
      </c>
      <c r="M939" s="12" t="s">
        <v>3367</v>
      </c>
      <c r="N939" s="75"/>
    </row>
    <row r="940" spans="1:14">
      <c r="A940" s="12">
        <v>937</v>
      </c>
      <c r="B940" s="12" t="s">
        <v>3368</v>
      </c>
      <c r="C940" s="12" t="s">
        <v>122</v>
      </c>
      <c r="D940" s="12" t="s">
        <v>3369</v>
      </c>
      <c r="E940" s="85">
        <v>1085.2</v>
      </c>
      <c r="F940" s="6">
        <v>5671833</v>
      </c>
      <c r="G940" s="12" t="s">
        <v>3370</v>
      </c>
      <c r="H940" s="12" t="s">
        <v>848</v>
      </c>
      <c r="I940" s="12" t="s">
        <v>849</v>
      </c>
      <c r="J940" s="84">
        <v>41381</v>
      </c>
      <c r="K940" s="84">
        <v>52338</v>
      </c>
      <c r="L940" s="12" t="s">
        <v>233</v>
      </c>
      <c r="M940" s="12" t="s">
        <v>3019</v>
      </c>
      <c r="N940" s="75"/>
    </row>
    <row r="941" spans="1:14">
      <c r="A941" s="12">
        <v>938</v>
      </c>
      <c r="B941" s="12" t="s">
        <v>3371</v>
      </c>
      <c r="C941" s="12" t="s">
        <v>200</v>
      </c>
      <c r="D941" s="12" t="s">
        <v>3372</v>
      </c>
      <c r="E941" s="85">
        <v>134.34</v>
      </c>
      <c r="F941" s="6">
        <v>5209447</v>
      </c>
      <c r="G941" s="12" t="s">
        <v>2210</v>
      </c>
      <c r="H941" s="12" t="s">
        <v>755</v>
      </c>
      <c r="I941" s="12" t="s">
        <v>756</v>
      </c>
      <c r="J941" s="84">
        <v>41381</v>
      </c>
      <c r="K941" s="84">
        <v>52338</v>
      </c>
      <c r="L941" s="12" t="s">
        <v>375</v>
      </c>
      <c r="M941" s="12" t="s">
        <v>893</v>
      </c>
      <c r="N941" s="75"/>
    </row>
    <row r="942" spans="1:14">
      <c r="A942" s="12">
        <v>939</v>
      </c>
      <c r="B942" s="12" t="s">
        <v>3373</v>
      </c>
      <c r="C942" s="12" t="s">
        <v>3374</v>
      </c>
      <c r="D942" s="12" t="s">
        <v>2090</v>
      </c>
      <c r="E942" s="85">
        <v>4720.16</v>
      </c>
      <c r="F942" s="6">
        <v>5530725</v>
      </c>
      <c r="G942" s="12" t="s">
        <v>3375</v>
      </c>
      <c r="H942" s="12" t="s">
        <v>755</v>
      </c>
      <c r="I942" s="12" t="s">
        <v>756</v>
      </c>
      <c r="J942" s="84">
        <v>41382</v>
      </c>
      <c r="K942" s="84">
        <v>52339</v>
      </c>
      <c r="L942" s="12" t="s">
        <v>375</v>
      </c>
      <c r="M942" s="12" t="s">
        <v>1476</v>
      </c>
      <c r="N942" s="75"/>
    </row>
    <row r="943" spans="1:14">
      <c r="A943" s="12">
        <v>940</v>
      </c>
      <c r="B943" s="12" t="s">
        <v>3376</v>
      </c>
      <c r="C943" s="12" t="s">
        <v>752</v>
      </c>
      <c r="D943" s="12" t="s">
        <v>3377</v>
      </c>
      <c r="E943" s="85">
        <v>158.16</v>
      </c>
      <c r="F943" s="6">
        <v>5289173</v>
      </c>
      <c r="G943" s="12" t="s">
        <v>3378</v>
      </c>
      <c r="H943" s="12" t="s">
        <v>755</v>
      </c>
      <c r="I943" s="12" t="s">
        <v>756</v>
      </c>
      <c r="J943" s="84">
        <v>41382</v>
      </c>
      <c r="K943" s="84">
        <v>52339</v>
      </c>
      <c r="L943" s="12" t="s">
        <v>274</v>
      </c>
      <c r="M943" s="12" t="s">
        <v>275</v>
      </c>
      <c r="N943" s="75"/>
    </row>
    <row r="944" spans="1:14">
      <c r="A944" s="12">
        <v>941</v>
      </c>
      <c r="B944" s="12" t="s">
        <v>3379</v>
      </c>
      <c r="C944" s="12" t="s">
        <v>212</v>
      </c>
      <c r="D944" s="12" t="s">
        <v>2972</v>
      </c>
      <c r="E944" s="85">
        <v>300.95999999999998</v>
      </c>
      <c r="F944" s="6">
        <v>2618176</v>
      </c>
      <c r="G944" s="12" t="s">
        <v>2973</v>
      </c>
      <c r="H944" s="12" t="s">
        <v>848</v>
      </c>
      <c r="I944" s="12" t="s">
        <v>849</v>
      </c>
      <c r="J944" s="84">
        <v>41387</v>
      </c>
      <c r="K944" s="84">
        <v>52344</v>
      </c>
      <c r="L944" s="12" t="s">
        <v>293</v>
      </c>
      <c r="M944" s="12" t="s">
        <v>933</v>
      </c>
      <c r="N944" s="75"/>
    </row>
    <row r="945" spans="1:14">
      <c r="A945" s="12">
        <v>942</v>
      </c>
      <c r="B945" s="12" t="s">
        <v>3380</v>
      </c>
      <c r="C945" s="12" t="s">
        <v>122</v>
      </c>
      <c r="D945" s="12" t="s">
        <v>3381</v>
      </c>
      <c r="E945" s="85">
        <v>132.81</v>
      </c>
      <c r="F945" s="6">
        <v>6225241</v>
      </c>
      <c r="G945" s="12" t="s">
        <v>3382</v>
      </c>
      <c r="H945" s="12" t="s">
        <v>755</v>
      </c>
      <c r="I945" s="12" t="s">
        <v>756</v>
      </c>
      <c r="J945" s="84">
        <v>41393</v>
      </c>
      <c r="K945" s="84">
        <v>52350</v>
      </c>
      <c r="L945" s="12" t="s">
        <v>170</v>
      </c>
      <c r="M945" s="12" t="s">
        <v>802</v>
      </c>
      <c r="N945" s="75"/>
    </row>
    <row r="946" spans="1:14">
      <c r="A946" s="12">
        <v>943</v>
      </c>
      <c r="B946" s="12" t="s">
        <v>3383</v>
      </c>
      <c r="C946" s="12" t="s">
        <v>2855</v>
      </c>
      <c r="D946" s="12" t="s">
        <v>3384</v>
      </c>
      <c r="E946" s="85">
        <v>25.21</v>
      </c>
      <c r="F946" s="6">
        <v>5663989</v>
      </c>
      <c r="G946" s="12" t="s">
        <v>3385</v>
      </c>
      <c r="H946" s="12" t="s">
        <v>755</v>
      </c>
      <c r="I946" s="12" t="s">
        <v>756</v>
      </c>
      <c r="J946" s="84">
        <v>41394</v>
      </c>
      <c r="K946" s="84">
        <v>52351</v>
      </c>
      <c r="L946" s="12" t="s">
        <v>274</v>
      </c>
      <c r="M946" s="12" t="s">
        <v>1267</v>
      </c>
      <c r="N946" s="75"/>
    </row>
    <row r="947" spans="1:14">
      <c r="A947" s="12">
        <v>944</v>
      </c>
      <c r="B947" s="12" t="s">
        <v>3386</v>
      </c>
      <c r="C947" s="12" t="s">
        <v>881</v>
      </c>
      <c r="D947" s="12" t="s">
        <v>3387</v>
      </c>
      <c r="E947" s="85">
        <v>111.71</v>
      </c>
      <c r="F947" s="6">
        <v>5553199</v>
      </c>
      <c r="G947" s="12" t="s">
        <v>3388</v>
      </c>
      <c r="H947" s="12" t="s">
        <v>755</v>
      </c>
      <c r="I947" s="12" t="s">
        <v>756</v>
      </c>
      <c r="J947" s="84">
        <v>41401</v>
      </c>
      <c r="K947" s="84">
        <v>52358</v>
      </c>
      <c r="L947" s="12" t="s">
        <v>128</v>
      </c>
      <c r="M947" s="12" t="s">
        <v>129</v>
      </c>
      <c r="N947" s="75"/>
    </row>
    <row r="948" spans="1:14">
      <c r="A948" s="12">
        <v>945</v>
      </c>
      <c r="B948" s="12" t="s">
        <v>3389</v>
      </c>
      <c r="C948" s="12" t="s">
        <v>752</v>
      </c>
      <c r="D948" s="12" t="s">
        <v>3390</v>
      </c>
      <c r="E948" s="85">
        <v>48.87</v>
      </c>
      <c r="F948" s="6">
        <v>5148014</v>
      </c>
      <c r="G948" s="12" t="s">
        <v>3391</v>
      </c>
      <c r="H948" s="12" t="s">
        <v>755</v>
      </c>
      <c r="I948" s="12" t="s">
        <v>756</v>
      </c>
      <c r="J948" s="84">
        <v>38488</v>
      </c>
      <c r="K948" s="84">
        <v>50476</v>
      </c>
      <c r="L948" s="12" t="s">
        <v>1097</v>
      </c>
      <c r="M948" s="12" t="s">
        <v>1098</v>
      </c>
      <c r="N948" s="75"/>
    </row>
    <row r="949" spans="1:14">
      <c r="A949" s="12">
        <v>946</v>
      </c>
      <c r="B949" s="12" t="s">
        <v>3392</v>
      </c>
      <c r="C949" s="12" t="s">
        <v>122</v>
      </c>
      <c r="D949" s="12" t="s">
        <v>3393</v>
      </c>
      <c r="E949" s="85">
        <v>350.13</v>
      </c>
      <c r="F949" s="6">
        <v>5199077</v>
      </c>
      <c r="G949" s="12" t="s">
        <v>3394</v>
      </c>
      <c r="H949" s="12" t="s">
        <v>755</v>
      </c>
      <c r="I949" s="12" t="s">
        <v>756</v>
      </c>
      <c r="J949" s="84">
        <v>41421</v>
      </c>
      <c r="K949" s="84">
        <v>52378</v>
      </c>
      <c r="L949" s="12" t="s">
        <v>233</v>
      </c>
      <c r="M949" s="12" t="s">
        <v>237</v>
      </c>
      <c r="N949" s="75"/>
    </row>
    <row r="950" spans="1:14">
      <c r="A950" s="12">
        <v>947</v>
      </c>
      <c r="B950" s="12" t="s">
        <v>3395</v>
      </c>
      <c r="C950" s="12" t="s">
        <v>147</v>
      </c>
      <c r="D950" s="12" t="s">
        <v>1875</v>
      </c>
      <c r="E950" s="85">
        <v>5562.73</v>
      </c>
      <c r="F950" s="6">
        <v>5287227</v>
      </c>
      <c r="G950" s="12" t="s">
        <v>3396</v>
      </c>
      <c r="H950" s="12" t="s">
        <v>848</v>
      </c>
      <c r="I950" s="12" t="s">
        <v>849</v>
      </c>
      <c r="J950" s="84">
        <v>41428</v>
      </c>
      <c r="K950" s="84">
        <v>52385</v>
      </c>
      <c r="L950" s="12" t="s">
        <v>170</v>
      </c>
      <c r="M950" s="12" t="s">
        <v>1738</v>
      </c>
      <c r="N950" s="75"/>
    </row>
    <row r="951" spans="1:14">
      <c r="A951" s="12">
        <v>948</v>
      </c>
      <c r="B951" s="12" t="s">
        <v>3397</v>
      </c>
      <c r="C951" s="12" t="s">
        <v>137</v>
      </c>
      <c r="D951" s="12" t="s">
        <v>3398</v>
      </c>
      <c r="E951" s="85">
        <v>133.12</v>
      </c>
      <c r="F951" s="6">
        <v>5523974</v>
      </c>
      <c r="G951" s="12" t="s">
        <v>3399</v>
      </c>
      <c r="H951" s="12" t="s">
        <v>755</v>
      </c>
      <c r="I951" s="12" t="s">
        <v>756</v>
      </c>
      <c r="J951" s="84">
        <v>41430</v>
      </c>
      <c r="K951" s="84">
        <v>52387</v>
      </c>
      <c r="L951" s="12" t="s">
        <v>836</v>
      </c>
      <c r="M951" s="12" t="s">
        <v>837</v>
      </c>
      <c r="N951" s="75"/>
    </row>
    <row r="952" spans="1:14">
      <c r="A952" s="12">
        <v>949</v>
      </c>
      <c r="B952" s="12" t="s">
        <v>3400</v>
      </c>
      <c r="C952" s="12" t="s">
        <v>881</v>
      </c>
      <c r="D952" s="12" t="s">
        <v>3401</v>
      </c>
      <c r="E952" s="85">
        <v>214.28</v>
      </c>
      <c r="F952" s="6">
        <v>2662507</v>
      </c>
      <c r="G952" s="12" t="s">
        <v>3402</v>
      </c>
      <c r="H952" s="12" t="s">
        <v>755</v>
      </c>
      <c r="I952" s="12" t="s">
        <v>756</v>
      </c>
      <c r="J952" s="84">
        <v>41443</v>
      </c>
      <c r="K952" s="84">
        <v>52400</v>
      </c>
      <c r="L952" s="12" t="s">
        <v>128</v>
      </c>
      <c r="M952" s="12" t="s">
        <v>129</v>
      </c>
      <c r="N952" s="75"/>
    </row>
    <row r="953" spans="1:14">
      <c r="A953" s="12">
        <v>950</v>
      </c>
      <c r="B953" s="12" t="s">
        <v>3403</v>
      </c>
      <c r="C953" s="12" t="s">
        <v>122</v>
      </c>
      <c r="D953" s="12" t="s">
        <v>3404</v>
      </c>
      <c r="E953" s="85">
        <v>8340.01</v>
      </c>
      <c r="F953" s="6">
        <v>2887134</v>
      </c>
      <c r="G953" s="12" t="s">
        <v>2503</v>
      </c>
      <c r="H953" s="12" t="s">
        <v>848</v>
      </c>
      <c r="I953" s="12" t="s">
        <v>849</v>
      </c>
      <c r="J953" s="84">
        <v>41449</v>
      </c>
      <c r="K953" s="84">
        <v>52406</v>
      </c>
      <c r="L953" s="12" t="s">
        <v>233</v>
      </c>
      <c r="M953" s="12" t="s">
        <v>2504</v>
      </c>
      <c r="N953" s="75"/>
    </row>
    <row r="954" spans="1:14">
      <c r="A954" s="12">
        <v>951</v>
      </c>
      <c r="B954" s="12" t="s">
        <v>3405</v>
      </c>
      <c r="C954" s="12" t="s">
        <v>122</v>
      </c>
      <c r="D954" s="12" t="s">
        <v>3406</v>
      </c>
      <c r="E954" s="85">
        <v>2497.04</v>
      </c>
      <c r="F954" s="6">
        <v>5508606</v>
      </c>
      <c r="G954" s="12" t="s">
        <v>3407</v>
      </c>
      <c r="H954" s="12" t="s">
        <v>848</v>
      </c>
      <c r="I954" s="12" t="s">
        <v>849</v>
      </c>
      <c r="J954" s="84">
        <v>41464</v>
      </c>
      <c r="K954" s="84">
        <v>52421</v>
      </c>
      <c r="L954" s="12" t="s">
        <v>274</v>
      </c>
      <c r="M954" s="12" t="s">
        <v>3408</v>
      </c>
      <c r="N954" s="75"/>
    </row>
    <row r="955" spans="1:14">
      <c r="A955" s="12">
        <v>952</v>
      </c>
      <c r="B955" s="12" t="s">
        <v>3409</v>
      </c>
      <c r="C955" s="12" t="s">
        <v>122</v>
      </c>
      <c r="D955" s="12" t="s">
        <v>3410</v>
      </c>
      <c r="E955" s="85">
        <v>4048.94</v>
      </c>
      <c r="F955" s="6">
        <v>2095025</v>
      </c>
      <c r="G955" s="12" t="s">
        <v>870</v>
      </c>
      <c r="H955" s="12" t="s">
        <v>755</v>
      </c>
      <c r="I955" s="12" t="s">
        <v>756</v>
      </c>
      <c r="J955" s="84">
        <v>41446</v>
      </c>
      <c r="K955" s="84">
        <v>52403</v>
      </c>
      <c r="L955" s="12" t="s">
        <v>123</v>
      </c>
      <c r="M955" s="12" t="s">
        <v>3411</v>
      </c>
      <c r="N955" s="75"/>
    </row>
    <row r="956" spans="1:14">
      <c r="A956" s="12">
        <v>953</v>
      </c>
      <c r="B956" s="12" t="s">
        <v>3412</v>
      </c>
      <c r="C956" s="12" t="s">
        <v>1035</v>
      </c>
      <c r="D956" s="12" t="s">
        <v>2510</v>
      </c>
      <c r="E956" s="85">
        <v>323.83</v>
      </c>
      <c r="F956" s="6">
        <v>5070651</v>
      </c>
      <c r="G956" s="12" t="s">
        <v>3413</v>
      </c>
      <c r="H956" s="12" t="s">
        <v>755</v>
      </c>
      <c r="I956" s="12" t="s">
        <v>756</v>
      </c>
      <c r="J956" s="84">
        <v>41450</v>
      </c>
      <c r="K956" s="84">
        <v>52407</v>
      </c>
      <c r="L956" s="12" t="s">
        <v>138</v>
      </c>
      <c r="M956" s="12" t="s">
        <v>1927</v>
      </c>
      <c r="N956" s="75"/>
    </row>
    <row r="957" spans="1:14">
      <c r="A957" s="12">
        <v>954</v>
      </c>
      <c r="B957" s="12" t="s">
        <v>3414</v>
      </c>
      <c r="C957" s="12" t="s">
        <v>137</v>
      </c>
      <c r="D957" s="12" t="s">
        <v>3415</v>
      </c>
      <c r="E957" s="85">
        <v>231.77</v>
      </c>
      <c r="F957" s="6">
        <v>5068053</v>
      </c>
      <c r="G957" s="12" t="s">
        <v>3416</v>
      </c>
      <c r="H957" s="12" t="s">
        <v>766</v>
      </c>
      <c r="I957" s="12" t="s">
        <v>767</v>
      </c>
      <c r="J957" s="84">
        <v>41460</v>
      </c>
      <c r="K957" s="84">
        <v>52417</v>
      </c>
      <c r="L957" s="12" t="s">
        <v>293</v>
      </c>
      <c r="M957" s="12" t="s">
        <v>181</v>
      </c>
      <c r="N957" s="75"/>
    </row>
    <row r="958" spans="1:14">
      <c r="A958" s="12">
        <v>955</v>
      </c>
      <c r="B958" s="12" t="s">
        <v>3417</v>
      </c>
      <c r="C958" s="12" t="s">
        <v>212</v>
      </c>
      <c r="D958" s="12" t="s">
        <v>3418</v>
      </c>
      <c r="E958" s="85">
        <v>124.2</v>
      </c>
      <c r="F958" s="6">
        <v>5648629</v>
      </c>
      <c r="G958" s="12" t="s">
        <v>3419</v>
      </c>
      <c r="H958" s="12" t="s">
        <v>755</v>
      </c>
      <c r="I958" s="12" t="s">
        <v>756</v>
      </c>
      <c r="J958" s="84">
        <v>41459</v>
      </c>
      <c r="K958" s="84">
        <v>52416</v>
      </c>
      <c r="L958" s="12" t="s">
        <v>375</v>
      </c>
      <c r="M958" s="12" t="s">
        <v>3317</v>
      </c>
      <c r="N958" s="75"/>
    </row>
    <row r="959" spans="1:14">
      <c r="A959" s="12">
        <v>956</v>
      </c>
      <c r="B959" s="12" t="s">
        <v>3420</v>
      </c>
      <c r="C959" s="12" t="s">
        <v>3421</v>
      </c>
      <c r="D959" s="12" t="s">
        <v>3422</v>
      </c>
      <c r="E959" s="85">
        <v>100.53</v>
      </c>
      <c r="F959" s="6">
        <v>5276764</v>
      </c>
      <c r="G959" s="12" t="s">
        <v>3423</v>
      </c>
      <c r="H959" s="12" t="s">
        <v>755</v>
      </c>
      <c r="I959" s="12" t="s">
        <v>756</v>
      </c>
      <c r="J959" s="84">
        <v>41499</v>
      </c>
      <c r="K959" s="84">
        <v>52456</v>
      </c>
      <c r="L959" s="12" t="s">
        <v>180</v>
      </c>
      <c r="M959" s="12" t="s">
        <v>329</v>
      </c>
      <c r="N959" s="75"/>
    </row>
    <row r="960" spans="1:14">
      <c r="A960" s="12">
        <v>957</v>
      </c>
      <c r="B960" s="12" t="s">
        <v>3424</v>
      </c>
      <c r="C960" s="12" t="s">
        <v>752</v>
      </c>
      <c r="D960" s="12" t="s">
        <v>2786</v>
      </c>
      <c r="E960" s="85">
        <v>507.3</v>
      </c>
      <c r="F960" s="6">
        <v>5166667</v>
      </c>
      <c r="G960" s="12" t="s">
        <v>3425</v>
      </c>
      <c r="H960" s="12" t="s">
        <v>755</v>
      </c>
      <c r="I960" s="12" t="s">
        <v>756</v>
      </c>
      <c r="J960" s="84">
        <v>41501</v>
      </c>
      <c r="K960" s="84">
        <v>52458</v>
      </c>
      <c r="L960" s="12" t="s">
        <v>782</v>
      </c>
      <c r="M960" s="12" t="s">
        <v>1913</v>
      </c>
      <c r="N960" s="75"/>
    </row>
    <row r="961" spans="1:14">
      <c r="A961" s="12">
        <v>958</v>
      </c>
      <c r="B961" s="12" t="s">
        <v>3426</v>
      </c>
      <c r="C961" s="12" t="s">
        <v>212</v>
      </c>
      <c r="D961" s="12" t="s">
        <v>3427</v>
      </c>
      <c r="E961" s="85">
        <v>158.07</v>
      </c>
      <c r="F961" s="6">
        <v>5102081</v>
      </c>
      <c r="G961" s="12" t="s">
        <v>2010</v>
      </c>
      <c r="H961" s="12" t="s">
        <v>755</v>
      </c>
      <c r="I961" s="12" t="s">
        <v>756</v>
      </c>
      <c r="J961" s="84">
        <v>41501</v>
      </c>
      <c r="K961" s="84">
        <v>52458</v>
      </c>
      <c r="L961" s="12" t="s">
        <v>293</v>
      </c>
      <c r="M961" s="12" t="s">
        <v>181</v>
      </c>
      <c r="N961" s="75"/>
    </row>
    <row r="962" spans="1:14">
      <c r="A962" s="12">
        <v>959</v>
      </c>
      <c r="B962" s="12" t="s">
        <v>3428</v>
      </c>
      <c r="C962" s="12" t="s">
        <v>1152</v>
      </c>
      <c r="D962" s="12" t="s">
        <v>3359</v>
      </c>
      <c r="E962" s="85">
        <v>60.38</v>
      </c>
      <c r="F962" s="6">
        <v>5076285</v>
      </c>
      <c r="G962" s="12" t="s">
        <v>835</v>
      </c>
      <c r="H962" s="12" t="s">
        <v>755</v>
      </c>
      <c r="I962" s="12" t="s">
        <v>756</v>
      </c>
      <c r="J962" s="84">
        <v>41051</v>
      </c>
      <c r="K962" s="84">
        <v>52008</v>
      </c>
      <c r="L962" s="12" t="s">
        <v>274</v>
      </c>
      <c r="M962" s="12" t="s">
        <v>1267</v>
      </c>
      <c r="N962" s="75"/>
    </row>
    <row r="963" spans="1:14">
      <c r="A963" s="12">
        <v>960</v>
      </c>
      <c r="B963" s="12" t="s">
        <v>3429</v>
      </c>
      <c r="C963" s="12" t="s">
        <v>752</v>
      </c>
      <c r="D963" s="12" t="s">
        <v>3430</v>
      </c>
      <c r="E963" s="85">
        <v>1079.6199999999999</v>
      </c>
      <c r="F963" s="6">
        <v>6164706</v>
      </c>
      <c r="G963" s="12" t="s">
        <v>3431</v>
      </c>
      <c r="H963" s="12" t="s">
        <v>755</v>
      </c>
      <c r="I963" s="12" t="s">
        <v>756</v>
      </c>
      <c r="J963" s="84">
        <v>41507</v>
      </c>
      <c r="K963" s="84">
        <v>52464</v>
      </c>
      <c r="L963" s="12" t="s">
        <v>304</v>
      </c>
      <c r="M963" s="12" t="s">
        <v>1634</v>
      </c>
      <c r="N963" s="75"/>
    </row>
    <row r="964" spans="1:14">
      <c r="A964" s="12">
        <v>961</v>
      </c>
      <c r="B964" s="12" t="s">
        <v>3432</v>
      </c>
      <c r="C964" s="12" t="s">
        <v>302</v>
      </c>
      <c r="D964" s="12" t="s">
        <v>3433</v>
      </c>
      <c r="E964" s="85">
        <v>1931.06</v>
      </c>
      <c r="F964" s="6">
        <v>2801019</v>
      </c>
      <c r="G964" s="12" t="s">
        <v>3434</v>
      </c>
      <c r="H964" s="12" t="s">
        <v>755</v>
      </c>
      <c r="I964" s="12" t="s">
        <v>756</v>
      </c>
      <c r="J964" s="84">
        <v>41509</v>
      </c>
      <c r="K964" s="84">
        <v>52466</v>
      </c>
      <c r="L964" s="12" t="s">
        <v>138</v>
      </c>
      <c r="M964" s="12" t="s">
        <v>138</v>
      </c>
      <c r="N964" s="75"/>
    </row>
    <row r="965" spans="1:14">
      <c r="A965" s="12">
        <v>962</v>
      </c>
      <c r="B965" s="12" t="s">
        <v>3435</v>
      </c>
      <c r="C965" s="12" t="s">
        <v>752</v>
      </c>
      <c r="D965" s="12" t="s">
        <v>3436</v>
      </c>
      <c r="E965" s="85">
        <v>199.29</v>
      </c>
      <c r="F965" s="6">
        <v>2871505</v>
      </c>
      <c r="G965" s="12" t="s">
        <v>3437</v>
      </c>
      <c r="H965" s="12" t="s">
        <v>755</v>
      </c>
      <c r="I965" s="12" t="s">
        <v>756</v>
      </c>
      <c r="J965" s="84">
        <v>41520</v>
      </c>
      <c r="K965" s="84">
        <v>52477</v>
      </c>
      <c r="L965" s="12" t="s">
        <v>123</v>
      </c>
      <c r="M965" s="12" t="s">
        <v>272</v>
      </c>
      <c r="N965" s="75"/>
    </row>
    <row r="966" spans="1:14">
      <c r="A966" s="12">
        <v>963</v>
      </c>
      <c r="B966" s="12" t="s">
        <v>3438</v>
      </c>
      <c r="C966" s="12" t="s">
        <v>122</v>
      </c>
      <c r="D966" s="12" t="s">
        <v>2321</v>
      </c>
      <c r="E966" s="85">
        <v>1334.5</v>
      </c>
      <c r="F966" s="6">
        <v>5533392</v>
      </c>
      <c r="G966" s="12" t="s">
        <v>3439</v>
      </c>
      <c r="H966" s="12" t="s">
        <v>755</v>
      </c>
      <c r="I966" s="12" t="s">
        <v>756</v>
      </c>
      <c r="J966" s="84">
        <v>41515</v>
      </c>
      <c r="K966" s="84">
        <v>52472</v>
      </c>
      <c r="L966" s="12" t="s">
        <v>274</v>
      </c>
      <c r="M966" s="12" t="s">
        <v>874</v>
      </c>
      <c r="N966" s="75"/>
    </row>
    <row r="967" spans="1:14">
      <c r="A967" s="12">
        <v>964</v>
      </c>
      <c r="B967" s="12" t="s">
        <v>3440</v>
      </c>
      <c r="C967" s="12" t="s">
        <v>122</v>
      </c>
      <c r="D967" s="12" t="s">
        <v>3441</v>
      </c>
      <c r="E967" s="85">
        <v>831.62</v>
      </c>
      <c r="F967" s="6">
        <v>5533392</v>
      </c>
      <c r="G967" s="12" t="s">
        <v>3439</v>
      </c>
      <c r="H967" s="12" t="s">
        <v>755</v>
      </c>
      <c r="I967" s="12" t="s">
        <v>756</v>
      </c>
      <c r="J967" s="84">
        <v>41515</v>
      </c>
      <c r="K967" s="84">
        <v>52472</v>
      </c>
      <c r="L967" s="12" t="s">
        <v>274</v>
      </c>
      <c r="M967" s="12" t="s">
        <v>874</v>
      </c>
      <c r="N967" s="75"/>
    </row>
    <row r="968" spans="1:14">
      <c r="A968" s="12">
        <v>965</v>
      </c>
      <c r="B968" s="12" t="s">
        <v>3442</v>
      </c>
      <c r="C968" s="12" t="s">
        <v>122</v>
      </c>
      <c r="D968" s="12" t="s">
        <v>3443</v>
      </c>
      <c r="E968" s="85">
        <v>1124.32</v>
      </c>
      <c r="F968" s="6">
        <v>5533392</v>
      </c>
      <c r="G968" s="12" t="s">
        <v>3439</v>
      </c>
      <c r="H968" s="12" t="s">
        <v>755</v>
      </c>
      <c r="I968" s="12" t="s">
        <v>756</v>
      </c>
      <c r="J968" s="84">
        <v>41515</v>
      </c>
      <c r="K968" s="84">
        <v>52472</v>
      </c>
      <c r="L968" s="12" t="s">
        <v>274</v>
      </c>
      <c r="M968" s="12" t="s">
        <v>874</v>
      </c>
      <c r="N968" s="75"/>
    </row>
    <row r="969" spans="1:14">
      <c r="A969" s="12">
        <v>966</v>
      </c>
      <c r="B969" s="12" t="s">
        <v>3444</v>
      </c>
      <c r="C969" s="12" t="s">
        <v>212</v>
      </c>
      <c r="D969" s="12" t="s">
        <v>3084</v>
      </c>
      <c r="E969" s="85">
        <v>2057.36</v>
      </c>
      <c r="F969" s="6">
        <v>5504767</v>
      </c>
      <c r="G969" s="12" t="s">
        <v>3085</v>
      </c>
      <c r="H969" s="12" t="s">
        <v>848</v>
      </c>
      <c r="I969" s="12" t="s">
        <v>849</v>
      </c>
      <c r="J969" s="84">
        <v>41533</v>
      </c>
      <c r="K969" s="84">
        <v>52490</v>
      </c>
      <c r="L969" s="12" t="s">
        <v>375</v>
      </c>
      <c r="M969" s="12" t="s">
        <v>3086</v>
      </c>
      <c r="N969" s="75"/>
    </row>
    <row r="970" spans="1:14">
      <c r="A970" s="12">
        <v>967</v>
      </c>
      <c r="B970" s="12" t="s">
        <v>3445</v>
      </c>
      <c r="C970" s="12" t="s">
        <v>2855</v>
      </c>
      <c r="D970" s="12" t="s">
        <v>3446</v>
      </c>
      <c r="E970" s="85">
        <v>103.86</v>
      </c>
      <c r="F970" s="6">
        <v>2827891</v>
      </c>
      <c r="G970" s="12" t="s">
        <v>3447</v>
      </c>
      <c r="H970" s="12" t="s">
        <v>755</v>
      </c>
      <c r="I970" s="12" t="s">
        <v>756</v>
      </c>
      <c r="J970" s="84">
        <v>41541</v>
      </c>
      <c r="K970" s="84">
        <v>52498</v>
      </c>
      <c r="L970" s="12" t="s">
        <v>128</v>
      </c>
      <c r="M970" s="12" t="s">
        <v>129</v>
      </c>
      <c r="N970" s="75"/>
    </row>
    <row r="971" spans="1:14">
      <c r="A971" s="12">
        <v>968</v>
      </c>
      <c r="B971" s="12" t="s">
        <v>3448</v>
      </c>
      <c r="C971" s="12" t="s">
        <v>2642</v>
      </c>
      <c r="D971" s="12" t="s">
        <v>3449</v>
      </c>
      <c r="E971" s="85">
        <v>6647.05</v>
      </c>
      <c r="F971" s="6">
        <v>2678187</v>
      </c>
      <c r="G971" s="12" t="s">
        <v>3450</v>
      </c>
      <c r="H971" s="12" t="s">
        <v>755</v>
      </c>
      <c r="I971" s="12" t="s">
        <v>756</v>
      </c>
      <c r="J971" s="84">
        <v>41544</v>
      </c>
      <c r="K971" s="84">
        <v>52501</v>
      </c>
      <c r="L971" s="12" t="s">
        <v>233</v>
      </c>
      <c r="M971" s="12" t="s">
        <v>252</v>
      </c>
      <c r="N971" s="75"/>
    </row>
    <row r="972" spans="1:14">
      <c r="A972" s="12">
        <v>969</v>
      </c>
      <c r="B972" s="12" t="s">
        <v>3451</v>
      </c>
      <c r="C972" s="12" t="s">
        <v>881</v>
      </c>
      <c r="D972" s="12" t="s">
        <v>792</v>
      </c>
      <c r="E972" s="85">
        <v>319.72000000000003</v>
      </c>
      <c r="F972" s="6">
        <v>5158524</v>
      </c>
      <c r="G972" s="12" t="s">
        <v>3452</v>
      </c>
      <c r="H972" s="12" t="s">
        <v>755</v>
      </c>
      <c r="I972" s="12" t="s">
        <v>756</v>
      </c>
      <c r="J972" s="84">
        <v>41544</v>
      </c>
      <c r="K972" s="84">
        <v>52501</v>
      </c>
      <c r="L972" s="12" t="s">
        <v>274</v>
      </c>
      <c r="M972" s="12" t="s">
        <v>1267</v>
      </c>
      <c r="N972" s="75"/>
    </row>
    <row r="973" spans="1:14">
      <c r="A973" s="12">
        <v>970</v>
      </c>
      <c r="B973" s="12" t="s">
        <v>3453</v>
      </c>
      <c r="C973" s="12" t="s">
        <v>979</v>
      </c>
      <c r="D973" s="12" t="s">
        <v>3454</v>
      </c>
      <c r="E973" s="85">
        <v>683.61</v>
      </c>
      <c r="F973" s="6">
        <v>5074622</v>
      </c>
      <c r="G973" s="12" t="s">
        <v>3455</v>
      </c>
      <c r="H973" s="12" t="s">
        <v>755</v>
      </c>
      <c r="I973" s="12" t="s">
        <v>756</v>
      </c>
      <c r="J973" s="84">
        <v>41544</v>
      </c>
      <c r="K973" s="84">
        <v>52501</v>
      </c>
      <c r="L973" s="12" t="s">
        <v>1014</v>
      </c>
      <c r="M973" s="12" t="s">
        <v>1023</v>
      </c>
      <c r="N973" s="75"/>
    </row>
    <row r="974" spans="1:14">
      <c r="A974" s="12">
        <v>971</v>
      </c>
      <c r="B974" s="12" t="s">
        <v>3456</v>
      </c>
      <c r="C974" s="12" t="s">
        <v>212</v>
      </c>
      <c r="D974" s="12" t="s">
        <v>3457</v>
      </c>
      <c r="E974" s="85">
        <v>880.6</v>
      </c>
      <c r="F974" s="6">
        <v>5102081</v>
      </c>
      <c r="G974" s="12" t="s">
        <v>2010</v>
      </c>
      <c r="H974" s="12" t="s">
        <v>755</v>
      </c>
      <c r="I974" s="12" t="s">
        <v>756</v>
      </c>
      <c r="J974" s="84">
        <v>41549</v>
      </c>
      <c r="K974" s="84">
        <v>52506</v>
      </c>
      <c r="L974" s="12" t="s">
        <v>293</v>
      </c>
      <c r="M974" s="12" t="s">
        <v>794</v>
      </c>
      <c r="N974" s="75"/>
    </row>
    <row r="975" spans="1:14">
      <c r="A975" s="12">
        <v>972</v>
      </c>
      <c r="B975" s="12" t="s">
        <v>3458</v>
      </c>
      <c r="C975" s="12" t="s">
        <v>979</v>
      </c>
      <c r="D975" s="12" t="s">
        <v>3459</v>
      </c>
      <c r="E975" s="85">
        <v>291.64</v>
      </c>
      <c r="F975" s="6">
        <v>2057573</v>
      </c>
      <c r="G975" s="12" t="s">
        <v>3460</v>
      </c>
      <c r="H975" s="12" t="s">
        <v>755</v>
      </c>
      <c r="I975" s="12" t="s">
        <v>756</v>
      </c>
      <c r="J975" s="84">
        <v>41555</v>
      </c>
      <c r="K975" s="84">
        <v>52512</v>
      </c>
      <c r="L975" s="12" t="s">
        <v>233</v>
      </c>
      <c r="M975" s="12" t="s">
        <v>2563</v>
      </c>
      <c r="N975" s="75"/>
    </row>
    <row r="976" spans="1:14">
      <c r="A976" s="12">
        <v>973</v>
      </c>
      <c r="B976" s="12" t="s">
        <v>3461</v>
      </c>
      <c r="C976" s="12" t="s">
        <v>979</v>
      </c>
      <c r="D976" s="12" t="s">
        <v>3462</v>
      </c>
      <c r="E976" s="85">
        <v>1216.55</v>
      </c>
      <c r="F976" s="6">
        <v>2057573</v>
      </c>
      <c r="G976" s="12" t="s">
        <v>3460</v>
      </c>
      <c r="H976" s="12" t="s">
        <v>755</v>
      </c>
      <c r="I976" s="12" t="s">
        <v>756</v>
      </c>
      <c r="J976" s="84">
        <v>41555</v>
      </c>
      <c r="K976" s="84">
        <v>52512</v>
      </c>
      <c r="L976" s="12" t="s">
        <v>233</v>
      </c>
      <c r="M976" s="12" t="s">
        <v>2563</v>
      </c>
      <c r="N976" s="75"/>
    </row>
    <row r="977" spans="1:14">
      <c r="A977" s="12">
        <v>974</v>
      </c>
      <c r="B977" s="12" t="s">
        <v>3463</v>
      </c>
      <c r="C977" s="12" t="s">
        <v>979</v>
      </c>
      <c r="D977" s="12" t="s">
        <v>3464</v>
      </c>
      <c r="E977" s="85">
        <v>565.86</v>
      </c>
      <c r="F977" s="6">
        <v>2627663</v>
      </c>
      <c r="G977" s="12" t="s">
        <v>3465</v>
      </c>
      <c r="H977" s="12" t="s">
        <v>755</v>
      </c>
      <c r="I977" s="12" t="s">
        <v>756</v>
      </c>
      <c r="J977" s="84">
        <v>41547</v>
      </c>
      <c r="K977" s="84">
        <v>52504</v>
      </c>
      <c r="L977" s="12" t="s">
        <v>768</v>
      </c>
      <c r="M977" s="12" t="s">
        <v>933</v>
      </c>
      <c r="N977" s="75"/>
    </row>
    <row r="978" spans="1:14">
      <c r="A978" s="12">
        <v>975</v>
      </c>
      <c r="B978" s="12" t="s">
        <v>3466</v>
      </c>
      <c r="C978" s="12" t="s">
        <v>259</v>
      </c>
      <c r="D978" s="12" t="s">
        <v>3467</v>
      </c>
      <c r="E978" s="85">
        <v>33.979999999999997</v>
      </c>
      <c r="F978" s="6">
        <v>5006147</v>
      </c>
      <c r="G978" s="12" t="s">
        <v>3468</v>
      </c>
      <c r="H978" s="12" t="s">
        <v>755</v>
      </c>
      <c r="I978" s="12" t="s">
        <v>756</v>
      </c>
      <c r="J978" s="84">
        <v>37250</v>
      </c>
      <c r="K978" s="84">
        <v>48207</v>
      </c>
      <c r="L978" s="12" t="s">
        <v>205</v>
      </c>
      <c r="M978" s="12" t="s">
        <v>1066</v>
      </c>
      <c r="N978" s="75"/>
    </row>
    <row r="979" spans="1:14">
      <c r="A979" s="12">
        <v>976</v>
      </c>
      <c r="B979" s="12" t="s">
        <v>3469</v>
      </c>
      <c r="C979" s="12" t="s">
        <v>122</v>
      </c>
      <c r="D979" s="12" t="s">
        <v>3470</v>
      </c>
      <c r="E979" s="85">
        <v>11669.59</v>
      </c>
      <c r="F979" s="6">
        <v>5673569</v>
      </c>
      <c r="G979" s="12" t="s">
        <v>3471</v>
      </c>
      <c r="H979" s="12" t="s">
        <v>755</v>
      </c>
      <c r="I979" s="12" t="s">
        <v>756</v>
      </c>
      <c r="J979" s="84">
        <v>41564</v>
      </c>
      <c r="K979" s="84">
        <v>52521</v>
      </c>
      <c r="L979" s="12" t="s">
        <v>293</v>
      </c>
      <c r="M979" s="12" t="s">
        <v>3472</v>
      </c>
      <c r="N979" s="75"/>
    </row>
    <row r="980" spans="1:14">
      <c r="A980" s="12">
        <v>977</v>
      </c>
      <c r="B980" s="12" t="s">
        <v>3473</v>
      </c>
      <c r="C980" s="12" t="s">
        <v>122</v>
      </c>
      <c r="D980" s="12" t="s">
        <v>3474</v>
      </c>
      <c r="E980" s="85">
        <v>1762.3</v>
      </c>
      <c r="F980" s="6">
        <v>5673569</v>
      </c>
      <c r="G980" s="12" t="s">
        <v>3471</v>
      </c>
      <c r="H980" s="12" t="s">
        <v>755</v>
      </c>
      <c r="I980" s="12" t="s">
        <v>756</v>
      </c>
      <c r="J980" s="84">
        <v>41564</v>
      </c>
      <c r="K980" s="84">
        <v>52521</v>
      </c>
      <c r="L980" s="12" t="s">
        <v>293</v>
      </c>
      <c r="M980" s="12" t="s">
        <v>1315</v>
      </c>
      <c r="N980" s="75"/>
    </row>
    <row r="981" spans="1:14">
      <c r="A981" s="12">
        <v>978</v>
      </c>
      <c r="B981" s="12" t="s">
        <v>3475</v>
      </c>
      <c r="C981" s="12" t="s">
        <v>2949</v>
      </c>
      <c r="D981" s="12" t="s">
        <v>2984</v>
      </c>
      <c r="E981" s="85">
        <v>1257.3399999999999</v>
      </c>
      <c r="F981" s="6">
        <v>2746239</v>
      </c>
      <c r="G981" s="12" t="s">
        <v>3476</v>
      </c>
      <c r="H981" s="12" t="s">
        <v>848</v>
      </c>
      <c r="I981" s="12" t="s">
        <v>849</v>
      </c>
      <c r="J981" s="84">
        <v>41564</v>
      </c>
      <c r="K981" s="84">
        <v>52521</v>
      </c>
      <c r="L981" s="12" t="s">
        <v>123</v>
      </c>
      <c r="M981" s="12" t="s">
        <v>2876</v>
      </c>
      <c r="N981" s="75"/>
    </row>
    <row r="982" spans="1:14">
      <c r="A982" s="12">
        <v>979</v>
      </c>
      <c r="B982" s="12" t="s">
        <v>3477</v>
      </c>
      <c r="C982" s="12" t="s">
        <v>881</v>
      </c>
      <c r="D982" s="12" t="s">
        <v>3478</v>
      </c>
      <c r="E982" s="85">
        <v>59.89</v>
      </c>
      <c r="F982" s="6">
        <v>2658704</v>
      </c>
      <c r="G982" s="12" t="s">
        <v>3479</v>
      </c>
      <c r="H982" s="12" t="s">
        <v>755</v>
      </c>
      <c r="I982" s="12" t="s">
        <v>756</v>
      </c>
      <c r="J982" s="84">
        <v>41564</v>
      </c>
      <c r="K982" s="84">
        <v>52521</v>
      </c>
      <c r="L982" s="12" t="s">
        <v>274</v>
      </c>
      <c r="M982" s="12" t="s">
        <v>1267</v>
      </c>
      <c r="N982" s="75"/>
    </row>
    <row r="983" spans="1:14">
      <c r="A983" s="12">
        <v>980</v>
      </c>
      <c r="B983" s="12" t="s">
        <v>3480</v>
      </c>
      <c r="C983" s="12" t="s">
        <v>752</v>
      </c>
      <c r="D983" s="12" t="s">
        <v>792</v>
      </c>
      <c r="E983" s="85">
        <v>1724.73</v>
      </c>
      <c r="F983" s="6">
        <v>5083265</v>
      </c>
      <c r="G983" s="12" t="s">
        <v>3481</v>
      </c>
      <c r="H983" s="12" t="s">
        <v>766</v>
      </c>
      <c r="I983" s="12" t="s">
        <v>767</v>
      </c>
      <c r="J983" s="84">
        <v>41564</v>
      </c>
      <c r="K983" s="84">
        <v>52521</v>
      </c>
      <c r="L983" s="12" t="s">
        <v>768</v>
      </c>
      <c r="M983" s="12" t="s">
        <v>769</v>
      </c>
      <c r="N983" s="75"/>
    </row>
    <row r="984" spans="1:14">
      <c r="A984" s="12">
        <v>981</v>
      </c>
      <c r="B984" s="12" t="s">
        <v>3482</v>
      </c>
      <c r="C984" s="12" t="s">
        <v>881</v>
      </c>
      <c r="D984" s="12" t="s">
        <v>3483</v>
      </c>
      <c r="E984" s="85">
        <v>313.79000000000002</v>
      </c>
      <c r="F984" s="6">
        <v>2554518</v>
      </c>
      <c r="G984" s="12" t="s">
        <v>1347</v>
      </c>
      <c r="H984" s="12" t="s">
        <v>755</v>
      </c>
      <c r="I984" s="12" t="s">
        <v>756</v>
      </c>
      <c r="J984" s="84">
        <v>38979</v>
      </c>
      <c r="K984" s="84">
        <v>49937</v>
      </c>
      <c r="L984" s="12" t="s">
        <v>274</v>
      </c>
      <c r="M984" s="12" t="s">
        <v>3186</v>
      </c>
      <c r="N984" s="75"/>
    </row>
    <row r="985" spans="1:14">
      <c r="A985" s="12">
        <v>982</v>
      </c>
      <c r="B985" s="12" t="s">
        <v>3484</v>
      </c>
      <c r="C985" s="12" t="s">
        <v>881</v>
      </c>
      <c r="D985" s="12" t="s">
        <v>3485</v>
      </c>
      <c r="E985" s="85">
        <v>114.36</v>
      </c>
      <c r="F985" s="6">
        <v>2095092</v>
      </c>
      <c r="G985" s="12" t="s">
        <v>3486</v>
      </c>
      <c r="H985" s="12" t="s">
        <v>755</v>
      </c>
      <c r="I985" s="12" t="s">
        <v>756</v>
      </c>
      <c r="J985" s="84">
        <v>41578</v>
      </c>
      <c r="K985" s="84">
        <v>52535</v>
      </c>
      <c r="L985" s="12" t="s">
        <v>274</v>
      </c>
      <c r="M985" s="12" t="s">
        <v>1267</v>
      </c>
      <c r="N985" s="75"/>
    </row>
    <row r="986" spans="1:14">
      <c r="A986" s="12">
        <v>983</v>
      </c>
      <c r="B986" s="12" t="s">
        <v>3487</v>
      </c>
      <c r="C986" s="12" t="s">
        <v>2855</v>
      </c>
      <c r="D986" s="12" t="s">
        <v>3384</v>
      </c>
      <c r="E986" s="85">
        <v>35.090000000000003</v>
      </c>
      <c r="F986" s="6">
        <v>5134021</v>
      </c>
      <c r="G986" s="12" t="s">
        <v>3488</v>
      </c>
      <c r="H986" s="12" t="s">
        <v>755</v>
      </c>
      <c r="I986" s="12" t="s">
        <v>756</v>
      </c>
      <c r="J986" s="84">
        <v>41578</v>
      </c>
      <c r="K986" s="84">
        <v>52535</v>
      </c>
      <c r="L986" s="12" t="s">
        <v>274</v>
      </c>
      <c r="M986" s="12" t="s">
        <v>1267</v>
      </c>
      <c r="N986" s="75"/>
    </row>
    <row r="987" spans="1:14">
      <c r="A987" s="12">
        <v>984</v>
      </c>
      <c r="B987" s="12" t="s">
        <v>3489</v>
      </c>
      <c r="C987" s="12" t="s">
        <v>221</v>
      </c>
      <c r="D987" s="12" t="s">
        <v>3490</v>
      </c>
      <c r="E987" s="85">
        <v>192.37</v>
      </c>
      <c r="F987" s="6">
        <v>5547938</v>
      </c>
      <c r="G987" s="12" t="s">
        <v>3491</v>
      </c>
      <c r="H987" s="12" t="s">
        <v>766</v>
      </c>
      <c r="I987" s="12" t="s">
        <v>767</v>
      </c>
      <c r="J987" s="84">
        <v>41605</v>
      </c>
      <c r="K987" s="84">
        <v>52562</v>
      </c>
      <c r="L987" s="12" t="s">
        <v>274</v>
      </c>
      <c r="M987" s="12" t="s">
        <v>874</v>
      </c>
      <c r="N987" s="75"/>
    </row>
    <row r="988" spans="1:14">
      <c r="A988" s="12">
        <v>985</v>
      </c>
      <c r="B988" s="12" t="s">
        <v>3492</v>
      </c>
      <c r="C988" s="12" t="s">
        <v>122</v>
      </c>
      <c r="D988" s="12" t="s">
        <v>3213</v>
      </c>
      <c r="E988" s="85">
        <v>734.41</v>
      </c>
      <c r="F988" s="6">
        <v>5506816</v>
      </c>
      <c r="G988" s="12" t="s">
        <v>3493</v>
      </c>
      <c r="H988" s="12" t="s">
        <v>755</v>
      </c>
      <c r="I988" s="12" t="s">
        <v>756</v>
      </c>
      <c r="J988" s="84">
        <v>41607</v>
      </c>
      <c r="K988" s="84">
        <v>52564</v>
      </c>
      <c r="L988" s="12" t="s">
        <v>170</v>
      </c>
      <c r="M988" s="12" t="s">
        <v>2444</v>
      </c>
      <c r="N988" s="75"/>
    </row>
    <row r="989" spans="1:14">
      <c r="A989" s="12">
        <v>986</v>
      </c>
      <c r="B989" s="12" t="s">
        <v>3494</v>
      </c>
      <c r="C989" s="12" t="s">
        <v>122</v>
      </c>
      <c r="D989" s="12" t="s">
        <v>3495</v>
      </c>
      <c r="E989" s="85">
        <v>745.15</v>
      </c>
      <c r="F989" s="6">
        <v>5351324</v>
      </c>
      <c r="G989" s="12" t="s">
        <v>3496</v>
      </c>
      <c r="H989" s="12" t="s">
        <v>848</v>
      </c>
      <c r="I989" s="12" t="s">
        <v>849</v>
      </c>
      <c r="J989" s="84">
        <v>41612</v>
      </c>
      <c r="K989" s="84">
        <v>52569</v>
      </c>
      <c r="L989" s="12" t="s">
        <v>138</v>
      </c>
      <c r="M989" s="12" t="s">
        <v>138</v>
      </c>
      <c r="N989" s="75"/>
    </row>
    <row r="990" spans="1:14">
      <c r="A990" s="12">
        <v>987</v>
      </c>
      <c r="B990" s="12" t="s">
        <v>3497</v>
      </c>
      <c r="C990" s="12" t="s">
        <v>122</v>
      </c>
      <c r="D990" s="12" t="s">
        <v>3498</v>
      </c>
      <c r="E990" s="85">
        <v>533.34</v>
      </c>
      <c r="F990" s="6">
        <v>5070287</v>
      </c>
      <c r="G990" s="12" t="s">
        <v>3499</v>
      </c>
      <c r="H990" s="12" t="s">
        <v>755</v>
      </c>
      <c r="I990" s="12" t="s">
        <v>756</v>
      </c>
      <c r="J990" s="84">
        <v>41612</v>
      </c>
      <c r="K990" s="84">
        <v>52569</v>
      </c>
      <c r="L990" s="12" t="s">
        <v>138</v>
      </c>
      <c r="M990" s="12" t="s">
        <v>3500</v>
      </c>
      <c r="N990" s="75"/>
    </row>
    <row r="991" spans="1:14">
      <c r="A991" s="12">
        <v>988</v>
      </c>
      <c r="B991" s="12" t="s">
        <v>3501</v>
      </c>
      <c r="C991" s="12" t="s">
        <v>221</v>
      </c>
      <c r="D991" s="12" t="s">
        <v>3502</v>
      </c>
      <c r="E991" s="85">
        <v>563.01</v>
      </c>
      <c r="F991" s="6">
        <v>5839114</v>
      </c>
      <c r="G991" s="12" t="s">
        <v>3503</v>
      </c>
      <c r="H991" s="12" t="s">
        <v>755</v>
      </c>
      <c r="I991" s="12" t="s">
        <v>756</v>
      </c>
      <c r="J991" s="84">
        <v>41605</v>
      </c>
      <c r="K991" s="84">
        <v>52562</v>
      </c>
      <c r="L991" s="12" t="s">
        <v>170</v>
      </c>
      <c r="M991" s="12" t="s">
        <v>171</v>
      </c>
      <c r="N991" s="75"/>
    </row>
    <row r="992" spans="1:14">
      <c r="A992" s="12">
        <v>989</v>
      </c>
      <c r="B992" s="12" t="s">
        <v>3504</v>
      </c>
      <c r="C992" s="12" t="s">
        <v>2119</v>
      </c>
      <c r="D992" s="12" t="s">
        <v>3505</v>
      </c>
      <c r="E992" s="85">
        <v>32.39</v>
      </c>
      <c r="F992" s="6">
        <v>5112494</v>
      </c>
      <c r="G992" s="12" t="s">
        <v>3506</v>
      </c>
      <c r="H992" s="12" t="s">
        <v>914</v>
      </c>
      <c r="I992" s="12" t="s">
        <v>756</v>
      </c>
      <c r="J992" s="84">
        <v>41610</v>
      </c>
      <c r="K992" s="84">
        <v>52567</v>
      </c>
      <c r="L992" s="12" t="s">
        <v>274</v>
      </c>
      <c r="M992" s="12" t="s">
        <v>1379</v>
      </c>
      <c r="N992" s="75"/>
    </row>
    <row r="993" spans="1:14">
      <c r="A993" s="12">
        <v>990</v>
      </c>
      <c r="B993" s="12" t="s">
        <v>3507</v>
      </c>
      <c r="C993" s="12" t="s">
        <v>1203</v>
      </c>
      <c r="D993" s="12" t="s">
        <v>3508</v>
      </c>
      <c r="E993" s="85">
        <v>713.12</v>
      </c>
      <c r="F993" s="6">
        <v>5420172</v>
      </c>
      <c r="G993" s="12" t="s">
        <v>3509</v>
      </c>
      <c r="H993" s="12" t="s">
        <v>848</v>
      </c>
      <c r="I993" s="12" t="s">
        <v>849</v>
      </c>
      <c r="J993" s="84">
        <v>40793</v>
      </c>
      <c r="K993" s="84">
        <v>51751</v>
      </c>
      <c r="L993" s="12" t="s">
        <v>293</v>
      </c>
      <c r="M993" s="12" t="s">
        <v>1206</v>
      </c>
      <c r="N993" s="75"/>
    </row>
    <row r="994" spans="1:14">
      <c r="A994" s="12">
        <v>991</v>
      </c>
      <c r="B994" s="12" t="s">
        <v>3510</v>
      </c>
      <c r="C994" s="12" t="s">
        <v>122</v>
      </c>
      <c r="D994" s="12" t="s">
        <v>3511</v>
      </c>
      <c r="E994" s="85">
        <v>7158.09</v>
      </c>
      <c r="F994" s="6">
        <v>5070287</v>
      </c>
      <c r="G994" s="12" t="s">
        <v>3499</v>
      </c>
      <c r="H994" s="12" t="s">
        <v>755</v>
      </c>
      <c r="I994" s="12" t="s">
        <v>756</v>
      </c>
      <c r="J994" s="84">
        <v>41614</v>
      </c>
      <c r="K994" s="84">
        <v>52571</v>
      </c>
      <c r="L994" s="12" t="s">
        <v>138</v>
      </c>
      <c r="M994" s="12" t="s">
        <v>138</v>
      </c>
      <c r="N994" s="75"/>
    </row>
    <row r="995" spans="1:14">
      <c r="A995" s="12">
        <v>992</v>
      </c>
      <c r="B995" s="12" t="s">
        <v>3512</v>
      </c>
      <c r="C995" s="12" t="s">
        <v>200</v>
      </c>
      <c r="D995" s="12" t="s">
        <v>3064</v>
      </c>
      <c r="E995" s="85">
        <v>148.91</v>
      </c>
      <c r="F995" s="6">
        <v>5405335</v>
      </c>
      <c r="G995" s="12" t="s">
        <v>3513</v>
      </c>
      <c r="H995" s="12" t="s">
        <v>755</v>
      </c>
      <c r="I995" s="12" t="s">
        <v>756</v>
      </c>
      <c r="J995" s="84">
        <v>41618</v>
      </c>
      <c r="K995" s="84">
        <v>52575</v>
      </c>
      <c r="L995" s="12" t="s">
        <v>375</v>
      </c>
      <c r="M995" s="12" t="s">
        <v>893</v>
      </c>
      <c r="N995" s="75"/>
    </row>
    <row r="996" spans="1:14">
      <c r="A996" s="12">
        <v>993</v>
      </c>
      <c r="B996" s="12" t="s">
        <v>3514</v>
      </c>
      <c r="C996" s="12" t="s">
        <v>200</v>
      </c>
      <c r="D996" s="12" t="s">
        <v>3064</v>
      </c>
      <c r="E996" s="85">
        <v>622.21</v>
      </c>
      <c r="F996" s="6">
        <v>5830974</v>
      </c>
      <c r="G996" s="12" t="s">
        <v>1712</v>
      </c>
      <c r="H996" s="12" t="s">
        <v>755</v>
      </c>
      <c r="I996" s="12" t="s">
        <v>756</v>
      </c>
      <c r="J996" s="84">
        <v>41618</v>
      </c>
      <c r="K996" s="84">
        <v>52575</v>
      </c>
      <c r="L996" s="12" t="s">
        <v>375</v>
      </c>
      <c r="M996" s="12" t="s">
        <v>893</v>
      </c>
      <c r="N996" s="75"/>
    </row>
    <row r="997" spans="1:14">
      <c r="A997" s="12">
        <v>994</v>
      </c>
      <c r="B997" s="12" t="s">
        <v>3515</v>
      </c>
      <c r="C997" s="12" t="s">
        <v>122</v>
      </c>
      <c r="D997" s="12" t="s">
        <v>899</v>
      </c>
      <c r="E997" s="85">
        <v>146.12</v>
      </c>
      <c r="F997" s="6">
        <v>2862468</v>
      </c>
      <c r="G997" s="12" t="s">
        <v>1013</v>
      </c>
      <c r="H997" s="12" t="s">
        <v>766</v>
      </c>
      <c r="I997" s="12" t="s">
        <v>767</v>
      </c>
      <c r="J997" s="84">
        <v>41621</v>
      </c>
      <c r="K997" s="84">
        <v>52578</v>
      </c>
      <c r="L997" s="12" t="s">
        <v>1014</v>
      </c>
      <c r="M997" s="12" t="s">
        <v>1015</v>
      </c>
      <c r="N997" s="75"/>
    </row>
    <row r="998" spans="1:14">
      <c r="A998" s="12">
        <v>995</v>
      </c>
      <c r="B998" s="12" t="s">
        <v>3516</v>
      </c>
      <c r="C998" s="12" t="s">
        <v>212</v>
      </c>
      <c r="D998" s="12" t="s">
        <v>1256</v>
      </c>
      <c r="E998" s="85">
        <v>160.25</v>
      </c>
      <c r="F998" s="6">
        <v>2763389</v>
      </c>
      <c r="G998" s="12" t="s">
        <v>3517</v>
      </c>
      <c r="H998" s="12" t="s">
        <v>755</v>
      </c>
      <c r="I998" s="12" t="s">
        <v>756</v>
      </c>
      <c r="J998" s="84">
        <v>37881</v>
      </c>
      <c r="K998" s="84">
        <v>48839</v>
      </c>
      <c r="L998" s="12" t="s">
        <v>123</v>
      </c>
      <c r="M998" s="12" t="s">
        <v>836</v>
      </c>
      <c r="N998" s="75"/>
    </row>
    <row r="999" spans="1:14">
      <c r="A999" s="12">
        <v>996</v>
      </c>
      <c r="B999" s="12" t="s">
        <v>3518</v>
      </c>
      <c r="C999" s="12" t="s">
        <v>212</v>
      </c>
      <c r="D999" s="12" t="s">
        <v>3084</v>
      </c>
      <c r="E999" s="85">
        <v>594.39</v>
      </c>
      <c r="F999" s="6">
        <v>5504767</v>
      </c>
      <c r="G999" s="12" t="s">
        <v>3085</v>
      </c>
      <c r="H999" s="12" t="s">
        <v>848</v>
      </c>
      <c r="I999" s="12" t="s">
        <v>849</v>
      </c>
      <c r="J999" s="84">
        <v>41627</v>
      </c>
      <c r="K999" s="84">
        <v>52584</v>
      </c>
      <c r="L999" s="12" t="s">
        <v>375</v>
      </c>
      <c r="M999" s="12" t="s">
        <v>3086</v>
      </c>
      <c r="N999" s="75"/>
    </row>
    <row r="1000" spans="1:14">
      <c r="A1000" s="12">
        <v>997</v>
      </c>
      <c r="B1000" s="12" t="s">
        <v>3519</v>
      </c>
      <c r="C1000" s="12" t="s">
        <v>752</v>
      </c>
      <c r="D1000" s="12" t="s">
        <v>3520</v>
      </c>
      <c r="E1000" s="85">
        <v>113.89</v>
      </c>
      <c r="F1000" s="6">
        <v>2573253</v>
      </c>
      <c r="G1000" s="12" t="s">
        <v>3521</v>
      </c>
      <c r="H1000" s="12" t="s">
        <v>755</v>
      </c>
      <c r="I1000" s="12" t="s">
        <v>756</v>
      </c>
      <c r="J1000" s="84">
        <v>38357</v>
      </c>
      <c r="K1000" s="84">
        <v>49314</v>
      </c>
      <c r="L1000" s="12" t="s">
        <v>123</v>
      </c>
      <c r="M1000" s="12" t="s">
        <v>272</v>
      </c>
      <c r="N1000" s="75"/>
    </row>
    <row r="1001" spans="1:14">
      <c r="A1001" s="12">
        <v>998</v>
      </c>
      <c r="B1001" s="12" t="s">
        <v>3522</v>
      </c>
      <c r="C1001" s="12" t="s">
        <v>1152</v>
      </c>
      <c r="D1001" s="12" t="s">
        <v>3523</v>
      </c>
      <c r="E1001" s="85">
        <v>8.11</v>
      </c>
      <c r="F1001" s="6">
        <v>4244796</v>
      </c>
      <c r="G1001" s="12" t="s">
        <v>3524</v>
      </c>
      <c r="H1001" s="12" t="s">
        <v>755</v>
      </c>
      <c r="I1001" s="12" t="s">
        <v>756</v>
      </c>
      <c r="J1001" s="84">
        <v>41647</v>
      </c>
      <c r="K1001" s="84">
        <v>52604</v>
      </c>
      <c r="L1001" s="12" t="s">
        <v>304</v>
      </c>
      <c r="M1001" s="12" t="s">
        <v>305</v>
      </c>
      <c r="N1001" s="75"/>
    </row>
    <row r="1002" spans="1:14">
      <c r="A1002" s="12">
        <v>999</v>
      </c>
      <c r="B1002" s="12" t="s">
        <v>3525</v>
      </c>
      <c r="C1002" s="12" t="s">
        <v>3526</v>
      </c>
      <c r="D1002" s="12" t="s">
        <v>3527</v>
      </c>
      <c r="E1002" s="85">
        <v>4050.13</v>
      </c>
      <c r="F1002" s="6">
        <v>5190479</v>
      </c>
      <c r="G1002" s="12" t="s">
        <v>3528</v>
      </c>
      <c r="H1002" s="12" t="s">
        <v>755</v>
      </c>
      <c r="I1002" s="12" t="s">
        <v>756</v>
      </c>
      <c r="J1002" s="84">
        <v>41661</v>
      </c>
      <c r="K1002" s="84">
        <v>52618</v>
      </c>
      <c r="L1002" s="12" t="s">
        <v>138</v>
      </c>
      <c r="M1002" s="12" t="s">
        <v>138</v>
      </c>
      <c r="N1002" s="75"/>
    </row>
    <row r="1003" spans="1:14">
      <c r="A1003" s="12">
        <v>1000</v>
      </c>
      <c r="B1003" s="12" t="s">
        <v>3529</v>
      </c>
      <c r="C1003" s="12" t="s">
        <v>122</v>
      </c>
      <c r="D1003" s="12" t="s">
        <v>3004</v>
      </c>
      <c r="E1003" s="85">
        <v>530.79</v>
      </c>
      <c r="F1003" s="6">
        <v>5586887</v>
      </c>
      <c r="G1003" s="12" t="s">
        <v>3530</v>
      </c>
      <c r="H1003" s="12" t="s">
        <v>848</v>
      </c>
      <c r="I1003" s="12" t="s">
        <v>849</v>
      </c>
      <c r="J1003" s="84">
        <v>41676</v>
      </c>
      <c r="K1003" s="84">
        <v>52633</v>
      </c>
      <c r="L1003" s="12" t="s">
        <v>768</v>
      </c>
      <c r="M1003" s="12" t="s">
        <v>1198</v>
      </c>
      <c r="N1003" s="75"/>
    </row>
    <row r="1004" spans="1:14">
      <c r="A1004" s="12">
        <v>1001</v>
      </c>
      <c r="B1004" s="12" t="s">
        <v>3531</v>
      </c>
      <c r="C1004" s="12" t="s">
        <v>122</v>
      </c>
      <c r="D1004" s="12" t="s">
        <v>3532</v>
      </c>
      <c r="E1004" s="85">
        <v>352.97</v>
      </c>
      <c r="F1004" s="6">
        <v>5977282</v>
      </c>
      <c r="G1004" s="12" t="s">
        <v>3533</v>
      </c>
      <c r="H1004" s="12" t="s">
        <v>755</v>
      </c>
      <c r="I1004" s="12" t="s">
        <v>756</v>
      </c>
      <c r="J1004" s="84">
        <v>41698</v>
      </c>
      <c r="K1004" s="84">
        <v>52655</v>
      </c>
      <c r="L1004" s="12" t="s">
        <v>274</v>
      </c>
      <c r="M1004" s="12" t="s">
        <v>2759</v>
      </c>
      <c r="N1004" s="75"/>
    </row>
    <row r="1005" spans="1:14">
      <c r="A1005" s="12">
        <v>1002</v>
      </c>
      <c r="B1005" s="12" t="s">
        <v>3534</v>
      </c>
      <c r="C1005" s="12" t="s">
        <v>122</v>
      </c>
      <c r="D1005" s="12" t="s">
        <v>3535</v>
      </c>
      <c r="E1005" s="85">
        <v>1228.6600000000001</v>
      </c>
      <c r="F1005" s="6">
        <v>5211859</v>
      </c>
      <c r="G1005" s="12" t="s">
        <v>3536</v>
      </c>
      <c r="H1005" s="12" t="s">
        <v>755</v>
      </c>
      <c r="I1005" s="12" t="s">
        <v>756</v>
      </c>
      <c r="J1005" s="84">
        <v>41701</v>
      </c>
      <c r="K1005" s="84">
        <v>52659</v>
      </c>
      <c r="L1005" s="12" t="s">
        <v>138</v>
      </c>
      <c r="M1005" s="12" t="s">
        <v>1806</v>
      </c>
      <c r="N1005" s="75"/>
    </row>
    <row r="1006" spans="1:14">
      <c r="A1006" s="12">
        <v>1003</v>
      </c>
      <c r="B1006" s="12" t="s">
        <v>3537</v>
      </c>
      <c r="C1006" s="12" t="s">
        <v>212</v>
      </c>
      <c r="D1006" s="12" t="s">
        <v>3538</v>
      </c>
      <c r="E1006" s="85">
        <v>288.38</v>
      </c>
      <c r="F1006" s="6">
        <v>5095719</v>
      </c>
      <c r="G1006" s="12" t="s">
        <v>3539</v>
      </c>
      <c r="H1006" s="12" t="s">
        <v>755</v>
      </c>
      <c r="I1006" s="12" t="s">
        <v>756</v>
      </c>
      <c r="J1006" s="84">
        <v>41704</v>
      </c>
      <c r="K1006" s="84">
        <v>52662</v>
      </c>
      <c r="L1006" s="12" t="s">
        <v>138</v>
      </c>
      <c r="M1006" s="12" t="s">
        <v>1927</v>
      </c>
      <c r="N1006" s="75"/>
    </row>
    <row r="1007" spans="1:14">
      <c r="A1007" s="12">
        <v>1004</v>
      </c>
      <c r="B1007" s="12" t="s">
        <v>3540</v>
      </c>
      <c r="C1007" s="12" t="s">
        <v>212</v>
      </c>
      <c r="D1007" s="12" t="s">
        <v>3541</v>
      </c>
      <c r="E1007" s="85">
        <v>117.11</v>
      </c>
      <c r="F1007" s="6">
        <v>5249007</v>
      </c>
      <c r="G1007" s="12" t="s">
        <v>3542</v>
      </c>
      <c r="H1007" s="12" t="s">
        <v>848</v>
      </c>
      <c r="I1007" s="12" t="s">
        <v>849</v>
      </c>
      <c r="J1007" s="84">
        <v>39981</v>
      </c>
      <c r="K1007" s="84">
        <v>50938</v>
      </c>
      <c r="L1007" s="12" t="s">
        <v>170</v>
      </c>
      <c r="M1007" s="12" t="s">
        <v>807</v>
      </c>
      <c r="N1007" s="75"/>
    </row>
    <row r="1008" spans="1:14">
      <c r="A1008" s="12">
        <v>1005</v>
      </c>
      <c r="B1008" s="12" t="s">
        <v>3543</v>
      </c>
      <c r="C1008" s="12" t="s">
        <v>221</v>
      </c>
      <c r="D1008" s="12" t="s">
        <v>3544</v>
      </c>
      <c r="E1008" s="85">
        <v>26.45</v>
      </c>
      <c r="F1008" s="6">
        <v>5172055</v>
      </c>
      <c r="G1008" s="12" t="s">
        <v>3545</v>
      </c>
      <c r="H1008" s="12" t="s">
        <v>755</v>
      </c>
      <c r="I1008" s="12" t="s">
        <v>756</v>
      </c>
      <c r="J1008" s="84">
        <v>41708</v>
      </c>
      <c r="K1008" s="84">
        <v>52666</v>
      </c>
      <c r="L1008" s="12" t="s">
        <v>180</v>
      </c>
      <c r="M1008" s="12" t="s">
        <v>927</v>
      </c>
      <c r="N1008" s="75"/>
    </row>
    <row r="1009" spans="1:14">
      <c r="A1009" s="12">
        <v>1006</v>
      </c>
      <c r="B1009" s="12" t="s">
        <v>3546</v>
      </c>
      <c r="C1009" s="12" t="s">
        <v>916</v>
      </c>
      <c r="D1009" s="12" t="s">
        <v>3547</v>
      </c>
      <c r="E1009" s="85">
        <v>90.27</v>
      </c>
      <c r="F1009" s="6">
        <v>2848376</v>
      </c>
      <c r="G1009" s="12" t="s">
        <v>2253</v>
      </c>
      <c r="H1009" s="12" t="s">
        <v>755</v>
      </c>
      <c r="I1009" s="12" t="s">
        <v>756</v>
      </c>
      <c r="J1009" s="84">
        <v>41724</v>
      </c>
      <c r="K1009" s="84">
        <v>52682</v>
      </c>
      <c r="L1009" s="12" t="s">
        <v>170</v>
      </c>
      <c r="M1009" s="12" t="s">
        <v>811</v>
      </c>
      <c r="N1009" s="75"/>
    </row>
    <row r="1010" spans="1:14">
      <c r="A1010" s="12">
        <v>1007</v>
      </c>
      <c r="B1010" s="12" t="s">
        <v>3548</v>
      </c>
      <c r="C1010" s="12" t="s">
        <v>752</v>
      </c>
      <c r="D1010" s="12" t="s">
        <v>2844</v>
      </c>
      <c r="E1010" s="85">
        <v>46.27</v>
      </c>
      <c r="F1010" s="6">
        <v>2848066</v>
      </c>
      <c r="G1010" s="12" t="s">
        <v>3549</v>
      </c>
      <c r="H1010" s="12" t="s">
        <v>755</v>
      </c>
      <c r="I1010" s="12" t="s">
        <v>756</v>
      </c>
      <c r="J1010" s="84">
        <v>41729</v>
      </c>
      <c r="K1010" s="84">
        <v>52687</v>
      </c>
      <c r="L1010" s="12" t="s">
        <v>768</v>
      </c>
      <c r="M1010" s="12" t="s">
        <v>867</v>
      </c>
      <c r="N1010" s="75"/>
    </row>
    <row r="1011" spans="1:14">
      <c r="A1011" s="12">
        <v>1008</v>
      </c>
      <c r="B1011" s="12" t="s">
        <v>3550</v>
      </c>
      <c r="C1011" s="12" t="s">
        <v>995</v>
      </c>
      <c r="D1011" s="12" t="s">
        <v>3551</v>
      </c>
      <c r="E1011" s="85">
        <v>570.91999999999996</v>
      </c>
      <c r="F1011" s="6">
        <v>5115809</v>
      </c>
      <c r="G1011" s="12" t="s">
        <v>3552</v>
      </c>
      <c r="H1011" s="12" t="s">
        <v>755</v>
      </c>
      <c r="I1011" s="12" t="s">
        <v>756</v>
      </c>
      <c r="J1011" s="84">
        <v>41729</v>
      </c>
      <c r="K1011" s="84">
        <v>52687</v>
      </c>
      <c r="L1011" s="12" t="s">
        <v>274</v>
      </c>
      <c r="M1011" s="12" t="s">
        <v>874</v>
      </c>
      <c r="N1011" s="75"/>
    </row>
    <row r="1012" spans="1:14">
      <c r="A1012" s="12">
        <v>1009</v>
      </c>
      <c r="B1012" s="12" t="s">
        <v>3553</v>
      </c>
      <c r="C1012" s="12" t="s">
        <v>752</v>
      </c>
      <c r="D1012" s="12" t="s">
        <v>806</v>
      </c>
      <c r="E1012" s="85">
        <v>376.18</v>
      </c>
      <c r="F1012" s="6">
        <v>5229049</v>
      </c>
      <c r="G1012" s="12" t="s">
        <v>3554</v>
      </c>
      <c r="H1012" s="12" t="s">
        <v>755</v>
      </c>
      <c r="I1012" s="12" t="s">
        <v>756</v>
      </c>
      <c r="J1012" s="84">
        <v>41731</v>
      </c>
      <c r="K1012" s="84">
        <v>52689</v>
      </c>
      <c r="L1012" s="12" t="s">
        <v>274</v>
      </c>
      <c r="M1012" s="12" t="s">
        <v>275</v>
      </c>
      <c r="N1012" s="75"/>
    </row>
    <row r="1013" spans="1:14">
      <c r="A1013" s="12">
        <v>1010</v>
      </c>
      <c r="B1013" s="12" t="s">
        <v>3555</v>
      </c>
      <c r="C1013" s="12" t="s">
        <v>221</v>
      </c>
      <c r="D1013" s="12" t="s">
        <v>2296</v>
      </c>
      <c r="E1013" s="85">
        <v>751.12</v>
      </c>
      <c r="F1013" s="6">
        <v>2585871</v>
      </c>
      <c r="G1013" s="12" t="s">
        <v>3556</v>
      </c>
      <c r="H1013" s="12" t="s">
        <v>755</v>
      </c>
      <c r="I1013" s="12" t="s">
        <v>756</v>
      </c>
      <c r="J1013" s="84">
        <v>41733</v>
      </c>
      <c r="K1013" s="84">
        <v>52691</v>
      </c>
      <c r="L1013" s="12" t="s">
        <v>170</v>
      </c>
      <c r="M1013" s="12" t="s">
        <v>2786</v>
      </c>
      <c r="N1013" s="75"/>
    </row>
    <row r="1014" spans="1:14">
      <c r="A1014" s="12">
        <v>1011</v>
      </c>
      <c r="B1014" s="12" t="s">
        <v>3557</v>
      </c>
      <c r="C1014" s="12" t="s">
        <v>122</v>
      </c>
      <c r="D1014" s="12" t="s">
        <v>1953</v>
      </c>
      <c r="E1014" s="85">
        <v>393.66</v>
      </c>
      <c r="F1014" s="6">
        <v>5109078</v>
      </c>
      <c r="G1014" s="12" t="s">
        <v>3558</v>
      </c>
      <c r="H1014" s="12" t="s">
        <v>755</v>
      </c>
      <c r="I1014" s="12" t="s">
        <v>756</v>
      </c>
      <c r="J1014" s="84">
        <v>41738</v>
      </c>
      <c r="K1014" s="84">
        <v>52696</v>
      </c>
      <c r="L1014" s="12" t="s">
        <v>233</v>
      </c>
      <c r="M1014" s="12" t="s">
        <v>1755</v>
      </c>
      <c r="N1014" s="75"/>
    </row>
    <row r="1015" spans="1:14">
      <c r="A1015" s="12">
        <v>1012</v>
      </c>
      <c r="B1015" s="12" t="s">
        <v>3559</v>
      </c>
      <c r="C1015" s="12" t="s">
        <v>752</v>
      </c>
      <c r="D1015" s="12" t="s">
        <v>3560</v>
      </c>
      <c r="E1015" s="85">
        <v>284.85000000000002</v>
      </c>
      <c r="F1015" s="6">
        <v>2848066</v>
      </c>
      <c r="G1015" s="12" t="s">
        <v>3549</v>
      </c>
      <c r="H1015" s="12" t="s">
        <v>755</v>
      </c>
      <c r="I1015" s="12" t="s">
        <v>756</v>
      </c>
      <c r="J1015" s="84">
        <v>41738</v>
      </c>
      <c r="K1015" s="84">
        <v>52696</v>
      </c>
      <c r="L1015" s="12" t="s">
        <v>768</v>
      </c>
      <c r="M1015" s="12" t="s">
        <v>867</v>
      </c>
      <c r="N1015" s="75"/>
    </row>
    <row r="1016" spans="1:14">
      <c r="A1016" s="12">
        <v>1013</v>
      </c>
      <c r="B1016" s="12" t="s">
        <v>3561</v>
      </c>
      <c r="C1016" s="12" t="s">
        <v>122</v>
      </c>
      <c r="D1016" s="12" t="s">
        <v>3562</v>
      </c>
      <c r="E1016" s="85">
        <v>443.06</v>
      </c>
      <c r="F1016" s="6">
        <v>5289424</v>
      </c>
      <c r="G1016" s="12" t="s">
        <v>3563</v>
      </c>
      <c r="H1016" s="12" t="s">
        <v>755</v>
      </c>
      <c r="I1016" s="12" t="s">
        <v>756</v>
      </c>
      <c r="J1016" s="84">
        <v>41733</v>
      </c>
      <c r="K1016" s="84">
        <v>52621</v>
      </c>
      <c r="L1016" s="12" t="s">
        <v>274</v>
      </c>
      <c r="M1016" s="12" t="s">
        <v>2327</v>
      </c>
      <c r="N1016" s="75"/>
    </row>
    <row r="1017" spans="1:14">
      <c r="A1017" s="12">
        <v>1014</v>
      </c>
      <c r="B1017" s="12" t="s">
        <v>3564</v>
      </c>
      <c r="C1017" s="12" t="s">
        <v>979</v>
      </c>
      <c r="D1017" s="12" t="s">
        <v>3565</v>
      </c>
      <c r="E1017" s="85">
        <v>795.16</v>
      </c>
      <c r="F1017" s="6">
        <v>5581656</v>
      </c>
      <c r="G1017" s="12" t="s">
        <v>3566</v>
      </c>
      <c r="H1017" s="12" t="s">
        <v>755</v>
      </c>
      <c r="I1017" s="12" t="s">
        <v>756</v>
      </c>
      <c r="J1017" s="84">
        <v>41744</v>
      </c>
      <c r="K1017" s="84">
        <v>52702</v>
      </c>
      <c r="L1017" s="12" t="s">
        <v>768</v>
      </c>
      <c r="M1017" s="12" t="s">
        <v>769</v>
      </c>
      <c r="N1017" s="75"/>
    </row>
    <row r="1018" spans="1:14">
      <c r="A1018" s="12">
        <v>1015</v>
      </c>
      <c r="B1018" s="12" t="s">
        <v>3567</v>
      </c>
      <c r="C1018" s="12" t="s">
        <v>881</v>
      </c>
      <c r="D1018" s="12" t="s">
        <v>3568</v>
      </c>
      <c r="E1018" s="85">
        <v>183.55</v>
      </c>
      <c r="F1018" s="6">
        <v>2076675</v>
      </c>
      <c r="G1018" s="12" t="s">
        <v>1045</v>
      </c>
      <c r="H1018" s="12" t="s">
        <v>1046</v>
      </c>
      <c r="I1018" s="12" t="s">
        <v>767</v>
      </c>
      <c r="J1018" s="84">
        <v>41745</v>
      </c>
      <c r="K1018" s="84">
        <v>52703</v>
      </c>
      <c r="L1018" s="12" t="s">
        <v>170</v>
      </c>
      <c r="M1018" s="12" t="s">
        <v>171</v>
      </c>
      <c r="N1018" s="75"/>
    </row>
    <row r="1019" spans="1:14">
      <c r="A1019" s="12">
        <v>1016</v>
      </c>
      <c r="B1019" s="12" t="s">
        <v>3569</v>
      </c>
      <c r="C1019" s="12" t="s">
        <v>752</v>
      </c>
      <c r="D1019" s="12" t="s">
        <v>1561</v>
      </c>
      <c r="E1019" s="85">
        <v>388.62</v>
      </c>
      <c r="F1019" s="6">
        <v>5987652</v>
      </c>
      <c r="G1019" s="12" t="s">
        <v>3570</v>
      </c>
      <c r="H1019" s="12" t="s">
        <v>848</v>
      </c>
      <c r="I1019" s="12" t="s">
        <v>849</v>
      </c>
      <c r="J1019" s="84">
        <v>41745</v>
      </c>
      <c r="K1019" s="84">
        <v>52703</v>
      </c>
      <c r="L1019" s="12" t="s">
        <v>274</v>
      </c>
      <c r="M1019" s="12" t="s">
        <v>874</v>
      </c>
      <c r="N1019" s="75"/>
    </row>
    <row r="1020" spans="1:14">
      <c r="A1020" s="12">
        <v>1017</v>
      </c>
      <c r="B1020" s="12" t="s">
        <v>3571</v>
      </c>
      <c r="C1020" s="12" t="s">
        <v>881</v>
      </c>
      <c r="D1020" s="12" t="s">
        <v>874</v>
      </c>
      <c r="E1020" s="85">
        <v>118.5</v>
      </c>
      <c r="F1020" s="6">
        <v>5263069</v>
      </c>
      <c r="G1020" s="12" t="s">
        <v>3572</v>
      </c>
      <c r="H1020" s="12" t="s">
        <v>755</v>
      </c>
      <c r="I1020" s="12" t="s">
        <v>756</v>
      </c>
      <c r="J1020" s="84">
        <v>41746</v>
      </c>
      <c r="K1020" s="84">
        <v>52704</v>
      </c>
      <c r="L1020" s="12" t="s">
        <v>274</v>
      </c>
      <c r="M1020" s="12" t="s">
        <v>790</v>
      </c>
      <c r="N1020" s="75"/>
    </row>
    <row r="1021" spans="1:14">
      <c r="A1021" s="12">
        <v>1018</v>
      </c>
      <c r="B1021" s="12" t="s">
        <v>3573</v>
      </c>
      <c r="C1021" s="12" t="s">
        <v>122</v>
      </c>
      <c r="D1021" s="12" t="s">
        <v>3574</v>
      </c>
      <c r="E1021" s="85">
        <v>9136.2800000000007</v>
      </c>
      <c r="F1021" s="6">
        <v>5132053</v>
      </c>
      <c r="G1021" s="12" t="s">
        <v>3575</v>
      </c>
      <c r="H1021" s="12" t="s">
        <v>848</v>
      </c>
      <c r="I1021" s="12" t="s">
        <v>849</v>
      </c>
      <c r="J1021" s="84">
        <v>41747</v>
      </c>
      <c r="K1021" s="84">
        <v>52705</v>
      </c>
      <c r="L1021" s="12" t="s">
        <v>274</v>
      </c>
      <c r="M1021" s="12" t="s">
        <v>944</v>
      </c>
      <c r="N1021" s="75"/>
    </row>
    <row r="1022" spans="1:14">
      <c r="A1022" s="12">
        <v>1019</v>
      </c>
      <c r="B1022" s="12" t="s">
        <v>3576</v>
      </c>
      <c r="C1022" s="12" t="s">
        <v>122</v>
      </c>
      <c r="D1022" s="12" t="s">
        <v>1132</v>
      </c>
      <c r="E1022" s="85">
        <v>23645.4</v>
      </c>
      <c r="F1022" s="6">
        <v>5132053</v>
      </c>
      <c r="G1022" s="12" t="s">
        <v>3575</v>
      </c>
      <c r="H1022" s="12" t="s">
        <v>848</v>
      </c>
      <c r="I1022" s="12" t="s">
        <v>849</v>
      </c>
      <c r="J1022" s="84">
        <v>41747</v>
      </c>
      <c r="K1022" s="84">
        <v>52705</v>
      </c>
      <c r="L1022" s="12" t="s">
        <v>274</v>
      </c>
      <c r="M1022" s="12" t="s">
        <v>2759</v>
      </c>
      <c r="N1022" s="75"/>
    </row>
    <row r="1023" spans="1:14">
      <c r="A1023" s="12">
        <v>1020</v>
      </c>
      <c r="B1023" s="12" t="s">
        <v>3577</v>
      </c>
      <c r="C1023" s="12" t="s">
        <v>221</v>
      </c>
      <c r="D1023" s="12" t="s">
        <v>1362</v>
      </c>
      <c r="E1023" s="85">
        <v>187.13</v>
      </c>
      <c r="F1023" s="6">
        <v>2109638</v>
      </c>
      <c r="G1023" s="12" t="s">
        <v>2308</v>
      </c>
      <c r="H1023" s="12" t="s">
        <v>755</v>
      </c>
      <c r="I1023" s="12" t="s">
        <v>756</v>
      </c>
      <c r="J1023" s="84">
        <v>41747</v>
      </c>
      <c r="K1023" s="84">
        <v>52705</v>
      </c>
      <c r="L1023" s="12" t="s">
        <v>205</v>
      </c>
      <c r="M1023" s="12" t="s">
        <v>3578</v>
      </c>
      <c r="N1023" s="75"/>
    </row>
    <row r="1024" spans="1:14">
      <c r="A1024" s="12">
        <v>1021</v>
      </c>
      <c r="B1024" s="12" t="s">
        <v>3579</v>
      </c>
      <c r="C1024" s="12" t="s">
        <v>1874</v>
      </c>
      <c r="D1024" s="12" t="s">
        <v>3580</v>
      </c>
      <c r="E1024" s="85">
        <v>477.46</v>
      </c>
      <c r="F1024" s="6">
        <v>2801019</v>
      </c>
      <c r="G1024" s="12" t="s">
        <v>3434</v>
      </c>
      <c r="H1024" s="12" t="s">
        <v>755</v>
      </c>
      <c r="I1024" s="12" t="s">
        <v>756</v>
      </c>
      <c r="J1024" s="84">
        <v>41758</v>
      </c>
      <c r="K1024" s="84">
        <v>52716</v>
      </c>
      <c r="L1024" s="12" t="s">
        <v>138</v>
      </c>
      <c r="M1024" s="12" t="s">
        <v>138</v>
      </c>
      <c r="N1024" s="75"/>
    </row>
    <row r="1025" spans="1:14">
      <c r="A1025" s="12">
        <v>1022</v>
      </c>
      <c r="B1025" s="12" t="s">
        <v>3581</v>
      </c>
      <c r="C1025" s="12" t="s">
        <v>1879</v>
      </c>
      <c r="D1025" s="12" t="s">
        <v>3582</v>
      </c>
      <c r="E1025" s="85">
        <v>496.26</v>
      </c>
      <c r="F1025" s="6">
        <v>2827514</v>
      </c>
      <c r="G1025" s="12" t="s">
        <v>2888</v>
      </c>
      <c r="H1025" s="12" t="s">
        <v>755</v>
      </c>
      <c r="I1025" s="12" t="s">
        <v>756</v>
      </c>
      <c r="J1025" s="84">
        <v>41752</v>
      </c>
      <c r="K1025" s="84">
        <v>52710</v>
      </c>
      <c r="L1025" s="12" t="s">
        <v>233</v>
      </c>
      <c r="M1025" s="12" t="s">
        <v>2504</v>
      </c>
      <c r="N1025" s="75"/>
    </row>
    <row r="1026" spans="1:14">
      <c r="A1026" s="12">
        <v>1023</v>
      </c>
      <c r="B1026" s="12" t="s">
        <v>3583</v>
      </c>
      <c r="C1026" s="12" t="s">
        <v>752</v>
      </c>
      <c r="D1026" s="12" t="s">
        <v>3584</v>
      </c>
      <c r="E1026" s="85">
        <v>32.880000000000003</v>
      </c>
      <c r="F1026" s="6">
        <v>2626489</v>
      </c>
      <c r="G1026" s="12" t="s">
        <v>3585</v>
      </c>
      <c r="H1026" s="12" t="s">
        <v>755</v>
      </c>
      <c r="I1026" s="12" t="s">
        <v>756</v>
      </c>
      <c r="J1026" s="84">
        <v>36479</v>
      </c>
      <c r="K1026" s="84">
        <v>47437</v>
      </c>
      <c r="L1026" s="12" t="s">
        <v>293</v>
      </c>
      <c r="M1026" s="12" t="s">
        <v>1206</v>
      </c>
      <c r="N1026" s="75"/>
    </row>
    <row r="1027" spans="1:14">
      <c r="A1027" s="12">
        <v>1024</v>
      </c>
      <c r="B1027" s="12" t="s">
        <v>3586</v>
      </c>
      <c r="C1027" s="12" t="s">
        <v>942</v>
      </c>
      <c r="D1027" s="12" t="s">
        <v>3587</v>
      </c>
      <c r="E1027" s="85">
        <v>240.55</v>
      </c>
      <c r="F1027" s="6">
        <v>5023033</v>
      </c>
      <c r="G1027" s="12" t="s">
        <v>3588</v>
      </c>
      <c r="H1027" s="12" t="s">
        <v>755</v>
      </c>
      <c r="I1027" s="12" t="s">
        <v>756</v>
      </c>
      <c r="J1027" s="84">
        <v>41771</v>
      </c>
      <c r="K1027" s="84">
        <v>52729</v>
      </c>
      <c r="L1027" s="12" t="s">
        <v>170</v>
      </c>
      <c r="M1027" s="12" t="s">
        <v>280</v>
      </c>
      <c r="N1027" s="75"/>
    </row>
    <row r="1028" spans="1:14">
      <c r="A1028" s="12">
        <v>1025</v>
      </c>
      <c r="B1028" s="12" t="s">
        <v>3589</v>
      </c>
      <c r="C1028" s="12" t="s">
        <v>137</v>
      </c>
      <c r="D1028" s="12" t="s">
        <v>3590</v>
      </c>
      <c r="E1028" s="85">
        <v>562.29</v>
      </c>
      <c r="F1028" s="6">
        <v>5208181</v>
      </c>
      <c r="G1028" s="12" t="s">
        <v>3591</v>
      </c>
      <c r="H1028" s="12" t="s">
        <v>755</v>
      </c>
      <c r="I1028" s="12" t="s">
        <v>756</v>
      </c>
      <c r="J1028" s="84">
        <v>41773</v>
      </c>
      <c r="K1028" s="84">
        <v>52731</v>
      </c>
      <c r="L1028" s="12" t="s">
        <v>293</v>
      </c>
      <c r="M1028" s="12" t="s">
        <v>1494</v>
      </c>
      <c r="N1028" s="75"/>
    </row>
    <row r="1029" spans="1:14">
      <c r="A1029" s="12">
        <v>1026</v>
      </c>
      <c r="B1029" s="12" t="s">
        <v>3592</v>
      </c>
      <c r="C1029" s="12" t="s">
        <v>147</v>
      </c>
      <c r="D1029" s="12" t="s">
        <v>3593</v>
      </c>
      <c r="E1029" s="85">
        <v>6674.37</v>
      </c>
      <c r="F1029" s="6">
        <v>2095025</v>
      </c>
      <c r="G1029" s="12" t="s">
        <v>870</v>
      </c>
      <c r="H1029" s="12" t="s">
        <v>755</v>
      </c>
      <c r="I1029" s="12" t="s">
        <v>756</v>
      </c>
      <c r="J1029" s="84">
        <v>41773</v>
      </c>
      <c r="K1029" s="84">
        <v>52731</v>
      </c>
      <c r="L1029" s="12" t="s">
        <v>170</v>
      </c>
      <c r="M1029" s="12" t="s">
        <v>1738</v>
      </c>
      <c r="N1029" s="75"/>
    </row>
    <row r="1030" spans="1:14">
      <c r="A1030" s="12">
        <v>1027</v>
      </c>
      <c r="B1030" s="12" t="s">
        <v>3594</v>
      </c>
      <c r="C1030" s="12" t="s">
        <v>122</v>
      </c>
      <c r="D1030" s="12" t="s">
        <v>2612</v>
      </c>
      <c r="E1030" s="85">
        <v>7489.68</v>
      </c>
      <c r="F1030" s="6">
        <v>5554411</v>
      </c>
      <c r="G1030" s="12" t="s">
        <v>3595</v>
      </c>
      <c r="H1030" s="12" t="s">
        <v>755</v>
      </c>
      <c r="I1030" s="12" t="s">
        <v>756</v>
      </c>
      <c r="J1030" s="84">
        <v>41773</v>
      </c>
      <c r="K1030" s="84">
        <v>52731</v>
      </c>
      <c r="L1030" s="12" t="s">
        <v>274</v>
      </c>
      <c r="M1030" s="12" t="s">
        <v>2759</v>
      </c>
      <c r="N1030" s="75"/>
    </row>
    <row r="1031" spans="1:14">
      <c r="A1031" s="12">
        <v>1028</v>
      </c>
      <c r="B1031" s="12" t="s">
        <v>3596</v>
      </c>
      <c r="C1031" s="12" t="s">
        <v>137</v>
      </c>
      <c r="D1031" s="12" t="s">
        <v>3597</v>
      </c>
      <c r="E1031" s="85">
        <v>967.84</v>
      </c>
      <c r="F1031" s="6">
        <v>5566738</v>
      </c>
      <c r="G1031" s="12" t="s">
        <v>3598</v>
      </c>
      <c r="H1031" s="12" t="s">
        <v>755</v>
      </c>
      <c r="I1031" s="12" t="s">
        <v>756</v>
      </c>
      <c r="J1031" s="84">
        <v>41779</v>
      </c>
      <c r="K1031" s="84">
        <v>52737</v>
      </c>
      <c r="L1031" s="12" t="s">
        <v>836</v>
      </c>
      <c r="M1031" s="12" t="s">
        <v>837</v>
      </c>
      <c r="N1031" s="75"/>
    </row>
    <row r="1032" spans="1:14">
      <c r="A1032" s="12">
        <v>1029</v>
      </c>
      <c r="B1032" s="12" t="s">
        <v>3599</v>
      </c>
      <c r="C1032" s="12" t="s">
        <v>122</v>
      </c>
      <c r="D1032" s="12" t="s">
        <v>3600</v>
      </c>
      <c r="E1032" s="85">
        <v>708.35</v>
      </c>
      <c r="F1032" s="6">
        <v>5097657</v>
      </c>
      <c r="G1032" s="12" t="s">
        <v>3601</v>
      </c>
      <c r="H1032" s="12" t="s">
        <v>755</v>
      </c>
      <c r="I1032" s="12" t="s">
        <v>756</v>
      </c>
      <c r="J1032" s="84">
        <v>41786</v>
      </c>
      <c r="K1032" s="84">
        <v>52744</v>
      </c>
      <c r="L1032" s="12" t="s">
        <v>1014</v>
      </c>
      <c r="M1032" s="12" t="s">
        <v>1132</v>
      </c>
      <c r="N1032" s="75"/>
    </row>
    <row r="1033" spans="1:14">
      <c r="A1033" s="12">
        <v>1030</v>
      </c>
      <c r="B1033" s="12" t="s">
        <v>3602</v>
      </c>
      <c r="C1033" s="12" t="s">
        <v>147</v>
      </c>
      <c r="D1033" s="12" t="s">
        <v>3603</v>
      </c>
      <c r="E1033" s="85">
        <v>10642.8</v>
      </c>
      <c r="F1033" s="6">
        <v>2095025</v>
      </c>
      <c r="G1033" s="12" t="s">
        <v>870</v>
      </c>
      <c r="H1033" s="12" t="s">
        <v>755</v>
      </c>
      <c r="I1033" s="12" t="s">
        <v>756</v>
      </c>
      <c r="J1033" s="84">
        <v>41786</v>
      </c>
      <c r="K1033" s="84">
        <v>52744</v>
      </c>
      <c r="L1033" s="12" t="s">
        <v>170</v>
      </c>
      <c r="M1033" s="12" t="s">
        <v>1738</v>
      </c>
      <c r="N1033" s="75"/>
    </row>
    <row r="1034" spans="1:14">
      <c r="A1034" s="12">
        <v>1031</v>
      </c>
      <c r="B1034" s="12" t="s">
        <v>3604</v>
      </c>
      <c r="C1034" s="12" t="s">
        <v>212</v>
      </c>
      <c r="D1034" s="12" t="s">
        <v>3605</v>
      </c>
      <c r="E1034" s="85">
        <v>48.24</v>
      </c>
      <c r="F1034" s="6">
        <v>5060338</v>
      </c>
      <c r="G1034" s="12" t="s">
        <v>3606</v>
      </c>
      <c r="H1034" s="12" t="s">
        <v>755</v>
      </c>
      <c r="I1034" s="12" t="s">
        <v>756</v>
      </c>
      <c r="J1034" s="84">
        <v>38651</v>
      </c>
      <c r="K1034" s="84">
        <v>49608</v>
      </c>
      <c r="L1034" s="12" t="s">
        <v>375</v>
      </c>
      <c r="M1034" s="12" t="s">
        <v>944</v>
      </c>
      <c r="N1034" s="75"/>
    </row>
    <row r="1035" spans="1:14">
      <c r="A1035" s="12">
        <v>1032</v>
      </c>
      <c r="B1035" s="12" t="s">
        <v>3607</v>
      </c>
      <c r="C1035" s="12" t="s">
        <v>937</v>
      </c>
      <c r="D1035" s="12" t="s">
        <v>3608</v>
      </c>
      <c r="E1035" s="85">
        <v>71.290000000000006</v>
      </c>
      <c r="F1035" s="6">
        <v>2074192</v>
      </c>
      <c r="G1035" s="12" t="s">
        <v>760</v>
      </c>
      <c r="H1035" s="12" t="s">
        <v>761</v>
      </c>
      <c r="I1035" s="12" t="s">
        <v>756</v>
      </c>
      <c r="J1035" s="84">
        <v>41794</v>
      </c>
      <c r="K1035" s="84">
        <v>52752</v>
      </c>
      <c r="L1035" s="12" t="s">
        <v>329</v>
      </c>
      <c r="M1035" s="12" t="s">
        <v>982</v>
      </c>
      <c r="N1035" s="75"/>
    </row>
    <row r="1036" spans="1:14">
      <c r="A1036" s="12">
        <v>1033</v>
      </c>
      <c r="B1036" s="12" t="s">
        <v>3609</v>
      </c>
      <c r="C1036" s="12" t="s">
        <v>979</v>
      </c>
      <c r="D1036" s="12" t="s">
        <v>846</v>
      </c>
      <c r="E1036" s="85">
        <v>574.98</v>
      </c>
      <c r="F1036" s="6">
        <v>2890682</v>
      </c>
      <c r="G1036" s="12" t="s">
        <v>3610</v>
      </c>
      <c r="H1036" s="12" t="s">
        <v>755</v>
      </c>
      <c r="I1036" s="12" t="s">
        <v>756</v>
      </c>
      <c r="J1036" s="84">
        <v>41794</v>
      </c>
      <c r="K1036" s="84">
        <v>52752</v>
      </c>
      <c r="L1036" s="12" t="s">
        <v>304</v>
      </c>
      <c r="M1036" s="12" t="s">
        <v>141</v>
      </c>
      <c r="N1036" s="75"/>
    </row>
    <row r="1037" spans="1:14">
      <c r="A1037" s="12">
        <v>1034</v>
      </c>
      <c r="B1037" s="12" t="s">
        <v>3611</v>
      </c>
      <c r="C1037" s="12" t="s">
        <v>122</v>
      </c>
      <c r="D1037" s="12" t="s">
        <v>3612</v>
      </c>
      <c r="E1037" s="85">
        <v>1505.36</v>
      </c>
      <c r="F1037" s="6">
        <v>5070287</v>
      </c>
      <c r="G1037" s="12" t="s">
        <v>3499</v>
      </c>
      <c r="H1037" s="12" t="s">
        <v>755</v>
      </c>
      <c r="I1037" s="12" t="s">
        <v>756</v>
      </c>
      <c r="J1037" s="84">
        <v>41799</v>
      </c>
      <c r="K1037" s="84">
        <v>52757</v>
      </c>
      <c r="L1037" s="12" t="s">
        <v>138</v>
      </c>
      <c r="M1037" s="12" t="s">
        <v>3500</v>
      </c>
      <c r="N1037" s="75"/>
    </row>
    <row r="1038" spans="1:14">
      <c r="A1038" s="12">
        <v>1035</v>
      </c>
      <c r="B1038" s="12" t="s">
        <v>3613</v>
      </c>
      <c r="C1038" s="12" t="s">
        <v>1017</v>
      </c>
      <c r="D1038" s="12" t="s">
        <v>1018</v>
      </c>
      <c r="E1038" s="85">
        <v>35.49</v>
      </c>
      <c r="F1038" s="6">
        <v>2025833</v>
      </c>
      <c r="G1038" s="12" t="s">
        <v>1022</v>
      </c>
      <c r="H1038" s="12" t="s">
        <v>755</v>
      </c>
      <c r="I1038" s="12" t="s">
        <v>756</v>
      </c>
      <c r="J1038" s="84">
        <v>41807</v>
      </c>
      <c r="K1038" s="84">
        <v>52765</v>
      </c>
      <c r="L1038" s="12" t="s">
        <v>274</v>
      </c>
      <c r="M1038" s="12" t="s">
        <v>874</v>
      </c>
      <c r="N1038" s="75"/>
    </row>
    <row r="1039" spans="1:14">
      <c r="A1039" s="12">
        <v>1036</v>
      </c>
      <c r="B1039" s="12" t="s">
        <v>3614</v>
      </c>
      <c r="C1039" s="12" t="s">
        <v>937</v>
      </c>
      <c r="D1039" s="12" t="s">
        <v>3615</v>
      </c>
      <c r="E1039" s="85">
        <v>19.29</v>
      </c>
      <c r="F1039" s="6">
        <v>5097428</v>
      </c>
      <c r="G1039" s="12" t="s">
        <v>3616</v>
      </c>
      <c r="H1039" s="12" t="s">
        <v>755</v>
      </c>
      <c r="I1039" s="12" t="s">
        <v>756</v>
      </c>
      <c r="J1039" s="84">
        <v>41810</v>
      </c>
      <c r="K1039" s="84">
        <v>52768</v>
      </c>
      <c r="L1039" s="12" t="s">
        <v>128</v>
      </c>
      <c r="M1039" s="12" t="s">
        <v>862</v>
      </c>
      <c r="N1039" s="75"/>
    </row>
    <row r="1040" spans="1:14">
      <c r="A1040" s="12">
        <v>1037</v>
      </c>
      <c r="B1040" s="12" t="s">
        <v>3617</v>
      </c>
      <c r="C1040" s="12" t="s">
        <v>221</v>
      </c>
      <c r="D1040" s="12" t="s">
        <v>1018</v>
      </c>
      <c r="E1040" s="85">
        <v>95.49</v>
      </c>
      <c r="F1040" s="6">
        <v>5564689</v>
      </c>
      <c r="G1040" s="12" t="s">
        <v>3618</v>
      </c>
      <c r="H1040" s="12" t="s">
        <v>755</v>
      </c>
      <c r="I1040" s="12" t="s">
        <v>756</v>
      </c>
      <c r="J1040" s="84">
        <v>41823</v>
      </c>
      <c r="K1040" s="84">
        <v>52781</v>
      </c>
      <c r="L1040" s="12" t="s">
        <v>274</v>
      </c>
      <c r="M1040" s="12" t="s">
        <v>874</v>
      </c>
      <c r="N1040" s="75"/>
    </row>
    <row r="1041" spans="1:14">
      <c r="A1041" s="12">
        <v>1038</v>
      </c>
      <c r="B1041" s="12" t="s">
        <v>3619</v>
      </c>
      <c r="C1041" s="12" t="s">
        <v>752</v>
      </c>
      <c r="D1041" s="12" t="s">
        <v>3620</v>
      </c>
      <c r="E1041" s="85">
        <v>960.35</v>
      </c>
      <c r="F1041" s="6">
        <v>5244552</v>
      </c>
      <c r="G1041" s="12" t="s">
        <v>3621</v>
      </c>
      <c r="H1041" s="12" t="s">
        <v>848</v>
      </c>
      <c r="I1041" s="12" t="s">
        <v>849</v>
      </c>
      <c r="J1041" s="84">
        <v>41823</v>
      </c>
      <c r="K1041" s="84">
        <v>52781</v>
      </c>
      <c r="L1041" s="12" t="s">
        <v>304</v>
      </c>
      <c r="M1041" s="12" t="s">
        <v>1634</v>
      </c>
      <c r="N1041" s="75"/>
    </row>
    <row r="1042" spans="1:14">
      <c r="A1042" s="12">
        <v>1039</v>
      </c>
      <c r="B1042" s="12" t="s">
        <v>3622</v>
      </c>
      <c r="C1042" s="12" t="s">
        <v>122</v>
      </c>
      <c r="D1042" s="12" t="s">
        <v>3623</v>
      </c>
      <c r="E1042" s="85">
        <v>14465.1</v>
      </c>
      <c r="F1042" s="6">
        <v>2730588</v>
      </c>
      <c r="G1042" s="12" t="s">
        <v>3624</v>
      </c>
      <c r="H1042" s="12" t="s">
        <v>755</v>
      </c>
      <c r="I1042" s="12" t="s">
        <v>756</v>
      </c>
      <c r="J1042" s="84">
        <v>41829</v>
      </c>
      <c r="K1042" s="84">
        <v>52787</v>
      </c>
      <c r="L1042" s="12" t="s">
        <v>1014</v>
      </c>
      <c r="M1042" s="12" t="s">
        <v>2056</v>
      </c>
      <c r="N1042" s="75"/>
    </row>
    <row r="1043" spans="1:14">
      <c r="A1043" s="12">
        <v>1040</v>
      </c>
      <c r="B1043" s="12" t="s">
        <v>3625</v>
      </c>
      <c r="C1043" s="12" t="s">
        <v>3626</v>
      </c>
      <c r="D1043" s="12" t="s">
        <v>3627</v>
      </c>
      <c r="E1043" s="85">
        <v>182.78</v>
      </c>
      <c r="F1043" s="6">
        <v>2730588</v>
      </c>
      <c r="G1043" s="12" t="s">
        <v>3624</v>
      </c>
      <c r="H1043" s="12" t="s">
        <v>755</v>
      </c>
      <c r="I1043" s="12" t="s">
        <v>756</v>
      </c>
      <c r="J1043" s="84">
        <v>41829</v>
      </c>
      <c r="K1043" s="84">
        <v>52787</v>
      </c>
      <c r="L1043" s="12" t="s">
        <v>1102</v>
      </c>
      <c r="M1043" s="12" t="s">
        <v>3628</v>
      </c>
      <c r="N1043" s="75"/>
    </row>
    <row r="1044" spans="1:14">
      <c r="A1044" s="12">
        <v>1041</v>
      </c>
      <c r="B1044" s="12" t="s">
        <v>3629</v>
      </c>
      <c r="C1044" s="12" t="s">
        <v>752</v>
      </c>
      <c r="D1044" s="12" t="s">
        <v>3630</v>
      </c>
      <c r="E1044" s="85">
        <v>291.76</v>
      </c>
      <c r="F1044" s="6">
        <v>2872943</v>
      </c>
      <c r="G1044" s="12" t="s">
        <v>2529</v>
      </c>
      <c r="H1044" s="12" t="s">
        <v>755</v>
      </c>
      <c r="I1044" s="12" t="s">
        <v>756</v>
      </c>
      <c r="J1044" s="84">
        <v>37582</v>
      </c>
      <c r="K1044" s="84">
        <v>48540</v>
      </c>
      <c r="L1044" s="12" t="s">
        <v>304</v>
      </c>
      <c r="M1044" s="12" t="s">
        <v>850</v>
      </c>
      <c r="N1044" s="75"/>
    </row>
    <row r="1045" spans="1:14">
      <c r="A1045" s="12">
        <v>1042</v>
      </c>
      <c r="B1045" s="12" t="s">
        <v>3631</v>
      </c>
      <c r="C1045" s="12" t="s">
        <v>3632</v>
      </c>
      <c r="D1045" s="12" t="s">
        <v>1755</v>
      </c>
      <c r="E1045" s="85">
        <v>38.549999999999997</v>
      </c>
      <c r="F1045" s="6">
        <v>2542838</v>
      </c>
      <c r="G1045" s="12" t="s">
        <v>3633</v>
      </c>
      <c r="H1045" s="12" t="s">
        <v>755</v>
      </c>
      <c r="I1045" s="12" t="s">
        <v>756</v>
      </c>
      <c r="J1045" s="84">
        <v>41830</v>
      </c>
      <c r="K1045" s="84">
        <v>52788</v>
      </c>
      <c r="L1045" s="12" t="s">
        <v>128</v>
      </c>
      <c r="M1045" s="12" t="s">
        <v>862</v>
      </c>
      <c r="N1045" s="75"/>
    </row>
    <row r="1046" spans="1:14">
      <c r="A1046" s="12">
        <v>1043</v>
      </c>
      <c r="B1046" s="12" t="s">
        <v>3634</v>
      </c>
      <c r="C1046" s="12" t="s">
        <v>122</v>
      </c>
      <c r="D1046" s="12" t="s">
        <v>3635</v>
      </c>
      <c r="E1046" s="85">
        <v>6129.84</v>
      </c>
      <c r="F1046" s="6">
        <v>5132053</v>
      </c>
      <c r="G1046" s="12" t="s">
        <v>3575</v>
      </c>
      <c r="H1046" s="12" t="s">
        <v>848</v>
      </c>
      <c r="I1046" s="12" t="s">
        <v>849</v>
      </c>
      <c r="J1046" s="84">
        <v>41830</v>
      </c>
      <c r="K1046" s="84">
        <v>52788</v>
      </c>
      <c r="L1046" s="12" t="s">
        <v>274</v>
      </c>
      <c r="M1046" s="12" t="s">
        <v>944</v>
      </c>
      <c r="N1046" s="75"/>
    </row>
    <row r="1047" spans="1:14">
      <c r="A1047" s="12">
        <v>1044</v>
      </c>
      <c r="B1047" s="12" t="s">
        <v>3636</v>
      </c>
      <c r="C1047" s="12" t="s">
        <v>221</v>
      </c>
      <c r="D1047" s="12" t="s">
        <v>3527</v>
      </c>
      <c r="E1047" s="85">
        <v>1966.16</v>
      </c>
      <c r="F1047" s="6">
        <v>5190479</v>
      </c>
      <c r="G1047" s="12" t="s">
        <v>3528</v>
      </c>
      <c r="H1047" s="12" t="s">
        <v>755</v>
      </c>
      <c r="I1047" s="12" t="s">
        <v>756</v>
      </c>
      <c r="J1047" s="84">
        <v>41836</v>
      </c>
      <c r="K1047" s="84">
        <v>52794</v>
      </c>
      <c r="L1047" s="12" t="s">
        <v>138</v>
      </c>
      <c r="M1047" s="12" t="s">
        <v>138</v>
      </c>
      <c r="N1047" s="75"/>
    </row>
    <row r="1048" spans="1:14">
      <c r="A1048" s="12">
        <v>1045</v>
      </c>
      <c r="B1048" s="12" t="s">
        <v>3637</v>
      </c>
      <c r="C1048" s="12" t="s">
        <v>3638</v>
      </c>
      <c r="D1048" s="12" t="s">
        <v>3639</v>
      </c>
      <c r="E1048" s="85">
        <v>5300.54</v>
      </c>
      <c r="F1048" s="6">
        <v>2875578</v>
      </c>
      <c r="G1048" s="12" t="s">
        <v>3234</v>
      </c>
      <c r="H1048" s="12" t="s">
        <v>766</v>
      </c>
      <c r="I1048" s="12" t="s">
        <v>767</v>
      </c>
      <c r="J1048" s="84">
        <v>41837</v>
      </c>
      <c r="K1048" s="84">
        <v>52795</v>
      </c>
      <c r="L1048" s="12" t="s">
        <v>768</v>
      </c>
      <c r="M1048" s="12" t="s">
        <v>3235</v>
      </c>
      <c r="N1048" s="75"/>
    </row>
    <row r="1049" spans="1:14">
      <c r="A1049" s="12">
        <v>1046</v>
      </c>
      <c r="B1049" s="12" t="s">
        <v>3640</v>
      </c>
      <c r="C1049" s="12" t="s">
        <v>3638</v>
      </c>
      <c r="D1049" s="12" t="s">
        <v>3641</v>
      </c>
      <c r="E1049" s="85">
        <v>1399.32</v>
      </c>
      <c r="F1049" s="6">
        <v>5485312</v>
      </c>
      <c r="G1049" s="12" t="s">
        <v>3642</v>
      </c>
      <c r="H1049" s="12" t="s">
        <v>755</v>
      </c>
      <c r="I1049" s="12" t="s">
        <v>756</v>
      </c>
      <c r="J1049" s="84">
        <v>41848</v>
      </c>
      <c r="K1049" s="84">
        <v>52806</v>
      </c>
      <c r="L1049" s="12" t="s">
        <v>1014</v>
      </c>
      <c r="M1049" s="12" t="s">
        <v>3643</v>
      </c>
      <c r="N1049" s="75"/>
    </row>
    <row r="1050" spans="1:14">
      <c r="A1050" s="12">
        <v>1047</v>
      </c>
      <c r="B1050" s="12" t="s">
        <v>3644</v>
      </c>
      <c r="C1050" s="12" t="s">
        <v>979</v>
      </c>
      <c r="D1050" s="12" t="s">
        <v>3645</v>
      </c>
      <c r="E1050" s="85">
        <v>1712.88</v>
      </c>
      <c r="F1050" s="6">
        <v>2861852</v>
      </c>
      <c r="G1050" s="12" t="s">
        <v>3646</v>
      </c>
      <c r="H1050" s="12" t="s">
        <v>755</v>
      </c>
      <c r="I1050" s="12" t="s">
        <v>756</v>
      </c>
      <c r="J1050" s="84">
        <v>41859</v>
      </c>
      <c r="K1050" s="84">
        <v>52817</v>
      </c>
      <c r="L1050" s="12" t="s">
        <v>170</v>
      </c>
      <c r="M1050" s="12" t="s">
        <v>1023</v>
      </c>
      <c r="N1050" s="75"/>
    </row>
    <row r="1051" spans="1:14">
      <c r="A1051" s="12">
        <v>1048</v>
      </c>
      <c r="B1051" s="12" t="s">
        <v>3647</v>
      </c>
      <c r="C1051" s="12" t="s">
        <v>3648</v>
      </c>
      <c r="D1051" s="12" t="s">
        <v>3649</v>
      </c>
      <c r="E1051" s="85">
        <v>750.79</v>
      </c>
      <c r="F1051" s="6">
        <v>5234018</v>
      </c>
      <c r="G1051" s="12" t="s">
        <v>3650</v>
      </c>
      <c r="H1051" s="12" t="s">
        <v>848</v>
      </c>
      <c r="I1051" s="12" t="s">
        <v>849</v>
      </c>
      <c r="J1051" s="84">
        <v>41866</v>
      </c>
      <c r="K1051" s="84">
        <v>52824</v>
      </c>
      <c r="L1051" s="12" t="s">
        <v>836</v>
      </c>
      <c r="M1051" s="12" t="s">
        <v>3649</v>
      </c>
      <c r="N1051" s="75"/>
    </row>
    <row r="1052" spans="1:14">
      <c r="A1052" s="12">
        <v>1049</v>
      </c>
      <c r="B1052" s="12" t="s">
        <v>3651</v>
      </c>
      <c r="C1052" s="12" t="s">
        <v>752</v>
      </c>
      <c r="D1052" s="12" t="s">
        <v>3652</v>
      </c>
      <c r="E1052" s="85">
        <v>71.150000000000006</v>
      </c>
      <c r="F1052" s="6">
        <v>6268048</v>
      </c>
      <c r="G1052" s="12" t="s">
        <v>1291</v>
      </c>
      <c r="H1052" s="12" t="s">
        <v>755</v>
      </c>
      <c r="I1052" s="12" t="s">
        <v>756</v>
      </c>
      <c r="J1052" s="84">
        <v>41866</v>
      </c>
      <c r="K1052" s="84">
        <v>52824</v>
      </c>
      <c r="L1052" s="12" t="s">
        <v>768</v>
      </c>
      <c r="M1052" s="12" t="s">
        <v>867</v>
      </c>
      <c r="N1052" s="75"/>
    </row>
    <row r="1053" spans="1:14">
      <c r="A1053" s="12">
        <v>1050</v>
      </c>
      <c r="B1053" s="12" t="s">
        <v>3653</v>
      </c>
      <c r="C1053" s="12" t="s">
        <v>881</v>
      </c>
      <c r="D1053" s="12" t="s">
        <v>3654</v>
      </c>
      <c r="E1053" s="85">
        <v>53.62</v>
      </c>
      <c r="F1053" s="6">
        <v>5814588</v>
      </c>
      <c r="G1053" s="12" t="s">
        <v>3655</v>
      </c>
      <c r="H1053" s="12" t="s">
        <v>755</v>
      </c>
      <c r="I1053" s="12" t="s">
        <v>756</v>
      </c>
      <c r="J1053" s="84">
        <v>41794</v>
      </c>
      <c r="K1053" s="84">
        <v>52752</v>
      </c>
      <c r="L1053" s="12" t="s">
        <v>128</v>
      </c>
      <c r="M1053" s="12" t="s">
        <v>138</v>
      </c>
      <c r="N1053" s="75"/>
    </row>
    <row r="1054" spans="1:14">
      <c r="A1054" s="12">
        <v>1051</v>
      </c>
      <c r="B1054" s="12" t="s">
        <v>3656</v>
      </c>
      <c r="C1054" s="12" t="s">
        <v>137</v>
      </c>
      <c r="D1054" s="12" t="s">
        <v>1204</v>
      </c>
      <c r="E1054" s="85">
        <v>142.08000000000001</v>
      </c>
      <c r="F1054" s="6">
        <v>5420172</v>
      </c>
      <c r="G1054" s="12" t="s">
        <v>3509</v>
      </c>
      <c r="H1054" s="12" t="s">
        <v>848</v>
      </c>
      <c r="I1054" s="12" t="s">
        <v>849</v>
      </c>
      <c r="J1054" s="84">
        <v>41871</v>
      </c>
      <c r="K1054" s="84">
        <v>52829</v>
      </c>
      <c r="L1054" s="12" t="s">
        <v>293</v>
      </c>
      <c r="M1054" s="12" t="s">
        <v>1206</v>
      </c>
      <c r="N1054" s="75"/>
    </row>
    <row r="1055" spans="1:14">
      <c r="A1055" s="12">
        <v>1052</v>
      </c>
      <c r="B1055" s="12" t="s">
        <v>3657</v>
      </c>
      <c r="C1055" s="12" t="s">
        <v>881</v>
      </c>
      <c r="D1055" s="12" t="s">
        <v>3081</v>
      </c>
      <c r="E1055" s="85">
        <v>54.73</v>
      </c>
      <c r="F1055" s="6">
        <v>2060825</v>
      </c>
      <c r="G1055" s="12" t="s">
        <v>1915</v>
      </c>
      <c r="H1055" s="12" t="s">
        <v>755</v>
      </c>
      <c r="I1055" s="12" t="s">
        <v>756</v>
      </c>
      <c r="J1055" s="84">
        <v>41880</v>
      </c>
      <c r="K1055" s="84">
        <v>52838</v>
      </c>
      <c r="L1055" s="12" t="s">
        <v>128</v>
      </c>
      <c r="M1055" s="12" t="s">
        <v>291</v>
      </c>
      <c r="N1055" s="75"/>
    </row>
    <row r="1056" spans="1:14">
      <c r="A1056" s="12">
        <v>1053</v>
      </c>
      <c r="B1056" s="12" t="s">
        <v>3658</v>
      </c>
      <c r="C1056" s="12" t="s">
        <v>752</v>
      </c>
      <c r="D1056" s="12" t="s">
        <v>3659</v>
      </c>
      <c r="E1056" s="85">
        <v>97.2</v>
      </c>
      <c r="F1056" s="6">
        <v>2762463</v>
      </c>
      <c r="G1056" s="12" t="s">
        <v>3660</v>
      </c>
      <c r="H1056" s="12" t="s">
        <v>755</v>
      </c>
      <c r="I1056" s="12" t="s">
        <v>756</v>
      </c>
      <c r="J1056" s="84">
        <v>41891</v>
      </c>
      <c r="K1056" s="84">
        <v>52849</v>
      </c>
      <c r="L1056" s="12" t="s">
        <v>274</v>
      </c>
      <c r="M1056" s="12" t="s">
        <v>874</v>
      </c>
      <c r="N1056" s="75"/>
    </row>
    <row r="1057" spans="1:14">
      <c r="A1057" s="12">
        <v>1054</v>
      </c>
      <c r="B1057" s="12" t="s">
        <v>3661</v>
      </c>
      <c r="C1057" s="12" t="s">
        <v>137</v>
      </c>
      <c r="D1057" s="12" t="s">
        <v>2579</v>
      </c>
      <c r="E1057" s="85">
        <v>275.01</v>
      </c>
      <c r="F1057" s="6">
        <v>2855119</v>
      </c>
      <c r="G1057" s="12" t="s">
        <v>1685</v>
      </c>
      <c r="H1057" s="12" t="s">
        <v>848</v>
      </c>
      <c r="I1057" s="12" t="s">
        <v>849</v>
      </c>
      <c r="J1057" s="84">
        <v>40857</v>
      </c>
      <c r="K1057" s="84">
        <v>51815</v>
      </c>
      <c r="L1057" s="12" t="s">
        <v>304</v>
      </c>
      <c r="M1057" s="12" t="s">
        <v>773</v>
      </c>
      <c r="N1057" s="75"/>
    </row>
    <row r="1058" spans="1:14">
      <c r="A1058" s="12">
        <v>1055</v>
      </c>
      <c r="B1058" s="12" t="s">
        <v>3662</v>
      </c>
      <c r="C1058" s="12" t="s">
        <v>886</v>
      </c>
      <c r="D1058" s="12" t="s">
        <v>3663</v>
      </c>
      <c r="E1058" s="85">
        <v>245.7</v>
      </c>
      <c r="F1058" s="6">
        <v>5513766</v>
      </c>
      <c r="G1058" s="12" t="s">
        <v>3664</v>
      </c>
      <c r="H1058" s="12" t="s">
        <v>755</v>
      </c>
      <c r="I1058" s="12" t="s">
        <v>756</v>
      </c>
      <c r="J1058" s="84">
        <v>41893</v>
      </c>
      <c r="K1058" s="84">
        <v>52851</v>
      </c>
      <c r="L1058" s="12" t="s">
        <v>1102</v>
      </c>
      <c r="M1058" s="12" t="s">
        <v>3357</v>
      </c>
      <c r="N1058" s="75"/>
    </row>
    <row r="1059" spans="1:14">
      <c r="A1059" s="12">
        <v>1056</v>
      </c>
      <c r="B1059" s="12" t="s">
        <v>3665</v>
      </c>
      <c r="C1059" s="12" t="s">
        <v>995</v>
      </c>
      <c r="D1059" s="12" t="s">
        <v>3666</v>
      </c>
      <c r="E1059" s="85">
        <v>37.36</v>
      </c>
      <c r="F1059" s="6">
        <v>2611961</v>
      </c>
      <c r="G1059" s="12" t="s">
        <v>3667</v>
      </c>
      <c r="H1059" s="12" t="s">
        <v>766</v>
      </c>
      <c r="I1059" s="12" t="s">
        <v>767</v>
      </c>
      <c r="J1059" s="84">
        <v>41893</v>
      </c>
      <c r="K1059" s="84">
        <v>52851</v>
      </c>
      <c r="L1059" s="12" t="s">
        <v>180</v>
      </c>
      <c r="M1059" s="12" t="s">
        <v>927</v>
      </c>
      <c r="N1059" s="75"/>
    </row>
    <row r="1060" spans="1:14">
      <c r="A1060" s="12">
        <v>1057</v>
      </c>
      <c r="B1060" s="12" t="s">
        <v>3668</v>
      </c>
      <c r="C1060" s="12" t="s">
        <v>122</v>
      </c>
      <c r="D1060" s="12" t="s">
        <v>2884</v>
      </c>
      <c r="E1060" s="85">
        <v>470.82</v>
      </c>
      <c r="F1060" s="6">
        <v>2337231</v>
      </c>
      <c r="G1060" s="12" t="s">
        <v>3669</v>
      </c>
      <c r="H1060" s="12" t="s">
        <v>755</v>
      </c>
      <c r="I1060" s="12" t="s">
        <v>756</v>
      </c>
      <c r="J1060" s="84">
        <v>41901</v>
      </c>
      <c r="K1060" s="84">
        <v>52859</v>
      </c>
      <c r="L1060" s="12" t="s">
        <v>138</v>
      </c>
      <c r="M1060" s="12" t="s">
        <v>138</v>
      </c>
      <c r="N1060" s="75"/>
    </row>
    <row r="1061" spans="1:14">
      <c r="A1061" s="12">
        <v>1058</v>
      </c>
      <c r="B1061" s="12" t="s">
        <v>3670</v>
      </c>
      <c r="C1061" s="12" t="s">
        <v>221</v>
      </c>
      <c r="D1061" s="12" t="s">
        <v>3671</v>
      </c>
      <c r="E1061" s="85">
        <v>713.16</v>
      </c>
      <c r="F1061" s="6">
        <v>5473055</v>
      </c>
      <c r="G1061" s="12" t="s">
        <v>3672</v>
      </c>
      <c r="H1061" s="12" t="s">
        <v>755</v>
      </c>
      <c r="I1061" s="12" t="s">
        <v>756</v>
      </c>
      <c r="J1061" s="84">
        <v>41911</v>
      </c>
      <c r="K1061" s="84">
        <v>52869</v>
      </c>
      <c r="L1061" s="12" t="s">
        <v>170</v>
      </c>
      <c r="M1061" s="12" t="s">
        <v>171</v>
      </c>
      <c r="N1061" s="75"/>
    </row>
    <row r="1062" spans="1:14">
      <c r="A1062" s="12">
        <v>1059</v>
      </c>
      <c r="B1062" s="12" t="s">
        <v>3673</v>
      </c>
      <c r="C1062" s="12" t="s">
        <v>1035</v>
      </c>
      <c r="D1062" s="12" t="s">
        <v>3674</v>
      </c>
      <c r="E1062" s="85">
        <v>157.08000000000001</v>
      </c>
      <c r="F1062" s="6">
        <v>5209307</v>
      </c>
      <c r="G1062" s="12" t="s">
        <v>3675</v>
      </c>
      <c r="H1062" s="12" t="s">
        <v>848</v>
      </c>
      <c r="I1062" s="12" t="s">
        <v>849</v>
      </c>
      <c r="J1062" s="84">
        <v>41920</v>
      </c>
      <c r="K1062" s="84">
        <v>52878</v>
      </c>
      <c r="L1062" s="12" t="s">
        <v>1102</v>
      </c>
      <c r="M1062" s="12" t="s">
        <v>3357</v>
      </c>
      <c r="N1062" s="75"/>
    </row>
    <row r="1063" spans="1:14">
      <c r="A1063" s="12">
        <v>1060</v>
      </c>
      <c r="B1063" s="12" t="s">
        <v>3676</v>
      </c>
      <c r="C1063" s="12" t="s">
        <v>221</v>
      </c>
      <c r="D1063" s="12" t="s">
        <v>1406</v>
      </c>
      <c r="E1063" s="85">
        <v>588.48</v>
      </c>
      <c r="F1063" s="6">
        <v>5214629</v>
      </c>
      <c r="G1063" s="12" t="s">
        <v>3677</v>
      </c>
      <c r="H1063" s="12" t="s">
        <v>755</v>
      </c>
      <c r="I1063" s="12" t="s">
        <v>756</v>
      </c>
      <c r="J1063" s="84">
        <v>41922</v>
      </c>
      <c r="K1063" s="84">
        <v>52880</v>
      </c>
      <c r="L1063" s="12" t="s">
        <v>375</v>
      </c>
      <c r="M1063" s="12" t="s">
        <v>2649</v>
      </c>
      <c r="N1063" s="75"/>
    </row>
    <row r="1064" spans="1:14">
      <c r="A1064" s="12">
        <v>1061</v>
      </c>
      <c r="B1064" s="12" t="s">
        <v>3678</v>
      </c>
      <c r="C1064" s="12" t="s">
        <v>752</v>
      </c>
      <c r="D1064" s="12" t="s">
        <v>3679</v>
      </c>
      <c r="E1064" s="85">
        <v>378.13</v>
      </c>
      <c r="F1064" s="6">
        <v>5034396</v>
      </c>
      <c r="G1064" s="12" t="s">
        <v>3680</v>
      </c>
      <c r="H1064" s="12" t="s">
        <v>755</v>
      </c>
      <c r="I1064" s="12" t="s">
        <v>756</v>
      </c>
      <c r="J1064" s="84">
        <v>41906</v>
      </c>
      <c r="K1064" s="84">
        <v>52864</v>
      </c>
      <c r="L1064" s="12" t="s">
        <v>293</v>
      </c>
      <c r="M1064" s="12" t="s">
        <v>3681</v>
      </c>
      <c r="N1064" s="75"/>
    </row>
    <row r="1065" spans="1:14">
      <c r="A1065" s="12">
        <v>1062</v>
      </c>
      <c r="B1065" s="12" t="s">
        <v>3682</v>
      </c>
      <c r="C1065" s="12" t="s">
        <v>3683</v>
      </c>
      <c r="D1065" s="12" t="s">
        <v>3684</v>
      </c>
      <c r="E1065" s="85">
        <v>39.33</v>
      </c>
      <c r="F1065" s="6">
        <v>5168724</v>
      </c>
      <c r="G1065" s="12" t="s">
        <v>3685</v>
      </c>
      <c r="H1065" s="12" t="s">
        <v>755</v>
      </c>
      <c r="I1065" s="12" t="s">
        <v>756</v>
      </c>
      <c r="J1065" s="84">
        <v>41906</v>
      </c>
      <c r="K1065" s="84">
        <v>52864</v>
      </c>
      <c r="L1065" s="12" t="s">
        <v>128</v>
      </c>
      <c r="M1065" s="12" t="s">
        <v>862</v>
      </c>
      <c r="N1065" s="75"/>
    </row>
    <row r="1066" spans="1:14">
      <c r="A1066" s="12">
        <v>1063</v>
      </c>
      <c r="B1066" s="12" t="s">
        <v>3686</v>
      </c>
      <c r="C1066" s="12" t="s">
        <v>1939</v>
      </c>
      <c r="D1066" s="12" t="s">
        <v>3687</v>
      </c>
      <c r="E1066" s="85">
        <v>1690.71</v>
      </c>
      <c r="F1066" s="6">
        <v>5031974</v>
      </c>
      <c r="G1066" s="12" t="s">
        <v>3688</v>
      </c>
      <c r="H1066" s="12" t="s">
        <v>755</v>
      </c>
      <c r="I1066" s="12" t="s">
        <v>756</v>
      </c>
      <c r="J1066" s="84">
        <v>41913</v>
      </c>
      <c r="K1066" s="84">
        <v>52871</v>
      </c>
      <c r="L1066" s="12" t="s">
        <v>1014</v>
      </c>
      <c r="M1066" s="12" t="s">
        <v>3222</v>
      </c>
      <c r="N1066" s="75"/>
    </row>
    <row r="1067" spans="1:14">
      <c r="A1067" s="12">
        <v>1064</v>
      </c>
      <c r="B1067" s="12" t="s">
        <v>3689</v>
      </c>
      <c r="C1067" s="12" t="s">
        <v>137</v>
      </c>
      <c r="D1067" s="12" t="s">
        <v>3690</v>
      </c>
      <c r="E1067" s="85">
        <v>236.42</v>
      </c>
      <c r="F1067" s="6">
        <v>5095549</v>
      </c>
      <c r="G1067" s="12" t="s">
        <v>2390</v>
      </c>
      <c r="H1067" s="12" t="s">
        <v>848</v>
      </c>
      <c r="I1067" s="12" t="s">
        <v>849</v>
      </c>
      <c r="J1067" s="84">
        <v>41925</v>
      </c>
      <c r="K1067" s="84">
        <v>52883</v>
      </c>
      <c r="L1067" s="12" t="s">
        <v>1014</v>
      </c>
      <c r="M1067" s="12" t="s">
        <v>2391</v>
      </c>
      <c r="N1067" s="75"/>
    </row>
    <row r="1068" spans="1:14">
      <c r="A1068" s="12">
        <v>1065</v>
      </c>
      <c r="B1068" s="12" t="s">
        <v>3691</v>
      </c>
      <c r="C1068" s="12" t="s">
        <v>137</v>
      </c>
      <c r="D1068" s="12" t="s">
        <v>3690</v>
      </c>
      <c r="E1068" s="85">
        <v>301.43</v>
      </c>
      <c r="F1068" s="6">
        <v>5095549</v>
      </c>
      <c r="G1068" s="12" t="s">
        <v>2390</v>
      </c>
      <c r="H1068" s="12" t="s">
        <v>848</v>
      </c>
      <c r="I1068" s="12" t="s">
        <v>849</v>
      </c>
      <c r="J1068" s="84">
        <v>41925</v>
      </c>
      <c r="K1068" s="84">
        <v>52883</v>
      </c>
      <c r="L1068" s="12" t="s">
        <v>1014</v>
      </c>
      <c r="M1068" s="12" t="s">
        <v>2391</v>
      </c>
      <c r="N1068" s="75"/>
    </row>
    <row r="1069" spans="1:14">
      <c r="A1069" s="12">
        <v>1066</v>
      </c>
      <c r="B1069" s="12" t="s">
        <v>3692</v>
      </c>
      <c r="C1069" s="12" t="s">
        <v>137</v>
      </c>
      <c r="D1069" s="12" t="s">
        <v>3693</v>
      </c>
      <c r="E1069" s="85">
        <v>4178.42</v>
      </c>
      <c r="F1069" s="6">
        <v>5150388</v>
      </c>
      <c r="G1069" s="12" t="s">
        <v>3694</v>
      </c>
      <c r="H1069" s="12" t="s">
        <v>848</v>
      </c>
      <c r="I1069" s="12" t="s">
        <v>849</v>
      </c>
      <c r="J1069" s="84">
        <v>41926</v>
      </c>
      <c r="K1069" s="84">
        <v>52884</v>
      </c>
      <c r="L1069" s="12" t="s">
        <v>1097</v>
      </c>
      <c r="M1069" s="12" t="s">
        <v>3695</v>
      </c>
      <c r="N1069" s="75"/>
    </row>
    <row r="1070" spans="1:14">
      <c r="A1070" s="12">
        <v>1067</v>
      </c>
      <c r="B1070" s="12" t="s">
        <v>3696</v>
      </c>
      <c r="C1070" s="12" t="s">
        <v>122</v>
      </c>
      <c r="D1070" s="12" t="s">
        <v>3697</v>
      </c>
      <c r="E1070" s="85">
        <v>6352.79</v>
      </c>
      <c r="F1070" s="6">
        <v>5103169</v>
      </c>
      <c r="G1070" s="12" t="s">
        <v>3698</v>
      </c>
      <c r="H1070" s="12" t="s">
        <v>766</v>
      </c>
      <c r="I1070" s="12" t="s">
        <v>767</v>
      </c>
      <c r="J1070" s="84">
        <v>41927</v>
      </c>
      <c r="K1070" s="84">
        <v>52885</v>
      </c>
      <c r="L1070" s="12" t="s">
        <v>768</v>
      </c>
      <c r="M1070" s="12" t="s">
        <v>884</v>
      </c>
      <c r="N1070" s="75"/>
    </row>
    <row r="1071" spans="1:14">
      <c r="A1071" s="12">
        <v>1068</v>
      </c>
      <c r="B1071" s="12" t="s">
        <v>3699</v>
      </c>
      <c r="C1071" s="12" t="s">
        <v>1002</v>
      </c>
      <c r="D1071" s="12" t="s">
        <v>1114</v>
      </c>
      <c r="E1071" s="85">
        <v>35.33</v>
      </c>
      <c r="F1071" s="6">
        <v>2854384</v>
      </c>
      <c r="G1071" s="12" t="s">
        <v>3700</v>
      </c>
      <c r="H1071" s="12" t="s">
        <v>755</v>
      </c>
      <c r="I1071" s="12" t="s">
        <v>756</v>
      </c>
      <c r="J1071" s="84">
        <v>35555</v>
      </c>
      <c r="K1071" s="84">
        <v>46512</v>
      </c>
      <c r="L1071" s="12" t="s">
        <v>233</v>
      </c>
      <c r="M1071" s="12" t="s">
        <v>237</v>
      </c>
      <c r="N1071" s="75"/>
    </row>
    <row r="1072" spans="1:14">
      <c r="A1072" s="12">
        <v>1069</v>
      </c>
      <c r="B1072" s="12" t="s">
        <v>3701</v>
      </c>
      <c r="C1072" s="12" t="s">
        <v>3702</v>
      </c>
      <c r="D1072" s="12" t="s">
        <v>3703</v>
      </c>
      <c r="E1072" s="85">
        <v>37.49</v>
      </c>
      <c r="F1072" s="6">
        <v>2817179</v>
      </c>
      <c r="G1072" s="12" t="s">
        <v>3704</v>
      </c>
      <c r="H1072" s="12" t="s">
        <v>755</v>
      </c>
      <c r="I1072" s="12" t="s">
        <v>756</v>
      </c>
      <c r="J1072" s="84">
        <v>41949</v>
      </c>
      <c r="K1072" s="84">
        <v>52907</v>
      </c>
      <c r="L1072" s="12" t="s">
        <v>180</v>
      </c>
      <c r="M1072" s="12" t="s">
        <v>798</v>
      </c>
      <c r="N1072" s="75"/>
    </row>
    <row r="1073" spans="1:14">
      <c r="A1073" s="12">
        <v>1070</v>
      </c>
      <c r="B1073" s="12" t="s">
        <v>3705</v>
      </c>
      <c r="C1073" s="12" t="s">
        <v>147</v>
      </c>
      <c r="D1073" s="12" t="s">
        <v>3706</v>
      </c>
      <c r="E1073" s="85">
        <v>11115.85</v>
      </c>
      <c r="F1073" s="6">
        <v>5584469</v>
      </c>
      <c r="G1073" s="12" t="s">
        <v>3707</v>
      </c>
      <c r="H1073" s="12" t="s">
        <v>848</v>
      </c>
      <c r="I1073" s="12" t="s">
        <v>849</v>
      </c>
      <c r="J1073" s="84">
        <v>41949</v>
      </c>
      <c r="K1073" s="84">
        <v>52907</v>
      </c>
      <c r="L1073" s="12" t="s">
        <v>170</v>
      </c>
      <c r="M1073" s="12" t="s">
        <v>205</v>
      </c>
      <c r="N1073" s="75"/>
    </row>
    <row r="1074" spans="1:14">
      <c r="A1074" s="12">
        <v>1071</v>
      </c>
      <c r="B1074" s="12" t="s">
        <v>3708</v>
      </c>
      <c r="C1074" s="12" t="s">
        <v>212</v>
      </c>
      <c r="D1074" s="12" t="s">
        <v>3709</v>
      </c>
      <c r="E1074" s="85">
        <v>50.44</v>
      </c>
      <c r="F1074" s="6">
        <v>5116767</v>
      </c>
      <c r="G1074" s="12" t="s">
        <v>3710</v>
      </c>
      <c r="H1074" s="12" t="s">
        <v>755</v>
      </c>
      <c r="I1074" s="12" t="s">
        <v>756</v>
      </c>
      <c r="J1074" s="84">
        <v>41954</v>
      </c>
      <c r="K1074" s="84">
        <v>52912</v>
      </c>
      <c r="L1074" s="12" t="s">
        <v>375</v>
      </c>
      <c r="M1074" s="12" t="s">
        <v>944</v>
      </c>
      <c r="N1074" s="75"/>
    </row>
    <row r="1075" spans="1:14">
      <c r="A1075" s="12">
        <v>1072</v>
      </c>
      <c r="B1075" s="12" t="s">
        <v>3711</v>
      </c>
      <c r="C1075" s="12" t="s">
        <v>886</v>
      </c>
      <c r="D1075" s="12" t="s">
        <v>3712</v>
      </c>
      <c r="E1075" s="85">
        <v>1510.65</v>
      </c>
      <c r="F1075" s="6">
        <v>5180244</v>
      </c>
      <c r="G1075" s="12" t="s">
        <v>3713</v>
      </c>
      <c r="H1075" s="12" t="s">
        <v>755</v>
      </c>
      <c r="I1075" s="12" t="s">
        <v>756</v>
      </c>
      <c r="J1075" s="84">
        <v>41932</v>
      </c>
      <c r="K1075" s="84">
        <v>52890</v>
      </c>
      <c r="L1075" s="12" t="s">
        <v>123</v>
      </c>
      <c r="M1075" s="12" t="s">
        <v>1256</v>
      </c>
      <c r="N1075" s="75"/>
    </row>
    <row r="1076" spans="1:14">
      <c r="A1076" s="12">
        <v>1073</v>
      </c>
      <c r="B1076" s="12" t="s">
        <v>3714</v>
      </c>
      <c r="C1076" s="12" t="s">
        <v>212</v>
      </c>
      <c r="D1076" s="12" t="s">
        <v>3715</v>
      </c>
      <c r="E1076" s="85">
        <v>84.83</v>
      </c>
      <c r="F1076" s="6">
        <v>5236932</v>
      </c>
      <c r="G1076" s="12" t="s">
        <v>3716</v>
      </c>
      <c r="H1076" s="12" t="s">
        <v>755</v>
      </c>
      <c r="I1076" s="12" t="s">
        <v>756</v>
      </c>
      <c r="J1076" s="84">
        <v>41935</v>
      </c>
      <c r="K1076" s="84">
        <v>52893</v>
      </c>
      <c r="L1076" s="12" t="s">
        <v>293</v>
      </c>
      <c r="M1076" s="12" t="s">
        <v>1826</v>
      </c>
      <c r="N1076" s="75"/>
    </row>
    <row r="1077" spans="1:14">
      <c r="A1077" s="12">
        <v>1074</v>
      </c>
      <c r="B1077" s="12" t="s">
        <v>3717</v>
      </c>
      <c r="C1077" s="12" t="s">
        <v>752</v>
      </c>
      <c r="D1077" s="12" t="s">
        <v>3377</v>
      </c>
      <c r="E1077" s="85">
        <v>143.55000000000001</v>
      </c>
      <c r="F1077" s="6">
        <v>2872943</v>
      </c>
      <c r="G1077" s="12" t="s">
        <v>2529</v>
      </c>
      <c r="H1077" s="12" t="s">
        <v>755</v>
      </c>
      <c r="I1077" s="12" t="s">
        <v>756</v>
      </c>
      <c r="J1077" s="84">
        <v>41934</v>
      </c>
      <c r="K1077" s="84">
        <v>52892</v>
      </c>
      <c r="L1077" s="12" t="s">
        <v>274</v>
      </c>
      <c r="M1077" s="12" t="s">
        <v>275</v>
      </c>
      <c r="N1077" s="75"/>
    </row>
    <row r="1078" spans="1:14">
      <c r="A1078" s="12">
        <v>1075</v>
      </c>
      <c r="B1078" s="12" t="s">
        <v>3718</v>
      </c>
      <c r="C1078" s="12" t="s">
        <v>752</v>
      </c>
      <c r="D1078" s="12" t="s">
        <v>3377</v>
      </c>
      <c r="E1078" s="85">
        <v>78.33</v>
      </c>
      <c r="F1078" s="6">
        <v>5289173</v>
      </c>
      <c r="G1078" s="12" t="s">
        <v>3378</v>
      </c>
      <c r="H1078" s="12" t="s">
        <v>755</v>
      </c>
      <c r="I1078" s="12" t="s">
        <v>756</v>
      </c>
      <c r="J1078" s="84">
        <v>41934</v>
      </c>
      <c r="K1078" s="84">
        <v>52892</v>
      </c>
      <c r="L1078" s="12" t="s">
        <v>274</v>
      </c>
      <c r="M1078" s="12" t="s">
        <v>275</v>
      </c>
      <c r="N1078" s="75"/>
    </row>
    <row r="1079" spans="1:14">
      <c r="A1079" s="12">
        <v>1076</v>
      </c>
      <c r="B1079" s="12" t="s">
        <v>3719</v>
      </c>
      <c r="C1079" s="12" t="s">
        <v>752</v>
      </c>
      <c r="D1079" s="12" t="s">
        <v>3377</v>
      </c>
      <c r="E1079" s="85">
        <v>26.29</v>
      </c>
      <c r="F1079" s="6">
        <v>5289173</v>
      </c>
      <c r="G1079" s="12" t="s">
        <v>3378</v>
      </c>
      <c r="H1079" s="12" t="s">
        <v>755</v>
      </c>
      <c r="I1079" s="12" t="s">
        <v>756</v>
      </c>
      <c r="J1079" s="84">
        <v>41934</v>
      </c>
      <c r="K1079" s="84">
        <v>52892</v>
      </c>
      <c r="L1079" s="12" t="s">
        <v>274</v>
      </c>
      <c r="M1079" s="12" t="s">
        <v>275</v>
      </c>
      <c r="N1079" s="75"/>
    </row>
    <row r="1080" spans="1:14">
      <c r="A1080" s="12">
        <v>1077</v>
      </c>
      <c r="B1080" s="12" t="s">
        <v>3720</v>
      </c>
      <c r="C1080" s="12" t="s">
        <v>3341</v>
      </c>
      <c r="D1080" s="12" t="s">
        <v>3721</v>
      </c>
      <c r="E1080" s="85">
        <v>164.3</v>
      </c>
      <c r="F1080" s="6">
        <v>5109345</v>
      </c>
      <c r="G1080" s="12" t="s">
        <v>3722</v>
      </c>
      <c r="H1080" s="12" t="s">
        <v>755</v>
      </c>
      <c r="I1080" s="12" t="s">
        <v>756</v>
      </c>
      <c r="J1080" s="84">
        <v>41947</v>
      </c>
      <c r="K1080" s="84">
        <v>52905</v>
      </c>
      <c r="L1080" s="12" t="s">
        <v>205</v>
      </c>
      <c r="M1080" s="12" t="s">
        <v>3723</v>
      </c>
      <c r="N1080" s="75"/>
    </row>
    <row r="1081" spans="1:14">
      <c r="A1081" s="12">
        <v>1078</v>
      </c>
      <c r="B1081" s="12" t="s">
        <v>3724</v>
      </c>
      <c r="C1081" s="12" t="s">
        <v>3341</v>
      </c>
      <c r="D1081" s="12" t="s">
        <v>3725</v>
      </c>
      <c r="E1081" s="85">
        <v>804.04</v>
      </c>
      <c r="F1081" s="6">
        <v>5109345</v>
      </c>
      <c r="G1081" s="12" t="s">
        <v>3722</v>
      </c>
      <c r="H1081" s="12" t="s">
        <v>755</v>
      </c>
      <c r="I1081" s="12" t="s">
        <v>756</v>
      </c>
      <c r="J1081" s="84">
        <v>41947</v>
      </c>
      <c r="K1081" s="84">
        <v>52905</v>
      </c>
      <c r="L1081" s="12" t="s">
        <v>205</v>
      </c>
      <c r="M1081" s="12" t="s">
        <v>3218</v>
      </c>
      <c r="N1081" s="75"/>
    </row>
    <row r="1082" spans="1:14">
      <c r="A1082" s="12">
        <v>1079</v>
      </c>
      <c r="B1082" s="12" t="s">
        <v>3726</v>
      </c>
      <c r="C1082" s="12" t="s">
        <v>752</v>
      </c>
      <c r="D1082" s="12" t="s">
        <v>3727</v>
      </c>
      <c r="E1082" s="85">
        <v>25.39</v>
      </c>
      <c r="F1082" s="6">
        <v>5101468</v>
      </c>
      <c r="G1082" s="12" t="s">
        <v>3728</v>
      </c>
      <c r="H1082" s="12" t="s">
        <v>755</v>
      </c>
      <c r="I1082" s="12" t="s">
        <v>756</v>
      </c>
      <c r="J1082" s="84">
        <v>41950</v>
      </c>
      <c r="K1082" s="84">
        <v>52908</v>
      </c>
      <c r="L1082" s="12" t="s">
        <v>304</v>
      </c>
      <c r="M1082" s="12" t="s">
        <v>1634</v>
      </c>
      <c r="N1082" s="75"/>
    </row>
    <row r="1083" spans="1:14">
      <c r="A1083" s="12">
        <v>1080</v>
      </c>
      <c r="B1083" s="12" t="s">
        <v>3729</v>
      </c>
      <c r="C1083" s="12" t="s">
        <v>979</v>
      </c>
      <c r="D1083" s="12" t="s">
        <v>3730</v>
      </c>
      <c r="E1083" s="85">
        <v>3910.87</v>
      </c>
      <c r="F1083" s="6">
        <v>2708701</v>
      </c>
      <c r="G1083" s="12" t="s">
        <v>2354</v>
      </c>
      <c r="H1083" s="12" t="s">
        <v>766</v>
      </c>
      <c r="I1083" s="12" t="s">
        <v>767</v>
      </c>
      <c r="J1083" s="84">
        <v>41949</v>
      </c>
      <c r="K1083" s="84">
        <v>52907</v>
      </c>
      <c r="L1083" s="12" t="s">
        <v>1242</v>
      </c>
      <c r="M1083" s="12" t="s">
        <v>1516</v>
      </c>
      <c r="N1083" s="75"/>
    </row>
    <row r="1084" spans="1:14">
      <c r="A1084" s="12">
        <v>1081</v>
      </c>
      <c r="B1084" s="12" t="s">
        <v>3731</v>
      </c>
      <c r="C1084" s="12" t="s">
        <v>137</v>
      </c>
      <c r="D1084" s="12" t="s">
        <v>3732</v>
      </c>
      <c r="E1084" s="85">
        <v>2876.46</v>
      </c>
      <c r="F1084" s="6">
        <v>5084903</v>
      </c>
      <c r="G1084" s="12" t="s">
        <v>3733</v>
      </c>
      <c r="H1084" s="12" t="s">
        <v>755</v>
      </c>
      <c r="I1084" s="12" t="s">
        <v>756</v>
      </c>
      <c r="J1084" s="84">
        <v>41960</v>
      </c>
      <c r="K1084" s="84">
        <v>53527</v>
      </c>
      <c r="L1084" s="12" t="s">
        <v>138</v>
      </c>
      <c r="M1084" s="12" t="s">
        <v>3734</v>
      </c>
      <c r="N1084" s="75"/>
    </row>
    <row r="1085" spans="1:14">
      <c r="A1085" s="12">
        <v>1082</v>
      </c>
      <c r="B1085" s="12" t="s">
        <v>3735</v>
      </c>
      <c r="C1085" s="12" t="s">
        <v>122</v>
      </c>
      <c r="D1085" s="12" t="s">
        <v>3736</v>
      </c>
      <c r="E1085" s="85">
        <v>366.18</v>
      </c>
      <c r="F1085" s="6">
        <v>2063182</v>
      </c>
      <c r="G1085" s="12" t="s">
        <v>1848</v>
      </c>
      <c r="H1085" s="12" t="s">
        <v>755</v>
      </c>
      <c r="I1085" s="12" t="s">
        <v>756</v>
      </c>
      <c r="J1085" s="84">
        <v>42009</v>
      </c>
      <c r="K1085" s="84">
        <v>52967</v>
      </c>
      <c r="L1085" s="12" t="s">
        <v>836</v>
      </c>
      <c r="M1085" s="12" t="s">
        <v>1386</v>
      </c>
      <c r="N1085" s="75"/>
    </row>
    <row r="1086" spans="1:14">
      <c r="A1086" s="12">
        <v>1083</v>
      </c>
      <c r="B1086" s="12" t="s">
        <v>3737</v>
      </c>
      <c r="C1086" s="12" t="s">
        <v>221</v>
      </c>
      <c r="D1086" s="12" t="s">
        <v>3547</v>
      </c>
      <c r="E1086" s="85">
        <v>439.45</v>
      </c>
      <c r="F1086" s="6">
        <v>2848376</v>
      </c>
      <c r="G1086" s="12" t="s">
        <v>2253</v>
      </c>
      <c r="H1086" s="12" t="s">
        <v>755</v>
      </c>
      <c r="I1086" s="12" t="s">
        <v>756</v>
      </c>
      <c r="J1086" s="84">
        <v>42009</v>
      </c>
      <c r="K1086" s="84">
        <v>52967</v>
      </c>
      <c r="L1086" s="12" t="s">
        <v>170</v>
      </c>
      <c r="M1086" s="12" t="s">
        <v>811</v>
      </c>
      <c r="N1086" s="75"/>
    </row>
    <row r="1087" spans="1:14">
      <c r="A1087" s="12">
        <v>1084</v>
      </c>
      <c r="B1087" s="12" t="s">
        <v>3738</v>
      </c>
      <c r="C1087" s="12" t="s">
        <v>995</v>
      </c>
      <c r="D1087" s="12" t="s">
        <v>3739</v>
      </c>
      <c r="E1087" s="85">
        <v>114.09</v>
      </c>
      <c r="F1087" s="6">
        <v>2546485</v>
      </c>
      <c r="G1087" s="12" t="s">
        <v>2536</v>
      </c>
      <c r="H1087" s="12" t="s">
        <v>755</v>
      </c>
      <c r="I1087" s="12" t="s">
        <v>756</v>
      </c>
      <c r="J1087" s="84">
        <v>41985</v>
      </c>
      <c r="K1087" s="84">
        <v>52943</v>
      </c>
      <c r="L1087" s="12" t="s">
        <v>1077</v>
      </c>
      <c r="M1087" s="12" t="s">
        <v>3740</v>
      </c>
      <c r="N1087" s="75"/>
    </row>
    <row r="1088" spans="1:14">
      <c r="A1088" s="12">
        <v>1085</v>
      </c>
      <c r="B1088" s="12" t="s">
        <v>3741</v>
      </c>
      <c r="C1088" s="12" t="s">
        <v>122</v>
      </c>
      <c r="D1088" s="12" t="s">
        <v>3600</v>
      </c>
      <c r="E1088" s="85">
        <v>570.44000000000005</v>
      </c>
      <c r="F1088" s="6">
        <v>5097657</v>
      </c>
      <c r="G1088" s="12" t="s">
        <v>3601</v>
      </c>
      <c r="H1088" s="12" t="s">
        <v>755</v>
      </c>
      <c r="I1088" s="12" t="s">
        <v>756</v>
      </c>
      <c r="J1088" s="84">
        <v>41985</v>
      </c>
      <c r="K1088" s="84">
        <v>52943</v>
      </c>
      <c r="L1088" s="12" t="s">
        <v>1014</v>
      </c>
      <c r="M1088" s="12" t="s">
        <v>1132</v>
      </c>
      <c r="N1088" s="75"/>
    </row>
    <row r="1089" spans="1:14">
      <c r="A1089" s="12">
        <v>1086</v>
      </c>
      <c r="B1089" s="12" t="s">
        <v>3742</v>
      </c>
      <c r="C1089" s="12" t="s">
        <v>122</v>
      </c>
      <c r="D1089" s="12" t="s">
        <v>1934</v>
      </c>
      <c r="E1089" s="85">
        <v>675.46</v>
      </c>
      <c r="F1089" s="6">
        <v>5180945</v>
      </c>
      <c r="G1089" s="12" t="s">
        <v>3743</v>
      </c>
      <c r="H1089" s="12" t="s">
        <v>848</v>
      </c>
      <c r="I1089" s="12" t="s">
        <v>849</v>
      </c>
      <c r="J1089" s="84">
        <v>41985</v>
      </c>
      <c r="K1089" s="84">
        <v>52943</v>
      </c>
      <c r="L1089" s="12" t="s">
        <v>138</v>
      </c>
      <c r="M1089" s="12" t="s">
        <v>1806</v>
      </c>
      <c r="N1089" s="75"/>
    </row>
    <row r="1090" spans="1:14">
      <c r="A1090" s="12">
        <v>1087</v>
      </c>
      <c r="B1090" s="12" t="s">
        <v>3744</v>
      </c>
      <c r="C1090" s="12" t="s">
        <v>221</v>
      </c>
      <c r="D1090" s="12" t="s">
        <v>1516</v>
      </c>
      <c r="E1090" s="85">
        <v>542.21</v>
      </c>
      <c r="F1090" s="6">
        <v>5086353</v>
      </c>
      <c r="G1090" s="12" t="s">
        <v>3745</v>
      </c>
      <c r="H1090" s="12" t="s">
        <v>755</v>
      </c>
      <c r="I1090" s="12" t="s">
        <v>756</v>
      </c>
      <c r="J1090" s="84">
        <v>41990</v>
      </c>
      <c r="K1090" s="84">
        <v>52948</v>
      </c>
      <c r="L1090" s="12" t="s">
        <v>1014</v>
      </c>
      <c r="M1090" s="12" t="s">
        <v>3222</v>
      </c>
      <c r="N1090" s="75"/>
    </row>
    <row r="1091" spans="1:14">
      <c r="A1091" s="12">
        <v>1088</v>
      </c>
      <c r="B1091" s="12" t="s">
        <v>3746</v>
      </c>
      <c r="C1091" s="12" t="s">
        <v>212</v>
      </c>
      <c r="D1091" s="12" t="s">
        <v>3747</v>
      </c>
      <c r="E1091" s="85">
        <v>146.13</v>
      </c>
      <c r="F1091" s="6">
        <v>5303486</v>
      </c>
      <c r="G1091" s="12" t="s">
        <v>3748</v>
      </c>
      <c r="H1091" s="12" t="s">
        <v>755</v>
      </c>
      <c r="I1091" s="12" t="s">
        <v>756</v>
      </c>
      <c r="J1091" s="84">
        <v>41999</v>
      </c>
      <c r="K1091" s="84">
        <v>52957</v>
      </c>
      <c r="L1091" s="12" t="s">
        <v>170</v>
      </c>
      <c r="M1091" s="12" t="s">
        <v>3749</v>
      </c>
      <c r="N1091" s="75"/>
    </row>
    <row r="1092" spans="1:14">
      <c r="A1092" s="12">
        <v>1089</v>
      </c>
      <c r="B1092" s="12" t="s">
        <v>3750</v>
      </c>
      <c r="C1092" s="12" t="s">
        <v>122</v>
      </c>
      <c r="D1092" s="12" t="s">
        <v>3751</v>
      </c>
      <c r="E1092" s="85">
        <v>78.88</v>
      </c>
      <c r="F1092" s="6">
        <v>2662647</v>
      </c>
      <c r="G1092" s="12" t="s">
        <v>1235</v>
      </c>
      <c r="H1092" s="12" t="s">
        <v>766</v>
      </c>
      <c r="I1092" s="12" t="s">
        <v>767</v>
      </c>
      <c r="J1092" s="84">
        <v>42023</v>
      </c>
      <c r="K1092" s="84">
        <v>52981</v>
      </c>
      <c r="L1092" s="12" t="s">
        <v>782</v>
      </c>
      <c r="M1092" s="12" t="s">
        <v>1109</v>
      </c>
      <c r="N1092" s="75"/>
    </row>
    <row r="1093" spans="1:14">
      <c r="A1093" s="12">
        <v>1090</v>
      </c>
      <c r="B1093" s="12" t="s">
        <v>3752</v>
      </c>
      <c r="C1093" s="12" t="s">
        <v>221</v>
      </c>
      <c r="D1093" s="12" t="s">
        <v>1018</v>
      </c>
      <c r="E1093" s="85">
        <v>36.42</v>
      </c>
      <c r="F1093" s="6">
        <v>2075768</v>
      </c>
      <c r="G1093" s="12" t="s">
        <v>3753</v>
      </c>
      <c r="H1093" s="12" t="s">
        <v>914</v>
      </c>
      <c r="I1093" s="12" t="s">
        <v>756</v>
      </c>
      <c r="J1093" s="84">
        <v>42032</v>
      </c>
      <c r="K1093" s="84">
        <v>52990</v>
      </c>
      <c r="L1093" s="12" t="s">
        <v>274</v>
      </c>
      <c r="M1093" s="12" t="s">
        <v>874</v>
      </c>
      <c r="N1093" s="75"/>
    </row>
    <row r="1094" spans="1:14">
      <c r="A1094" s="12">
        <v>1091</v>
      </c>
      <c r="B1094" s="12" t="s">
        <v>3754</v>
      </c>
      <c r="C1094" s="12" t="s">
        <v>995</v>
      </c>
      <c r="D1094" s="12" t="s">
        <v>3755</v>
      </c>
      <c r="E1094" s="85">
        <v>196.2</v>
      </c>
      <c r="F1094" s="6">
        <v>5154766</v>
      </c>
      <c r="G1094" s="12" t="s">
        <v>3756</v>
      </c>
      <c r="H1094" s="12" t="s">
        <v>755</v>
      </c>
      <c r="I1094" s="12" t="s">
        <v>756</v>
      </c>
      <c r="J1094" s="84">
        <v>42034</v>
      </c>
      <c r="K1094" s="84">
        <v>52992</v>
      </c>
      <c r="L1094" s="12" t="s">
        <v>128</v>
      </c>
      <c r="M1094" s="12" t="s">
        <v>862</v>
      </c>
      <c r="N1094" s="75"/>
    </row>
    <row r="1095" spans="1:14">
      <c r="A1095" s="12">
        <v>1092</v>
      </c>
      <c r="B1095" s="12" t="s">
        <v>3757</v>
      </c>
      <c r="C1095" s="12" t="s">
        <v>881</v>
      </c>
      <c r="D1095" s="12" t="s">
        <v>3758</v>
      </c>
      <c r="E1095" s="85">
        <v>92.48</v>
      </c>
      <c r="F1095" s="6">
        <v>5184827</v>
      </c>
      <c r="G1095" s="12" t="s">
        <v>3759</v>
      </c>
      <c r="H1095" s="12" t="s">
        <v>755</v>
      </c>
      <c r="I1095" s="12" t="s">
        <v>756</v>
      </c>
      <c r="J1095" s="84">
        <v>42034</v>
      </c>
      <c r="K1095" s="84">
        <v>52992</v>
      </c>
      <c r="L1095" s="12" t="s">
        <v>128</v>
      </c>
      <c r="M1095" s="12" t="s">
        <v>129</v>
      </c>
      <c r="N1095" s="75"/>
    </row>
    <row r="1096" spans="1:14">
      <c r="A1096" s="12">
        <v>1093</v>
      </c>
      <c r="B1096" s="12" t="s">
        <v>3760</v>
      </c>
      <c r="C1096" s="12" t="s">
        <v>916</v>
      </c>
      <c r="D1096" s="12" t="s">
        <v>1855</v>
      </c>
      <c r="E1096" s="85">
        <v>88.36</v>
      </c>
      <c r="F1096" s="6">
        <v>5197554</v>
      </c>
      <c r="G1096" s="12" t="s">
        <v>1856</v>
      </c>
      <c r="H1096" s="12" t="s">
        <v>755</v>
      </c>
      <c r="I1096" s="12" t="s">
        <v>756</v>
      </c>
      <c r="J1096" s="84">
        <v>42048</v>
      </c>
      <c r="K1096" s="84">
        <v>53006</v>
      </c>
      <c r="L1096" s="12" t="s">
        <v>170</v>
      </c>
      <c r="M1096" s="12" t="s">
        <v>280</v>
      </c>
      <c r="N1096" s="75"/>
    </row>
    <row r="1097" spans="1:14">
      <c r="A1097" s="12">
        <v>1094</v>
      </c>
      <c r="B1097" s="12" t="s">
        <v>3761</v>
      </c>
      <c r="C1097" s="12" t="s">
        <v>886</v>
      </c>
      <c r="D1097" s="12" t="s">
        <v>3663</v>
      </c>
      <c r="E1097" s="85">
        <v>1822.18</v>
      </c>
      <c r="F1097" s="6">
        <v>5513766</v>
      </c>
      <c r="G1097" s="12" t="s">
        <v>3664</v>
      </c>
      <c r="H1097" s="12" t="s">
        <v>755</v>
      </c>
      <c r="I1097" s="12" t="s">
        <v>756</v>
      </c>
      <c r="J1097" s="84">
        <v>42051</v>
      </c>
      <c r="K1097" s="84">
        <v>53009</v>
      </c>
      <c r="L1097" s="12" t="s">
        <v>1102</v>
      </c>
      <c r="M1097" s="12" t="s">
        <v>3357</v>
      </c>
      <c r="N1097" s="75"/>
    </row>
    <row r="1098" spans="1:14">
      <c r="A1098" s="12">
        <v>1095</v>
      </c>
      <c r="B1098" s="12" t="s">
        <v>3762</v>
      </c>
      <c r="C1098" s="12" t="s">
        <v>122</v>
      </c>
      <c r="D1098" s="12" t="s">
        <v>2321</v>
      </c>
      <c r="E1098" s="85">
        <v>3071.14</v>
      </c>
      <c r="F1098" s="6">
        <v>5152542</v>
      </c>
      <c r="G1098" s="12" t="s">
        <v>2613</v>
      </c>
      <c r="H1098" s="12" t="s">
        <v>755</v>
      </c>
      <c r="I1098" s="12" t="s">
        <v>756</v>
      </c>
      <c r="J1098" s="84">
        <v>42074</v>
      </c>
      <c r="K1098" s="84">
        <v>53032</v>
      </c>
      <c r="L1098" s="12" t="s">
        <v>274</v>
      </c>
      <c r="M1098" s="12" t="s">
        <v>874</v>
      </c>
      <c r="N1098" s="75"/>
    </row>
    <row r="1099" spans="1:14">
      <c r="A1099" s="12">
        <v>1096</v>
      </c>
      <c r="B1099" s="12" t="s">
        <v>3763</v>
      </c>
      <c r="C1099" s="12" t="s">
        <v>122</v>
      </c>
      <c r="D1099" s="12" t="s">
        <v>3764</v>
      </c>
      <c r="E1099" s="85">
        <v>1869.22</v>
      </c>
      <c r="F1099" s="6">
        <v>5152542</v>
      </c>
      <c r="G1099" s="12" t="s">
        <v>2613</v>
      </c>
      <c r="H1099" s="12" t="s">
        <v>755</v>
      </c>
      <c r="I1099" s="12" t="s">
        <v>756</v>
      </c>
      <c r="J1099" s="84">
        <v>42074</v>
      </c>
      <c r="K1099" s="84">
        <v>53032</v>
      </c>
      <c r="L1099" s="12" t="s">
        <v>274</v>
      </c>
      <c r="M1099" s="12" t="s">
        <v>874</v>
      </c>
      <c r="N1099" s="75"/>
    </row>
    <row r="1100" spans="1:14">
      <c r="A1100" s="12">
        <v>1097</v>
      </c>
      <c r="B1100" s="12" t="s">
        <v>3765</v>
      </c>
      <c r="C1100" s="12" t="s">
        <v>221</v>
      </c>
      <c r="D1100" s="12" t="s">
        <v>3766</v>
      </c>
      <c r="E1100" s="85">
        <v>2238.34</v>
      </c>
      <c r="F1100" s="6">
        <v>5191823</v>
      </c>
      <c r="G1100" s="12" t="s">
        <v>3767</v>
      </c>
      <c r="H1100" s="12" t="s">
        <v>914</v>
      </c>
      <c r="I1100" s="12" t="s">
        <v>756</v>
      </c>
      <c r="J1100" s="84">
        <v>42076</v>
      </c>
      <c r="K1100" s="84">
        <v>53034</v>
      </c>
      <c r="L1100" s="12" t="s">
        <v>170</v>
      </c>
      <c r="M1100" s="12" t="s">
        <v>171</v>
      </c>
      <c r="N1100" s="75"/>
    </row>
    <row r="1101" spans="1:14">
      <c r="A1101" s="12">
        <v>1098</v>
      </c>
      <c r="B1101" s="12" t="s">
        <v>3768</v>
      </c>
      <c r="C1101" s="12" t="s">
        <v>212</v>
      </c>
      <c r="D1101" s="12" t="s">
        <v>3769</v>
      </c>
      <c r="E1101" s="85">
        <v>246.36</v>
      </c>
      <c r="F1101" s="6">
        <v>5265789</v>
      </c>
      <c r="G1101" s="12" t="s">
        <v>3770</v>
      </c>
      <c r="H1101" s="12" t="s">
        <v>848</v>
      </c>
      <c r="I1101" s="12" t="s">
        <v>849</v>
      </c>
      <c r="J1101" s="84">
        <v>42079</v>
      </c>
      <c r="K1101" s="84">
        <v>53037</v>
      </c>
      <c r="L1101" s="12" t="s">
        <v>233</v>
      </c>
      <c r="M1101" s="12" t="s">
        <v>2563</v>
      </c>
      <c r="N1101" s="75"/>
    </row>
    <row r="1102" spans="1:14">
      <c r="A1102" s="12">
        <v>1099</v>
      </c>
      <c r="B1102" s="12" t="s">
        <v>3771</v>
      </c>
      <c r="C1102" s="12" t="s">
        <v>979</v>
      </c>
      <c r="D1102" s="12" t="s">
        <v>3772</v>
      </c>
      <c r="E1102" s="85">
        <v>2096.29</v>
      </c>
      <c r="F1102" s="6">
        <v>5923581</v>
      </c>
      <c r="G1102" s="12" t="s">
        <v>3773</v>
      </c>
      <c r="H1102" s="12" t="s">
        <v>755</v>
      </c>
      <c r="I1102" s="12" t="s">
        <v>756</v>
      </c>
      <c r="J1102" s="84">
        <v>42082</v>
      </c>
      <c r="K1102" s="84">
        <v>53040</v>
      </c>
      <c r="L1102" s="12" t="s">
        <v>288</v>
      </c>
      <c r="M1102" s="12" t="s">
        <v>3774</v>
      </c>
      <c r="N1102" s="75"/>
    </row>
    <row r="1103" spans="1:14">
      <c r="A1103" s="12">
        <v>1100</v>
      </c>
      <c r="B1103" s="12" t="s">
        <v>3775</v>
      </c>
      <c r="C1103" s="12" t="s">
        <v>122</v>
      </c>
      <c r="D1103" s="12" t="s">
        <v>3776</v>
      </c>
      <c r="E1103" s="85">
        <v>733.28</v>
      </c>
      <c r="F1103" s="6">
        <v>2807459</v>
      </c>
      <c r="G1103" s="12" t="s">
        <v>3777</v>
      </c>
      <c r="H1103" s="12" t="s">
        <v>755</v>
      </c>
      <c r="I1103" s="12" t="s">
        <v>756</v>
      </c>
      <c r="J1103" s="84">
        <v>42088</v>
      </c>
      <c r="K1103" s="84">
        <v>53046</v>
      </c>
      <c r="L1103" s="12" t="s">
        <v>1102</v>
      </c>
      <c r="M1103" s="12" t="s">
        <v>1103</v>
      </c>
      <c r="N1103" s="75"/>
    </row>
    <row r="1104" spans="1:14">
      <c r="A1104" s="12">
        <v>1101</v>
      </c>
      <c r="B1104" s="12" t="s">
        <v>3778</v>
      </c>
      <c r="C1104" s="12" t="s">
        <v>122</v>
      </c>
      <c r="D1104" s="12" t="s">
        <v>3779</v>
      </c>
      <c r="E1104" s="85">
        <v>353.39</v>
      </c>
      <c r="F1104" s="6">
        <v>2807459</v>
      </c>
      <c r="G1104" s="12" t="s">
        <v>3777</v>
      </c>
      <c r="H1104" s="12" t="s">
        <v>755</v>
      </c>
      <c r="I1104" s="12" t="s">
        <v>756</v>
      </c>
      <c r="J1104" s="84">
        <v>42088</v>
      </c>
      <c r="K1104" s="84">
        <v>53046</v>
      </c>
      <c r="L1104" s="12" t="s">
        <v>1102</v>
      </c>
      <c r="M1104" s="12" t="s">
        <v>1103</v>
      </c>
      <c r="N1104" s="75"/>
    </row>
    <row r="1105" spans="1:14">
      <c r="A1105" s="12">
        <v>1102</v>
      </c>
      <c r="B1105" s="12" t="s">
        <v>3780</v>
      </c>
      <c r="C1105" s="12" t="s">
        <v>1506</v>
      </c>
      <c r="D1105" s="12" t="s">
        <v>3781</v>
      </c>
      <c r="E1105" s="85">
        <v>4701.55</v>
      </c>
      <c r="F1105" s="6">
        <v>5005094</v>
      </c>
      <c r="G1105" s="12" t="s">
        <v>1143</v>
      </c>
      <c r="H1105" s="12" t="s">
        <v>755</v>
      </c>
      <c r="I1105" s="12" t="s">
        <v>756</v>
      </c>
      <c r="J1105" s="84">
        <v>42093</v>
      </c>
      <c r="K1105" s="84">
        <v>53051</v>
      </c>
      <c r="L1105" s="12" t="s">
        <v>163</v>
      </c>
      <c r="M1105" s="12" t="s">
        <v>3782</v>
      </c>
      <c r="N1105" s="75"/>
    </row>
    <row r="1106" spans="1:14">
      <c r="A1106" s="12">
        <v>1103</v>
      </c>
      <c r="B1106" s="12" t="s">
        <v>3783</v>
      </c>
      <c r="C1106" s="12" t="s">
        <v>2922</v>
      </c>
      <c r="D1106" s="12" t="s">
        <v>2923</v>
      </c>
      <c r="E1106" s="85">
        <v>182.86</v>
      </c>
      <c r="F1106" s="6">
        <v>5554535</v>
      </c>
      <c r="G1106" s="12" t="s">
        <v>3784</v>
      </c>
      <c r="H1106" s="12" t="s">
        <v>755</v>
      </c>
      <c r="I1106" s="12" t="s">
        <v>756</v>
      </c>
      <c r="J1106" s="84">
        <v>42095</v>
      </c>
      <c r="K1106" s="84">
        <v>53053</v>
      </c>
      <c r="L1106" s="12" t="s">
        <v>128</v>
      </c>
      <c r="M1106" s="12" t="s">
        <v>2925</v>
      </c>
      <c r="N1106" s="75"/>
    </row>
    <row r="1107" spans="1:14">
      <c r="A1107" s="12">
        <v>1104</v>
      </c>
      <c r="B1107" s="12" t="s">
        <v>3785</v>
      </c>
      <c r="C1107" s="12" t="s">
        <v>122</v>
      </c>
      <c r="D1107" s="12" t="s">
        <v>3786</v>
      </c>
      <c r="E1107" s="85">
        <v>2166.9</v>
      </c>
      <c r="F1107" s="6">
        <v>5192269</v>
      </c>
      <c r="G1107" s="12" t="s">
        <v>3787</v>
      </c>
      <c r="H1107" s="12" t="s">
        <v>766</v>
      </c>
      <c r="I1107" s="12" t="s">
        <v>767</v>
      </c>
      <c r="J1107" s="84">
        <v>42104</v>
      </c>
      <c r="K1107" s="84">
        <v>53062</v>
      </c>
      <c r="L1107" s="12" t="s">
        <v>170</v>
      </c>
      <c r="M1107" s="12" t="s">
        <v>171</v>
      </c>
      <c r="N1107" s="75"/>
    </row>
    <row r="1108" spans="1:14">
      <c r="A1108" s="12">
        <v>1105</v>
      </c>
      <c r="B1108" s="12" t="s">
        <v>3788</v>
      </c>
      <c r="C1108" s="12" t="s">
        <v>122</v>
      </c>
      <c r="D1108" s="12" t="s">
        <v>3789</v>
      </c>
      <c r="E1108" s="85">
        <v>791.85</v>
      </c>
      <c r="F1108" s="6">
        <v>5155827</v>
      </c>
      <c r="G1108" s="12" t="s">
        <v>2235</v>
      </c>
      <c r="H1108" s="12" t="s">
        <v>755</v>
      </c>
      <c r="I1108" s="12" t="s">
        <v>756</v>
      </c>
      <c r="J1108" s="84">
        <v>42104</v>
      </c>
      <c r="K1108" s="84">
        <v>53062</v>
      </c>
      <c r="L1108" s="12" t="s">
        <v>274</v>
      </c>
      <c r="M1108" s="12" t="s">
        <v>2759</v>
      </c>
      <c r="N1108" s="75"/>
    </row>
    <row r="1109" spans="1:14">
      <c r="A1109" s="12">
        <v>1106</v>
      </c>
      <c r="B1109" s="12" t="s">
        <v>3790</v>
      </c>
      <c r="C1109" s="12" t="s">
        <v>122</v>
      </c>
      <c r="D1109" s="12" t="s">
        <v>1084</v>
      </c>
      <c r="E1109" s="85">
        <v>877.04</v>
      </c>
      <c r="F1109" s="6">
        <v>3428052</v>
      </c>
      <c r="G1109" s="12" t="s">
        <v>1907</v>
      </c>
      <c r="H1109" s="12" t="s">
        <v>755</v>
      </c>
      <c r="I1109" s="12" t="s">
        <v>756</v>
      </c>
      <c r="J1109" s="84">
        <v>42104</v>
      </c>
      <c r="K1109" s="84">
        <v>53062</v>
      </c>
      <c r="L1109" s="12" t="s">
        <v>375</v>
      </c>
      <c r="M1109" s="12" t="s">
        <v>1085</v>
      </c>
      <c r="N1109" s="75"/>
    </row>
    <row r="1110" spans="1:14">
      <c r="A1110" s="12">
        <v>1107</v>
      </c>
      <c r="B1110" s="12" t="s">
        <v>3791</v>
      </c>
      <c r="C1110" s="12" t="s">
        <v>137</v>
      </c>
      <c r="D1110" s="12" t="s">
        <v>3792</v>
      </c>
      <c r="E1110" s="85">
        <v>104.37</v>
      </c>
      <c r="F1110" s="6">
        <v>5452503</v>
      </c>
      <c r="G1110" s="12" t="s">
        <v>2797</v>
      </c>
      <c r="H1110" s="12" t="s">
        <v>766</v>
      </c>
      <c r="I1110" s="12" t="s">
        <v>767</v>
      </c>
      <c r="J1110" s="84">
        <v>42103</v>
      </c>
      <c r="K1110" s="84">
        <v>53061</v>
      </c>
      <c r="L1110" s="12" t="s">
        <v>138</v>
      </c>
      <c r="M1110" s="12" t="s">
        <v>3793</v>
      </c>
      <c r="N1110" s="75"/>
    </row>
    <row r="1111" spans="1:14">
      <c r="A1111" s="12">
        <v>1108</v>
      </c>
      <c r="B1111" s="12" t="s">
        <v>3794</v>
      </c>
      <c r="C1111" s="12" t="s">
        <v>122</v>
      </c>
      <c r="D1111" s="12" t="s">
        <v>3311</v>
      </c>
      <c r="E1111" s="85">
        <v>1682.48</v>
      </c>
      <c r="F1111" s="6">
        <v>5522935</v>
      </c>
      <c r="G1111" s="12" t="s">
        <v>3312</v>
      </c>
      <c r="H1111" s="12" t="s">
        <v>848</v>
      </c>
      <c r="I1111" s="12" t="s">
        <v>849</v>
      </c>
      <c r="J1111" s="84">
        <v>42109</v>
      </c>
      <c r="K1111" s="84">
        <v>53067</v>
      </c>
      <c r="L1111" s="12" t="s">
        <v>170</v>
      </c>
      <c r="M1111" s="12" t="s">
        <v>1738</v>
      </c>
      <c r="N1111" s="75"/>
    </row>
    <row r="1112" spans="1:14">
      <c r="A1112" s="12">
        <v>1109</v>
      </c>
      <c r="B1112" s="12" t="s">
        <v>3795</v>
      </c>
      <c r="C1112" s="12" t="s">
        <v>221</v>
      </c>
      <c r="D1112" s="12" t="s">
        <v>775</v>
      </c>
      <c r="E1112" s="85">
        <v>312.88</v>
      </c>
      <c r="F1112" s="6">
        <v>5105625</v>
      </c>
      <c r="G1112" s="12" t="s">
        <v>3796</v>
      </c>
      <c r="H1112" s="12" t="s">
        <v>755</v>
      </c>
      <c r="I1112" s="12" t="s">
        <v>756</v>
      </c>
      <c r="J1112" s="84">
        <v>42110</v>
      </c>
      <c r="K1112" s="84">
        <v>53068</v>
      </c>
      <c r="L1112" s="12" t="s">
        <v>170</v>
      </c>
      <c r="M1112" s="12" t="s">
        <v>171</v>
      </c>
      <c r="N1112" s="75"/>
    </row>
    <row r="1113" spans="1:14">
      <c r="A1113" s="12">
        <v>1110</v>
      </c>
      <c r="B1113" s="12" t="s">
        <v>3797</v>
      </c>
      <c r="C1113" s="12" t="s">
        <v>137</v>
      </c>
      <c r="D1113" s="12" t="s">
        <v>3798</v>
      </c>
      <c r="E1113" s="85">
        <v>41.8</v>
      </c>
      <c r="F1113" s="6">
        <v>4248201</v>
      </c>
      <c r="G1113" s="12" t="s">
        <v>3799</v>
      </c>
      <c r="H1113" s="12" t="s">
        <v>755</v>
      </c>
      <c r="I1113" s="12" t="s">
        <v>756</v>
      </c>
      <c r="J1113" s="84">
        <v>42135</v>
      </c>
      <c r="K1113" s="84">
        <v>53093</v>
      </c>
      <c r="L1113" s="12" t="s">
        <v>180</v>
      </c>
      <c r="M1113" s="12" t="s">
        <v>927</v>
      </c>
      <c r="N1113" s="75"/>
    </row>
    <row r="1114" spans="1:14">
      <c r="A1114" s="12">
        <v>1111</v>
      </c>
      <c r="B1114" s="12" t="s">
        <v>3800</v>
      </c>
      <c r="C1114" s="12" t="s">
        <v>752</v>
      </c>
      <c r="D1114" s="12" t="s">
        <v>3801</v>
      </c>
      <c r="E1114" s="85">
        <v>110.97</v>
      </c>
      <c r="F1114" s="6">
        <v>5099854</v>
      </c>
      <c r="G1114" s="12" t="s">
        <v>3802</v>
      </c>
      <c r="H1114" s="12" t="s">
        <v>755</v>
      </c>
      <c r="I1114" s="12" t="s">
        <v>756</v>
      </c>
      <c r="J1114" s="84">
        <v>39584</v>
      </c>
      <c r="K1114" s="84">
        <v>53098</v>
      </c>
      <c r="L1114" s="12" t="s">
        <v>163</v>
      </c>
      <c r="M1114" s="12" t="s">
        <v>948</v>
      </c>
      <c r="N1114" s="75"/>
    </row>
    <row r="1115" spans="1:14">
      <c r="A1115" s="12">
        <v>1112</v>
      </c>
      <c r="B1115" s="12" t="s">
        <v>3803</v>
      </c>
      <c r="C1115" s="12" t="s">
        <v>122</v>
      </c>
      <c r="D1115" s="12" t="s">
        <v>3804</v>
      </c>
      <c r="E1115" s="85">
        <v>4629.91</v>
      </c>
      <c r="F1115" s="6">
        <v>8337098</v>
      </c>
      <c r="G1115" s="12" t="s">
        <v>3805</v>
      </c>
      <c r="H1115" s="12" t="s">
        <v>755</v>
      </c>
      <c r="I1115" s="12" t="s">
        <v>756</v>
      </c>
      <c r="J1115" s="84">
        <v>42145</v>
      </c>
      <c r="K1115" s="84">
        <v>53103</v>
      </c>
      <c r="L1115" s="12" t="s">
        <v>170</v>
      </c>
      <c r="M1115" s="12" t="s">
        <v>1738</v>
      </c>
      <c r="N1115" s="75"/>
    </row>
    <row r="1116" spans="1:14">
      <c r="A1116" s="12">
        <v>1113</v>
      </c>
      <c r="B1116" s="12" t="s">
        <v>3806</v>
      </c>
      <c r="C1116" s="12" t="s">
        <v>979</v>
      </c>
      <c r="D1116" s="12" t="s">
        <v>3807</v>
      </c>
      <c r="E1116" s="85">
        <v>1529.48</v>
      </c>
      <c r="F1116" s="6">
        <v>5440351</v>
      </c>
      <c r="G1116" s="12" t="s">
        <v>3808</v>
      </c>
      <c r="H1116" s="12" t="s">
        <v>755</v>
      </c>
      <c r="I1116" s="12" t="s">
        <v>756</v>
      </c>
      <c r="J1116" s="84">
        <v>42152</v>
      </c>
      <c r="K1116" s="84">
        <v>53110</v>
      </c>
      <c r="L1116" s="12" t="s">
        <v>233</v>
      </c>
      <c r="M1116" s="12" t="s">
        <v>234</v>
      </c>
      <c r="N1116" s="75"/>
    </row>
    <row r="1117" spans="1:14">
      <c r="A1117" s="12">
        <v>1114</v>
      </c>
      <c r="B1117" s="12" t="s">
        <v>3809</v>
      </c>
      <c r="C1117" s="12" t="s">
        <v>1879</v>
      </c>
      <c r="D1117" s="12" t="s">
        <v>3810</v>
      </c>
      <c r="E1117" s="85">
        <v>230.12</v>
      </c>
      <c r="F1117" s="6">
        <v>2742039</v>
      </c>
      <c r="G1117" s="12" t="s">
        <v>3811</v>
      </c>
      <c r="H1117" s="12" t="s">
        <v>755</v>
      </c>
      <c r="I1117" s="12" t="s">
        <v>756</v>
      </c>
      <c r="J1117" s="84">
        <v>42153</v>
      </c>
      <c r="K1117" s="84">
        <v>53111</v>
      </c>
      <c r="L1117" s="12" t="s">
        <v>170</v>
      </c>
      <c r="M1117" s="12" t="s">
        <v>807</v>
      </c>
      <c r="N1117" s="75"/>
    </row>
    <row r="1118" spans="1:14">
      <c r="A1118" s="12">
        <v>1115</v>
      </c>
      <c r="B1118" s="12" t="s">
        <v>3812</v>
      </c>
      <c r="C1118" s="12" t="s">
        <v>1035</v>
      </c>
      <c r="D1118" s="12" t="s">
        <v>3813</v>
      </c>
      <c r="E1118" s="85">
        <v>856.84</v>
      </c>
      <c r="F1118" s="6">
        <v>5074223</v>
      </c>
      <c r="G1118" s="12" t="s">
        <v>3814</v>
      </c>
      <c r="H1118" s="12" t="s">
        <v>755</v>
      </c>
      <c r="I1118" s="12" t="s">
        <v>756</v>
      </c>
      <c r="J1118" s="84">
        <v>42157</v>
      </c>
      <c r="K1118" s="84">
        <v>53115</v>
      </c>
      <c r="L1118" s="12" t="s">
        <v>170</v>
      </c>
      <c r="M1118" s="12" t="s">
        <v>171</v>
      </c>
      <c r="N1118" s="75"/>
    </row>
    <row r="1119" spans="1:14">
      <c r="A1119" s="12">
        <v>1116</v>
      </c>
      <c r="B1119" s="12" t="s">
        <v>3815</v>
      </c>
      <c r="C1119" s="12" t="s">
        <v>147</v>
      </c>
      <c r="D1119" s="12" t="s">
        <v>3816</v>
      </c>
      <c r="E1119" s="85">
        <v>7260.73</v>
      </c>
      <c r="F1119" s="6">
        <v>2550466</v>
      </c>
      <c r="G1119" s="12" t="s">
        <v>801</v>
      </c>
      <c r="H1119" s="12" t="s">
        <v>761</v>
      </c>
      <c r="I1119" s="12" t="s">
        <v>756</v>
      </c>
      <c r="J1119" s="84">
        <v>42163</v>
      </c>
      <c r="K1119" s="84">
        <v>53121</v>
      </c>
      <c r="L1119" s="12" t="s">
        <v>782</v>
      </c>
      <c r="M1119" s="12" t="s">
        <v>2429</v>
      </c>
      <c r="N1119" s="75"/>
    </row>
    <row r="1120" spans="1:14">
      <c r="A1120" s="12">
        <v>1117</v>
      </c>
      <c r="B1120" s="12" t="s">
        <v>3817</v>
      </c>
      <c r="C1120" s="12" t="s">
        <v>158</v>
      </c>
      <c r="D1120" s="12" t="s">
        <v>3818</v>
      </c>
      <c r="E1120" s="85">
        <v>2464.9299999999998</v>
      </c>
      <c r="F1120" s="6">
        <v>5502977</v>
      </c>
      <c r="G1120" s="12" t="s">
        <v>3819</v>
      </c>
      <c r="H1120" s="12" t="s">
        <v>755</v>
      </c>
      <c r="I1120" s="12" t="s">
        <v>756</v>
      </c>
      <c r="J1120" s="84">
        <v>42167</v>
      </c>
      <c r="K1120" s="84">
        <v>49472</v>
      </c>
      <c r="L1120" s="12" t="s">
        <v>170</v>
      </c>
      <c r="M1120" s="12" t="s">
        <v>924</v>
      </c>
      <c r="N1120" s="75"/>
    </row>
    <row r="1121" spans="1:14">
      <c r="A1121" s="12">
        <v>1118</v>
      </c>
      <c r="B1121" s="12" t="s">
        <v>3820</v>
      </c>
      <c r="C1121" s="12" t="s">
        <v>158</v>
      </c>
      <c r="D1121" s="12" t="s">
        <v>3821</v>
      </c>
      <c r="E1121" s="85">
        <v>18213.580000000002</v>
      </c>
      <c r="F1121" s="6">
        <v>5502977</v>
      </c>
      <c r="G1121" s="12" t="s">
        <v>3819</v>
      </c>
      <c r="H1121" s="12" t="s">
        <v>755</v>
      </c>
      <c r="I1121" s="12" t="s">
        <v>756</v>
      </c>
      <c r="J1121" s="84">
        <v>42167</v>
      </c>
      <c r="K1121" s="84">
        <v>49472</v>
      </c>
      <c r="L1121" s="12" t="s">
        <v>170</v>
      </c>
      <c r="M1121" s="12" t="s">
        <v>924</v>
      </c>
      <c r="N1121" s="75"/>
    </row>
    <row r="1122" spans="1:14">
      <c r="A1122" s="12">
        <v>1119</v>
      </c>
      <c r="B1122" s="12" t="s">
        <v>3822</v>
      </c>
      <c r="C1122" s="12" t="s">
        <v>158</v>
      </c>
      <c r="D1122" s="12" t="s">
        <v>3823</v>
      </c>
      <c r="E1122" s="85">
        <v>27697.26</v>
      </c>
      <c r="F1122" s="6">
        <v>5502977</v>
      </c>
      <c r="G1122" s="12" t="s">
        <v>3819</v>
      </c>
      <c r="H1122" s="12" t="s">
        <v>755</v>
      </c>
      <c r="I1122" s="12" t="s">
        <v>756</v>
      </c>
      <c r="J1122" s="84">
        <v>42167</v>
      </c>
      <c r="K1122" s="84">
        <v>49472</v>
      </c>
      <c r="L1122" s="12" t="s">
        <v>170</v>
      </c>
      <c r="M1122" s="12" t="s">
        <v>924</v>
      </c>
      <c r="N1122" s="75"/>
    </row>
    <row r="1123" spans="1:14">
      <c r="A1123" s="12">
        <v>1120</v>
      </c>
      <c r="B1123" s="12" t="s">
        <v>3824</v>
      </c>
      <c r="C1123" s="12" t="s">
        <v>979</v>
      </c>
      <c r="D1123" s="12" t="s">
        <v>3825</v>
      </c>
      <c r="E1123" s="85">
        <v>2354.8200000000002</v>
      </c>
      <c r="F1123" s="6">
        <v>2715619</v>
      </c>
      <c r="G1123" s="12" t="s">
        <v>3826</v>
      </c>
      <c r="H1123" s="12" t="s">
        <v>766</v>
      </c>
      <c r="I1123" s="12" t="s">
        <v>767</v>
      </c>
      <c r="J1123" s="84">
        <v>42171</v>
      </c>
      <c r="K1123" s="84">
        <v>53129</v>
      </c>
      <c r="L1123" s="12" t="s">
        <v>274</v>
      </c>
      <c r="M1123" s="12" t="s">
        <v>2184</v>
      </c>
      <c r="N1123" s="75"/>
    </row>
    <row r="1124" spans="1:14">
      <c r="A1124" s="12">
        <v>1121</v>
      </c>
      <c r="B1124" s="12" t="s">
        <v>3827</v>
      </c>
      <c r="C1124" s="12" t="s">
        <v>137</v>
      </c>
      <c r="D1124" s="12" t="s">
        <v>3828</v>
      </c>
      <c r="E1124" s="85">
        <v>3480.7</v>
      </c>
      <c r="F1124" s="6">
        <v>5413877</v>
      </c>
      <c r="G1124" s="12" t="s">
        <v>3829</v>
      </c>
      <c r="H1124" s="12" t="s">
        <v>755</v>
      </c>
      <c r="I1124" s="12" t="s">
        <v>756</v>
      </c>
      <c r="J1124" s="84">
        <v>42174</v>
      </c>
      <c r="K1124" s="84">
        <v>53132</v>
      </c>
      <c r="L1124" s="12" t="s">
        <v>304</v>
      </c>
      <c r="M1124" s="12" t="s">
        <v>773</v>
      </c>
      <c r="N1124" s="75"/>
    </row>
    <row r="1125" spans="1:14">
      <c r="A1125" s="12">
        <v>1122</v>
      </c>
      <c r="B1125" s="12" t="s">
        <v>3830</v>
      </c>
      <c r="C1125" s="12" t="s">
        <v>212</v>
      </c>
      <c r="D1125" s="12" t="s">
        <v>3831</v>
      </c>
      <c r="E1125" s="85">
        <v>28.07</v>
      </c>
      <c r="F1125" s="6">
        <v>2714809</v>
      </c>
      <c r="G1125" s="12" t="s">
        <v>3832</v>
      </c>
      <c r="H1125" s="12" t="s">
        <v>755</v>
      </c>
      <c r="I1125" s="12" t="s">
        <v>756</v>
      </c>
      <c r="J1125" s="84">
        <v>42177</v>
      </c>
      <c r="K1125" s="84">
        <v>53135</v>
      </c>
      <c r="L1125" s="12" t="s">
        <v>293</v>
      </c>
      <c r="M1125" s="12" t="s">
        <v>827</v>
      </c>
      <c r="N1125" s="75"/>
    </row>
    <row r="1126" spans="1:14">
      <c r="A1126" s="12">
        <v>1123</v>
      </c>
      <c r="B1126" s="12" t="s">
        <v>3833</v>
      </c>
      <c r="C1126" s="12" t="s">
        <v>122</v>
      </c>
      <c r="D1126" s="12" t="s">
        <v>3834</v>
      </c>
      <c r="E1126" s="85">
        <v>3667.04</v>
      </c>
      <c r="F1126" s="6">
        <v>6123317</v>
      </c>
      <c r="G1126" s="12" t="s">
        <v>3835</v>
      </c>
      <c r="H1126" s="12" t="s">
        <v>755</v>
      </c>
      <c r="I1126" s="12" t="s">
        <v>756</v>
      </c>
      <c r="J1126" s="84">
        <v>42187</v>
      </c>
      <c r="K1126" s="84">
        <v>53145</v>
      </c>
      <c r="L1126" s="12" t="s">
        <v>233</v>
      </c>
      <c r="M1126" s="12" t="s">
        <v>933</v>
      </c>
      <c r="N1126" s="75"/>
    </row>
    <row r="1127" spans="1:14">
      <c r="A1127" s="12">
        <v>1124</v>
      </c>
      <c r="B1127" s="12" t="s">
        <v>3836</v>
      </c>
      <c r="C1127" s="12" t="s">
        <v>221</v>
      </c>
      <c r="D1127" s="12" t="s">
        <v>2419</v>
      </c>
      <c r="E1127" s="85">
        <v>25.13</v>
      </c>
      <c r="F1127" s="6">
        <v>5106567</v>
      </c>
      <c r="G1127" s="12" t="s">
        <v>2420</v>
      </c>
      <c r="H1127" s="12" t="s">
        <v>755</v>
      </c>
      <c r="I1127" s="12" t="s">
        <v>756</v>
      </c>
      <c r="J1127" s="84">
        <v>39581</v>
      </c>
      <c r="K1127" s="84">
        <v>50538</v>
      </c>
      <c r="L1127" s="12" t="s">
        <v>170</v>
      </c>
      <c r="M1127" s="12" t="s">
        <v>811</v>
      </c>
      <c r="N1127" s="75"/>
    </row>
    <row r="1128" spans="1:14">
      <c r="A1128" s="12">
        <v>1125</v>
      </c>
      <c r="B1128" s="12" t="s">
        <v>3837</v>
      </c>
      <c r="C1128" s="12" t="s">
        <v>212</v>
      </c>
      <c r="D1128" s="12" t="s">
        <v>1476</v>
      </c>
      <c r="E1128" s="85">
        <v>500.01</v>
      </c>
      <c r="F1128" s="6">
        <v>5226902</v>
      </c>
      <c r="G1128" s="12" t="s">
        <v>3838</v>
      </c>
      <c r="H1128" s="12" t="s">
        <v>755</v>
      </c>
      <c r="I1128" s="12" t="s">
        <v>756</v>
      </c>
      <c r="J1128" s="84">
        <v>42186</v>
      </c>
      <c r="K1128" s="84">
        <v>53144</v>
      </c>
      <c r="L1128" s="12" t="s">
        <v>170</v>
      </c>
      <c r="M1128" s="12" t="s">
        <v>171</v>
      </c>
      <c r="N1128" s="75"/>
    </row>
    <row r="1129" spans="1:14">
      <c r="A1129" s="12">
        <v>1126</v>
      </c>
      <c r="B1129" s="12" t="s">
        <v>3839</v>
      </c>
      <c r="C1129" s="12" t="s">
        <v>3840</v>
      </c>
      <c r="D1129" s="12" t="s">
        <v>3259</v>
      </c>
      <c r="E1129" s="85">
        <v>1304.81</v>
      </c>
      <c r="F1129" s="6">
        <v>6723535</v>
      </c>
      <c r="G1129" s="12" t="s">
        <v>3841</v>
      </c>
      <c r="H1129" s="12" t="s">
        <v>755</v>
      </c>
      <c r="I1129" s="12" t="s">
        <v>756</v>
      </c>
      <c r="J1129" s="84">
        <v>42188</v>
      </c>
      <c r="K1129" s="84">
        <v>53146</v>
      </c>
      <c r="L1129" s="12" t="s">
        <v>233</v>
      </c>
      <c r="M1129" s="12" t="s">
        <v>1755</v>
      </c>
      <c r="N1129" s="75"/>
    </row>
    <row r="1130" spans="1:14">
      <c r="A1130" s="12">
        <v>1127</v>
      </c>
      <c r="B1130" s="12" t="s">
        <v>3842</v>
      </c>
      <c r="C1130" s="12" t="s">
        <v>752</v>
      </c>
      <c r="D1130" s="12" t="s">
        <v>2889</v>
      </c>
      <c r="E1130" s="85">
        <v>516.32000000000005</v>
      </c>
      <c r="F1130" s="6">
        <v>2869594</v>
      </c>
      <c r="G1130" s="12" t="s">
        <v>3843</v>
      </c>
      <c r="H1130" s="12" t="s">
        <v>755</v>
      </c>
      <c r="I1130" s="12" t="s">
        <v>756</v>
      </c>
      <c r="J1130" s="84">
        <v>42188</v>
      </c>
      <c r="K1130" s="84">
        <v>53146</v>
      </c>
      <c r="L1130" s="12" t="s">
        <v>233</v>
      </c>
      <c r="M1130" s="12" t="s">
        <v>1300</v>
      </c>
      <c r="N1130" s="75"/>
    </row>
    <row r="1131" spans="1:14">
      <c r="A1131" s="12">
        <v>1128</v>
      </c>
      <c r="B1131" s="12" t="s">
        <v>3844</v>
      </c>
      <c r="C1131" s="12" t="s">
        <v>881</v>
      </c>
      <c r="D1131" s="12" t="s">
        <v>3845</v>
      </c>
      <c r="E1131" s="85">
        <v>41.53</v>
      </c>
      <c r="F1131" s="6">
        <v>2016265</v>
      </c>
      <c r="G1131" s="12" t="s">
        <v>3846</v>
      </c>
      <c r="H1131" s="12" t="s">
        <v>755</v>
      </c>
      <c r="I1131" s="12" t="s">
        <v>756</v>
      </c>
      <c r="J1131" s="84">
        <v>42192</v>
      </c>
      <c r="K1131" s="84">
        <v>53150</v>
      </c>
      <c r="L1131" s="12" t="s">
        <v>233</v>
      </c>
      <c r="M1131" s="12" t="s">
        <v>3847</v>
      </c>
      <c r="N1131" s="75"/>
    </row>
    <row r="1132" spans="1:14">
      <c r="A1132" s="12">
        <v>1129</v>
      </c>
      <c r="B1132" s="12" t="s">
        <v>3848</v>
      </c>
      <c r="C1132" s="12" t="s">
        <v>752</v>
      </c>
      <c r="D1132" s="12" t="s">
        <v>3849</v>
      </c>
      <c r="E1132" s="85">
        <v>189.11</v>
      </c>
      <c r="F1132" s="6">
        <v>5722942</v>
      </c>
      <c r="G1132" s="12" t="s">
        <v>1608</v>
      </c>
      <c r="H1132" s="12" t="s">
        <v>755</v>
      </c>
      <c r="I1132" s="12" t="s">
        <v>756</v>
      </c>
      <c r="J1132" s="84">
        <v>42192</v>
      </c>
      <c r="K1132" s="84">
        <v>53150</v>
      </c>
      <c r="L1132" s="12" t="s">
        <v>274</v>
      </c>
      <c r="M1132" s="12" t="s">
        <v>275</v>
      </c>
      <c r="N1132" s="75"/>
    </row>
    <row r="1133" spans="1:14">
      <c r="A1133" s="12">
        <v>1130</v>
      </c>
      <c r="B1133" s="12" t="s">
        <v>3850</v>
      </c>
      <c r="C1133" s="12" t="s">
        <v>212</v>
      </c>
      <c r="D1133" s="12" t="s">
        <v>1214</v>
      </c>
      <c r="E1133" s="85">
        <v>505.45</v>
      </c>
      <c r="F1133" s="6">
        <v>5175933</v>
      </c>
      <c r="G1133" s="12" t="s">
        <v>3851</v>
      </c>
      <c r="H1133" s="12" t="s">
        <v>755</v>
      </c>
      <c r="I1133" s="12" t="s">
        <v>756</v>
      </c>
      <c r="J1133" s="84">
        <v>42212</v>
      </c>
      <c r="K1133" s="84">
        <v>53170</v>
      </c>
      <c r="L1133" s="12" t="s">
        <v>375</v>
      </c>
      <c r="M1133" s="12" t="s">
        <v>1476</v>
      </c>
      <c r="N1133" s="75"/>
    </row>
    <row r="1134" spans="1:14">
      <c r="A1134" s="12">
        <v>1131</v>
      </c>
      <c r="B1134" s="12" t="s">
        <v>3852</v>
      </c>
      <c r="C1134" s="12" t="s">
        <v>1027</v>
      </c>
      <c r="D1134" s="12" t="s">
        <v>862</v>
      </c>
      <c r="E1134" s="85">
        <v>43.32</v>
      </c>
      <c r="F1134" s="6">
        <v>5171881</v>
      </c>
      <c r="G1134" s="12" t="s">
        <v>3853</v>
      </c>
      <c r="H1134" s="12" t="s">
        <v>766</v>
      </c>
      <c r="I1134" s="12" t="s">
        <v>767</v>
      </c>
      <c r="J1134" s="84">
        <v>36004</v>
      </c>
      <c r="K1134" s="84">
        <v>46962</v>
      </c>
      <c r="L1134" s="12" t="s">
        <v>128</v>
      </c>
      <c r="M1134" s="12" t="s">
        <v>862</v>
      </c>
      <c r="N1134" s="75"/>
    </row>
    <row r="1135" spans="1:14">
      <c r="A1135" s="12">
        <v>1132</v>
      </c>
      <c r="B1135" s="12" t="s">
        <v>3854</v>
      </c>
      <c r="C1135" s="12" t="s">
        <v>752</v>
      </c>
      <c r="D1135" s="12" t="s">
        <v>3855</v>
      </c>
      <c r="E1135" s="85">
        <v>81.709999999999994</v>
      </c>
      <c r="F1135" s="6">
        <v>2819996</v>
      </c>
      <c r="G1135" s="12" t="s">
        <v>977</v>
      </c>
      <c r="H1135" s="12" t="s">
        <v>755</v>
      </c>
      <c r="I1135" s="12" t="s">
        <v>756</v>
      </c>
      <c r="J1135" s="84">
        <v>39358</v>
      </c>
      <c r="K1135" s="84">
        <v>50316</v>
      </c>
      <c r="L1135" s="12" t="s">
        <v>836</v>
      </c>
      <c r="M1135" s="12" t="s">
        <v>837</v>
      </c>
      <c r="N1135" s="75"/>
    </row>
    <row r="1136" spans="1:14">
      <c r="A1136" s="12">
        <v>1133</v>
      </c>
      <c r="B1136" s="12" t="s">
        <v>3856</v>
      </c>
      <c r="C1136" s="12" t="s">
        <v>886</v>
      </c>
      <c r="D1136" s="12" t="s">
        <v>3857</v>
      </c>
      <c r="E1136" s="85">
        <v>2007.38</v>
      </c>
      <c r="F1136" s="6">
        <v>5060419</v>
      </c>
      <c r="G1136" s="12" t="s">
        <v>3858</v>
      </c>
      <c r="H1136" s="12" t="s">
        <v>848</v>
      </c>
      <c r="I1136" s="12" t="s">
        <v>849</v>
      </c>
      <c r="J1136" s="84">
        <v>42230</v>
      </c>
      <c r="K1136" s="84">
        <v>53188</v>
      </c>
      <c r="L1136" s="12" t="s">
        <v>123</v>
      </c>
      <c r="M1136" s="12" t="s">
        <v>1256</v>
      </c>
      <c r="N1136" s="75"/>
    </row>
    <row r="1137" spans="1:14">
      <c r="A1137" s="12">
        <v>1134</v>
      </c>
      <c r="B1137" s="12" t="s">
        <v>3859</v>
      </c>
      <c r="C1137" s="12" t="s">
        <v>752</v>
      </c>
      <c r="D1137" s="12" t="s">
        <v>3860</v>
      </c>
      <c r="E1137" s="85">
        <v>37</v>
      </c>
      <c r="F1137" s="6">
        <v>5364116</v>
      </c>
      <c r="G1137" s="12" t="s">
        <v>3861</v>
      </c>
      <c r="H1137" s="12" t="s">
        <v>755</v>
      </c>
      <c r="I1137" s="12" t="s">
        <v>756</v>
      </c>
      <c r="J1137" s="84">
        <v>42237</v>
      </c>
      <c r="K1137" s="84">
        <v>53195</v>
      </c>
      <c r="L1137" s="12" t="s">
        <v>304</v>
      </c>
      <c r="M1137" s="12" t="s">
        <v>141</v>
      </c>
      <c r="N1137" s="75"/>
    </row>
    <row r="1138" spans="1:14">
      <c r="A1138" s="12">
        <v>1135</v>
      </c>
      <c r="B1138" s="12" t="s">
        <v>3862</v>
      </c>
      <c r="C1138" s="12" t="s">
        <v>1017</v>
      </c>
      <c r="D1138" s="12" t="s">
        <v>3863</v>
      </c>
      <c r="E1138" s="85">
        <v>75.33</v>
      </c>
      <c r="F1138" s="6">
        <v>6249264</v>
      </c>
      <c r="G1138" s="12" t="s">
        <v>3864</v>
      </c>
      <c r="H1138" s="12" t="s">
        <v>848</v>
      </c>
      <c r="I1138" s="12" t="s">
        <v>849</v>
      </c>
      <c r="J1138" s="84">
        <v>42243</v>
      </c>
      <c r="K1138" s="84">
        <v>53201</v>
      </c>
      <c r="L1138" s="12" t="s">
        <v>375</v>
      </c>
      <c r="M1138" s="12" t="s">
        <v>2649</v>
      </c>
      <c r="N1138" s="75"/>
    </row>
    <row r="1139" spans="1:14">
      <c r="A1139" s="12">
        <v>1136</v>
      </c>
      <c r="B1139" s="12" t="s">
        <v>3865</v>
      </c>
      <c r="C1139" s="12" t="s">
        <v>752</v>
      </c>
      <c r="D1139" s="12" t="s">
        <v>3866</v>
      </c>
      <c r="E1139" s="85">
        <v>163.83000000000001</v>
      </c>
      <c r="F1139" s="6">
        <v>5601703</v>
      </c>
      <c r="G1139" s="12" t="s">
        <v>3867</v>
      </c>
      <c r="H1139" s="12" t="s">
        <v>755</v>
      </c>
      <c r="I1139" s="12" t="s">
        <v>756</v>
      </c>
      <c r="J1139" s="84">
        <v>42243</v>
      </c>
      <c r="K1139" s="84">
        <v>53201</v>
      </c>
      <c r="L1139" s="12" t="s">
        <v>768</v>
      </c>
      <c r="M1139" s="12" t="s">
        <v>769</v>
      </c>
      <c r="N1139" s="75"/>
    </row>
    <row r="1140" spans="1:14">
      <c r="A1140" s="12">
        <v>1137</v>
      </c>
      <c r="B1140" s="12" t="s">
        <v>3868</v>
      </c>
      <c r="C1140" s="12" t="s">
        <v>212</v>
      </c>
      <c r="D1140" s="12" t="s">
        <v>3869</v>
      </c>
      <c r="E1140" s="85">
        <v>29.84</v>
      </c>
      <c r="F1140" s="6">
        <v>2839121</v>
      </c>
      <c r="G1140" s="12" t="s">
        <v>3870</v>
      </c>
      <c r="H1140" s="12" t="s">
        <v>755</v>
      </c>
      <c r="I1140" s="12" t="s">
        <v>756</v>
      </c>
      <c r="J1140" s="84">
        <v>36633</v>
      </c>
      <c r="K1140" s="84">
        <v>47590</v>
      </c>
      <c r="L1140" s="12" t="s">
        <v>170</v>
      </c>
      <c r="M1140" s="12" t="s">
        <v>171</v>
      </c>
      <c r="N1140" s="75"/>
    </row>
    <row r="1141" spans="1:14">
      <c r="A1141" s="12">
        <v>1138</v>
      </c>
      <c r="B1141" s="12" t="s">
        <v>3871</v>
      </c>
      <c r="C1141" s="12" t="s">
        <v>122</v>
      </c>
      <c r="D1141" s="12" t="s">
        <v>3872</v>
      </c>
      <c r="E1141" s="85">
        <v>1110.49</v>
      </c>
      <c r="F1141" s="6">
        <v>5435951</v>
      </c>
      <c r="G1141" s="12" t="s">
        <v>3873</v>
      </c>
      <c r="H1141" s="12" t="s">
        <v>755</v>
      </c>
      <c r="I1141" s="12" t="s">
        <v>756</v>
      </c>
      <c r="J1141" s="84">
        <v>42250</v>
      </c>
      <c r="K1141" s="84">
        <v>53827</v>
      </c>
      <c r="L1141" s="12" t="s">
        <v>233</v>
      </c>
      <c r="M1141" s="12" t="s">
        <v>237</v>
      </c>
      <c r="N1141" s="75"/>
    </row>
    <row r="1142" spans="1:14">
      <c r="A1142" s="12">
        <v>1139</v>
      </c>
      <c r="B1142" s="12" t="s">
        <v>3874</v>
      </c>
      <c r="C1142" s="12" t="s">
        <v>122</v>
      </c>
      <c r="D1142" s="12" t="s">
        <v>3875</v>
      </c>
      <c r="E1142" s="85">
        <v>4914.62</v>
      </c>
      <c r="F1142" s="6">
        <v>5618339</v>
      </c>
      <c r="G1142" s="12" t="s">
        <v>3876</v>
      </c>
      <c r="H1142" s="12" t="s">
        <v>848</v>
      </c>
      <c r="I1142" s="12" t="s">
        <v>849</v>
      </c>
      <c r="J1142" s="84">
        <v>42255</v>
      </c>
      <c r="K1142" s="84">
        <v>53213</v>
      </c>
      <c r="L1142" s="12" t="s">
        <v>233</v>
      </c>
      <c r="M1142" s="12" t="s">
        <v>3019</v>
      </c>
      <c r="N1142" s="75"/>
    </row>
    <row r="1143" spans="1:14">
      <c r="A1143" s="12">
        <v>1140</v>
      </c>
      <c r="B1143" s="12" t="s">
        <v>3877</v>
      </c>
      <c r="C1143" s="12" t="s">
        <v>137</v>
      </c>
      <c r="D1143" s="12" t="s">
        <v>2842</v>
      </c>
      <c r="E1143" s="85">
        <v>1334.28</v>
      </c>
      <c r="F1143" s="6">
        <v>5609879</v>
      </c>
      <c r="G1143" s="12" t="s">
        <v>3878</v>
      </c>
      <c r="H1143" s="12" t="s">
        <v>848</v>
      </c>
      <c r="I1143" s="12" t="s">
        <v>849</v>
      </c>
      <c r="J1143" s="84">
        <v>42256</v>
      </c>
      <c r="K1143" s="84">
        <v>53214</v>
      </c>
      <c r="L1143" s="12" t="s">
        <v>782</v>
      </c>
      <c r="M1143" s="12" t="s">
        <v>2842</v>
      </c>
      <c r="N1143" s="75"/>
    </row>
    <row r="1144" spans="1:14">
      <c r="A1144" s="12">
        <v>1141</v>
      </c>
      <c r="B1144" s="12" t="s">
        <v>3879</v>
      </c>
      <c r="C1144" s="12" t="s">
        <v>752</v>
      </c>
      <c r="D1144" s="12" t="s">
        <v>3171</v>
      </c>
      <c r="E1144" s="85">
        <v>1036.8900000000001</v>
      </c>
      <c r="F1144" s="6">
        <v>5785707</v>
      </c>
      <c r="G1144" s="12" t="s">
        <v>3880</v>
      </c>
      <c r="H1144" s="12" t="s">
        <v>848</v>
      </c>
      <c r="I1144" s="12" t="s">
        <v>849</v>
      </c>
      <c r="J1144" s="84">
        <v>40980</v>
      </c>
      <c r="K1144" s="84">
        <v>52147</v>
      </c>
      <c r="L1144" s="12" t="s">
        <v>233</v>
      </c>
      <c r="M1144" s="12" t="s">
        <v>3019</v>
      </c>
      <c r="N1144" s="75"/>
    </row>
    <row r="1145" spans="1:14">
      <c r="A1145" s="12">
        <v>1142</v>
      </c>
      <c r="B1145" s="12" t="s">
        <v>3881</v>
      </c>
      <c r="C1145" s="12" t="s">
        <v>1818</v>
      </c>
      <c r="D1145" s="12" t="s">
        <v>777</v>
      </c>
      <c r="E1145" s="85">
        <v>53.85</v>
      </c>
      <c r="F1145" s="6">
        <v>5196183</v>
      </c>
      <c r="G1145" s="12" t="s">
        <v>3882</v>
      </c>
      <c r="H1145" s="12" t="s">
        <v>755</v>
      </c>
      <c r="I1145" s="12" t="s">
        <v>756</v>
      </c>
      <c r="J1145" s="84">
        <v>42258</v>
      </c>
      <c r="K1145" s="84">
        <v>53216</v>
      </c>
      <c r="L1145" s="12" t="s">
        <v>293</v>
      </c>
      <c r="M1145" s="12" t="s">
        <v>1206</v>
      </c>
      <c r="N1145" s="75"/>
    </row>
    <row r="1146" spans="1:14">
      <c r="A1146" s="12">
        <v>1143</v>
      </c>
      <c r="B1146" s="12" t="s">
        <v>3883</v>
      </c>
      <c r="C1146" s="12" t="s">
        <v>881</v>
      </c>
      <c r="D1146" s="12" t="s">
        <v>3884</v>
      </c>
      <c r="E1146" s="85">
        <v>2910.51</v>
      </c>
      <c r="F1146" s="6">
        <v>5480256</v>
      </c>
      <c r="G1146" s="12" t="s">
        <v>3885</v>
      </c>
      <c r="H1146" s="12" t="s">
        <v>766</v>
      </c>
      <c r="I1146" s="12" t="s">
        <v>767</v>
      </c>
      <c r="J1146" s="84">
        <v>42261</v>
      </c>
      <c r="K1146" s="84">
        <v>53219</v>
      </c>
      <c r="L1146" s="12" t="s">
        <v>375</v>
      </c>
      <c r="M1146" s="12" t="s">
        <v>3886</v>
      </c>
      <c r="N1146" s="75"/>
    </row>
    <row r="1147" spans="1:14">
      <c r="A1147" s="12">
        <v>1144</v>
      </c>
      <c r="B1147" s="12" t="s">
        <v>3887</v>
      </c>
      <c r="C1147" s="12" t="s">
        <v>122</v>
      </c>
      <c r="D1147" s="12" t="s">
        <v>3888</v>
      </c>
      <c r="E1147" s="85">
        <v>1701.64</v>
      </c>
      <c r="F1147" s="6">
        <v>5075912</v>
      </c>
      <c r="G1147" s="12" t="s">
        <v>3889</v>
      </c>
      <c r="H1147" s="12" t="s">
        <v>755</v>
      </c>
      <c r="I1147" s="12" t="s">
        <v>756</v>
      </c>
      <c r="J1147" s="84">
        <v>42265</v>
      </c>
      <c r="K1147" s="84">
        <v>53223</v>
      </c>
      <c r="L1147" s="12" t="s">
        <v>123</v>
      </c>
      <c r="M1147" s="12" t="s">
        <v>3411</v>
      </c>
      <c r="N1147" s="75"/>
    </row>
    <row r="1148" spans="1:14">
      <c r="A1148" s="12">
        <v>1145</v>
      </c>
      <c r="B1148" s="12" t="s">
        <v>3890</v>
      </c>
      <c r="C1148" s="12" t="s">
        <v>3840</v>
      </c>
      <c r="D1148" s="12" t="s">
        <v>1165</v>
      </c>
      <c r="E1148" s="85">
        <v>911.31</v>
      </c>
      <c r="F1148" s="6">
        <v>2546574</v>
      </c>
      <c r="G1148" s="12" t="s">
        <v>3891</v>
      </c>
      <c r="H1148" s="12" t="s">
        <v>755</v>
      </c>
      <c r="I1148" s="12" t="s">
        <v>756</v>
      </c>
      <c r="J1148" s="84">
        <v>42265</v>
      </c>
      <c r="K1148" s="84">
        <v>53223</v>
      </c>
      <c r="L1148" s="12" t="s">
        <v>274</v>
      </c>
      <c r="M1148" s="12" t="s">
        <v>874</v>
      </c>
      <c r="N1148" s="75"/>
    </row>
    <row r="1149" spans="1:14">
      <c r="A1149" s="12">
        <v>1146</v>
      </c>
      <c r="B1149" s="12" t="s">
        <v>3892</v>
      </c>
      <c r="C1149" s="12" t="s">
        <v>1547</v>
      </c>
      <c r="D1149" s="12" t="s">
        <v>806</v>
      </c>
      <c r="E1149" s="85">
        <v>106.66</v>
      </c>
      <c r="F1149" s="6">
        <v>5458757</v>
      </c>
      <c r="G1149" s="12" t="s">
        <v>3893</v>
      </c>
      <c r="H1149" s="12" t="s">
        <v>755</v>
      </c>
      <c r="I1149" s="12" t="s">
        <v>756</v>
      </c>
      <c r="J1149" s="84">
        <v>42268</v>
      </c>
      <c r="K1149" s="84">
        <v>53226</v>
      </c>
      <c r="L1149" s="12" t="s">
        <v>1102</v>
      </c>
      <c r="M1149" s="12" t="s">
        <v>1550</v>
      </c>
      <c r="N1149" s="75"/>
    </row>
    <row r="1150" spans="1:14">
      <c r="A1150" s="12">
        <v>1147</v>
      </c>
      <c r="B1150" s="12" t="s">
        <v>3894</v>
      </c>
      <c r="C1150" s="12" t="s">
        <v>995</v>
      </c>
      <c r="D1150" s="12" t="s">
        <v>3895</v>
      </c>
      <c r="E1150" s="85">
        <v>25.94</v>
      </c>
      <c r="F1150" s="6">
        <v>5728215</v>
      </c>
      <c r="G1150" s="12" t="s">
        <v>3896</v>
      </c>
      <c r="H1150" s="12" t="s">
        <v>755</v>
      </c>
      <c r="I1150" s="12" t="s">
        <v>756</v>
      </c>
      <c r="J1150" s="84">
        <v>42268</v>
      </c>
      <c r="K1150" s="84">
        <v>53226</v>
      </c>
      <c r="L1150" s="12" t="s">
        <v>128</v>
      </c>
      <c r="M1150" s="12" t="s">
        <v>862</v>
      </c>
      <c r="N1150" s="75"/>
    </row>
    <row r="1151" spans="1:14">
      <c r="A1151" s="12">
        <v>1148</v>
      </c>
      <c r="B1151" s="12" t="s">
        <v>3897</v>
      </c>
      <c r="C1151" s="12" t="s">
        <v>122</v>
      </c>
      <c r="D1151" s="12" t="s">
        <v>3898</v>
      </c>
      <c r="E1151" s="85">
        <v>5488.42</v>
      </c>
      <c r="F1151" s="6">
        <v>6463932</v>
      </c>
      <c r="G1151" s="12" t="s">
        <v>3899</v>
      </c>
      <c r="H1151" s="12" t="s">
        <v>848</v>
      </c>
      <c r="I1151" s="12" t="s">
        <v>849</v>
      </c>
      <c r="J1151" s="84">
        <v>42271</v>
      </c>
      <c r="K1151" s="84">
        <v>53229</v>
      </c>
      <c r="L1151" s="12" t="s">
        <v>170</v>
      </c>
      <c r="M1151" s="12" t="s">
        <v>171</v>
      </c>
      <c r="N1151" s="75"/>
    </row>
    <row r="1152" spans="1:14">
      <c r="A1152" s="12">
        <v>1149</v>
      </c>
      <c r="B1152" s="12" t="s">
        <v>3900</v>
      </c>
      <c r="C1152" s="12" t="s">
        <v>212</v>
      </c>
      <c r="D1152" s="12" t="s">
        <v>3901</v>
      </c>
      <c r="E1152" s="85">
        <v>1773.74</v>
      </c>
      <c r="F1152" s="6">
        <v>5015553</v>
      </c>
      <c r="G1152" s="12" t="s">
        <v>3902</v>
      </c>
      <c r="H1152" s="12" t="s">
        <v>755</v>
      </c>
      <c r="I1152" s="12" t="s">
        <v>756</v>
      </c>
      <c r="J1152" s="84">
        <v>41197</v>
      </c>
      <c r="K1152" s="84">
        <v>52154</v>
      </c>
      <c r="L1152" s="12" t="s">
        <v>233</v>
      </c>
      <c r="M1152" s="12" t="s">
        <v>2563</v>
      </c>
      <c r="N1152" s="75"/>
    </row>
    <row r="1153" spans="1:14">
      <c r="A1153" s="12">
        <v>1150</v>
      </c>
      <c r="B1153" s="12" t="s">
        <v>3903</v>
      </c>
      <c r="C1153" s="12" t="s">
        <v>752</v>
      </c>
      <c r="D1153" s="12" t="s">
        <v>3904</v>
      </c>
      <c r="E1153" s="85">
        <v>515.05999999999995</v>
      </c>
      <c r="F1153" s="6">
        <v>5396786</v>
      </c>
      <c r="G1153" s="12" t="s">
        <v>930</v>
      </c>
      <c r="H1153" s="12" t="s">
        <v>755</v>
      </c>
      <c r="I1153" s="12" t="s">
        <v>756</v>
      </c>
      <c r="J1153" s="84">
        <v>42297</v>
      </c>
      <c r="K1153" s="84">
        <v>53255</v>
      </c>
      <c r="L1153" s="12" t="s">
        <v>274</v>
      </c>
      <c r="M1153" s="12" t="s">
        <v>275</v>
      </c>
      <c r="N1153" s="75"/>
    </row>
    <row r="1154" spans="1:14">
      <c r="A1154" s="12">
        <v>1151</v>
      </c>
      <c r="B1154" s="12" t="s">
        <v>3905</v>
      </c>
      <c r="C1154" s="12" t="s">
        <v>137</v>
      </c>
      <c r="D1154" s="12" t="s">
        <v>3906</v>
      </c>
      <c r="E1154" s="85">
        <v>133.79</v>
      </c>
      <c r="F1154" s="6">
        <v>6995071</v>
      </c>
      <c r="G1154" s="12" t="s">
        <v>3907</v>
      </c>
      <c r="H1154" s="12" t="s">
        <v>755</v>
      </c>
      <c r="I1154" s="12" t="s">
        <v>756</v>
      </c>
      <c r="J1154" s="84">
        <v>42297</v>
      </c>
      <c r="K1154" s="84">
        <v>53255</v>
      </c>
      <c r="L1154" s="12" t="s">
        <v>768</v>
      </c>
      <c r="M1154" s="12" t="s">
        <v>769</v>
      </c>
      <c r="N1154" s="75"/>
    </row>
    <row r="1155" spans="1:14">
      <c r="A1155" s="12">
        <v>1152</v>
      </c>
      <c r="B1155" s="12" t="s">
        <v>3908</v>
      </c>
      <c r="C1155" s="12" t="s">
        <v>937</v>
      </c>
      <c r="D1155" s="12" t="s">
        <v>3909</v>
      </c>
      <c r="E1155" s="85">
        <v>33.17</v>
      </c>
      <c r="F1155" s="6">
        <v>4371267</v>
      </c>
      <c r="G1155" s="12" t="s">
        <v>3910</v>
      </c>
      <c r="H1155" s="12" t="s">
        <v>755</v>
      </c>
      <c r="I1155" s="12" t="s">
        <v>756</v>
      </c>
      <c r="J1155" s="84">
        <v>42297</v>
      </c>
      <c r="K1155" s="84">
        <v>53255</v>
      </c>
      <c r="L1155" s="12" t="s">
        <v>329</v>
      </c>
      <c r="M1155" s="12" t="s">
        <v>884</v>
      </c>
      <c r="N1155" s="75"/>
    </row>
    <row r="1156" spans="1:14">
      <c r="A1156" s="12">
        <v>1153</v>
      </c>
      <c r="B1156" s="12" t="s">
        <v>3911</v>
      </c>
      <c r="C1156" s="12" t="s">
        <v>1506</v>
      </c>
      <c r="D1156" s="12" t="s">
        <v>1344</v>
      </c>
      <c r="E1156" s="85">
        <v>79.14</v>
      </c>
      <c r="F1156" s="6">
        <v>5143926</v>
      </c>
      <c r="G1156" s="12" t="s">
        <v>3912</v>
      </c>
      <c r="H1156" s="12" t="s">
        <v>755</v>
      </c>
      <c r="I1156" s="12" t="s">
        <v>756</v>
      </c>
      <c r="J1156" s="84">
        <v>42298</v>
      </c>
      <c r="K1156" s="84">
        <v>53256</v>
      </c>
      <c r="L1156" s="12" t="s">
        <v>1014</v>
      </c>
      <c r="M1156" s="12" t="s">
        <v>3043</v>
      </c>
      <c r="N1156" s="75"/>
    </row>
    <row r="1157" spans="1:14">
      <c r="A1157" s="12">
        <v>1154</v>
      </c>
      <c r="B1157" s="12" t="s">
        <v>3913</v>
      </c>
      <c r="C1157" s="12" t="s">
        <v>1879</v>
      </c>
      <c r="D1157" s="12" t="s">
        <v>3914</v>
      </c>
      <c r="E1157" s="85">
        <v>6467.48</v>
      </c>
      <c r="F1157" s="6">
        <v>5412374</v>
      </c>
      <c r="G1157" s="12" t="s">
        <v>3915</v>
      </c>
      <c r="H1157" s="12" t="s">
        <v>755</v>
      </c>
      <c r="I1157" s="12" t="s">
        <v>756</v>
      </c>
      <c r="J1157" s="84">
        <v>42307</v>
      </c>
      <c r="K1157" s="84">
        <v>53265</v>
      </c>
      <c r="L1157" s="12" t="s">
        <v>170</v>
      </c>
      <c r="M1157" s="12" t="s">
        <v>2450</v>
      </c>
      <c r="N1157" s="75"/>
    </row>
    <row r="1158" spans="1:14">
      <c r="A1158" s="12">
        <v>1155</v>
      </c>
      <c r="B1158" s="12" t="s">
        <v>3916</v>
      </c>
      <c r="C1158" s="12" t="s">
        <v>752</v>
      </c>
      <c r="D1158" s="12" t="s">
        <v>3917</v>
      </c>
      <c r="E1158" s="85">
        <v>329.98</v>
      </c>
      <c r="F1158" s="6">
        <v>2787989</v>
      </c>
      <c r="G1158" s="12" t="s">
        <v>3918</v>
      </c>
      <c r="H1158" s="12" t="s">
        <v>755</v>
      </c>
      <c r="I1158" s="12" t="s">
        <v>756</v>
      </c>
      <c r="J1158" s="84">
        <v>38329</v>
      </c>
      <c r="K1158" s="84">
        <v>49286</v>
      </c>
      <c r="L1158" s="12" t="s">
        <v>2581</v>
      </c>
      <c r="M1158" s="12" t="s">
        <v>3919</v>
      </c>
      <c r="N1158" s="75"/>
    </row>
    <row r="1159" spans="1:14">
      <c r="A1159" s="12">
        <v>1156</v>
      </c>
      <c r="B1159" s="12" t="s">
        <v>3920</v>
      </c>
      <c r="C1159" s="12" t="s">
        <v>212</v>
      </c>
      <c r="D1159" s="12" t="s">
        <v>1533</v>
      </c>
      <c r="E1159" s="85">
        <v>41.87</v>
      </c>
      <c r="F1159" s="6">
        <v>2012677</v>
      </c>
      <c r="G1159" s="12" t="s">
        <v>3921</v>
      </c>
      <c r="H1159" s="12" t="s">
        <v>755</v>
      </c>
      <c r="I1159" s="12" t="s">
        <v>756</v>
      </c>
      <c r="J1159" s="84">
        <v>42311</v>
      </c>
      <c r="K1159" s="84">
        <v>53269</v>
      </c>
      <c r="L1159" s="12" t="s">
        <v>375</v>
      </c>
      <c r="M1159" s="12" t="s">
        <v>944</v>
      </c>
      <c r="N1159" s="75"/>
    </row>
    <row r="1160" spans="1:14">
      <c r="A1160" s="12">
        <v>1157</v>
      </c>
      <c r="B1160" s="12" t="s">
        <v>3922</v>
      </c>
      <c r="C1160" s="12" t="s">
        <v>752</v>
      </c>
      <c r="D1160" s="12" t="s">
        <v>3923</v>
      </c>
      <c r="E1160" s="85">
        <v>690.4</v>
      </c>
      <c r="F1160" s="6">
        <v>5073189</v>
      </c>
      <c r="G1160" s="12" t="s">
        <v>1293</v>
      </c>
      <c r="H1160" s="12" t="s">
        <v>755</v>
      </c>
      <c r="I1160" s="12" t="s">
        <v>756</v>
      </c>
      <c r="J1160" s="84">
        <v>42314</v>
      </c>
      <c r="K1160" s="84">
        <v>53272</v>
      </c>
      <c r="L1160" s="12" t="s">
        <v>274</v>
      </c>
      <c r="M1160" s="12" t="s">
        <v>275</v>
      </c>
      <c r="N1160" s="75"/>
    </row>
    <row r="1161" spans="1:14">
      <c r="A1161" s="12">
        <v>1158</v>
      </c>
      <c r="B1161" s="12" t="s">
        <v>3924</v>
      </c>
      <c r="C1161" s="12" t="s">
        <v>979</v>
      </c>
      <c r="D1161" s="12" t="s">
        <v>3925</v>
      </c>
      <c r="E1161" s="85">
        <v>1983.01</v>
      </c>
      <c r="F1161" s="6">
        <v>2715619</v>
      </c>
      <c r="G1161" s="12" t="s">
        <v>3826</v>
      </c>
      <c r="H1161" s="12" t="s">
        <v>766</v>
      </c>
      <c r="I1161" s="12" t="s">
        <v>767</v>
      </c>
      <c r="J1161" s="84">
        <v>42313</v>
      </c>
      <c r="K1161" s="84">
        <v>53271</v>
      </c>
      <c r="L1161" s="12" t="s">
        <v>274</v>
      </c>
      <c r="M1161" s="12" t="s">
        <v>3926</v>
      </c>
      <c r="N1161" s="75"/>
    </row>
    <row r="1162" spans="1:14">
      <c r="A1162" s="12">
        <v>1159</v>
      </c>
      <c r="B1162" s="12" t="s">
        <v>3927</v>
      </c>
      <c r="C1162" s="12" t="s">
        <v>937</v>
      </c>
      <c r="D1162" s="12" t="s">
        <v>3928</v>
      </c>
      <c r="E1162" s="85">
        <v>31.79</v>
      </c>
      <c r="F1162" s="6">
        <v>2542714</v>
      </c>
      <c r="G1162" s="12" t="s">
        <v>3929</v>
      </c>
      <c r="H1162" s="12" t="s">
        <v>755</v>
      </c>
      <c r="I1162" s="12" t="s">
        <v>756</v>
      </c>
      <c r="J1162" s="84">
        <v>42318</v>
      </c>
      <c r="K1162" s="84">
        <v>53276</v>
      </c>
      <c r="L1162" s="12" t="s">
        <v>128</v>
      </c>
      <c r="M1162" s="12" t="s">
        <v>862</v>
      </c>
      <c r="N1162" s="75"/>
    </row>
    <row r="1163" spans="1:14">
      <c r="A1163" s="12">
        <v>1160</v>
      </c>
      <c r="B1163" s="12" t="s">
        <v>3930</v>
      </c>
      <c r="C1163" s="12" t="s">
        <v>886</v>
      </c>
      <c r="D1163" s="12" t="s">
        <v>2876</v>
      </c>
      <c r="E1163" s="85">
        <v>1322.54</v>
      </c>
      <c r="F1163" s="6">
        <v>2672146</v>
      </c>
      <c r="G1163" s="12" t="s">
        <v>3931</v>
      </c>
      <c r="H1163" s="12" t="s">
        <v>766</v>
      </c>
      <c r="I1163" s="12" t="s">
        <v>767</v>
      </c>
      <c r="J1163" s="84">
        <v>42318</v>
      </c>
      <c r="K1163" s="84">
        <v>53276</v>
      </c>
      <c r="L1163" s="12" t="s">
        <v>293</v>
      </c>
      <c r="M1163" s="12" t="s">
        <v>1342</v>
      </c>
      <c r="N1163" s="75"/>
    </row>
    <row r="1164" spans="1:14">
      <c r="A1164" s="12">
        <v>1161</v>
      </c>
      <c r="B1164" s="12" t="s">
        <v>3932</v>
      </c>
      <c r="C1164" s="12" t="s">
        <v>122</v>
      </c>
      <c r="D1164" s="12" t="s">
        <v>3933</v>
      </c>
      <c r="E1164" s="85">
        <v>4271.18</v>
      </c>
      <c r="F1164" s="6">
        <v>2005522</v>
      </c>
      <c r="G1164" s="12" t="s">
        <v>3934</v>
      </c>
      <c r="H1164" s="12" t="s">
        <v>755</v>
      </c>
      <c r="I1164" s="12" t="s">
        <v>756</v>
      </c>
      <c r="J1164" s="84">
        <v>42324</v>
      </c>
      <c r="K1164" s="84">
        <v>53282</v>
      </c>
      <c r="L1164" s="12" t="s">
        <v>375</v>
      </c>
      <c r="M1164" s="12" t="s">
        <v>1892</v>
      </c>
      <c r="N1164" s="75"/>
    </row>
    <row r="1165" spans="1:14">
      <c r="A1165" s="12">
        <v>1162</v>
      </c>
      <c r="B1165" s="12" t="s">
        <v>3935</v>
      </c>
      <c r="C1165" s="12" t="s">
        <v>122</v>
      </c>
      <c r="D1165" s="12" t="s">
        <v>3936</v>
      </c>
      <c r="E1165" s="85">
        <v>27343.25</v>
      </c>
      <c r="F1165" s="6">
        <v>5376467</v>
      </c>
      <c r="G1165" s="12" t="s">
        <v>2549</v>
      </c>
      <c r="H1165" s="12" t="s">
        <v>755</v>
      </c>
      <c r="I1165" s="12" t="s">
        <v>756</v>
      </c>
      <c r="J1165" s="84">
        <v>42326</v>
      </c>
      <c r="K1165" s="84">
        <v>53284</v>
      </c>
      <c r="L1165" s="12" t="s">
        <v>375</v>
      </c>
      <c r="M1165" s="12" t="s">
        <v>2550</v>
      </c>
      <c r="N1165" s="75"/>
    </row>
    <row r="1166" spans="1:14">
      <c r="A1166" s="12">
        <v>1163</v>
      </c>
      <c r="B1166" s="12" t="s">
        <v>3937</v>
      </c>
      <c r="C1166" s="12" t="s">
        <v>122</v>
      </c>
      <c r="D1166" s="12" t="s">
        <v>3936</v>
      </c>
      <c r="E1166" s="85">
        <v>23062.99</v>
      </c>
      <c r="F1166" s="6">
        <v>5376467</v>
      </c>
      <c r="G1166" s="12" t="s">
        <v>2549</v>
      </c>
      <c r="H1166" s="12" t="s">
        <v>755</v>
      </c>
      <c r="I1166" s="12" t="s">
        <v>756</v>
      </c>
      <c r="J1166" s="84">
        <v>42326</v>
      </c>
      <c r="K1166" s="84">
        <v>53284</v>
      </c>
      <c r="L1166" s="12" t="s">
        <v>375</v>
      </c>
      <c r="M1166" s="12" t="s">
        <v>2550</v>
      </c>
      <c r="N1166" s="75"/>
    </row>
    <row r="1167" spans="1:14">
      <c r="A1167" s="12">
        <v>1164</v>
      </c>
      <c r="B1167" s="12" t="s">
        <v>3938</v>
      </c>
      <c r="C1167" s="12" t="s">
        <v>212</v>
      </c>
      <c r="D1167" s="12" t="s">
        <v>3259</v>
      </c>
      <c r="E1167" s="85">
        <v>792.73</v>
      </c>
      <c r="F1167" s="6">
        <v>2869594</v>
      </c>
      <c r="G1167" s="12" t="s">
        <v>3843</v>
      </c>
      <c r="H1167" s="12" t="s">
        <v>755</v>
      </c>
      <c r="I1167" s="12" t="s">
        <v>756</v>
      </c>
      <c r="J1167" s="84">
        <v>42327</v>
      </c>
      <c r="K1167" s="84">
        <v>53285</v>
      </c>
      <c r="L1167" s="12" t="s">
        <v>233</v>
      </c>
      <c r="M1167" s="12" t="s">
        <v>1300</v>
      </c>
      <c r="N1167" s="75"/>
    </row>
    <row r="1168" spans="1:14">
      <c r="A1168" s="12">
        <v>1165</v>
      </c>
      <c r="B1168" s="12" t="s">
        <v>3939</v>
      </c>
      <c r="C1168" s="12" t="s">
        <v>137</v>
      </c>
      <c r="D1168" s="12" t="s">
        <v>3940</v>
      </c>
      <c r="E1168" s="85">
        <v>171.85</v>
      </c>
      <c r="F1168" s="6">
        <v>6995071</v>
      </c>
      <c r="G1168" s="12" t="s">
        <v>3907</v>
      </c>
      <c r="H1168" s="12" t="s">
        <v>755</v>
      </c>
      <c r="I1168" s="12" t="s">
        <v>756</v>
      </c>
      <c r="J1168" s="84">
        <v>42333</v>
      </c>
      <c r="K1168" s="84">
        <v>53291</v>
      </c>
      <c r="L1168" s="12" t="s">
        <v>768</v>
      </c>
      <c r="M1168" s="12" t="s">
        <v>769</v>
      </c>
      <c r="N1168" s="75"/>
    </row>
    <row r="1169" spans="1:14">
      <c r="A1169" s="12">
        <v>1166</v>
      </c>
      <c r="B1169" s="12" t="s">
        <v>3941</v>
      </c>
      <c r="C1169" s="12" t="s">
        <v>122</v>
      </c>
      <c r="D1169" s="12" t="s">
        <v>2159</v>
      </c>
      <c r="E1169" s="85">
        <v>1215.8699999999999</v>
      </c>
      <c r="F1169" s="6">
        <v>2095025</v>
      </c>
      <c r="G1169" s="12" t="s">
        <v>870</v>
      </c>
      <c r="H1169" s="12" t="s">
        <v>755</v>
      </c>
      <c r="I1169" s="12" t="s">
        <v>756</v>
      </c>
      <c r="J1169" s="84">
        <v>42340</v>
      </c>
      <c r="K1169" s="84">
        <v>53298</v>
      </c>
      <c r="L1169" s="12" t="s">
        <v>375</v>
      </c>
      <c r="M1169" s="12" t="s">
        <v>3334</v>
      </c>
      <c r="N1169" s="75"/>
    </row>
    <row r="1170" spans="1:14">
      <c r="A1170" s="12">
        <v>1167</v>
      </c>
      <c r="B1170" s="12" t="s">
        <v>3942</v>
      </c>
      <c r="C1170" s="12" t="s">
        <v>122</v>
      </c>
      <c r="D1170" s="12" t="s">
        <v>2069</v>
      </c>
      <c r="E1170" s="85">
        <v>176.55</v>
      </c>
      <c r="F1170" s="6">
        <v>5141583</v>
      </c>
      <c r="G1170" s="12" t="s">
        <v>1101</v>
      </c>
      <c r="H1170" s="12" t="s">
        <v>848</v>
      </c>
      <c r="I1170" s="12" t="s">
        <v>849</v>
      </c>
      <c r="J1170" s="84">
        <v>38943</v>
      </c>
      <c r="K1170" s="84">
        <v>49901</v>
      </c>
      <c r="L1170" s="12" t="s">
        <v>1102</v>
      </c>
      <c r="M1170" s="12" t="s">
        <v>1103</v>
      </c>
      <c r="N1170" s="75"/>
    </row>
    <row r="1171" spans="1:14">
      <c r="A1171" s="12">
        <v>1168</v>
      </c>
      <c r="B1171" s="12" t="s">
        <v>3943</v>
      </c>
      <c r="C1171" s="12" t="s">
        <v>122</v>
      </c>
      <c r="D1171" s="12" t="s">
        <v>2612</v>
      </c>
      <c r="E1171" s="85">
        <v>1095.99</v>
      </c>
      <c r="F1171" s="6">
        <v>5685311</v>
      </c>
      <c r="G1171" s="12" t="s">
        <v>1486</v>
      </c>
      <c r="H1171" s="12" t="s">
        <v>755</v>
      </c>
      <c r="I1171" s="12" t="s">
        <v>756</v>
      </c>
      <c r="J1171" s="84">
        <v>41199</v>
      </c>
      <c r="K1171" s="84">
        <v>52156</v>
      </c>
      <c r="L1171" s="12" t="s">
        <v>274</v>
      </c>
      <c r="M1171" s="12" t="s">
        <v>2759</v>
      </c>
      <c r="N1171" s="75"/>
    </row>
    <row r="1172" spans="1:14">
      <c r="A1172" s="12">
        <v>1169</v>
      </c>
      <c r="B1172" s="12" t="s">
        <v>3944</v>
      </c>
      <c r="C1172" s="12" t="s">
        <v>122</v>
      </c>
      <c r="D1172" s="12" t="s">
        <v>1485</v>
      </c>
      <c r="E1172" s="85">
        <v>77.930000000000007</v>
      </c>
      <c r="F1172" s="6">
        <v>5482046</v>
      </c>
      <c r="G1172" s="12" t="s">
        <v>3292</v>
      </c>
      <c r="H1172" s="12" t="s">
        <v>755</v>
      </c>
      <c r="I1172" s="12" t="s">
        <v>756</v>
      </c>
      <c r="J1172" s="84">
        <v>37916</v>
      </c>
      <c r="K1172" s="84">
        <v>48874</v>
      </c>
      <c r="L1172" s="12" t="s">
        <v>274</v>
      </c>
      <c r="M1172" s="12" t="s">
        <v>874</v>
      </c>
      <c r="N1172" s="75"/>
    </row>
    <row r="1173" spans="1:14">
      <c r="A1173" s="12">
        <v>1170</v>
      </c>
      <c r="B1173" s="12" t="s">
        <v>3945</v>
      </c>
      <c r="C1173" s="12" t="s">
        <v>122</v>
      </c>
      <c r="D1173" s="12" t="s">
        <v>2612</v>
      </c>
      <c r="E1173" s="85">
        <v>650.94000000000005</v>
      </c>
      <c r="F1173" s="6">
        <v>5685311</v>
      </c>
      <c r="G1173" s="12" t="s">
        <v>1486</v>
      </c>
      <c r="H1173" s="12" t="s">
        <v>755</v>
      </c>
      <c r="I1173" s="12" t="s">
        <v>756</v>
      </c>
      <c r="J1173" s="84">
        <v>41199</v>
      </c>
      <c r="K1173" s="84">
        <v>52156</v>
      </c>
      <c r="L1173" s="12" t="s">
        <v>274</v>
      </c>
      <c r="M1173" s="12" t="s">
        <v>874</v>
      </c>
      <c r="N1173" s="75"/>
    </row>
    <row r="1174" spans="1:14">
      <c r="A1174" s="12">
        <v>1171</v>
      </c>
      <c r="B1174" s="12" t="s">
        <v>3946</v>
      </c>
      <c r="C1174" s="12" t="s">
        <v>752</v>
      </c>
      <c r="D1174" s="12" t="s">
        <v>3947</v>
      </c>
      <c r="E1174" s="85">
        <v>273.41000000000003</v>
      </c>
      <c r="F1174" s="6">
        <v>2787989</v>
      </c>
      <c r="G1174" s="12" t="s">
        <v>3918</v>
      </c>
      <c r="H1174" s="12" t="s">
        <v>755</v>
      </c>
      <c r="I1174" s="12" t="s">
        <v>756</v>
      </c>
      <c r="J1174" s="84">
        <v>38329</v>
      </c>
      <c r="K1174" s="84">
        <v>49286</v>
      </c>
      <c r="L1174" s="12" t="s">
        <v>274</v>
      </c>
      <c r="M1174" s="12" t="s">
        <v>275</v>
      </c>
      <c r="N1174" s="75"/>
    </row>
    <row r="1175" spans="1:14">
      <c r="A1175" s="12">
        <v>1172</v>
      </c>
      <c r="B1175" s="12" t="s">
        <v>3948</v>
      </c>
      <c r="C1175" s="12" t="s">
        <v>1152</v>
      </c>
      <c r="D1175" s="12" t="s">
        <v>3949</v>
      </c>
      <c r="E1175" s="85">
        <v>12.6</v>
      </c>
      <c r="F1175" s="6">
        <v>2095025</v>
      </c>
      <c r="G1175" s="12" t="s">
        <v>870</v>
      </c>
      <c r="H1175" s="12" t="s">
        <v>755</v>
      </c>
      <c r="I1175" s="12" t="s">
        <v>756</v>
      </c>
      <c r="J1175" s="84">
        <v>42352</v>
      </c>
      <c r="K1175" s="84">
        <v>53310</v>
      </c>
      <c r="L1175" s="12" t="s">
        <v>274</v>
      </c>
      <c r="M1175" s="12" t="s">
        <v>1267</v>
      </c>
      <c r="N1175" s="75"/>
    </row>
    <row r="1176" spans="1:14">
      <c r="A1176" s="12">
        <v>1173</v>
      </c>
      <c r="B1176" s="12" t="s">
        <v>3950</v>
      </c>
      <c r="C1176" s="12" t="s">
        <v>752</v>
      </c>
      <c r="D1176" s="12" t="s">
        <v>3951</v>
      </c>
      <c r="E1176" s="85">
        <v>74.17</v>
      </c>
      <c r="F1176" s="6">
        <v>2081547</v>
      </c>
      <c r="G1176" s="12" t="s">
        <v>3952</v>
      </c>
      <c r="H1176" s="12" t="s">
        <v>755</v>
      </c>
      <c r="I1176" s="12" t="s">
        <v>756</v>
      </c>
      <c r="J1176" s="84">
        <v>37582</v>
      </c>
      <c r="K1176" s="84">
        <v>48470</v>
      </c>
      <c r="L1176" s="12" t="s">
        <v>768</v>
      </c>
      <c r="M1176" s="12" t="s">
        <v>982</v>
      </c>
      <c r="N1176" s="75"/>
    </row>
    <row r="1177" spans="1:14">
      <c r="A1177" s="12">
        <v>1174</v>
      </c>
      <c r="B1177" s="12" t="s">
        <v>3953</v>
      </c>
      <c r="C1177" s="12" t="s">
        <v>752</v>
      </c>
      <c r="D1177" s="12" t="s">
        <v>3951</v>
      </c>
      <c r="E1177" s="85">
        <v>38.61</v>
      </c>
      <c r="F1177" s="6">
        <v>2081547</v>
      </c>
      <c r="G1177" s="12" t="s">
        <v>3952</v>
      </c>
      <c r="H1177" s="12" t="s">
        <v>755</v>
      </c>
      <c r="I1177" s="12" t="s">
        <v>756</v>
      </c>
      <c r="J1177" s="84">
        <v>37582</v>
      </c>
      <c r="K1177" s="84">
        <v>48470</v>
      </c>
      <c r="L1177" s="12" t="s">
        <v>768</v>
      </c>
      <c r="M1177" s="12" t="s">
        <v>982</v>
      </c>
      <c r="N1177" s="75"/>
    </row>
    <row r="1178" spans="1:14">
      <c r="A1178" s="12">
        <v>1175</v>
      </c>
      <c r="B1178" s="12" t="s">
        <v>3954</v>
      </c>
      <c r="C1178" s="12" t="s">
        <v>221</v>
      </c>
      <c r="D1178" s="12" t="s">
        <v>3955</v>
      </c>
      <c r="E1178" s="85">
        <v>80.12</v>
      </c>
      <c r="F1178" s="6">
        <v>5003105</v>
      </c>
      <c r="G1178" s="12" t="s">
        <v>3956</v>
      </c>
      <c r="H1178" s="12" t="s">
        <v>755</v>
      </c>
      <c r="I1178" s="12" t="s">
        <v>756</v>
      </c>
      <c r="J1178" s="84">
        <v>39332</v>
      </c>
      <c r="K1178" s="84">
        <v>50263</v>
      </c>
      <c r="L1178" s="12" t="s">
        <v>304</v>
      </c>
      <c r="M1178" s="12" t="s">
        <v>305</v>
      </c>
      <c r="N1178" s="75"/>
    </row>
    <row r="1179" spans="1:14">
      <c r="A1179" s="12">
        <v>1176</v>
      </c>
      <c r="B1179" s="12" t="s">
        <v>3957</v>
      </c>
      <c r="C1179" s="12" t="s">
        <v>122</v>
      </c>
      <c r="D1179" s="12" t="s">
        <v>3958</v>
      </c>
      <c r="E1179" s="85">
        <v>1835.25</v>
      </c>
      <c r="F1179" s="6">
        <v>5050138</v>
      </c>
      <c r="G1179" s="12" t="s">
        <v>3959</v>
      </c>
      <c r="H1179" s="12" t="s">
        <v>848</v>
      </c>
      <c r="I1179" s="12" t="s">
        <v>849</v>
      </c>
      <c r="J1179" s="84">
        <v>40065</v>
      </c>
      <c r="K1179" s="84">
        <v>51022</v>
      </c>
      <c r="L1179" s="12" t="s">
        <v>170</v>
      </c>
      <c r="M1179" s="12" t="s">
        <v>2444</v>
      </c>
      <c r="N1179" s="75"/>
    </row>
    <row r="1180" spans="1:14">
      <c r="A1180" s="12">
        <v>1177</v>
      </c>
      <c r="B1180" s="12" t="s">
        <v>3960</v>
      </c>
      <c r="C1180" s="12" t="s">
        <v>752</v>
      </c>
      <c r="D1180" s="12" t="s">
        <v>1325</v>
      </c>
      <c r="E1180" s="85">
        <v>30.84</v>
      </c>
      <c r="F1180" s="6">
        <v>2819996</v>
      </c>
      <c r="G1180" s="12" t="s">
        <v>977</v>
      </c>
      <c r="H1180" s="12" t="s">
        <v>755</v>
      </c>
      <c r="I1180" s="12" t="s">
        <v>756</v>
      </c>
      <c r="J1180" s="84">
        <v>38632</v>
      </c>
      <c r="K1180" s="84">
        <v>49589</v>
      </c>
      <c r="L1180" s="12" t="s">
        <v>274</v>
      </c>
      <c r="M1180" s="12" t="s">
        <v>275</v>
      </c>
      <c r="N1180" s="75"/>
    </row>
    <row r="1181" spans="1:14">
      <c r="A1181" s="12">
        <v>1178</v>
      </c>
      <c r="B1181" s="12" t="s">
        <v>3961</v>
      </c>
      <c r="C1181" s="12" t="s">
        <v>752</v>
      </c>
      <c r="D1181" s="12" t="s">
        <v>1325</v>
      </c>
      <c r="E1181" s="85">
        <v>152.75</v>
      </c>
      <c r="F1181" s="6">
        <v>2670801</v>
      </c>
      <c r="G1181" s="12" t="s">
        <v>1863</v>
      </c>
      <c r="H1181" s="12" t="s">
        <v>755</v>
      </c>
      <c r="I1181" s="12" t="s">
        <v>756</v>
      </c>
      <c r="J1181" s="84">
        <v>38632</v>
      </c>
      <c r="K1181" s="84">
        <v>49589</v>
      </c>
      <c r="L1181" s="12" t="s">
        <v>274</v>
      </c>
      <c r="M1181" s="12" t="s">
        <v>275</v>
      </c>
      <c r="N1181" s="75"/>
    </row>
    <row r="1182" spans="1:14">
      <c r="A1182" s="12">
        <v>1179</v>
      </c>
      <c r="B1182" s="12" t="s">
        <v>3962</v>
      </c>
      <c r="C1182" s="12" t="s">
        <v>752</v>
      </c>
      <c r="D1182" s="12" t="s">
        <v>1325</v>
      </c>
      <c r="E1182" s="85">
        <v>207.2</v>
      </c>
      <c r="F1182" s="6">
        <v>2670801</v>
      </c>
      <c r="G1182" s="12" t="s">
        <v>1863</v>
      </c>
      <c r="H1182" s="12" t="s">
        <v>755</v>
      </c>
      <c r="I1182" s="12" t="s">
        <v>756</v>
      </c>
      <c r="J1182" s="84">
        <v>38632</v>
      </c>
      <c r="K1182" s="84">
        <v>49589</v>
      </c>
      <c r="L1182" s="12" t="s">
        <v>831</v>
      </c>
      <c r="M1182" s="12" t="s">
        <v>1326</v>
      </c>
      <c r="N1182" s="75"/>
    </row>
    <row r="1183" spans="1:14">
      <c r="A1183" s="12">
        <v>1180</v>
      </c>
      <c r="B1183" s="12" t="s">
        <v>3963</v>
      </c>
      <c r="C1183" s="12" t="s">
        <v>752</v>
      </c>
      <c r="D1183" s="12" t="s">
        <v>1325</v>
      </c>
      <c r="E1183" s="85">
        <v>533.34</v>
      </c>
      <c r="F1183" s="6">
        <v>2670801</v>
      </c>
      <c r="G1183" s="12" t="s">
        <v>1863</v>
      </c>
      <c r="H1183" s="12" t="s">
        <v>755</v>
      </c>
      <c r="I1183" s="12" t="s">
        <v>756</v>
      </c>
      <c r="J1183" s="84">
        <v>38632</v>
      </c>
      <c r="K1183" s="84">
        <v>49589</v>
      </c>
      <c r="L1183" s="12" t="s">
        <v>831</v>
      </c>
      <c r="M1183" s="12" t="s">
        <v>3964</v>
      </c>
      <c r="N1183" s="75"/>
    </row>
    <row r="1184" spans="1:14">
      <c r="A1184" s="12">
        <v>1181</v>
      </c>
      <c r="B1184" s="12" t="s">
        <v>3965</v>
      </c>
      <c r="C1184" s="12" t="s">
        <v>122</v>
      </c>
      <c r="D1184" s="12" t="s">
        <v>3966</v>
      </c>
      <c r="E1184" s="85">
        <v>549.41</v>
      </c>
      <c r="F1184" s="6">
        <v>5586119</v>
      </c>
      <c r="G1184" s="12" t="s">
        <v>3967</v>
      </c>
      <c r="H1184" s="12" t="s">
        <v>848</v>
      </c>
      <c r="I1184" s="12" t="s">
        <v>849</v>
      </c>
      <c r="J1184" s="84">
        <v>42369</v>
      </c>
      <c r="K1184" s="84">
        <v>53327</v>
      </c>
      <c r="L1184" s="12" t="s">
        <v>3968</v>
      </c>
      <c r="M1184" s="12" t="s">
        <v>3969</v>
      </c>
      <c r="N1184" s="75"/>
    </row>
    <row r="1185" spans="1:14">
      <c r="A1185" s="12">
        <v>1182</v>
      </c>
      <c r="B1185" s="12" t="s">
        <v>3970</v>
      </c>
      <c r="C1185" s="12" t="s">
        <v>122</v>
      </c>
      <c r="D1185" s="12" t="s">
        <v>3971</v>
      </c>
      <c r="E1185" s="85">
        <v>612.70000000000005</v>
      </c>
      <c r="F1185" s="6">
        <v>5586119</v>
      </c>
      <c r="G1185" s="12" t="s">
        <v>3967</v>
      </c>
      <c r="H1185" s="12" t="s">
        <v>848</v>
      </c>
      <c r="I1185" s="12" t="s">
        <v>849</v>
      </c>
      <c r="J1185" s="84">
        <v>42369</v>
      </c>
      <c r="K1185" s="84">
        <v>53327</v>
      </c>
      <c r="L1185" s="12" t="s">
        <v>3968</v>
      </c>
      <c r="M1185" s="12" t="s">
        <v>3969</v>
      </c>
      <c r="N1185" s="75"/>
    </row>
    <row r="1186" spans="1:14">
      <c r="A1186" s="12">
        <v>1183</v>
      </c>
      <c r="B1186" s="12" t="s">
        <v>3972</v>
      </c>
      <c r="C1186" s="12" t="s">
        <v>122</v>
      </c>
      <c r="D1186" s="12" t="s">
        <v>3973</v>
      </c>
      <c r="E1186" s="85">
        <v>7862.71</v>
      </c>
      <c r="F1186" s="6">
        <v>5586119</v>
      </c>
      <c r="G1186" s="12" t="s">
        <v>3967</v>
      </c>
      <c r="H1186" s="12" t="s">
        <v>848</v>
      </c>
      <c r="I1186" s="12" t="s">
        <v>849</v>
      </c>
      <c r="J1186" s="84">
        <v>42369</v>
      </c>
      <c r="K1186" s="84">
        <v>53327</v>
      </c>
      <c r="L1186" s="12" t="s">
        <v>3968</v>
      </c>
      <c r="M1186" s="12" t="s">
        <v>3974</v>
      </c>
      <c r="N1186" s="75"/>
    </row>
    <row r="1187" spans="1:14">
      <c r="A1187" s="12">
        <v>1184</v>
      </c>
      <c r="B1187" s="12" t="s">
        <v>3975</v>
      </c>
      <c r="C1187" s="12" t="s">
        <v>122</v>
      </c>
      <c r="D1187" s="12" t="s">
        <v>313</v>
      </c>
      <c r="E1187" s="85">
        <v>5447.21</v>
      </c>
      <c r="F1187" s="6">
        <v>5586119</v>
      </c>
      <c r="G1187" s="12" t="s">
        <v>3967</v>
      </c>
      <c r="H1187" s="12" t="s">
        <v>848</v>
      </c>
      <c r="I1187" s="12" t="s">
        <v>849</v>
      </c>
      <c r="J1187" s="84">
        <v>42369</v>
      </c>
      <c r="K1187" s="84">
        <v>53327</v>
      </c>
      <c r="L1187" s="12" t="s">
        <v>312</v>
      </c>
      <c r="M1187" s="12" t="s">
        <v>2330</v>
      </c>
      <c r="N1187" s="75"/>
    </row>
    <row r="1188" spans="1:14">
      <c r="A1188" s="12">
        <v>1185</v>
      </c>
      <c r="B1188" s="12" t="s">
        <v>3976</v>
      </c>
      <c r="C1188" s="12" t="s">
        <v>122</v>
      </c>
      <c r="D1188" s="12" t="s">
        <v>3977</v>
      </c>
      <c r="E1188" s="85">
        <v>21893.14</v>
      </c>
      <c r="F1188" s="6">
        <v>5586119</v>
      </c>
      <c r="G1188" s="12" t="s">
        <v>3967</v>
      </c>
      <c r="H1188" s="12" t="s">
        <v>848</v>
      </c>
      <c r="I1188" s="12" t="s">
        <v>849</v>
      </c>
      <c r="J1188" s="84">
        <v>42369</v>
      </c>
      <c r="K1188" s="84">
        <v>53327</v>
      </c>
      <c r="L1188" s="12" t="s">
        <v>312</v>
      </c>
      <c r="M1188" s="12" t="s">
        <v>2330</v>
      </c>
      <c r="N1188" s="75"/>
    </row>
    <row r="1189" spans="1:14">
      <c r="A1189" s="12">
        <v>1186</v>
      </c>
      <c r="B1189" s="12" t="s">
        <v>3978</v>
      </c>
      <c r="C1189" s="12" t="s">
        <v>137</v>
      </c>
      <c r="D1189" s="12" t="s">
        <v>3732</v>
      </c>
      <c r="E1189" s="85">
        <v>25.16</v>
      </c>
      <c r="F1189" s="6">
        <v>5084903</v>
      </c>
      <c r="G1189" s="12" t="s">
        <v>3733</v>
      </c>
      <c r="H1189" s="12" t="s">
        <v>755</v>
      </c>
      <c r="I1189" s="12" t="s">
        <v>756</v>
      </c>
      <c r="J1189" s="84">
        <v>40162</v>
      </c>
      <c r="K1189" s="84">
        <v>50970</v>
      </c>
      <c r="L1189" s="12" t="s">
        <v>138</v>
      </c>
      <c r="M1189" s="12" t="s">
        <v>1591</v>
      </c>
      <c r="N1189" s="75"/>
    </row>
    <row r="1190" spans="1:14">
      <c r="A1190" s="12">
        <v>1187</v>
      </c>
      <c r="B1190" s="12" t="s">
        <v>3979</v>
      </c>
      <c r="C1190" s="12" t="s">
        <v>881</v>
      </c>
      <c r="D1190" s="12" t="s">
        <v>3980</v>
      </c>
      <c r="E1190" s="85">
        <v>101.71</v>
      </c>
      <c r="F1190" s="6">
        <v>5113636</v>
      </c>
      <c r="G1190" s="12" t="s">
        <v>3981</v>
      </c>
      <c r="H1190" s="12" t="s">
        <v>755</v>
      </c>
      <c r="I1190" s="12" t="s">
        <v>756</v>
      </c>
      <c r="J1190" s="84">
        <v>42381</v>
      </c>
      <c r="K1190" s="84">
        <v>53339</v>
      </c>
      <c r="L1190" s="12" t="s">
        <v>233</v>
      </c>
      <c r="M1190" s="12" t="s">
        <v>234</v>
      </c>
      <c r="N1190" s="75"/>
    </row>
    <row r="1191" spans="1:14">
      <c r="A1191" s="12">
        <v>1188</v>
      </c>
      <c r="B1191" s="12" t="s">
        <v>3982</v>
      </c>
      <c r="C1191" s="12" t="s">
        <v>122</v>
      </c>
      <c r="D1191" s="12" t="s">
        <v>3031</v>
      </c>
      <c r="E1191" s="85">
        <v>2473.4</v>
      </c>
      <c r="F1191" s="6">
        <v>5084555</v>
      </c>
      <c r="G1191" s="12" t="s">
        <v>2276</v>
      </c>
      <c r="H1191" s="12" t="s">
        <v>848</v>
      </c>
      <c r="I1191" s="12" t="s">
        <v>849</v>
      </c>
      <c r="J1191" s="84">
        <v>42381</v>
      </c>
      <c r="K1191" s="84">
        <v>53844</v>
      </c>
      <c r="L1191" s="12" t="s">
        <v>233</v>
      </c>
      <c r="M1191" s="12" t="s">
        <v>237</v>
      </c>
      <c r="N1191" s="75"/>
    </row>
    <row r="1192" spans="1:14">
      <c r="A1192" s="12">
        <v>1189</v>
      </c>
      <c r="B1192" s="12" t="s">
        <v>3983</v>
      </c>
      <c r="C1192" s="12" t="s">
        <v>752</v>
      </c>
      <c r="D1192" s="12" t="s">
        <v>3984</v>
      </c>
      <c r="E1192" s="85">
        <v>1417.06</v>
      </c>
      <c r="F1192" s="6">
        <v>6183506</v>
      </c>
      <c r="G1192" s="12" t="s">
        <v>3985</v>
      </c>
      <c r="H1192" s="12" t="s">
        <v>755</v>
      </c>
      <c r="I1192" s="12" t="s">
        <v>756</v>
      </c>
      <c r="J1192" s="84">
        <v>36717</v>
      </c>
      <c r="K1192" s="84">
        <v>48333</v>
      </c>
      <c r="L1192" s="12" t="s">
        <v>1097</v>
      </c>
      <c r="M1192" s="12" t="s">
        <v>1098</v>
      </c>
      <c r="N1192" s="75"/>
    </row>
    <row r="1193" spans="1:14">
      <c r="A1193" s="12">
        <v>1190</v>
      </c>
      <c r="B1193" s="12" t="s">
        <v>3986</v>
      </c>
      <c r="C1193" s="12" t="s">
        <v>122</v>
      </c>
      <c r="D1193" s="12" t="s">
        <v>2957</v>
      </c>
      <c r="E1193" s="85">
        <v>783.36</v>
      </c>
      <c r="F1193" s="6">
        <v>5106656</v>
      </c>
      <c r="G1193" s="12" t="s">
        <v>3987</v>
      </c>
      <c r="H1193" s="12" t="s">
        <v>755</v>
      </c>
      <c r="I1193" s="12" t="s">
        <v>756</v>
      </c>
      <c r="J1193" s="84">
        <v>42390</v>
      </c>
      <c r="K1193" s="84">
        <v>53348</v>
      </c>
      <c r="L1193" s="12" t="s">
        <v>138</v>
      </c>
      <c r="M1193" s="12" t="s">
        <v>138</v>
      </c>
      <c r="N1193" s="75"/>
    </row>
    <row r="1194" spans="1:14">
      <c r="A1194" s="12">
        <v>1191</v>
      </c>
      <c r="B1194" s="12" t="s">
        <v>3988</v>
      </c>
      <c r="C1194" s="12" t="s">
        <v>122</v>
      </c>
      <c r="D1194" s="12" t="s">
        <v>3989</v>
      </c>
      <c r="E1194" s="85">
        <v>8796.3700000000008</v>
      </c>
      <c r="F1194" s="6">
        <v>5084555</v>
      </c>
      <c r="G1194" s="12" t="s">
        <v>2276</v>
      </c>
      <c r="H1194" s="12" t="s">
        <v>848</v>
      </c>
      <c r="I1194" s="12" t="s">
        <v>849</v>
      </c>
      <c r="J1194" s="84">
        <v>42394</v>
      </c>
      <c r="K1194" s="84">
        <v>53858</v>
      </c>
      <c r="L1194" s="12" t="s">
        <v>233</v>
      </c>
      <c r="M1194" s="12" t="s">
        <v>3032</v>
      </c>
      <c r="N1194" s="75"/>
    </row>
    <row r="1195" spans="1:14">
      <c r="A1195" s="12">
        <v>1192</v>
      </c>
      <c r="B1195" s="12" t="s">
        <v>3990</v>
      </c>
      <c r="C1195" s="12" t="s">
        <v>212</v>
      </c>
      <c r="D1195" s="12" t="s">
        <v>3401</v>
      </c>
      <c r="E1195" s="85">
        <v>157.38</v>
      </c>
      <c r="F1195" s="6">
        <v>5215331</v>
      </c>
      <c r="G1195" s="12" t="s">
        <v>3143</v>
      </c>
      <c r="H1195" s="12" t="s">
        <v>848</v>
      </c>
      <c r="I1195" s="12" t="s">
        <v>849</v>
      </c>
      <c r="J1195" s="84">
        <v>42396</v>
      </c>
      <c r="K1195" s="84">
        <v>53354</v>
      </c>
      <c r="L1195" s="12" t="s">
        <v>170</v>
      </c>
      <c r="M1195" s="12" t="s">
        <v>171</v>
      </c>
      <c r="N1195" s="75"/>
    </row>
    <row r="1196" spans="1:14">
      <c r="A1196" s="12">
        <v>1193</v>
      </c>
      <c r="B1196" s="12" t="s">
        <v>3991</v>
      </c>
      <c r="C1196" s="12" t="s">
        <v>147</v>
      </c>
      <c r="D1196" s="12" t="s">
        <v>3992</v>
      </c>
      <c r="E1196" s="85">
        <v>1840.53</v>
      </c>
      <c r="F1196" s="6">
        <v>2715619</v>
      </c>
      <c r="G1196" s="12" t="s">
        <v>3826</v>
      </c>
      <c r="H1196" s="12" t="s">
        <v>766</v>
      </c>
      <c r="I1196" s="12" t="s">
        <v>767</v>
      </c>
      <c r="J1196" s="84">
        <v>42404</v>
      </c>
      <c r="K1196" s="84">
        <v>53362</v>
      </c>
      <c r="L1196" s="12" t="s">
        <v>274</v>
      </c>
      <c r="M1196" s="12" t="s">
        <v>2327</v>
      </c>
      <c r="N1196" s="75"/>
    </row>
    <row r="1197" spans="1:14">
      <c r="A1197" s="12">
        <v>1194</v>
      </c>
      <c r="B1197" s="12" t="s">
        <v>3993</v>
      </c>
      <c r="C1197" s="12" t="s">
        <v>1818</v>
      </c>
      <c r="D1197" s="12" t="s">
        <v>777</v>
      </c>
      <c r="E1197" s="85">
        <v>83.27</v>
      </c>
      <c r="F1197" s="6">
        <v>5352959</v>
      </c>
      <c r="G1197" s="12" t="s">
        <v>2065</v>
      </c>
      <c r="H1197" s="12" t="s">
        <v>848</v>
      </c>
      <c r="I1197" s="12" t="s">
        <v>849</v>
      </c>
      <c r="J1197" s="84">
        <v>42404</v>
      </c>
      <c r="K1197" s="84">
        <v>53362</v>
      </c>
      <c r="L1197" s="12" t="s">
        <v>293</v>
      </c>
      <c r="M1197" s="12" t="s">
        <v>1206</v>
      </c>
      <c r="N1197" s="75"/>
    </row>
    <row r="1198" spans="1:14">
      <c r="A1198" s="12">
        <v>1195</v>
      </c>
      <c r="B1198" s="12" t="s">
        <v>3994</v>
      </c>
      <c r="C1198" s="12" t="s">
        <v>122</v>
      </c>
      <c r="D1198" s="12" t="s">
        <v>3995</v>
      </c>
      <c r="E1198" s="85">
        <v>1082.71</v>
      </c>
      <c r="F1198" s="6">
        <v>5137438</v>
      </c>
      <c r="G1198" s="12" t="s">
        <v>3996</v>
      </c>
      <c r="H1198" s="12" t="s">
        <v>848</v>
      </c>
      <c r="I1198" s="12" t="s">
        <v>849</v>
      </c>
      <c r="J1198" s="84">
        <v>42408</v>
      </c>
      <c r="K1198" s="84">
        <v>53366</v>
      </c>
      <c r="L1198" s="12" t="s">
        <v>233</v>
      </c>
      <c r="M1198" s="12" t="s">
        <v>1755</v>
      </c>
      <c r="N1198" s="75"/>
    </row>
    <row r="1199" spans="1:14">
      <c r="A1199" s="12">
        <v>1196</v>
      </c>
      <c r="B1199" s="12" t="s">
        <v>3997</v>
      </c>
      <c r="C1199" s="12" t="s">
        <v>137</v>
      </c>
      <c r="D1199" s="12" t="s">
        <v>3671</v>
      </c>
      <c r="E1199" s="85">
        <v>71.66</v>
      </c>
      <c r="F1199" s="6">
        <v>5473055</v>
      </c>
      <c r="G1199" s="12" t="s">
        <v>3672</v>
      </c>
      <c r="H1199" s="12" t="s">
        <v>755</v>
      </c>
      <c r="I1199" s="12" t="s">
        <v>756</v>
      </c>
      <c r="J1199" s="84">
        <v>42424</v>
      </c>
      <c r="K1199" s="84">
        <v>53382</v>
      </c>
      <c r="L1199" s="12" t="s">
        <v>170</v>
      </c>
      <c r="M1199" s="12" t="s">
        <v>171</v>
      </c>
      <c r="N1199" s="75"/>
    </row>
    <row r="1200" spans="1:14">
      <c r="A1200" s="12">
        <v>1197</v>
      </c>
      <c r="B1200" s="12" t="s">
        <v>3998</v>
      </c>
      <c r="C1200" s="12" t="s">
        <v>221</v>
      </c>
      <c r="D1200" s="12" t="s">
        <v>1476</v>
      </c>
      <c r="E1200" s="85">
        <v>3000.62</v>
      </c>
      <c r="F1200" s="6">
        <v>5108195</v>
      </c>
      <c r="G1200" s="12" t="s">
        <v>3999</v>
      </c>
      <c r="H1200" s="12" t="s">
        <v>755</v>
      </c>
      <c r="I1200" s="12" t="s">
        <v>756</v>
      </c>
      <c r="J1200" s="84">
        <v>42429</v>
      </c>
      <c r="K1200" s="84">
        <v>53386</v>
      </c>
      <c r="L1200" s="12" t="s">
        <v>375</v>
      </c>
      <c r="M1200" s="12" t="s">
        <v>3086</v>
      </c>
      <c r="N1200" s="75"/>
    </row>
    <row r="1201" spans="1:14">
      <c r="A1201" s="12">
        <v>1198</v>
      </c>
      <c r="B1201" s="12" t="s">
        <v>4000</v>
      </c>
      <c r="C1201" s="12" t="s">
        <v>752</v>
      </c>
      <c r="D1201" s="12" t="s">
        <v>4001</v>
      </c>
      <c r="E1201" s="85">
        <v>154.28</v>
      </c>
      <c r="F1201" s="6">
        <v>5619483</v>
      </c>
      <c r="G1201" s="12" t="s">
        <v>4002</v>
      </c>
      <c r="H1201" s="12" t="s">
        <v>848</v>
      </c>
      <c r="I1201" s="12" t="s">
        <v>849</v>
      </c>
      <c r="J1201" s="84">
        <v>37554</v>
      </c>
      <c r="K1201" s="84">
        <v>48478</v>
      </c>
      <c r="L1201" s="12" t="s">
        <v>274</v>
      </c>
      <c r="M1201" s="12" t="s">
        <v>4003</v>
      </c>
      <c r="N1201" s="75"/>
    </row>
    <row r="1202" spans="1:14">
      <c r="A1202" s="12">
        <v>1199</v>
      </c>
      <c r="B1202" s="12" t="s">
        <v>4004</v>
      </c>
      <c r="C1202" s="12" t="s">
        <v>752</v>
      </c>
      <c r="D1202" s="12" t="s">
        <v>4005</v>
      </c>
      <c r="E1202" s="85">
        <v>612.66999999999996</v>
      </c>
      <c r="F1202" s="6">
        <v>2091798</v>
      </c>
      <c r="G1202" s="12" t="s">
        <v>2262</v>
      </c>
      <c r="H1202" s="12" t="s">
        <v>755</v>
      </c>
      <c r="I1202" s="12" t="s">
        <v>756</v>
      </c>
      <c r="J1202" s="84">
        <v>42433</v>
      </c>
      <c r="K1202" s="84">
        <v>53390</v>
      </c>
      <c r="L1202" s="12" t="s">
        <v>274</v>
      </c>
      <c r="M1202" s="12" t="s">
        <v>275</v>
      </c>
      <c r="N1202" s="75"/>
    </row>
    <row r="1203" spans="1:14">
      <c r="A1203" s="12">
        <v>1200</v>
      </c>
      <c r="B1203" s="12" t="s">
        <v>4006</v>
      </c>
      <c r="C1203" s="12" t="s">
        <v>752</v>
      </c>
      <c r="D1203" s="12" t="s">
        <v>2485</v>
      </c>
      <c r="E1203" s="85">
        <v>630.01</v>
      </c>
      <c r="F1203" s="6">
        <v>5073189</v>
      </c>
      <c r="G1203" s="12" t="s">
        <v>1293</v>
      </c>
      <c r="H1203" s="12" t="s">
        <v>755</v>
      </c>
      <c r="I1203" s="12" t="s">
        <v>756</v>
      </c>
      <c r="J1203" s="84">
        <v>42433</v>
      </c>
      <c r="K1203" s="84">
        <v>53390</v>
      </c>
      <c r="L1203" s="12" t="s">
        <v>274</v>
      </c>
      <c r="M1203" s="12" t="s">
        <v>275</v>
      </c>
      <c r="N1203" s="75"/>
    </row>
    <row r="1204" spans="1:14">
      <c r="A1204" s="12">
        <v>1201</v>
      </c>
      <c r="B1204" s="12" t="s">
        <v>4007</v>
      </c>
      <c r="C1204" s="12" t="s">
        <v>881</v>
      </c>
      <c r="D1204" s="12" t="s">
        <v>3004</v>
      </c>
      <c r="E1204" s="85">
        <v>75.58</v>
      </c>
      <c r="F1204" s="6">
        <v>2028239</v>
      </c>
      <c r="G1204" s="12" t="s">
        <v>4008</v>
      </c>
      <c r="H1204" s="12" t="s">
        <v>755</v>
      </c>
      <c r="I1204" s="12" t="s">
        <v>756</v>
      </c>
      <c r="J1204" s="84">
        <v>42445</v>
      </c>
      <c r="K1204" s="84">
        <v>53402</v>
      </c>
      <c r="L1204" s="12" t="s">
        <v>128</v>
      </c>
      <c r="M1204" s="12" t="s">
        <v>291</v>
      </c>
      <c r="N1204" s="75"/>
    </row>
    <row r="1205" spans="1:14">
      <c r="A1205" s="12">
        <v>1202</v>
      </c>
      <c r="B1205" s="12" t="s">
        <v>4009</v>
      </c>
      <c r="C1205" s="12" t="s">
        <v>979</v>
      </c>
      <c r="D1205" s="12" t="s">
        <v>4010</v>
      </c>
      <c r="E1205" s="85">
        <v>520.78</v>
      </c>
      <c r="F1205" s="6">
        <v>5116635</v>
      </c>
      <c r="G1205" s="12" t="s">
        <v>4011</v>
      </c>
      <c r="H1205" s="12" t="s">
        <v>755</v>
      </c>
      <c r="I1205" s="12" t="s">
        <v>756</v>
      </c>
      <c r="J1205" s="84">
        <v>38932</v>
      </c>
      <c r="K1205" s="84">
        <v>49890</v>
      </c>
      <c r="L1205" s="12" t="s">
        <v>288</v>
      </c>
      <c r="M1205" s="12" t="s">
        <v>1575</v>
      </c>
      <c r="N1205" s="75"/>
    </row>
    <row r="1206" spans="1:14">
      <c r="A1206" s="12">
        <v>1203</v>
      </c>
      <c r="B1206" s="12" t="s">
        <v>4012</v>
      </c>
      <c r="C1206" s="12" t="s">
        <v>1547</v>
      </c>
      <c r="D1206" s="12" t="s">
        <v>2448</v>
      </c>
      <c r="E1206" s="85">
        <v>1561.28</v>
      </c>
      <c r="F1206" s="6">
        <v>5376637</v>
      </c>
      <c r="G1206" s="12" t="s">
        <v>4013</v>
      </c>
      <c r="H1206" s="12" t="s">
        <v>766</v>
      </c>
      <c r="I1206" s="12" t="s">
        <v>767</v>
      </c>
      <c r="J1206" s="84">
        <v>42452</v>
      </c>
      <c r="K1206" s="84">
        <v>53409</v>
      </c>
      <c r="L1206" s="12" t="s">
        <v>170</v>
      </c>
      <c r="M1206" s="12" t="s">
        <v>2450</v>
      </c>
      <c r="N1206" s="75"/>
    </row>
    <row r="1207" spans="1:14">
      <c r="A1207" s="12">
        <v>1204</v>
      </c>
      <c r="B1207" s="12" t="s">
        <v>4014</v>
      </c>
      <c r="C1207" s="12" t="s">
        <v>979</v>
      </c>
      <c r="D1207" s="12" t="s">
        <v>3295</v>
      </c>
      <c r="E1207" s="85">
        <v>50.2</v>
      </c>
      <c r="F1207" s="6">
        <v>5116635</v>
      </c>
      <c r="G1207" s="12" t="s">
        <v>4011</v>
      </c>
      <c r="H1207" s="12" t="s">
        <v>755</v>
      </c>
      <c r="I1207" s="12" t="s">
        <v>756</v>
      </c>
      <c r="J1207" s="84">
        <v>38935</v>
      </c>
      <c r="K1207" s="84">
        <v>49893</v>
      </c>
      <c r="L1207" s="12" t="s">
        <v>288</v>
      </c>
      <c r="M1207" s="12" t="s">
        <v>1575</v>
      </c>
      <c r="N1207" s="75"/>
    </row>
    <row r="1208" spans="1:14">
      <c r="A1208" s="12">
        <v>1205</v>
      </c>
      <c r="B1208" s="12" t="s">
        <v>4015</v>
      </c>
      <c r="C1208" s="12" t="s">
        <v>1152</v>
      </c>
      <c r="D1208" s="12" t="s">
        <v>4016</v>
      </c>
      <c r="E1208" s="85">
        <v>44.38</v>
      </c>
      <c r="F1208" s="6">
        <v>4000617</v>
      </c>
      <c r="G1208" s="12" t="s">
        <v>4017</v>
      </c>
      <c r="H1208" s="12" t="s">
        <v>755</v>
      </c>
      <c r="I1208" s="12" t="s">
        <v>756</v>
      </c>
      <c r="J1208" s="84">
        <v>42459</v>
      </c>
      <c r="K1208" s="84">
        <v>53416</v>
      </c>
      <c r="L1208" s="12" t="s">
        <v>782</v>
      </c>
      <c r="M1208" s="12" t="s">
        <v>2766</v>
      </c>
      <c r="N1208" s="75"/>
    </row>
    <row r="1209" spans="1:14">
      <c r="A1209" s="12">
        <v>1206</v>
      </c>
      <c r="B1209" s="12" t="s">
        <v>4018</v>
      </c>
      <c r="C1209" s="12" t="s">
        <v>3840</v>
      </c>
      <c r="D1209" s="12" t="s">
        <v>4019</v>
      </c>
      <c r="E1209" s="85">
        <v>529.38</v>
      </c>
      <c r="F1209" s="6">
        <v>5179394</v>
      </c>
      <c r="G1209" s="12" t="s">
        <v>4020</v>
      </c>
      <c r="H1209" s="12" t="s">
        <v>848</v>
      </c>
      <c r="I1209" s="12" t="s">
        <v>849</v>
      </c>
      <c r="J1209" s="84">
        <v>42467</v>
      </c>
      <c r="K1209" s="84">
        <v>53424</v>
      </c>
      <c r="L1209" s="12" t="s">
        <v>274</v>
      </c>
      <c r="M1209" s="12" t="s">
        <v>944</v>
      </c>
      <c r="N1209" s="75"/>
    </row>
    <row r="1210" spans="1:14">
      <c r="A1210" s="12">
        <v>1207</v>
      </c>
      <c r="B1210" s="12" t="s">
        <v>4021</v>
      </c>
      <c r="C1210" s="12" t="s">
        <v>979</v>
      </c>
      <c r="D1210" s="12" t="s">
        <v>4022</v>
      </c>
      <c r="E1210" s="85">
        <v>1445.3</v>
      </c>
      <c r="F1210" s="6">
        <v>5328772</v>
      </c>
      <c r="G1210" s="12" t="s">
        <v>4023</v>
      </c>
      <c r="H1210" s="12" t="s">
        <v>848</v>
      </c>
      <c r="I1210" s="12" t="s">
        <v>849</v>
      </c>
      <c r="J1210" s="84">
        <v>42460</v>
      </c>
      <c r="K1210" s="84">
        <v>53417</v>
      </c>
      <c r="L1210" s="12" t="s">
        <v>274</v>
      </c>
      <c r="M1210" s="12" t="s">
        <v>813</v>
      </c>
      <c r="N1210" s="75"/>
    </row>
    <row r="1211" spans="1:14">
      <c r="A1211" s="12">
        <v>1208</v>
      </c>
      <c r="B1211" s="12" t="s">
        <v>4024</v>
      </c>
      <c r="C1211" s="12" t="s">
        <v>1027</v>
      </c>
      <c r="D1211" s="12" t="s">
        <v>4025</v>
      </c>
      <c r="E1211" s="85">
        <v>49.6</v>
      </c>
      <c r="F1211" s="6">
        <v>2772388</v>
      </c>
      <c r="G1211" s="12" t="s">
        <v>4026</v>
      </c>
      <c r="H1211" s="12" t="s">
        <v>848</v>
      </c>
      <c r="I1211" s="12" t="s">
        <v>849</v>
      </c>
      <c r="J1211" s="84">
        <v>38485</v>
      </c>
      <c r="K1211" s="84">
        <v>49442</v>
      </c>
      <c r="L1211" s="12" t="s">
        <v>128</v>
      </c>
      <c r="M1211" s="12" t="s">
        <v>862</v>
      </c>
      <c r="N1211" s="75"/>
    </row>
    <row r="1212" spans="1:14">
      <c r="A1212" s="12">
        <v>1209</v>
      </c>
      <c r="B1212" s="12" t="s">
        <v>4027</v>
      </c>
      <c r="C1212" s="12" t="s">
        <v>979</v>
      </c>
      <c r="D1212" s="12" t="s">
        <v>3103</v>
      </c>
      <c r="E1212" s="85">
        <v>424.73</v>
      </c>
      <c r="F1212" s="6">
        <v>6043593</v>
      </c>
      <c r="G1212" s="12" t="s">
        <v>4028</v>
      </c>
      <c r="H1212" s="12" t="s">
        <v>755</v>
      </c>
      <c r="I1212" s="12" t="s">
        <v>756</v>
      </c>
      <c r="J1212" s="84">
        <v>41320</v>
      </c>
      <c r="K1212" s="84">
        <v>52277</v>
      </c>
      <c r="L1212" s="12" t="s">
        <v>274</v>
      </c>
      <c r="M1212" s="12" t="s">
        <v>874</v>
      </c>
      <c r="N1212" s="75"/>
    </row>
    <row r="1213" spans="1:14">
      <c r="A1213" s="12">
        <v>1210</v>
      </c>
      <c r="B1213" s="12" t="s">
        <v>4029</v>
      </c>
      <c r="C1213" s="12" t="s">
        <v>752</v>
      </c>
      <c r="D1213" s="12" t="s">
        <v>3641</v>
      </c>
      <c r="E1213" s="85">
        <v>303.85000000000002</v>
      </c>
      <c r="F1213" s="6">
        <v>5070937</v>
      </c>
      <c r="G1213" s="12" t="s">
        <v>4030</v>
      </c>
      <c r="H1213" s="12" t="s">
        <v>755</v>
      </c>
      <c r="I1213" s="12" t="s">
        <v>756</v>
      </c>
      <c r="J1213" s="84">
        <v>41758</v>
      </c>
      <c r="K1213" s="84">
        <v>52716</v>
      </c>
      <c r="L1213" s="12" t="s">
        <v>123</v>
      </c>
      <c r="M1213" s="12" t="s">
        <v>889</v>
      </c>
      <c r="N1213" s="75"/>
    </row>
    <row r="1214" spans="1:14">
      <c r="A1214" s="12">
        <v>1211</v>
      </c>
      <c r="B1214" s="12" t="s">
        <v>4031</v>
      </c>
      <c r="C1214" s="12" t="s">
        <v>122</v>
      </c>
      <c r="D1214" s="12" t="s">
        <v>4032</v>
      </c>
      <c r="E1214" s="85">
        <v>1799.64</v>
      </c>
      <c r="F1214" s="6">
        <v>6015093</v>
      </c>
      <c r="G1214" s="12" t="s">
        <v>4033</v>
      </c>
      <c r="H1214" s="12" t="s">
        <v>755</v>
      </c>
      <c r="I1214" s="12" t="s">
        <v>756</v>
      </c>
      <c r="J1214" s="84">
        <v>42482</v>
      </c>
      <c r="K1214" s="84">
        <v>53859</v>
      </c>
      <c r="L1214" s="12" t="s">
        <v>233</v>
      </c>
      <c r="M1214" s="12" t="s">
        <v>237</v>
      </c>
      <c r="N1214" s="75"/>
    </row>
    <row r="1215" spans="1:14">
      <c r="A1215" s="12">
        <v>1212</v>
      </c>
      <c r="B1215" s="12" t="s">
        <v>4034</v>
      </c>
      <c r="C1215" s="12" t="s">
        <v>4035</v>
      </c>
      <c r="D1215" s="12" t="s">
        <v>2754</v>
      </c>
      <c r="E1215" s="85">
        <v>251.44</v>
      </c>
      <c r="F1215" s="6">
        <v>2872722</v>
      </c>
      <c r="G1215" s="12" t="s">
        <v>4036</v>
      </c>
      <c r="H1215" s="12" t="s">
        <v>755</v>
      </c>
      <c r="I1215" s="12" t="s">
        <v>756</v>
      </c>
      <c r="J1215" s="84">
        <v>42482</v>
      </c>
      <c r="K1215" s="84">
        <v>53439</v>
      </c>
      <c r="L1215" s="12" t="s">
        <v>836</v>
      </c>
      <c r="M1215" s="12" t="s">
        <v>837</v>
      </c>
      <c r="N1215" s="75"/>
    </row>
    <row r="1216" spans="1:14">
      <c r="A1216" s="12">
        <v>1213</v>
      </c>
      <c r="B1216" s="12" t="s">
        <v>4037</v>
      </c>
      <c r="C1216" s="12" t="s">
        <v>752</v>
      </c>
      <c r="D1216" s="12" t="s">
        <v>4038</v>
      </c>
      <c r="E1216" s="85">
        <v>864.23</v>
      </c>
      <c r="F1216" s="6">
        <v>5260833</v>
      </c>
      <c r="G1216" s="12" t="s">
        <v>4039</v>
      </c>
      <c r="H1216" s="12" t="s">
        <v>755</v>
      </c>
      <c r="I1216" s="12" t="s">
        <v>756</v>
      </c>
      <c r="J1216" s="84">
        <v>42494</v>
      </c>
      <c r="K1216" s="84">
        <v>54130</v>
      </c>
      <c r="L1216" s="12" t="s">
        <v>782</v>
      </c>
      <c r="M1216" s="12" t="s">
        <v>2842</v>
      </c>
      <c r="N1216" s="75"/>
    </row>
    <row r="1217" spans="1:14">
      <c r="A1217" s="12">
        <v>1214</v>
      </c>
      <c r="B1217" s="12" t="s">
        <v>4040</v>
      </c>
      <c r="C1217" s="12" t="s">
        <v>4041</v>
      </c>
      <c r="D1217" s="12" t="s">
        <v>3544</v>
      </c>
      <c r="E1217" s="85">
        <v>2899.28</v>
      </c>
      <c r="F1217" s="6">
        <v>5176727</v>
      </c>
      <c r="G1217" s="12" t="s">
        <v>4042</v>
      </c>
      <c r="H1217" s="12" t="s">
        <v>766</v>
      </c>
      <c r="I1217" s="12" t="s">
        <v>767</v>
      </c>
      <c r="J1217" s="84">
        <v>42502</v>
      </c>
      <c r="K1217" s="84">
        <v>53912</v>
      </c>
      <c r="L1217" s="12" t="s">
        <v>233</v>
      </c>
      <c r="M1217" s="12" t="s">
        <v>237</v>
      </c>
      <c r="N1217" s="75"/>
    </row>
    <row r="1218" spans="1:14">
      <c r="A1218" s="12">
        <v>1215</v>
      </c>
      <c r="B1218" s="12" t="s">
        <v>4043</v>
      </c>
      <c r="C1218" s="12" t="s">
        <v>752</v>
      </c>
      <c r="D1218" s="12" t="s">
        <v>4044</v>
      </c>
      <c r="E1218" s="85">
        <v>534.53</v>
      </c>
      <c r="F1218" s="6">
        <v>2628058</v>
      </c>
      <c r="G1218" s="12" t="s">
        <v>4045</v>
      </c>
      <c r="H1218" s="12" t="s">
        <v>755</v>
      </c>
      <c r="I1218" s="12" t="s">
        <v>756</v>
      </c>
      <c r="J1218" s="84">
        <v>38727</v>
      </c>
      <c r="K1218" s="84">
        <v>49684</v>
      </c>
      <c r="L1218" s="12" t="s">
        <v>304</v>
      </c>
      <c r="M1218" s="12" t="s">
        <v>773</v>
      </c>
      <c r="N1218" s="75"/>
    </row>
    <row r="1219" spans="1:14">
      <c r="A1219" s="12">
        <v>1216</v>
      </c>
      <c r="B1219" s="12" t="s">
        <v>4046</v>
      </c>
      <c r="C1219" s="12" t="s">
        <v>752</v>
      </c>
      <c r="D1219" s="12" t="s">
        <v>4047</v>
      </c>
      <c r="E1219" s="85">
        <v>326.52999999999997</v>
      </c>
      <c r="F1219" s="6">
        <v>5515882</v>
      </c>
      <c r="G1219" s="12" t="s">
        <v>1734</v>
      </c>
      <c r="H1219" s="12" t="s">
        <v>755</v>
      </c>
      <c r="I1219" s="12" t="s">
        <v>756</v>
      </c>
      <c r="J1219" s="84">
        <v>42506</v>
      </c>
      <c r="K1219" s="84">
        <v>53463</v>
      </c>
      <c r="L1219" s="12" t="s">
        <v>304</v>
      </c>
      <c r="M1219" s="12" t="s">
        <v>1634</v>
      </c>
      <c r="N1219" s="75"/>
    </row>
    <row r="1220" spans="1:14">
      <c r="A1220" s="12">
        <v>1217</v>
      </c>
      <c r="B1220" s="12" t="s">
        <v>4048</v>
      </c>
      <c r="C1220" s="12" t="s">
        <v>752</v>
      </c>
      <c r="D1220" s="12" t="s">
        <v>2177</v>
      </c>
      <c r="E1220" s="85">
        <v>242.16</v>
      </c>
      <c r="F1220" s="6">
        <v>2881934</v>
      </c>
      <c r="G1220" s="12" t="s">
        <v>1222</v>
      </c>
      <c r="H1220" s="12" t="s">
        <v>755</v>
      </c>
      <c r="I1220" s="12" t="s">
        <v>756</v>
      </c>
      <c r="J1220" s="84">
        <v>39288</v>
      </c>
      <c r="K1220" s="84">
        <v>51630</v>
      </c>
      <c r="L1220" s="12" t="s">
        <v>304</v>
      </c>
      <c r="M1220" s="12" t="s">
        <v>773</v>
      </c>
      <c r="N1220" s="75"/>
    </row>
    <row r="1221" spans="1:14">
      <c r="A1221" s="12">
        <v>1218</v>
      </c>
      <c r="B1221" s="12" t="s">
        <v>4049</v>
      </c>
      <c r="C1221" s="12" t="s">
        <v>212</v>
      </c>
      <c r="D1221" s="12" t="s">
        <v>4050</v>
      </c>
      <c r="E1221" s="85">
        <v>63.2</v>
      </c>
      <c r="F1221" s="6">
        <v>5248809</v>
      </c>
      <c r="G1221" s="12" t="s">
        <v>1318</v>
      </c>
      <c r="H1221" s="12" t="s">
        <v>848</v>
      </c>
      <c r="I1221" s="12" t="s">
        <v>849</v>
      </c>
      <c r="J1221" s="84">
        <v>42513</v>
      </c>
      <c r="K1221" s="84">
        <v>53470</v>
      </c>
      <c r="L1221" s="12" t="s">
        <v>138</v>
      </c>
      <c r="M1221" s="12" t="s">
        <v>1216</v>
      </c>
      <c r="N1221" s="75"/>
    </row>
    <row r="1222" spans="1:14">
      <c r="A1222" s="12">
        <v>1219</v>
      </c>
      <c r="B1222" s="12" t="s">
        <v>4051</v>
      </c>
      <c r="C1222" s="12" t="s">
        <v>137</v>
      </c>
      <c r="D1222" s="12" t="s">
        <v>806</v>
      </c>
      <c r="E1222" s="85">
        <v>86.73</v>
      </c>
      <c r="F1222" s="6">
        <v>2654652</v>
      </c>
      <c r="G1222" s="12" t="s">
        <v>4052</v>
      </c>
      <c r="H1222" s="12" t="s">
        <v>755</v>
      </c>
      <c r="I1222" s="12" t="s">
        <v>756</v>
      </c>
      <c r="J1222" s="84">
        <v>42516</v>
      </c>
      <c r="K1222" s="84">
        <v>53473</v>
      </c>
      <c r="L1222" s="12" t="s">
        <v>170</v>
      </c>
      <c r="M1222" s="12" t="s">
        <v>171</v>
      </c>
      <c r="N1222" s="75"/>
    </row>
    <row r="1223" spans="1:14">
      <c r="A1223" s="12">
        <v>1220</v>
      </c>
      <c r="B1223" s="12" t="s">
        <v>4053</v>
      </c>
      <c r="C1223" s="12" t="s">
        <v>147</v>
      </c>
      <c r="D1223" s="12" t="s">
        <v>4054</v>
      </c>
      <c r="E1223" s="85">
        <v>989.9</v>
      </c>
      <c r="F1223" s="6">
        <v>5353246</v>
      </c>
      <c r="G1223" s="12" t="s">
        <v>4055</v>
      </c>
      <c r="H1223" s="12" t="s">
        <v>755</v>
      </c>
      <c r="I1223" s="12" t="s">
        <v>756</v>
      </c>
      <c r="J1223" s="84">
        <v>42516</v>
      </c>
      <c r="K1223" s="84">
        <v>53473</v>
      </c>
      <c r="L1223" s="12" t="s">
        <v>768</v>
      </c>
      <c r="M1223" s="12" t="s">
        <v>884</v>
      </c>
      <c r="N1223" s="75"/>
    </row>
    <row r="1224" spans="1:14">
      <c r="A1224" s="12">
        <v>1221</v>
      </c>
      <c r="B1224" s="12" t="s">
        <v>4056</v>
      </c>
      <c r="C1224" s="12" t="s">
        <v>147</v>
      </c>
      <c r="D1224" s="12" t="s">
        <v>1533</v>
      </c>
      <c r="E1224" s="85">
        <v>979.68</v>
      </c>
      <c r="F1224" s="6">
        <v>5353246</v>
      </c>
      <c r="G1224" s="12" t="s">
        <v>4055</v>
      </c>
      <c r="H1224" s="12" t="s">
        <v>755</v>
      </c>
      <c r="I1224" s="12" t="s">
        <v>756</v>
      </c>
      <c r="J1224" s="84">
        <v>42516</v>
      </c>
      <c r="K1224" s="84">
        <v>53473</v>
      </c>
      <c r="L1224" s="12" t="s">
        <v>768</v>
      </c>
      <c r="M1224" s="12" t="s">
        <v>884</v>
      </c>
      <c r="N1224" s="75"/>
    </row>
    <row r="1225" spans="1:14">
      <c r="A1225" s="12">
        <v>1222</v>
      </c>
      <c r="B1225" s="12" t="s">
        <v>4057</v>
      </c>
      <c r="C1225" s="12" t="s">
        <v>147</v>
      </c>
      <c r="D1225" s="12" t="s">
        <v>4058</v>
      </c>
      <c r="E1225" s="85">
        <v>309.35000000000002</v>
      </c>
      <c r="F1225" s="6">
        <v>5353246</v>
      </c>
      <c r="G1225" s="12" t="s">
        <v>4055</v>
      </c>
      <c r="H1225" s="12" t="s">
        <v>755</v>
      </c>
      <c r="I1225" s="12" t="s">
        <v>756</v>
      </c>
      <c r="J1225" s="84">
        <v>42516</v>
      </c>
      <c r="K1225" s="84">
        <v>53473</v>
      </c>
      <c r="L1225" s="12" t="s">
        <v>768</v>
      </c>
      <c r="M1225" s="12" t="s">
        <v>884</v>
      </c>
      <c r="N1225" s="75"/>
    </row>
    <row r="1226" spans="1:14">
      <c r="A1226" s="12">
        <v>1223</v>
      </c>
      <c r="B1226" s="12" t="s">
        <v>4059</v>
      </c>
      <c r="C1226" s="12" t="s">
        <v>147</v>
      </c>
      <c r="D1226" s="12" t="s">
        <v>4060</v>
      </c>
      <c r="E1226" s="85">
        <v>494.93</v>
      </c>
      <c r="F1226" s="6">
        <v>5353246</v>
      </c>
      <c r="G1226" s="12" t="s">
        <v>4055</v>
      </c>
      <c r="H1226" s="12" t="s">
        <v>755</v>
      </c>
      <c r="I1226" s="12" t="s">
        <v>756</v>
      </c>
      <c r="J1226" s="84">
        <v>42516</v>
      </c>
      <c r="K1226" s="84">
        <v>53473</v>
      </c>
      <c r="L1226" s="12" t="s">
        <v>768</v>
      </c>
      <c r="M1226" s="12" t="s">
        <v>884</v>
      </c>
      <c r="N1226" s="75"/>
    </row>
    <row r="1227" spans="1:14">
      <c r="A1227" s="12">
        <v>1224</v>
      </c>
      <c r="B1227" s="12" t="s">
        <v>4061</v>
      </c>
      <c r="C1227" s="12" t="s">
        <v>979</v>
      </c>
      <c r="D1227" s="12" t="s">
        <v>4062</v>
      </c>
      <c r="E1227" s="85">
        <v>2000.03</v>
      </c>
      <c r="F1227" s="6">
        <v>5198429</v>
      </c>
      <c r="G1227" s="12" t="s">
        <v>4063</v>
      </c>
      <c r="H1227" s="12" t="s">
        <v>848</v>
      </c>
      <c r="I1227" s="12" t="s">
        <v>849</v>
      </c>
      <c r="J1227" s="84">
        <v>42517</v>
      </c>
      <c r="K1227" s="84">
        <v>53474</v>
      </c>
      <c r="L1227" s="12" t="s">
        <v>1014</v>
      </c>
      <c r="M1227" s="12" t="s">
        <v>3357</v>
      </c>
      <c r="N1227" s="75"/>
    </row>
    <row r="1228" spans="1:14">
      <c r="A1228" s="12">
        <v>1225</v>
      </c>
      <c r="B1228" s="12" t="s">
        <v>4064</v>
      </c>
      <c r="C1228" s="12" t="s">
        <v>979</v>
      </c>
      <c r="D1228" s="12" t="s">
        <v>3103</v>
      </c>
      <c r="E1228" s="85">
        <v>641.28</v>
      </c>
      <c r="F1228" s="6">
        <v>6043429</v>
      </c>
      <c r="G1228" s="12" t="s">
        <v>4065</v>
      </c>
      <c r="H1228" s="12" t="s">
        <v>755</v>
      </c>
      <c r="I1228" s="12" t="s">
        <v>756</v>
      </c>
      <c r="J1228" s="84">
        <v>41320</v>
      </c>
      <c r="K1228" s="84">
        <v>52277</v>
      </c>
      <c r="L1228" s="12" t="s">
        <v>274</v>
      </c>
      <c r="M1228" s="12" t="s">
        <v>874</v>
      </c>
      <c r="N1228" s="75"/>
    </row>
    <row r="1229" spans="1:14">
      <c r="A1229" s="12">
        <v>1226</v>
      </c>
      <c r="B1229" s="12" t="s">
        <v>4066</v>
      </c>
      <c r="C1229" s="12" t="s">
        <v>752</v>
      </c>
      <c r="D1229" s="12" t="s">
        <v>4067</v>
      </c>
      <c r="E1229" s="85">
        <v>131.9</v>
      </c>
      <c r="F1229" s="6">
        <v>2695421</v>
      </c>
      <c r="G1229" s="12" t="s">
        <v>4068</v>
      </c>
      <c r="H1229" s="12" t="s">
        <v>755</v>
      </c>
      <c r="I1229" s="12" t="s">
        <v>756</v>
      </c>
      <c r="J1229" s="84">
        <v>34842</v>
      </c>
      <c r="K1229" s="84">
        <v>53105</v>
      </c>
      <c r="L1229" s="12" t="s">
        <v>304</v>
      </c>
      <c r="M1229" s="12" t="s">
        <v>773</v>
      </c>
      <c r="N1229" s="75"/>
    </row>
    <row r="1230" spans="1:14">
      <c r="A1230" s="12">
        <v>1227</v>
      </c>
      <c r="B1230" s="12" t="s">
        <v>4069</v>
      </c>
      <c r="C1230" s="12" t="s">
        <v>752</v>
      </c>
      <c r="D1230" s="12" t="s">
        <v>806</v>
      </c>
      <c r="E1230" s="85">
        <v>208.83</v>
      </c>
      <c r="F1230" s="6">
        <v>5307031</v>
      </c>
      <c r="G1230" s="12" t="s">
        <v>4070</v>
      </c>
      <c r="H1230" s="12" t="s">
        <v>755</v>
      </c>
      <c r="I1230" s="12" t="s">
        <v>756</v>
      </c>
      <c r="J1230" s="84">
        <v>42537</v>
      </c>
      <c r="K1230" s="84">
        <v>53494</v>
      </c>
      <c r="L1230" s="12" t="s">
        <v>274</v>
      </c>
      <c r="M1230" s="12" t="s">
        <v>275</v>
      </c>
      <c r="N1230" s="75"/>
    </row>
    <row r="1231" spans="1:14">
      <c r="A1231" s="12">
        <v>1228</v>
      </c>
      <c r="B1231" s="12" t="s">
        <v>4071</v>
      </c>
      <c r="C1231" s="12" t="s">
        <v>979</v>
      </c>
      <c r="D1231" s="12" t="s">
        <v>4072</v>
      </c>
      <c r="E1231" s="85">
        <v>1515.57</v>
      </c>
      <c r="F1231" s="6">
        <v>2549832</v>
      </c>
      <c r="G1231" s="12" t="s">
        <v>4073</v>
      </c>
      <c r="H1231" s="12" t="s">
        <v>766</v>
      </c>
      <c r="I1231" s="12" t="s">
        <v>767</v>
      </c>
      <c r="J1231" s="84">
        <v>42549</v>
      </c>
      <c r="K1231" s="84">
        <v>53506</v>
      </c>
      <c r="L1231" s="12" t="s">
        <v>123</v>
      </c>
      <c r="M1231" s="12" t="s">
        <v>2201</v>
      </c>
      <c r="N1231" s="75"/>
    </row>
    <row r="1232" spans="1:14">
      <c r="A1232" s="12">
        <v>1229</v>
      </c>
      <c r="B1232" s="12" t="s">
        <v>4074</v>
      </c>
      <c r="C1232" s="12" t="s">
        <v>2642</v>
      </c>
      <c r="D1232" s="12" t="s">
        <v>4075</v>
      </c>
      <c r="E1232" s="85">
        <v>791.61</v>
      </c>
      <c r="F1232" s="6">
        <v>5502292</v>
      </c>
      <c r="G1232" s="12" t="s">
        <v>4076</v>
      </c>
      <c r="H1232" s="12" t="s">
        <v>755</v>
      </c>
      <c r="I1232" s="12" t="s">
        <v>756</v>
      </c>
      <c r="J1232" s="84">
        <v>42552</v>
      </c>
      <c r="K1232" s="84">
        <v>53509</v>
      </c>
      <c r="L1232" s="12" t="s">
        <v>768</v>
      </c>
      <c r="M1232" s="12" t="s">
        <v>769</v>
      </c>
      <c r="N1232" s="75"/>
    </row>
    <row r="1233" spans="1:14">
      <c r="A1233" s="12">
        <v>1230</v>
      </c>
      <c r="B1233" s="12" t="s">
        <v>4077</v>
      </c>
      <c r="C1233" s="12" t="s">
        <v>122</v>
      </c>
      <c r="D1233" s="12" t="s">
        <v>4078</v>
      </c>
      <c r="E1233" s="85">
        <v>19.71</v>
      </c>
      <c r="F1233" s="6">
        <v>5294495</v>
      </c>
      <c r="G1233" s="12" t="s">
        <v>1131</v>
      </c>
      <c r="H1233" s="12" t="s">
        <v>755</v>
      </c>
      <c r="I1233" s="12" t="s">
        <v>756</v>
      </c>
      <c r="J1233" s="84">
        <v>42559</v>
      </c>
      <c r="K1233" s="84">
        <v>53516</v>
      </c>
      <c r="L1233" s="12" t="s">
        <v>1014</v>
      </c>
      <c r="M1233" s="12" t="s">
        <v>1132</v>
      </c>
      <c r="N1233" s="75"/>
    </row>
    <row r="1234" spans="1:14">
      <c r="A1234" s="12">
        <v>1231</v>
      </c>
      <c r="B1234" s="12" t="s">
        <v>4079</v>
      </c>
      <c r="C1234" s="12" t="s">
        <v>122</v>
      </c>
      <c r="D1234" s="12" t="s">
        <v>4080</v>
      </c>
      <c r="E1234" s="85">
        <v>1230.8499999999999</v>
      </c>
      <c r="F1234" s="6">
        <v>5324998</v>
      </c>
      <c r="G1234" s="12" t="s">
        <v>4081</v>
      </c>
      <c r="H1234" s="12" t="s">
        <v>755</v>
      </c>
      <c r="I1234" s="12" t="s">
        <v>756</v>
      </c>
      <c r="J1234" s="84">
        <v>42559</v>
      </c>
      <c r="K1234" s="84">
        <v>53516</v>
      </c>
      <c r="L1234" s="12" t="s">
        <v>1014</v>
      </c>
      <c r="M1234" s="12" t="s">
        <v>1132</v>
      </c>
      <c r="N1234" s="75"/>
    </row>
    <row r="1235" spans="1:14">
      <c r="A1235" s="12">
        <v>1232</v>
      </c>
      <c r="B1235" s="12" t="s">
        <v>4082</v>
      </c>
      <c r="C1235" s="12" t="s">
        <v>137</v>
      </c>
      <c r="D1235" s="12" t="s">
        <v>3322</v>
      </c>
      <c r="E1235" s="85">
        <v>2954.41</v>
      </c>
      <c r="F1235" s="6">
        <v>5112885</v>
      </c>
      <c r="G1235" s="12" t="s">
        <v>3323</v>
      </c>
      <c r="H1235" s="12" t="s">
        <v>755</v>
      </c>
      <c r="I1235" s="12" t="s">
        <v>756</v>
      </c>
      <c r="J1235" s="84">
        <v>42571</v>
      </c>
      <c r="K1235" s="84">
        <v>53447</v>
      </c>
      <c r="L1235" s="12" t="s">
        <v>274</v>
      </c>
      <c r="M1235" s="12" t="s">
        <v>1934</v>
      </c>
      <c r="N1235" s="75"/>
    </row>
    <row r="1236" spans="1:14">
      <c r="A1236" s="12">
        <v>1233</v>
      </c>
      <c r="B1236" s="12" t="s">
        <v>4083</v>
      </c>
      <c r="C1236" s="12" t="s">
        <v>752</v>
      </c>
      <c r="D1236" s="12" t="s">
        <v>4084</v>
      </c>
      <c r="E1236" s="85">
        <v>3506.94</v>
      </c>
      <c r="F1236" s="6">
        <v>5809797</v>
      </c>
      <c r="G1236" s="12" t="s">
        <v>4085</v>
      </c>
      <c r="H1236" s="12" t="s">
        <v>755</v>
      </c>
      <c r="I1236" s="12" t="s">
        <v>756</v>
      </c>
      <c r="J1236" s="84">
        <v>42576</v>
      </c>
      <c r="K1236" s="84">
        <v>53533</v>
      </c>
      <c r="L1236" s="12" t="s">
        <v>274</v>
      </c>
      <c r="M1236" s="12" t="s">
        <v>275</v>
      </c>
      <c r="N1236" s="75"/>
    </row>
    <row r="1237" spans="1:14">
      <c r="A1237" s="12">
        <v>1234</v>
      </c>
      <c r="B1237" s="12" t="s">
        <v>4086</v>
      </c>
      <c r="C1237" s="12" t="s">
        <v>752</v>
      </c>
      <c r="D1237" s="12" t="s">
        <v>2302</v>
      </c>
      <c r="E1237" s="85">
        <v>700.9</v>
      </c>
      <c r="F1237" s="6">
        <v>5195667</v>
      </c>
      <c r="G1237" s="12" t="s">
        <v>4087</v>
      </c>
      <c r="H1237" s="12" t="s">
        <v>755</v>
      </c>
      <c r="I1237" s="12" t="s">
        <v>756</v>
      </c>
      <c r="J1237" s="84">
        <v>42580</v>
      </c>
      <c r="K1237" s="84">
        <v>53537</v>
      </c>
      <c r="L1237" s="12" t="s">
        <v>274</v>
      </c>
      <c r="M1237" s="12" t="s">
        <v>874</v>
      </c>
      <c r="N1237" s="75"/>
    </row>
    <row r="1238" spans="1:14">
      <c r="A1238" s="12">
        <v>1235</v>
      </c>
      <c r="B1238" s="12" t="s">
        <v>4088</v>
      </c>
      <c r="C1238" s="12" t="s">
        <v>122</v>
      </c>
      <c r="D1238" s="12" t="s">
        <v>4089</v>
      </c>
      <c r="E1238" s="85">
        <v>318.52999999999997</v>
      </c>
      <c r="F1238" s="6">
        <v>5294495</v>
      </c>
      <c r="G1238" s="12" t="s">
        <v>1131</v>
      </c>
      <c r="H1238" s="12" t="s">
        <v>755</v>
      </c>
      <c r="I1238" s="12" t="s">
        <v>756</v>
      </c>
      <c r="J1238" s="84">
        <v>42580</v>
      </c>
      <c r="K1238" s="84">
        <v>53537</v>
      </c>
      <c r="L1238" s="12" t="s">
        <v>1014</v>
      </c>
      <c r="M1238" s="12" t="s">
        <v>1132</v>
      </c>
      <c r="N1238" s="75"/>
    </row>
    <row r="1239" spans="1:14">
      <c r="A1239" s="12">
        <v>1236</v>
      </c>
      <c r="B1239" s="12" t="s">
        <v>4090</v>
      </c>
      <c r="C1239" s="12" t="s">
        <v>122</v>
      </c>
      <c r="D1239" s="12" t="s">
        <v>4089</v>
      </c>
      <c r="E1239" s="85">
        <v>881.67</v>
      </c>
      <c r="F1239" s="6">
        <v>5294495</v>
      </c>
      <c r="G1239" s="12" t="s">
        <v>1131</v>
      </c>
      <c r="H1239" s="12" t="s">
        <v>755</v>
      </c>
      <c r="I1239" s="12" t="s">
        <v>756</v>
      </c>
      <c r="J1239" s="84">
        <v>42580</v>
      </c>
      <c r="K1239" s="84">
        <v>53537</v>
      </c>
      <c r="L1239" s="12" t="s">
        <v>1014</v>
      </c>
      <c r="M1239" s="12" t="s">
        <v>1132</v>
      </c>
      <c r="N1239" s="75"/>
    </row>
    <row r="1240" spans="1:14">
      <c r="A1240" s="12">
        <v>1237</v>
      </c>
      <c r="B1240" s="12" t="s">
        <v>4091</v>
      </c>
      <c r="C1240" s="12" t="s">
        <v>122</v>
      </c>
      <c r="D1240" s="12" t="s">
        <v>4092</v>
      </c>
      <c r="E1240" s="85">
        <v>18.059999999999999</v>
      </c>
      <c r="F1240" s="6">
        <v>5294495</v>
      </c>
      <c r="G1240" s="12" t="s">
        <v>1131</v>
      </c>
      <c r="H1240" s="12" t="s">
        <v>755</v>
      </c>
      <c r="I1240" s="12" t="s">
        <v>756</v>
      </c>
      <c r="J1240" s="84">
        <v>42580</v>
      </c>
      <c r="K1240" s="84">
        <v>53537</v>
      </c>
      <c r="L1240" s="12" t="s">
        <v>1014</v>
      </c>
      <c r="M1240" s="12" t="s">
        <v>1132</v>
      </c>
      <c r="N1240" s="75"/>
    </row>
    <row r="1241" spans="1:14">
      <c r="A1241" s="12">
        <v>1238</v>
      </c>
      <c r="B1241" s="12" t="s">
        <v>4093</v>
      </c>
      <c r="C1241" s="12" t="s">
        <v>122</v>
      </c>
      <c r="D1241" s="12" t="s">
        <v>4092</v>
      </c>
      <c r="E1241" s="85">
        <v>176.88</v>
      </c>
      <c r="F1241" s="6">
        <v>5294495</v>
      </c>
      <c r="G1241" s="12" t="s">
        <v>1131</v>
      </c>
      <c r="H1241" s="12" t="s">
        <v>755</v>
      </c>
      <c r="I1241" s="12" t="s">
        <v>756</v>
      </c>
      <c r="J1241" s="84">
        <v>42580</v>
      </c>
      <c r="K1241" s="84">
        <v>53537</v>
      </c>
      <c r="L1241" s="12" t="s">
        <v>1014</v>
      </c>
      <c r="M1241" s="12" t="s">
        <v>1132</v>
      </c>
      <c r="N1241" s="75"/>
    </row>
    <row r="1242" spans="1:14">
      <c r="A1242" s="12">
        <v>1239</v>
      </c>
      <c r="B1242" s="12" t="s">
        <v>4094</v>
      </c>
      <c r="C1242" s="12" t="s">
        <v>122</v>
      </c>
      <c r="D1242" s="12" t="s">
        <v>4095</v>
      </c>
      <c r="E1242" s="85">
        <v>9.9600000000000009</v>
      </c>
      <c r="F1242" s="6">
        <v>5294495</v>
      </c>
      <c r="G1242" s="12" t="s">
        <v>1131</v>
      </c>
      <c r="H1242" s="12" t="s">
        <v>755</v>
      </c>
      <c r="I1242" s="12" t="s">
        <v>756</v>
      </c>
      <c r="J1242" s="84">
        <v>42580</v>
      </c>
      <c r="K1242" s="84">
        <v>53537</v>
      </c>
      <c r="L1242" s="12" t="s">
        <v>1014</v>
      </c>
      <c r="M1242" s="12" t="s">
        <v>1132</v>
      </c>
      <c r="N1242" s="75"/>
    </row>
    <row r="1243" spans="1:14">
      <c r="A1243" s="12">
        <v>1240</v>
      </c>
      <c r="B1243" s="12" t="s">
        <v>4096</v>
      </c>
      <c r="C1243" s="12" t="s">
        <v>122</v>
      </c>
      <c r="D1243" s="12" t="s">
        <v>4095</v>
      </c>
      <c r="E1243" s="85">
        <v>36.82</v>
      </c>
      <c r="F1243" s="6">
        <v>5294495</v>
      </c>
      <c r="G1243" s="12" t="s">
        <v>1131</v>
      </c>
      <c r="H1243" s="12" t="s">
        <v>755</v>
      </c>
      <c r="I1243" s="12" t="s">
        <v>756</v>
      </c>
      <c r="J1243" s="84">
        <v>42580</v>
      </c>
      <c r="K1243" s="84">
        <v>53537</v>
      </c>
      <c r="L1243" s="12" t="s">
        <v>1014</v>
      </c>
      <c r="M1243" s="12" t="s">
        <v>1132</v>
      </c>
      <c r="N1243" s="75"/>
    </row>
    <row r="1244" spans="1:14">
      <c r="A1244" s="12">
        <v>1241</v>
      </c>
      <c r="B1244" s="12" t="s">
        <v>4097</v>
      </c>
      <c r="C1244" s="12" t="s">
        <v>752</v>
      </c>
      <c r="D1244" s="12" t="s">
        <v>4098</v>
      </c>
      <c r="E1244" s="85">
        <v>1107.2</v>
      </c>
      <c r="F1244" s="6">
        <v>2655772</v>
      </c>
      <c r="G1244" s="12" t="s">
        <v>4099</v>
      </c>
      <c r="H1244" s="12" t="s">
        <v>755</v>
      </c>
      <c r="I1244" s="12" t="s">
        <v>756</v>
      </c>
      <c r="J1244" s="84">
        <v>42573</v>
      </c>
      <c r="K1244" s="84">
        <v>53530</v>
      </c>
      <c r="L1244" s="12" t="s">
        <v>768</v>
      </c>
      <c r="M1244" s="12" t="s">
        <v>4100</v>
      </c>
      <c r="N1244" s="75"/>
    </row>
    <row r="1245" spans="1:14">
      <c r="A1245" s="12">
        <v>1242</v>
      </c>
      <c r="B1245" s="12" t="s">
        <v>4101</v>
      </c>
      <c r="C1245" s="12" t="s">
        <v>752</v>
      </c>
      <c r="D1245" s="12" t="s">
        <v>4102</v>
      </c>
      <c r="E1245" s="85">
        <v>1044.8900000000001</v>
      </c>
      <c r="F1245" s="6">
        <v>5199123</v>
      </c>
      <c r="G1245" s="12" t="s">
        <v>4103</v>
      </c>
      <c r="H1245" s="12" t="s">
        <v>755</v>
      </c>
      <c r="I1245" s="12" t="s">
        <v>756</v>
      </c>
      <c r="J1245" s="84">
        <v>42578</v>
      </c>
      <c r="K1245" s="84">
        <v>53535</v>
      </c>
      <c r="L1245" s="12" t="s">
        <v>274</v>
      </c>
      <c r="M1245" s="12" t="s">
        <v>874</v>
      </c>
      <c r="N1245" s="75"/>
    </row>
    <row r="1246" spans="1:14">
      <c r="A1246" s="12">
        <v>1243</v>
      </c>
      <c r="B1246" s="12" t="s">
        <v>4104</v>
      </c>
      <c r="C1246" s="12" t="s">
        <v>881</v>
      </c>
      <c r="D1246" s="12" t="s">
        <v>2558</v>
      </c>
      <c r="E1246" s="85">
        <v>158.29</v>
      </c>
      <c r="F1246" s="6">
        <v>2708345</v>
      </c>
      <c r="G1246" s="12" t="s">
        <v>2559</v>
      </c>
      <c r="H1246" s="12" t="s">
        <v>766</v>
      </c>
      <c r="I1246" s="12" t="s">
        <v>767</v>
      </c>
      <c r="J1246" s="84">
        <v>42579</v>
      </c>
      <c r="K1246" s="84">
        <v>53536</v>
      </c>
      <c r="L1246" s="12" t="s">
        <v>138</v>
      </c>
      <c r="M1246" s="12" t="s">
        <v>138</v>
      </c>
      <c r="N1246" s="75"/>
    </row>
    <row r="1247" spans="1:14">
      <c r="A1247" s="12">
        <v>1244</v>
      </c>
      <c r="B1247" s="12" t="s">
        <v>4105</v>
      </c>
      <c r="C1247" s="12" t="s">
        <v>122</v>
      </c>
      <c r="D1247" s="12" t="s">
        <v>4106</v>
      </c>
      <c r="E1247" s="85">
        <v>1082.58</v>
      </c>
      <c r="F1247" s="6">
        <v>5324998</v>
      </c>
      <c r="G1247" s="12" t="s">
        <v>4081</v>
      </c>
      <c r="H1247" s="12" t="s">
        <v>755</v>
      </c>
      <c r="I1247" s="12" t="s">
        <v>756</v>
      </c>
      <c r="J1247" s="84">
        <v>42580</v>
      </c>
      <c r="K1247" s="84">
        <v>53537</v>
      </c>
      <c r="L1247" s="12" t="s">
        <v>1014</v>
      </c>
      <c r="M1247" s="12" t="s">
        <v>1132</v>
      </c>
      <c r="N1247" s="75"/>
    </row>
    <row r="1248" spans="1:14">
      <c r="A1248" s="12">
        <v>1245</v>
      </c>
      <c r="B1248" s="12" t="s">
        <v>4107</v>
      </c>
      <c r="C1248" s="12" t="s">
        <v>122</v>
      </c>
      <c r="D1248" s="12" t="s">
        <v>4106</v>
      </c>
      <c r="E1248" s="85">
        <v>1318.44</v>
      </c>
      <c r="F1248" s="6">
        <v>5324998</v>
      </c>
      <c r="G1248" s="12" t="s">
        <v>4081</v>
      </c>
      <c r="H1248" s="12" t="s">
        <v>755</v>
      </c>
      <c r="I1248" s="12" t="s">
        <v>756</v>
      </c>
      <c r="J1248" s="84">
        <v>42580</v>
      </c>
      <c r="K1248" s="84">
        <v>53537</v>
      </c>
      <c r="L1248" s="12" t="s">
        <v>1014</v>
      </c>
      <c r="M1248" s="12" t="s">
        <v>1132</v>
      </c>
      <c r="N1248" s="75"/>
    </row>
    <row r="1249" spans="1:14">
      <c r="A1249" s="12">
        <v>1246</v>
      </c>
      <c r="B1249" s="12" t="s">
        <v>4108</v>
      </c>
      <c r="C1249" s="12" t="s">
        <v>122</v>
      </c>
      <c r="D1249" s="12" t="s">
        <v>4089</v>
      </c>
      <c r="E1249" s="85">
        <v>542.66</v>
      </c>
      <c r="F1249" s="6">
        <v>5294495</v>
      </c>
      <c r="G1249" s="12" t="s">
        <v>1131</v>
      </c>
      <c r="H1249" s="12" t="s">
        <v>755</v>
      </c>
      <c r="I1249" s="12" t="s">
        <v>756</v>
      </c>
      <c r="J1249" s="84">
        <v>42580</v>
      </c>
      <c r="K1249" s="84">
        <v>53537</v>
      </c>
      <c r="L1249" s="12" t="s">
        <v>1014</v>
      </c>
      <c r="M1249" s="12" t="s">
        <v>1132</v>
      </c>
      <c r="N1249" s="75"/>
    </row>
    <row r="1250" spans="1:14">
      <c r="A1250" s="12">
        <v>1247</v>
      </c>
      <c r="B1250" s="12" t="s">
        <v>4109</v>
      </c>
      <c r="C1250" s="12" t="s">
        <v>752</v>
      </c>
      <c r="D1250" s="12" t="s">
        <v>2579</v>
      </c>
      <c r="E1250" s="85">
        <v>173.35</v>
      </c>
      <c r="F1250" s="6">
        <v>2618621</v>
      </c>
      <c r="G1250" s="12" t="s">
        <v>2743</v>
      </c>
      <c r="H1250" s="12" t="s">
        <v>755</v>
      </c>
      <c r="I1250" s="12" t="s">
        <v>756</v>
      </c>
      <c r="J1250" s="84">
        <v>40217</v>
      </c>
      <c r="K1250" s="84">
        <v>51174</v>
      </c>
      <c r="L1250" s="12" t="s">
        <v>2581</v>
      </c>
      <c r="M1250" s="12" t="s">
        <v>2582</v>
      </c>
      <c r="N1250" s="75"/>
    </row>
    <row r="1251" spans="1:14">
      <c r="A1251" s="12">
        <v>1248</v>
      </c>
      <c r="B1251" s="12" t="s">
        <v>4110</v>
      </c>
      <c r="C1251" s="12" t="s">
        <v>752</v>
      </c>
      <c r="D1251" s="12" t="s">
        <v>2859</v>
      </c>
      <c r="E1251" s="85">
        <v>254.32</v>
      </c>
      <c r="F1251" s="6">
        <v>5912245</v>
      </c>
      <c r="G1251" s="12" t="s">
        <v>2860</v>
      </c>
      <c r="H1251" s="12" t="s">
        <v>755</v>
      </c>
      <c r="I1251" s="12" t="s">
        <v>756</v>
      </c>
      <c r="J1251" s="84">
        <v>40429</v>
      </c>
      <c r="K1251" s="84">
        <v>51387</v>
      </c>
      <c r="L1251" s="12" t="s">
        <v>768</v>
      </c>
      <c r="M1251" s="12" t="s">
        <v>982</v>
      </c>
      <c r="N1251" s="75"/>
    </row>
    <row r="1252" spans="1:14">
      <c r="A1252" s="12">
        <v>1249</v>
      </c>
      <c r="B1252" s="12" t="s">
        <v>4111</v>
      </c>
      <c r="C1252" s="12" t="s">
        <v>2442</v>
      </c>
      <c r="D1252" s="12" t="s">
        <v>4112</v>
      </c>
      <c r="E1252" s="85">
        <v>203.86</v>
      </c>
      <c r="F1252" s="6">
        <v>5962862</v>
      </c>
      <c r="G1252" s="12" t="s">
        <v>4113</v>
      </c>
      <c r="H1252" s="12" t="s">
        <v>848</v>
      </c>
      <c r="I1252" s="12" t="s">
        <v>849</v>
      </c>
      <c r="J1252" s="84">
        <v>42635</v>
      </c>
      <c r="K1252" s="84">
        <v>53592</v>
      </c>
      <c r="L1252" s="12" t="s">
        <v>170</v>
      </c>
      <c r="M1252" s="12" t="s">
        <v>2444</v>
      </c>
      <c r="N1252" s="75"/>
    </row>
    <row r="1253" spans="1:14">
      <c r="A1253" s="12">
        <v>1250</v>
      </c>
      <c r="B1253" s="12" t="s">
        <v>4114</v>
      </c>
      <c r="C1253" s="12" t="s">
        <v>995</v>
      </c>
      <c r="D1253" s="12" t="s">
        <v>1480</v>
      </c>
      <c r="E1253" s="85">
        <v>26.46</v>
      </c>
      <c r="F1253" s="6">
        <v>5058996</v>
      </c>
      <c r="G1253" s="12" t="s">
        <v>4115</v>
      </c>
      <c r="H1253" s="12" t="s">
        <v>755</v>
      </c>
      <c r="I1253" s="12" t="s">
        <v>756</v>
      </c>
      <c r="J1253" s="84">
        <v>42640</v>
      </c>
      <c r="K1253" s="84">
        <v>53597</v>
      </c>
      <c r="L1253" s="12" t="s">
        <v>128</v>
      </c>
      <c r="M1253" s="12" t="s">
        <v>862</v>
      </c>
      <c r="N1253" s="75"/>
    </row>
    <row r="1254" spans="1:14">
      <c r="A1254" s="12">
        <v>1251</v>
      </c>
      <c r="B1254" s="12" t="s">
        <v>4116</v>
      </c>
      <c r="C1254" s="12" t="s">
        <v>752</v>
      </c>
      <c r="D1254" s="12" t="s">
        <v>4117</v>
      </c>
      <c r="E1254" s="85">
        <v>1639.24</v>
      </c>
      <c r="F1254" s="6">
        <v>6088759</v>
      </c>
      <c r="G1254" s="12" t="s">
        <v>4118</v>
      </c>
      <c r="H1254" s="12" t="s">
        <v>755</v>
      </c>
      <c r="I1254" s="12" t="s">
        <v>756</v>
      </c>
      <c r="J1254" s="84">
        <v>42633</v>
      </c>
      <c r="K1254" s="84">
        <v>53590</v>
      </c>
      <c r="L1254" s="12" t="s">
        <v>1242</v>
      </c>
      <c r="M1254" s="12" t="s">
        <v>4119</v>
      </c>
      <c r="N1254" s="75"/>
    </row>
    <row r="1255" spans="1:14">
      <c r="A1255" s="12">
        <v>1252</v>
      </c>
      <c r="B1255" s="12" t="s">
        <v>4120</v>
      </c>
      <c r="C1255" s="12" t="s">
        <v>122</v>
      </c>
      <c r="D1255" s="12" t="s">
        <v>856</v>
      </c>
      <c r="E1255" s="85">
        <v>2521.63</v>
      </c>
      <c r="F1255" s="6">
        <v>5108799</v>
      </c>
      <c r="G1255" s="12" t="s">
        <v>2378</v>
      </c>
      <c r="H1255" s="12" t="s">
        <v>755</v>
      </c>
      <c r="I1255" s="12" t="s">
        <v>756</v>
      </c>
      <c r="J1255" s="84">
        <v>42635</v>
      </c>
      <c r="K1255" s="84">
        <v>53592</v>
      </c>
      <c r="L1255" s="12" t="s">
        <v>123</v>
      </c>
      <c r="M1255" s="12" t="s">
        <v>2201</v>
      </c>
      <c r="N1255" s="75"/>
    </row>
    <row r="1256" spans="1:14">
      <c r="A1256" s="12">
        <v>1253</v>
      </c>
      <c r="B1256" s="12" t="s">
        <v>4121</v>
      </c>
      <c r="C1256" s="12" t="s">
        <v>752</v>
      </c>
      <c r="D1256" s="12" t="s">
        <v>4122</v>
      </c>
      <c r="E1256" s="85">
        <v>23.55</v>
      </c>
      <c r="F1256" s="6">
        <v>2789213</v>
      </c>
      <c r="G1256" s="12" t="s">
        <v>4123</v>
      </c>
      <c r="H1256" s="12" t="s">
        <v>755</v>
      </c>
      <c r="I1256" s="12" t="s">
        <v>756</v>
      </c>
      <c r="J1256" s="84">
        <v>37105</v>
      </c>
      <c r="K1256" s="84">
        <v>51742</v>
      </c>
      <c r="L1256" s="12" t="s">
        <v>304</v>
      </c>
      <c r="M1256" s="12" t="s">
        <v>773</v>
      </c>
      <c r="N1256" s="75"/>
    </row>
    <row r="1257" spans="1:14">
      <c r="A1257" s="12">
        <v>1254</v>
      </c>
      <c r="B1257" s="12" t="s">
        <v>4124</v>
      </c>
      <c r="C1257" s="12" t="s">
        <v>158</v>
      </c>
      <c r="D1257" s="12" t="s">
        <v>4125</v>
      </c>
      <c r="E1257" s="85">
        <v>4628.42</v>
      </c>
      <c r="F1257" s="6">
        <v>2074737</v>
      </c>
      <c r="G1257" s="12" t="s">
        <v>2649</v>
      </c>
      <c r="H1257" s="12" t="s">
        <v>766</v>
      </c>
      <c r="I1257" s="12" t="s">
        <v>767</v>
      </c>
      <c r="J1257" s="84">
        <v>42633</v>
      </c>
      <c r="K1257" s="84">
        <v>49938</v>
      </c>
      <c r="L1257" s="12" t="s">
        <v>375</v>
      </c>
      <c r="M1257" s="12" t="s">
        <v>1476</v>
      </c>
      <c r="N1257" s="75"/>
    </row>
    <row r="1258" spans="1:14">
      <c r="A1258" s="12">
        <v>1255</v>
      </c>
      <c r="B1258" s="12" t="s">
        <v>4126</v>
      </c>
      <c r="C1258" s="12" t="s">
        <v>158</v>
      </c>
      <c r="D1258" s="12" t="s">
        <v>2649</v>
      </c>
      <c r="E1258" s="85">
        <v>2810.44</v>
      </c>
      <c r="F1258" s="6">
        <v>2074737</v>
      </c>
      <c r="G1258" s="12" t="s">
        <v>2649</v>
      </c>
      <c r="H1258" s="12" t="s">
        <v>766</v>
      </c>
      <c r="I1258" s="12" t="s">
        <v>767</v>
      </c>
      <c r="J1258" s="84">
        <v>42633</v>
      </c>
      <c r="K1258" s="84">
        <v>49938</v>
      </c>
      <c r="L1258" s="12" t="s">
        <v>375</v>
      </c>
      <c r="M1258" s="12" t="s">
        <v>2649</v>
      </c>
      <c r="N1258" s="75"/>
    </row>
    <row r="1259" spans="1:14">
      <c r="A1259" s="12">
        <v>1256</v>
      </c>
      <c r="B1259" s="12" t="s">
        <v>4127</v>
      </c>
      <c r="C1259" s="12" t="s">
        <v>158</v>
      </c>
      <c r="D1259" s="12" t="s">
        <v>3167</v>
      </c>
      <c r="E1259" s="85">
        <v>10386.24</v>
      </c>
      <c r="F1259" s="6">
        <v>2074737</v>
      </c>
      <c r="G1259" s="12" t="s">
        <v>2649</v>
      </c>
      <c r="H1259" s="12" t="s">
        <v>766</v>
      </c>
      <c r="I1259" s="12" t="s">
        <v>767</v>
      </c>
      <c r="J1259" s="84">
        <v>42633</v>
      </c>
      <c r="K1259" s="84">
        <v>49938</v>
      </c>
      <c r="L1259" s="12" t="s">
        <v>375</v>
      </c>
      <c r="M1259" s="12" t="s">
        <v>3169</v>
      </c>
      <c r="N1259" s="75"/>
    </row>
    <row r="1260" spans="1:14">
      <c r="A1260" s="12">
        <v>1257</v>
      </c>
      <c r="B1260" s="12" t="s">
        <v>4128</v>
      </c>
      <c r="C1260" s="12" t="s">
        <v>3702</v>
      </c>
      <c r="D1260" s="12" t="s">
        <v>2998</v>
      </c>
      <c r="E1260" s="85">
        <v>145.99</v>
      </c>
      <c r="F1260" s="6">
        <v>2736578</v>
      </c>
      <c r="G1260" s="12" t="s">
        <v>4129</v>
      </c>
      <c r="H1260" s="12" t="s">
        <v>755</v>
      </c>
      <c r="I1260" s="12" t="s">
        <v>756</v>
      </c>
      <c r="J1260" s="84">
        <v>42661</v>
      </c>
      <c r="K1260" s="84">
        <v>53618</v>
      </c>
      <c r="L1260" s="12" t="s">
        <v>180</v>
      </c>
      <c r="M1260" s="12" t="s">
        <v>798</v>
      </c>
      <c r="N1260" s="75"/>
    </row>
    <row r="1261" spans="1:14">
      <c r="A1261" s="12">
        <v>1258</v>
      </c>
      <c r="B1261" s="12" t="s">
        <v>4130</v>
      </c>
      <c r="C1261" s="12" t="s">
        <v>3840</v>
      </c>
      <c r="D1261" s="12" t="s">
        <v>3259</v>
      </c>
      <c r="E1261" s="85">
        <v>2838.13</v>
      </c>
      <c r="F1261" s="6">
        <v>2869594</v>
      </c>
      <c r="G1261" s="12" t="s">
        <v>3843</v>
      </c>
      <c r="H1261" s="12" t="s">
        <v>755</v>
      </c>
      <c r="I1261" s="12" t="s">
        <v>756</v>
      </c>
      <c r="J1261" s="84">
        <v>42669</v>
      </c>
      <c r="K1261" s="84">
        <v>53626</v>
      </c>
      <c r="L1261" s="12" t="s">
        <v>233</v>
      </c>
      <c r="M1261" s="12" t="s">
        <v>1755</v>
      </c>
      <c r="N1261" s="75"/>
    </row>
    <row r="1262" spans="1:14">
      <c r="A1262" s="12">
        <v>1259</v>
      </c>
      <c r="B1262" s="12" t="s">
        <v>4131</v>
      </c>
      <c r="C1262" s="12" t="s">
        <v>4132</v>
      </c>
      <c r="D1262" s="12" t="s">
        <v>4133</v>
      </c>
      <c r="E1262" s="85">
        <v>3000.56</v>
      </c>
      <c r="F1262" s="6">
        <v>5042836</v>
      </c>
      <c r="G1262" s="12" t="s">
        <v>4134</v>
      </c>
      <c r="H1262" s="12" t="s">
        <v>755</v>
      </c>
      <c r="I1262" s="12" t="s">
        <v>756</v>
      </c>
      <c r="J1262" s="84">
        <v>42682</v>
      </c>
      <c r="K1262" s="84">
        <v>53639</v>
      </c>
      <c r="L1262" s="12" t="s">
        <v>375</v>
      </c>
      <c r="M1262" s="12" t="s">
        <v>4135</v>
      </c>
      <c r="N1262" s="75"/>
    </row>
    <row r="1263" spans="1:14">
      <c r="A1263" s="12">
        <v>1260</v>
      </c>
      <c r="B1263" s="12" t="s">
        <v>4136</v>
      </c>
      <c r="C1263" s="12" t="s">
        <v>4137</v>
      </c>
      <c r="D1263" s="12" t="s">
        <v>4138</v>
      </c>
      <c r="E1263" s="85">
        <v>5235.99</v>
      </c>
      <c r="F1263" s="6">
        <v>5267552</v>
      </c>
      <c r="G1263" s="12" t="s">
        <v>4139</v>
      </c>
      <c r="H1263" s="12" t="s">
        <v>755</v>
      </c>
      <c r="I1263" s="12" t="s">
        <v>756</v>
      </c>
      <c r="J1263" s="84">
        <v>42668</v>
      </c>
      <c r="K1263" s="84">
        <v>53625</v>
      </c>
      <c r="L1263" s="12" t="s">
        <v>1014</v>
      </c>
      <c r="M1263" s="12" t="s">
        <v>1023</v>
      </c>
      <c r="N1263" s="75"/>
    </row>
    <row r="1264" spans="1:14">
      <c r="A1264" s="12">
        <v>1261</v>
      </c>
      <c r="B1264" s="12" t="s">
        <v>4140</v>
      </c>
      <c r="C1264" s="12" t="s">
        <v>752</v>
      </c>
      <c r="D1264" s="12" t="s">
        <v>2526</v>
      </c>
      <c r="E1264" s="85">
        <v>290.57</v>
      </c>
      <c r="F1264" s="6">
        <v>5645794</v>
      </c>
      <c r="G1264" s="12" t="s">
        <v>2824</v>
      </c>
      <c r="H1264" s="12" t="s">
        <v>766</v>
      </c>
      <c r="I1264" s="12" t="s">
        <v>767</v>
      </c>
      <c r="J1264" s="84">
        <v>42668</v>
      </c>
      <c r="K1264" s="84">
        <v>53625</v>
      </c>
      <c r="L1264" s="12" t="s">
        <v>1014</v>
      </c>
      <c r="M1264" s="12" t="s">
        <v>2825</v>
      </c>
      <c r="N1264" s="75"/>
    </row>
    <row r="1265" spans="1:14">
      <c r="A1265" s="12">
        <v>1262</v>
      </c>
      <c r="B1265" s="12" t="s">
        <v>4141</v>
      </c>
      <c r="C1265" s="12" t="s">
        <v>2855</v>
      </c>
      <c r="D1265" s="12" t="s">
        <v>4142</v>
      </c>
      <c r="E1265" s="85">
        <v>1144.6199999999999</v>
      </c>
      <c r="F1265" s="6">
        <v>5455219</v>
      </c>
      <c r="G1265" s="12" t="s">
        <v>4143</v>
      </c>
      <c r="H1265" s="12" t="s">
        <v>766</v>
      </c>
      <c r="I1265" s="12" t="s">
        <v>767</v>
      </c>
      <c r="J1265" s="84">
        <v>42668</v>
      </c>
      <c r="K1265" s="84">
        <v>53625</v>
      </c>
      <c r="L1265" s="12" t="s">
        <v>1102</v>
      </c>
      <c r="M1265" s="12" t="s">
        <v>4144</v>
      </c>
      <c r="N1265" s="75"/>
    </row>
    <row r="1266" spans="1:14">
      <c r="A1266" s="12">
        <v>1263</v>
      </c>
      <c r="B1266" s="12" t="s">
        <v>4145</v>
      </c>
      <c r="C1266" s="12" t="s">
        <v>122</v>
      </c>
      <c r="D1266" s="12" t="s">
        <v>4146</v>
      </c>
      <c r="E1266" s="85">
        <v>780.52</v>
      </c>
      <c r="F1266" s="6">
        <v>5084555</v>
      </c>
      <c r="G1266" s="12" t="s">
        <v>2276</v>
      </c>
      <c r="H1266" s="12" t="s">
        <v>848</v>
      </c>
      <c r="I1266" s="12" t="s">
        <v>849</v>
      </c>
      <c r="J1266" s="84">
        <v>42683</v>
      </c>
      <c r="K1266" s="84">
        <v>53640</v>
      </c>
      <c r="L1266" s="12" t="s">
        <v>233</v>
      </c>
      <c r="M1266" s="12" t="s">
        <v>1845</v>
      </c>
      <c r="N1266" s="75"/>
    </row>
    <row r="1267" spans="1:14">
      <c r="A1267" s="12">
        <v>1264</v>
      </c>
      <c r="B1267" s="12" t="s">
        <v>4147</v>
      </c>
      <c r="C1267" s="12" t="s">
        <v>122</v>
      </c>
      <c r="D1267" s="12" t="s">
        <v>4148</v>
      </c>
      <c r="E1267" s="85">
        <v>169.01</v>
      </c>
      <c r="F1267" s="6">
        <v>5084555</v>
      </c>
      <c r="G1267" s="12" t="s">
        <v>2276</v>
      </c>
      <c r="H1267" s="12" t="s">
        <v>848</v>
      </c>
      <c r="I1267" s="12" t="s">
        <v>849</v>
      </c>
      <c r="J1267" s="84">
        <v>42683</v>
      </c>
      <c r="K1267" s="84">
        <v>53640</v>
      </c>
      <c r="L1267" s="12" t="s">
        <v>233</v>
      </c>
      <c r="M1267" s="12" t="s">
        <v>1845</v>
      </c>
      <c r="N1267" s="75"/>
    </row>
    <row r="1268" spans="1:14">
      <c r="A1268" s="12">
        <v>1265</v>
      </c>
      <c r="B1268" s="12" t="s">
        <v>4149</v>
      </c>
      <c r="C1268" s="12" t="s">
        <v>200</v>
      </c>
      <c r="D1268" s="12" t="s">
        <v>2398</v>
      </c>
      <c r="E1268" s="85">
        <v>2593.21</v>
      </c>
      <c r="F1268" s="6">
        <v>5138175</v>
      </c>
      <c r="G1268" s="12" t="s">
        <v>2399</v>
      </c>
      <c r="H1268" s="12" t="s">
        <v>755</v>
      </c>
      <c r="I1268" s="12" t="s">
        <v>756</v>
      </c>
      <c r="J1268" s="84">
        <v>42676</v>
      </c>
      <c r="K1268" s="84">
        <v>53633</v>
      </c>
      <c r="L1268" s="12" t="s">
        <v>375</v>
      </c>
      <c r="M1268" s="12" t="s">
        <v>893</v>
      </c>
      <c r="N1268" s="75"/>
    </row>
    <row r="1269" spans="1:14">
      <c r="A1269" s="12">
        <v>1266</v>
      </c>
      <c r="B1269" s="12" t="s">
        <v>4150</v>
      </c>
      <c r="C1269" s="12" t="s">
        <v>752</v>
      </c>
      <c r="D1269" s="12" t="s">
        <v>1499</v>
      </c>
      <c r="E1269" s="85">
        <v>376.59</v>
      </c>
      <c r="F1269" s="6">
        <v>2054701</v>
      </c>
      <c r="G1269" s="12" t="s">
        <v>776</v>
      </c>
      <c r="H1269" s="12" t="s">
        <v>755</v>
      </c>
      <c r="I1269" s="12" t="s">
        <v>756</v>
      </c>
      <c r="J1269" s="84">
        <v>42677</v>
      </c>
      <c r="K1269" s="84">
        <v>53634</v>
      </c>
      <c r="L1269" s="12" t="s">
        <v>768</v>
      </c>
      <c r="M1269" s="12" t="s">
        <v>1386</v>
      </c>
      <c r="N1269" s="75"/>
    </row>
    <row r="1270" spans="1:14">
      <c r="A1270" s="12">
        <v>1267</v>
      </c>
      <c r="B1270" s="12" t="s">
        <v>4151</v>
      </c>
      <c r="C1270" s="12" t="s">
        <v>752</v>
      </c>
      <c r="D1270" s="12" t="s">
        <v>4152</v>
      </c>
      <c r="E1270" s="85">
        <v>411.31</v>
      </c>
      <c r="F1270" s="6">
        <v>2721643</v>
      </c>
      <c r="G1270" s="12" t="s">
        <v>4153</v>
      </c>
      <c r="H1270" s="12" t="s">
        <v>755</v>
      </c>
      <c r="I1270" s="12" t="s">
        <v>756</v>
      </c>
      <c r="J1270" s="84">
        <v>40913</v>
      </c>
      <c r="K1270" s="84">
        <v>51871</v>
      </c>
      <c r="L1270" s="12" t="s">
        <v>274</v>
      </c>
      <c r="M1270" s="12" t="s">
        <v>275</v>
      </c>
      <c r="N1270" s="75"/>
    </row>
    <row r="1271" spans="1:14">
      <c r="A1271" s="12">
        <v>1268</v>
      </c>
      <c r="B1271" s="12" t="s">
        <v>4154</v>
      </c>
      <c r="C1271" s="12" t="s">
        <v>752</v>
      </c>
      <c r="D1271" s="12" t="s">
        <v>1993</v>
      </c>
      <c r="E1271" s="85">
        <v>6.29</v>
      </c>
      <c r="F1271" s="6">
        <v>5100127</v>
      </c>
      <c r="G1271" s="12" t="s">
        <v>1994</v>
      </c>
      <c r="H1271" s="12" t="s">
        <v>755</v>
      </c>
      <c r="I1271" s="12" t="s">
        <v>756</v>
      </c>
      <c r="J1271" s="84">
        <v>38813</v>
      </c>
      <c r="K1271" s="84">
        <v>49771</v>
      </c>
      <c r="L1271" s="12" t="s">
        <v>304</v>
      </c>
      <c r="M1271" s="12" t="s">
        <v>773</v>
      </c>
      <c r="N1271" s="75"/>
    </row>
    <row r="1272" spans="1:14">
      <c r="A1272" s="12">
        <v>1269</v>
      </c>
      <c r="B1272" s="12" t="s">
        <v>4155</v>
      </c>
      <c r="C1272" s="12" t="s">
        <v>2642</v>
      </c>
      <c r="D1272" s="12" t="s">
        <v>4156</v>
      </c>
      <c r="E1272" s="85">
        <v>583.36</v>
      </c>
      <c r="F1272" s="6">
        <v>5434254</v>
      </c>
      <c r="G1272" s="12" t="s">
        <v>4157</v>
      </c>
      <c r="H1272" s="12" t="s">
        <v>755</v>
      </c>
      <c r="I1272" s="12" t="s">
        <v>756</v>
      </c>
      <c r="J1272" s="84">
        <v>42712</v>
      </c>
      <c r="K1272" s="84">
        <v>53669</v>
      </c>
      <c r="L1272" s="12" t="s">
        <v>304</v>
      </c>
      <c r="M1272" s="12" t="s">
        <v>773</v>
      </c>
      <c r="N1272" s="75"/>
    </row>
    <row r="1273" spans="1:14">
      <c r="A1273" s="12">
        <v>1270</v>
      </c>
      <c r="B1273" s="12" t="s">
        <v>4158</v>
      </c>
      <c r="C1273" s="12" t="s">
        <v>137</v>
      </c>
      <c r="D1273" s="12" t="s">
        <v>4019</v>
      </c>
      <c r="E1273" s="85">
        <v>924.28</v>
      </c>
      <c r="F1273" s="6">
        <v>5924766</v>
      </c>
      <c r="G1273" s="12" t="s">
        <v>1726</v>
      </c>
      <c r="H1273" s="12" t="s">
        <v>848</v>
      </c>
      <c r="I1273" s="12" t="s">
        <v>849</v>
      </c>
      <c r="J1273" s="84">
        <v>42716</v>
      </c>
      <c r="K1273" s="84">
        <v>53673</v>
      </c>
      <c r="L1273" s="12" t="s">
        <v>274</v>
      </c>
      <c r="M1273" s="12" t="s">
        <v>944</v>
      </c>
      <c r="N1273" s="75"/>
    </row>
    <row r="1274" spans="1:14">
      <c r="A1274" s="12">
        <v>1271</v>
      </c>
      <c r="B1274" s="12" t="s">
        <v>4159</v>
      </c>
      <c r="C1274" s="12" t="s">
        <v>752</v>
      </c>
      <c r="D1274" s="12" t="s">
        <v>4084</v>
      </c>
      <c r="E1274" s="85">
        <v>204.33</v>
      </c>
      <c r="F1274" s="6">
        <v>5103193</v>
      </c>
      <c r="G1274" s="12" t="s">
        <v>4160</v>
      </c>
      <c r="H1274" s="12" t="s">
        <v>755</v>
      </c>
      <c r="I1274" s="12" t="s">
        <v>756</v>
      </c>
      <c r="J1274" s="84">
        <v>42123</v>
      </c>
      <c r="K1274" s="84">
        <v>53081</v>
      </c>
      <c r="L1274" s="12" t="s">
        <v>836</v>
      </c>
      <c r="M1274" s="12" t="s">
        <v>3029</v>
      </c>
      <c r="N1274" s="75"/>
    </row>
    <row r="1275" spans="1:14">
      <c r="A1275" s="12">
        <v>1272</v>
      </c>
      <c r="B1275" s="12" t="s">
        <v>4161</v>
      </c>
      <c r="C1275" s="12" t="s">
        <v>881</v>
      </c>
      <c r="D1275" s="12" t="s">
        <v>4162</v>
      </c>
      <c r="E1275" s="85">
        <v>387.39</v>
      </c>
      <c r="F1275" s="6">
        <v>2074192</v>
      </c>
      <c r="G1275" s="12" t="s">
        <v>760</v>
      </c>
      <c r="H1275" s="12" t="s">
        <v>761</v>
      </c>
      <c r="I1275" s="12" t="s">
        <v>756</v>
      </c>
      <c r="J1275" s="84">
        <v>42725</v>
      </c>
      <c r="K1275" s="84">
        <v>53682</v>
      </c>
      <c r="L1275" s="12" t="s">
        <v>836</v>
      </c>
      <c r="M1275" s="12" t="s">
        <v>2056</v>
      </c>
      <c r="N1275" s="75"/>
    </row>
    <row r="1276" spans="1:14">
      <c r="A1276" s="12">
        <v>1273</v>
      </c>
      <c r="B1276" s="12" t="s">
        <v>4163</v>
      </c>
      <c r="C1276" s="12" t="s">
        <v>881</v>
      </c>
      <c r="D1276" s="12" t="s">
        <v>4164</v>
      </c>
      <c r="E1276" s="85">
        <v>1038.26</v>
      </c>
      <c r="F1276" s="6">
        <v>2074192</v>
      </c>
      <c r="G1276" s="12" t="s">
        <v>760</v>
      </c>
      <c r="H1276" s="12" t="s">
        <v>761</v>
      </c>
      <c r="I1276" s="12" t="s">
        <v>756</v>
      </c>
      <c r="J1276" s="84">
        <v>42731</v>
      </c>
      <c r="K1276" s="84">
        <v>53688</v>
      </c>
      <c r="L1276" s="12" t="s">
        <v>329</v>
      </c>
      <c r="M1276" s="12" t="s">
        <v>762</v>
      </c>
      <c r="N1276" s="75"/>
    </row>
    <row r="1277" spans="1:14">
      <c r="A1277" s="12">
        <v>1274</v>
      </c>
      <c r="B1277" s="12" t="s">
        <v>4165</v>
      </c>
      <c r="C1277" s="12" t="s">
        <v>881</v>
      </c>
      <c r="D1277" s="12" t="s">
        <v>4166</v>
      </c>
      <c r="E1277" s="85">
        <v>1529.31</v>
      </c>
      <c r="F1277" s="6">
        <v>2074192</v>
      </c>
      <c r="G1277" s="12" t="s">
        <v>760</v>
      </c>
      <c r="H1277" s="12" t="s">
        <v>761</v>
      </c>
      <c r="I1277" s="12" t="s">
        <v>756</v>
      </c>
      <c r="J1277" s="84">
        <v>42731</v>
      </c>
      <c r="K1277" s="84">
        <v>53688</v>
      </c>
      <c r="L1277" s="12" t="s">
        <v>836</v>
      </c>
      <c r="M1277" s="12" t="s">
        <v>329</v>
      </c>
      <c r="N1277" s="75"/>
    </row>
    <row r="1278" spans="1:14">
      <c r="A1278" s="12">
        <v>1275</v>
      </c>
      <c r="B1278" s="12" t="s">
        <v>4167</v>
      </c>
      <c r="C1278" s="12" t="s">
        <v>328</v>
      </c>
      <c r="D1278" s="12" t="s">
        <v>4168</v>
      </c>
      <c r="E1278" s="85">
        <v>738.28</v>
      </c>
      <c r="F1278" s="6">
        <v>2074192</v>
      </c>
      <c r="G1278" s="12" t="s">
        <v>760</v>
      </c>
      <c r="H1278" s="12" t="s">
        <v>761</v>
      </c>
      <c r="I1278" s="12" t="s">
        <v>756</v>
      </c>
      <c r="J1278" s="84">
        <v>42725</v>
      </c>
      <c r="K1278" s="84">
        <v>53682</v>
      </c>
      <c r="L1278" s="12" t="s">
        <v>836</v>
      </c>
      <c r="M1278" s="12" t="s">
        <v>329</v>
      </c>
      <c r="N1278" s="75"/>
    </row>
    <row r="1279" spans="1:14">
      <c r="A1279" s="12">
        <v>1276</v>
      </c>
      <c r="B1279" s="12" t="s">
        <v>4169</v>
      </c>
      <c r="C1279" s="12" t="s">
        <v>758</v>
      </c>
      <c r="D1279" s="12" t="s">
        <v>4170</v>
      </c>
      <c r="E1279" s="85">
        <v>2914.52</v>
      </c>
      <c r="F1279" s="6">
        <v>5723876</v>
      </c>
      <c r="G1279" s="12" t="s">
        <v>4171</v>
      </c>
      <c r="H1279" s="12" t="s">
        <v>755</v>
      </c>
      <c r="I1279" s="12" t="s">
        <v>756</v>
      </c>
      <c r="J1279" s="84">
        <v>42741</v>
      </c>
      <c r="K1279" s="84">
        <v>53698</v>
      </c>
      <c r="L1279" s="12" t="s">
        <v>293</v>
      </c>
      <c r="M1279" s="12" t="s">
        <v>1826</v>
      </c>
      <c r="N1279" s="75"/>
    </row>
    <row r="1280" spans="1:14">
      <c r="A1280" s="12">
        <v>1277</v>
      </c>
      <c r="B1280" s="12" t="s">
        <v>4172</v>
      </c>
      <c r="C1280" s="12" t="s">
        <v>122</v>
      </c>
      <c r="D1280" s="12" t="s">
        <v>4173</v>
      </c>
      <c r="E1280" s="85">
        <v>4312.46</v>
      </c>
      <c r="F1280" s="6">
        <v>6232485</v>
      </c>
      <c r="G1280" s="12" t="s">
        <v>4174</v>
      </c>
      <c r="H1280" s="12" t="s">
        <v>755</v>
      </c>
      <c r="I1280" s="12" t="s">
        <v>756</v>
      </c>
      <c r="J1280" s="84">
        <v>42739</v>
      </c>
      <c r="K1280" s="84">
        <v>53696</v>
      </c>
      <c r="L1280" s="12" t="s">
        <v>170</v>
      </c>
      <c r="M1280" s="12" t="s">
        <v>205</v>
      </c>
      <c r="N1280" s="75"/>
    </row>
    <row r="1281" spans="1:14">
      <c r="A1281" s="12">
        <v>1278</v>
      </c>
      <c r="B1281" s="12" t="s">
        <v>4175</v>
      </c>
      <c r="C1281" s="12" t="s">
        <v>212</v>
      </c>
      <c r="D1281" s="12" t="s">
        <v>1811</v>
      </c>
      <c r="E1281" s="85">
        <v>38.31</v>
      </c>
      <c r="F1281" s="6">
        <v>6097936</v>
      </c>
      <c r="G1281" s="12" t="s">
        <v>4176</v>
      </c>
      <c r="H1281" s="12" t="s">
        <v>755</v>
      </c>
      <c r="I1281" s="12" t="s">
        <v>756</v>
      </c>
      <c r="J1281" s="84">
        <v>38567</v>
      </c>
      <c r="K1281" s="84">
        <v>49524</v>
      </c>
      <c r="L1281" s="12" t="s">
        <v>170</v>
      </c>
      <c r="M1281" s="12" t="s">
        <v>171</v>
      </c>
      <c r="N1281" s="75"/>
    </row>
    <row r="1282" spans="1:14">
      <c r="A1282" s="12">
        <v>1279</v>
      </c>
      <c r="B1282" s="12" t="s">
        <v>4177</v>
      </c>
      <c r="C1282" s="12" t="s">
        <v>3840</v>
      </c>
      <c r="D1282" s="12" t="s">
        <v>3259</v>
      </c>
      <c r="E1282" s="85">
        <v>2787.22</v>
      </c>
      <c r="F1282" s="6">
        <v>2869594</v>
      </c>
      <c r="G1282" s="12" t="s">
        <v>3843</v>
      </c>
      <c r="H1282" s="12" t="s">
        <v>755</v>
      </c>
      <c r="I1282" s="12" t="s">
        <v>756</v>
      </c>
      <c r="J1282" s="84">
        <v>42745</v>
      </c>
      <c r="K1282" s="84">
        <v>53702</v>
      </c>
      <c r="L1282" s="12" t="s">
        <v>233</v>
      </c>
      <c r="M1282" s="12" t="s">
        <v>1755</v>
      </c>
      <c r="N1282" s="75"/>
    </row>
    <row r="1283" spans="1:14">
      <c r="A1283" s="12">
        <v>1280</v>
      </c>
      <c r="B1283" s="12" t="s">
        <v>4178</v>
      </c>
      <c r="C1283" s="12" t="s">
        <v>1060</v>
      </c>
      <c r="D1283" s="12" t="s">
        <v>4179</v>
      </c>
      <c r="E1283" s="85">
        <v>634.05999999999995</v>
      </c>
      <c r="F1283" s="6">
        <v>2548747</v>
      </c>
      <c r="G1283" s="12" t="s">
        <v>987</v>
      </c>
      <c r="H1283" s="12" t="s">
        <v>766</v>
      </c>
      <c r="I1283" s="12" t="s">
        <v>767</v>
      </c>
      <c r="J1283" s="84">
        <v>42767</v>
      </c>
      <c r="K1283" s="84">
        <v>53724</v>
      </c>
      <c r="L1283" s="12" t="s">
        <v>138</v>
      </c>
      <c r="M1283" s="12" t="s">
        <v>138</v>
      </c>
      <c r="N1283" s="75"/>
    </row>
    <row r="1284" spans="1:14">
      <c r="A1284" s="12">
        <v>1281</v>
      </c>
      <c r="B1284" s="12" t="s">
        <v>4180</v>
      </c>
      <c r="C1284" s="12" t="s">
        <v>1203</v>
      </c>
      <c r="D1284" s="12" t="s">
        <v>4181</v>
      </c>
      <c r="E1284" s="85">
        <v>194.12</v>
      </c>
      <c r="F1284" s="6">
        <v>6496148</v>
      </c>
      <c r="G1284" s="12" t="s">
        <v>4182</v>
      </c>
      <c r="H1284" s="12" t="s">
        <v>755</v>
      </c>
      <c r="I1284" s="12" t="s">
        <v>756</v>
      </c>
      <c r="J1284" s="84">
        <v>42754</v>
      </c>
      <c r="K1284" s="84">
        <v>53711</v>
      </c>
      <c r="L1284" s="12" t="s">
        <v>274</v>
      </c>
      <c r="M1284" s="12" t="s">
        <v>1023</v>
      </c>
      <c r="N1284" s="75"/>
    </row>
    <row r="1285" spans="1:14">
      <c r="A1285" s="12">
        <v>1282</v>
      </c>
      <c r="B1285" s="12" t="s">
        <v>4183</v>
      </c>
      <c r="C1285" s="12" t="s">
        <v>1203</v>
      </c>
      <c r="D1285" s="12" t="s">
        <v>4184</v>
      </c>
      <c r="E1285" s="85">
        <v>243.4</v>
      </c>
      <c r="F1285" s="6">
        <v>4270177</v>
      </c>
      <c r="G1285" s="12" t="s">
        <v>4185</v>
      </c>
      <c r="H1285" s="12" t="s">
        <v>755</v>
      </c>
      <c r="I1285" s="12" t="s">
        <v>756</v>
      </c>
      <c r="J1285" s="84">
        <v>42754</v>
      </c>
      <c r="K1285" s="84">
        <v>53711</v>
      </c>
      <c r="L1285" s="12" t="s">
        <v>274</v>
      </c>
      <c r="M1285" s="12" t="s">
        <v>1023</v>
      </c>
      <c r="N1285" s="75"/>
    </row>
    <row r="1286" spans="1:14">
      <c r="A1286" s="12">
        <v>1283</v>
      </c>
      <c r="B1286" s="12" t="s">
        <v>4186</v>
      </c>
      <c r="C1286" s="12" t="s">
        <v>212</v>
      </c>
      <c r="D1286" s="12" t="s">
        <v>4187</v>
      </c>
      <c r="E1286" s="85">
        <v>56.83</v>
      </c>
      <c r="F1286" s="6">
        <v>2849046</v>
      </c>
      <c r="G1286" s="12" t="s">
        <v>4188</v>
      </c>
      <c r="H1286" s="12" t="s">
        <v>755</v>
      </c>
      <c r="I1286" s="12" t="s">
        <v>756</v>
      </c>
      <c r="J1286" s="84">
        <v>38359</v>
      </c>
      <c r="K1286" s="84">
        <v>49316</v>
      </c>
      <c r="L1286" s="12" t="s">
        <v>375</v>
      </c>
      <c r="M1286" s="12" t="s">
        <v>944</v>
      </c>
      <c r="N1286" s="75"/>
    </row>
    <row r="1287" spans="1:14">
      <c r="A1287" s="12">
        <v>1284</v>
      </c>
      <c r="B1287" s="12" t="s">
        <v>4189</v>
      </c>
      <c r="C1287" s="12" t="s">
        <v>221</v>
      </c>
      <c r="D1287" s="12" t="s">
        <v>4190</v>
      </c>
      <c r="E1287" s="85">
        <v>1308.43</v>
      </c>
      <c r="F1287" s="6">
        <v>5099005</v>
      </c>
      <c r="G1287" s="12" t="s">
        <v>2661</v>
      </c>
      <c r="H1287" s="12" t="s">
        <v>755</v>
      </c>
      <c r="I1287" s="12" t="s">
        <v>756</v>
      </c>
      <c r="J1287" s="84">
        <v>42776</v>
      </c>
      <c r="K1287" s="84">
        <v>53733</v>
      </c>
      <c r="L1287" s="12" t="s">
        <v>233</v>
      </c>
      <c r="M1287" s="12" t="s">
        <v>2563</v>
      </c>
      <c r="N1287" s="75"/>
    </row>
    <row r="1288" spans="1:14">
      <c r="A1288" s="12">
        <v>1285</v>
      </c>
      <c r="B1288" s="12" t="s">
        <v>4191</v>
      </c>
      <c r="C1288" s="12" t="s">
        <v>979</v>
      </c>
      <c r="D1288" s="12" t="s">
        <v>4192</v>
      </c>
      <c r="E1288" s="85">
        <v>967.29</v>
      </c>
      <c r="F1288" s="6">
        <v>5057035</v>
      </c>
      <c r="G1288" s="12" t="s">
        <v>4193</v>
      </c>
      <c r="H1288" s="12" t="s">
        <v>755</v>
      </c>
      <c r="I1288" s="12" t="s">
        <v>756</v>
      </c>
      <c r="J1288" s="84">
        <v>42776</v>
      </c>
      <c r="K1288" s="84">
        <v>53733</v>
      </c>
      <c r="L1288" s="12" t="s">
        <v>375</v>
      </c>
      <c r="M1288" s="12" t="s">
        <v>1000</v>
      </c>
      <c r="N1288" s="75"/>
    </row>
    <row r="1289" spans="1:14">
      <c r="A1289" s="12">
        <v>1286</v>
      </c>
      <c r="B1289" s="12" t="s">
        <v>4194</v>
      </c>
      <c r="C1289" s="12" t="s">
        <v>979</v>
      </c>
      <c r="D1289" s="12" t="s">
        <v>4195</v>
      </c>
      <c r="E1289" s="85">
        <v>213.16</v>
      </c>
      <c r="F1289" s="6">
        <v>5057035</v>
      </c>
      <c r="G1289" s="12" t="s">
        <v>4193</v>
      </c>
      <c r="H1289" s="12" t="s">
        <v>755</v>
      </c>
      <c r="I1289" s="12" t="s">
        <v>756</v>
      </c>
      <c r="J1289" s="84">
        <v>42776</v>
      </c>
      <c r="K1289" s="84">
        <v>53733</v>
      </c>
      <c r="L1289" s="12" t="s">
        <v>375</v>
      </c>
      <c r="M1289" s="12" t="s">
        <v>1000</v>
      </c>
      <c r="N1289" s="75"/>
    </row>
    <row r="1290" spans="1:14">
      <c r="A1290" s="12">
        <v>1287</v>
      </c>
      <c r="B1290" s="12" t="s">
        <v>4196</v>
      </c>
      <c r="C1290" s="12" t="s">
        <v>752</v>
      </c>
      <c r="D1290" s="12" t="s">
        <v>1395</v>
      </c>
      <c r="E1290" s="85">
        <v>456.21</v>
      </c>
      <c r="F1290" s="6">
        <v>5088321</v>
      </c>
      <c r="G1290" s="12" t="s">
        <v>4197</v>
      </c>
      <c r="H1290" s="12" t="s">
        <v>755</v>
      </c>
      <c r="I1290" s="12" t="s">
        <v>756</v>
      </c>
      <c r="J1290" s="84">
        <v>41033</v>
      </c>
      <c r="K1290" s="84">
        <v>51990</v>
      </c>
      <c r="L1290" s="12" t="s">
        <v>180</v>
      </c>
      <c r="M1290" s="12" t="s">
        <v>927</v>
      </c>
      <c r="N1290" s="75"/>
    </row>
    <row r="1291" spans="1:14">
      <c r="A1291" s="12">
        <v>1288</v>
      </c>
      <c r="B1291" s="12" t="s">
        <v>4198</v>
      </c>
      <c r="C1291" s="12" t="s">
        <v>752</v>
      </c>
      <c r="D1291" s="12" t="s">
        <v>4199</v>
      </c>
      <c r="E1291" s="85">
        <v>93.87</v>
      </c>
      <c r="F1291" s="6">
        <v>5098181</v>
      </c>
      <c r="G1291" s="12" t="s">
        <v>4200</v>
      </c>
      <c r="H1291" s="12" t="s">
        <v>755</v>
      </c>
      <c r="I1291" s="12" t="s">
        <v>756</v>
      </c>
      <c r="J1291" s="84">
        <v>36984</v>
      </c>
      <c r="K1291" s="84">
        <v>47941</v>
      </c>
      <c r="L1291" s="12" t="s">
        <v>293</v>
      </c>
      <c r="M1291" s="12" t="s">
        <v>4201</v>
      </c>
      <c r="N1291" s="75"/>
    </row>
    <row r="1292" spans="1:14">
      <c r="A1292" s="12">
        <v>1289</v>
      </c>
      <c r="B1292" s="12" t="s">
        <v>4202</v>
      </c>
      <c r="C1292" s="12" t="s">
        <v>752</v>
      </c>
      <c r="D1292" s="12" t="s">
        <v>4203</v>
      </c>
      <c r="E1292" s="85">
        <v>964.2</v>
      </c>
      <c r="F1292" s="6">
        <v>5183154</v>
      </c>
      <c r="G1292" s="12" t="s">
        <v>4204</v>
      </c>
      <c r="H1292" s="12" t="s">
        <v>755</v>
      </c>
      <c r="I1292" s="12" t="s">
        <v>756</v>
      </c>
      <c r="J1292" s="84">
        <v>42781</v>
      </c>
      <c r="K1292" s="84">
        <v>53738</v>
      </c>
      <c r="L1292" s="12" t="s">
        <v>274</v>
      </c>
      <c r="M1292" s="12" t="s">
        <v>874</v>
      </c>
      <c r="N1292" s="75"/>
    </row>
    <row r="1293" spans="1:14">
      <c r="A1293" s="12">
        <v>1290</v>
      </c>
      <c r="B1293" s="12" t="s">
        <v>4205</v>
      </c>
      <c r="C1293" s="12" t="s">
        <v>122</v>
      </c>
      <c r="D1293" s="12" t="s">
        <v>4206</v>
      </c>
      <c r="E1293" s="85">
        <v>1046.73</v>
      </c>
      <c r="F1293" s="6">
        <v>5369223</v>
      </c>
      <c r="G1293" s="12" t="s">
        <v>1622</v>
      </c>
      <c r="H1293" s="12" t="s">
        <v>755</v>
      </c>
      <c r="I1293" s="12" t="s">
        <v>756</v>
      </c>
      <c r="J1293" s="84">
        <v>42789</v>
      </c>
      <c r="K1293" s="84">
        <v>53746</v>
      </c>
      <c r="L1293" s="12" t="s">
        <v>375</v>
      </c>
      <c r="M1293" s="12" t="s">
        <v>944</v>
      </c>
      <c r="N1293" s="75"/>
    </row>
    <row r="1294" spans="1:14">
      <c r="A1294" s="12">
        <v>1291</v>
      </c>
      <c r="B1294" s="12" t="s">
        <v>4207</v>
      </c>
      <c r="C1294" s="12" t="s">
        <v>122</v>
      </c>
      <c r="D1294" s="12" t="s">
        <v>2203</v>
      </c>
      <c r="E1294" s="85">
        <v>1925.2</v>
      </c>
      <c r="F1294" s="6">
        <v>5369223</v>
      </c>
      <c r="G1294" s="12" t="s">
        <v>1622</v>
      </c>
      <c r="H1294" s="12" t="s">
        <v>755</v>
      </c>
      <c r="I1294" s="12" t="s">
        <v>756</v>
      </c>
      <c r="J1294" s="84">
        <v>42789</v>
      </c>
      <c r="K1294" s="84">
        <v>53746</v>
      </c>
      <c r="L1294" s="12" t="s">
        <v>375</v>
      </c>
      <c r="M1294" s="12" t="s">
        <v>3306</v>
      </c>
      <c r="N1294" s="75"/>
    </row>
    <row r="1295" spans="1:14">
      <c r="A1295" s="12">
        <v>1292</v>
      </c>
      <c r="B1295" s="12" t="s">
        <v>4208</v>
      </c>
      <c r="C1295" s="12" t="s">
        <v>212</v>
      </c>
      <c r="D1295" s="12" t="s">
        <v>4209</v>
      </c>
      <c r="E1295" s="85">
        <v>412.61</v>
      </c>
      <c r="F1295" s="6">
        <v>5102081</v>
      </c>
      <c r="G1295" s="12" t="s">
        <v>2010</v>
      </c>
      <c r="H1295" s="12" t="s">
        <v>755</v>
      </c>
      <c r="I1295" s="12" t="s">
        <v>756</v>
      </c>
      <c r="J1295" s="84">
        <v>42801</v>
      </c>
      <c r="K1295" s="84">
        <v>53758</v>
      </c>
      <c r="L1295" s="12" t="s">
        <v>293</v>
      </c>
      <c r="M1295" s="12" t="s">
        <v>4210</v>
      </c>
      <c r="N1295" s="75"/>
    </row>
    <row r="1296" spans="1:14">
      <c r="A1296" s="12">
        <v>1293</v>
      </c>
      <c r="B1296" s="12" t="s">
        <v>4211</v>
      </c>
      <c r="C1296" s="12" t="s">
        <v>212</v>
      </c>
      <c r="D1296" s="12" t="s">
        <v>4212</v>
      </c>
      <c r="E1296" s="85">
        <v>606.36</v>
      </c>
      <c r="F1296" s="6">
        <v>5102081</v>
      </c>
      <c r="G1296" s="12" t="s">
        <v>2010</v>
      </c>
      <c r="H1296" s="12" t="s">
        <v>755</v>
      </c>
      <c r="I1296" s="12" t="s">
        <v>756</v>
      </c>
      <c r="J1296" s="84">
        <v>42801</v>
      </c>
      <c r="K1296" s="84">
        <v>53758</v>
      </c>
      <c r="L1296" s="12" t="s">
        <v>293</v>
      </c>
      <c r="M1296" s="12" t="s">
        <v>933</v>
      </c>
      <c r="N1296" s="75"/>
    </row>
    <row r="1297" spans="1:14">
      <c r="A1297" s="12">
        <v>1294</v>
      </c>
      <c r="B1297" s="12" t="s">
        <v>4213</v>
      </c>
      <c r="C1297" s="12" t="s">
        <v>137</v>
      </c>
      <c r="D1297" s="12" t="s">
        <v>4214</v>
      </c>
      <c r="E1297" s="85">
        <v>263.97000000000003</v>
      </c>
      <c r="F1297" s="6">
        <v>5287081</v>
      </c>
      <c r="G1297" s="12" t="s">
        <v>4215</v>
      </c>
      <c r="H1297" s="12" t="s">
        <v>766</v>
      </c>
      <c r="I1297" s="12" t="s">
        <v>767</v>
      </c>
      <c r="J1297" s="84">
        <v>42163</v>
      </c>
      <c r="K1297" s="84">
        <v>53121</v>
      </c>
      <c r="L1297" s="12" t="s">
        <v>304</v>
      </c>
      <c r="M1297" s="12" t="s">
        <v>773</v>
      </c>
      <c r="N1297" s="75"/>
    </row>
    <row r="1298" spans="1:14">
      <c r="A1298" s="12">
        <v>1295</v>
      </c>
      <c r="B1298" s="12" t="s">
        <v>4216</v>
      </c>
      <c r="C1298" s="12" t="s">
        <v>122</v>
      </c>
      <c r="D1298" s="12" t="s">
        <v>4217</v>
      </c>
      <c r="E1298" s="85">
        <v>83.33</v>
      </c>
      <c r="F1298" s="6">
        <v>5101573</v>
      </c>
      <c r="G1298" s="12" t="s">
        <v>4218</v>
      </c>
      <c r="H1298" s="12" t="s">
        <v>755</v>
      </c>
      <c r="I1298" s="12" t="s">
        <v>756</v>
      </c>
      <c r="J1298" s="84">
        <v>42816</v>
      </c>
      <c r="K1298" s="84">
        <v>53773</v>
      </c>
      <c r="L1298" s="12" t="s">
        <v>1014</v>
      </c>
      <c r="M1298" s="12" t="s">
        <v>1132</v>
      </c>
      <c r="N1298" s="75"/>
    </row>
    <row r="1299" spans="1:14">
      <c r="A1299" s="12">
        <v>1296</v>
      </c>
      <c r="B1299" s="12" t="s">
        <v>4219</v>
      </c>
      <c r="C1299" s="12" t="s">
        <v>1060</v>
      </c>
      <c r="D1299" s="12" t="s">
        <v>1548</v>
      </c>
      <c r="E1299" s="85">
        <v>137.77000000000001</v>
      </c>
      <c r="F1299" s="6">
        <v>5401801</v>
      </c>
      <c r="G1299" s="12" t="s">
        <v>1549</v>
      </c>
      <c r="H1299" s="12" t="s">
        <v>755</v>
      </c>
      <c r="I1299" s="12" t="s">
        <v>756</v>
      </c>
      <c r="J1299" s="84">
        <v>42816</v>
      </c>
      <c r="K1299" s="84">
        <v>53773</v>
      </c>
      <c r="L1299" s="12" t="s">
        <v>1102</v>
      </c>
      <c r="M1299" s="12" t="s">
        <v>1550</v>
      </c>
      <c r="N1299" s="75"/>
    </row>
    <row r="1300" spans="1:14">
      <c r="A1300" s="12">
        <v>1297</v>
      </c>
      <c r="B1300" s="12" t="s">
        <v>4220</v>
      </c>
      <c r="C1300" s="12" t="s">
        <v>4221</v>
      </c>
      <c r="D1300" s="12" t="s">
        <v>4222</v>
      </c>
      <c r="E1300" s="85">
        <v>435.22</v>
      </c>
      <c r="F1300" s="6">
        <v>5401801</v>
      </c>
      <c r="G1300" s="12" t="s">
        <v>1549</v>
      </c>
      <c r="H1300" s="12" t="s">
        <v>755</v>
      </c>
      <c r="I1300" s="12" t="s">
        <v>756</v>
      </c>
      <c r="J1300" s="84">
        <v>42816</v>
      </c>
      <c r="K1300" s="84">
        <v>53773</v>
      </c>
      <c r="L1300" s="12" t="s">
        <v>1102</v>
      </c>
      <c r="M1300" s="12" t="s">
        <v>1550</v>
      </c>
      <c r="N1300" s="75"/>
    </row>
    <row r="1301" spans="1:14">
      <c r="A1301" s="12">
        <v>1298</v>
      </c>
      <c r="B1301" s="12" t="s">
        <v>4223</v>
      </c>
      <c r="C1301" s="12" t="s">
        <v>752</v>
      </c>
      <c r="D1301" s="12" t="s">
        <v>1277</v>
      </c>
      <c r="E1301" s="85">
        <v>270.57</v>
      </c>
      <c r="F1301" s="6">
        <v>5581613</v>
      </c>
      <c r="G1301" s="12" t="s">
        <v>4224</v>
      </c>
      <c r="H1301" s="12" t="s">
        <v>755</v>
      </c>
      <c r="I1301" s="12" t="s">
        <v>756</v>
      </c>
      <c r="J1301" s="84">
        <v>42842</v>
      </c>
      <c r="K1301" s="84">
        <v>53799</v>
      </c>
      <c r="L1301" s="12" t="s">
        <v>768</v>
      </c>
      <c r="M1301" s="12" t="s">
        <v>769</v>
      </c>
      <c r="N1301" s="75"/>
    </row>
    <row r="1302" spans="1:14">
      <c r="A1302" s="12">
        <v>1299</v>
      </c>
      <c r="B1302" s="12" t="s">
        <v>4225</v>
      </c>
      <c r="C1302" s="12" t="s">
        <v>212</v>
      </c>
      <c r="D1302" s="12" t="s">
        <v>1806</v>
      </c>
      <c r="E1302" s="85">
        <v>631.04999999999995</v>
      </c>
      <c r="F1302" s="6">
        <v>5098564</v>
      </c>
      <c r="G1302" s="12" t="s">
        <v>4226</v>
      </c>
      <c r="H1302" s="12" t="s">
        <v>848</v>
      </c>
      <c r="I1302" s="12" t="s">
        <v>849</v>
      </c>
      <c r="J1302" s="84">
        <v>42842</v>
      </c>
      <c r="K1302" s="84">
        <v>53799</v>
      </c>
      <c r="L1302" s="12" t="s">
        <v>138</v>
      </c>
      <c r="M1302" s="12" t="s">
        <v>1806</v>
      </c>
      <c r="N1302" s="75"/>
    </row>
    <row r="1303" spans="1:14">
      <c r="A1303" s="12">
        <v>1300</v>
      </c>
      <c r="B1303" s="12" t="s">
        <v>4227</v>
      </c>
      <c r="C1303" s="12" t="s">
        <v>147</v>
      </c>
      <c r="D1303" s="12" t="s">
        <v>4228</v>
      </c>
      <c r="E1303" s="85">
        <v>6400.21</v>
      </c>
      <c r="F1303" s="6">
        <v>5084458</v>
      </c>
      <c r="G1303" s="12" t="s">
        <v>4229</v>
      </c>
      <c r="H1303" s="12" t="s">
        <v>848</v>
      </c>
      <c r="I1303" s="12" t="s">
        <v>849</v>
      </c>
      <c r="J1303" s="84">
        <v>42860</v>
      </c>
      <c r="K1303" s="84">
        <v>53817</v>
      </c>
      <c r="L1303" s="12" t="s">
        <v>233</v>
      </c>
      <c r="M1303" s="12" t="s">
        <v>2644</v>
      </c>
      <c r="N1303" s="75"/>
    </row>
    <row r="1304" spans="1:14">
      <c r="A1304" s="12">
        <v>1301</v>
      </c>
      <c r="B1304" s="12" t="s">
        <v>4230</v>
      </c>
      <c r="C1304" s="12" t="s">
        <v>752</v>
      </c>
      <c r="D1304" s="12" t="s">
        <v>4231</v>
      </c>
      <c r="E1304" s="85">
        <v>221.11</v>
      </c>
      <c r="F1304" s="6">
        <v>5802075</v>
      </c>
      <c r="G1304" s="12" t="s">
        <v>4232</v>
      </c>
      <c r="H1304" s="12" t="s">
        <v>755</v>
      </c>
      <c r="I1304" s="12" t="s">
        <v>756</v>
      </c>
      <c r="J1304" s="84">
        <v>42860</v>
      </c>
      <c r="K1304" s="84">
        <v>53817</v>
      </c>
      <c r="L1304" s="12" t="s">
        <v>274</v>
      </c>
      <c r="M1304" s="12" t="s">
        <v>874</v>
      </c>
      <c r="N1304" s="75"/>
    </row>
    <row r="1305" spans="1:14">
      <c r="A1305" s="12">
        <v>1302</v>
      </c>
      <c r="B1305" s="12" t="s">
        <v>4233</v>
      </c>
      <c r="C1305" s="12" t="s">
        <v>122</v>
      </c>
      <c r="D1305" s="12" t="s">
        <v>4234</v>
      </c>
      <c r="E1305" s="85">
        <v>611.19000000000005</v>
      </c>
      <c r="F1305" s="6">
        <v>5220203</v>
      </c>
      <c r="G1305" s="12" t="s">
        <v>4235</v>
      </c>
      <c r="H1305" s="12" t="s">
        <v>755</v>
      </c>
      <c r="I1305" s="12" t="s">
        <v>756</v>
      </c>
      <c r="J1305" s="84">
        <v>41365</v>
      </c>
      <c r="K1305" s="84">
        <v>52322</v>
      </c>
      <c r="L1305" s="12" t="s">
        <v>170</v>
      </c>
      <c r="M1305" s="12" t="s">
        <v>802</v>
      </c>
      <c r="N1305" s="75"/>
    </row>
    <row r="1306" spans="1:14">
      <c r="A1306" s="12">
        <v>1303</v>
      </c>
      <c r="B1306" s="12" t="s">
        <v>4236</v>
      </c>
      <c r="C1306" s="12" t="s">
        <v>122</v>
      </c>
      <c r="D1306" s="12" t="s">
        <v>4237</v>
      </c>
      <c r="E1306" s="85">
        <v>525.54999999999995</v>
      </c>
      <c r="F1306" s="6">
        <v>5220203</v>
      </c>
      <c r="G1306" s="12" t="s">
        <v>4235</v>
      </c>
      <c r="H1306" s="12" t="s">
        <v>755</v>
      </c>
      <c r="I1306" s="12" t="s">
        <v>756</v>
      </c>
      <c r="J1306" s="84">
        <v>41365</v>
      </c>
      <c r="K1306" s="84">
        <v>52322</v>
      </c>
      <c r="L1306" s="12" t="s">
        <v>1518</v>
      </c>
      <c r="M1306" s="12" t="s">
        <v>4238</v>
      </c>
      <c r="N1306" s="75"/>
    </row>
    <row r="1307" spans="1:14">
      <c r="A1307" s="12">
        <v>1304</v>
      </c>
      <c r="B1307" s="12" t="s">
        <v>4239</v>
      </c>
      <c r="C1307" s="12" t="s">
        <v>122</v>
      </c>
      <c r="D1307" s="12" t="s">
        <v>1048</v>
      </c>
      <c r="E1307" s="85">
        <v>171.73</v>
      </c>
      <c r="F1307" s="6">
        <v>5220203</v>
      </c>
      <c r="G1307" s="12" t="s">
        <v>4235</v>
      </c>
      <c r="H1307" s="12" t="s">
        <v>755</v>
      </c>
      <c r="I1307" s="12" t="s">
        <v>756</v>
      </c>
      <c r="J1307" s="84">
        <v>41375</v>
      </c>
      <c r="K1307" s="84">
        <v>52332</v>
      </c>
      <c r="L1307" s="12" t="s">
        <v>170</v>
      </c>
      <c r="M1307" s="12" t="s">
        <v>802</v>
      </c>
      <c r="N1307" s="75"/>
    </row>
    <row r="1308" spans="1:14">
      <c r="A1308" s="12">
        <v>1305</v>
      </c>
      <c r="B1308" s="12" t="s">
        <v>4240</v>
      </c>
      <c r="C1308" s="12" t="s">
        <v>122</v>
      </c>
      <c r="D1308" s="12" t="s">
        <v>4241</v>
      </c>
      <c r="E1308" s="85">
        <v>1977.32</v>
      </c>
      <c r="F1308" s="6">
        <v>5352827</v>
      </c>
      <c r="G1308" s="12" t="s">
        <v>3281</v>
      </c>
      <c r="H1308" s="12" t="s">
        <v>755</v>
      </c>
      <c r="I1308" s="12" t="s">
        <v>756</v>
      </c>
      <c r="J1308" s="84">
        <v>42859</v>
      </c>
      <c r="K1308" s="84">
        <v>53816</v>
      </c>
      <c r="L1308" s="12" t="s">
        <v>233</v>
      </c>
      <c r="M1308" s="12" t="s">
        <v>3019</v>
      </c>
      <c r="N1308" s="75"/>
    </row>
    <row r="1309" spans="1:14">
      <c r="A1309" s="12">
        <v>1306</v>
      </c>
      <c r="B1309" s="12" t="s">
        <v>4242</v>
      </c>
      <c r="C1309" s="12" t="s">
        <v>221</v>
      </c>
      <c r="D1309" s="12" t="s">
        <v>3220</v>
      </c>
      <c r="E1309" s="85">
        <v>409.74</v>
      </c>
      <c r="F1309" s="6">
        <v>5243904</v>
      </c>
      <c r="G1309" s="12" t="s">
        <v>3221</v>
      </c>
      <c r="H1309" s="12" t="s">
        <v>755</v>
      </c>
      <c r="I1309" s="12" t="s">
        <v>756</v>
      </c>
      <c r="J1309" s="84">
        <v>42863</v>
      </c>
      <c r="K1309" s="84">
        <v>53820</v>
      </c>
      <c r="L1309" s="12" t="s">
        <v>1014</v>
      </c>
      <c r="M1309" s="12" t="s">
        <v>3222</v>
      </c>
      <c r="N1309" s="75"/>
    </row>
    <row r="1310" spans="1:14">
      <c r="A1310" s="12">
        <v>1307</v>
      </c>
      <c r="B1310" s="12" t="s">
        <v>4243</v>
      </c>
      <c r="C1310" s="12" t="s">
        <v>752</v>
      </c>
      <c r="D1310" s="12" t="s">
        <v>4244</v>
      </c>
      <c r="E1310" s="85">
        <v>629.70000000000005</v>
      </c>
      <c r="F1310" s="6">
        <v>5350859</v>
      </c>
      <c r="G1310" s="12" t="s">
        <v>4245</v>
      </c>
      <c r="H1310" s="12" t="s">
        <v>755</v>
      </c>
      <c r="I1310" s="12" t="s">
        <v>756</v>
      </c>
      <c r="J1310" s="84">
        <v>42865</v>
      </c>
      <c r="K1310" s="84">
        <v>53822</v>
      </c>
      <c r="L1310" s="12" t="s">
        <v>1014</v>
      </c>
      <c r="M1310" s="12" t="s">
        <v>4246</v>
      </c>
      <c r="N1310" s="75"/>
    </row>
    <row r="1311" spans="1:14">
      <c r="A1311" s="12">
        <v>1308</v>
      </c>
      <c r="B1311" s="12" t="s">
        <v>4247</v>
      </c>
      <c r="C1311" s="12" t="s">
        <v>137</v>
      </c>
      <c r="D1311" s="12" t="s">
        <v>4248</v>
      </c>
      <c r="E1311" s="85">
        <v>398.79</v>
      </c>
      <c r="F1311" s="6">
        <v>5297591</v>
      </c>
      <c r="G1311" s="12" t="s">
        <v>4249</v>
      </c>
      <c r="H1311" s="12" t="s">
        <v>848</v>
      </c>
      <c r="I1311" s="12" t="s">
        <v>849</v>
      </c>
      <c r="J1311" s="84">
        <v>42866</v>
      </c>
      <c r="K1311" s="84">
        <v>53823</v>
      </c>
      <c r="L1311" s="12" t="s">
        <v>170</v>
      </c>
      <c r="M1311" s="12" t="s">
        <v>171</v>
      </c>
      <c r="N1311" s="75"/>
    </row>
    <row r="1312" spans="1:14">
      <c r="A1312" s="12">
        <v>1309</v>
      </c>
      <c r="B1312" s="12" t="s">
        <v>4250</v>
      </c>
      <c r="C1312" s="12" t="s">
        <v>752</v>
      </c>
      <c r="D1312" s="12" t="s">
        <v>1797</v>
      </c>
      <c r="E1312" s="85">
        <v>33.9</v>
      </c>
      <c r="F1312" s="6">
        <v>3122212</v>
      </c>
      <c r="G1312" s="12" t="s">
        <v>1798</v>
      </c>
      <c r="H1312" s="12" t="s">
        <v>755</v>
      </c>
      <c r="I1312" s="12" t="s">
        <v>756</v>
      </c>
      <c r="J1312" s="84">
        <v>38561</v>
      </c>
      <c r="K1312" s="84">
        <v>49518</v>
      </c>
      <c r="L1312" s="12" t="s">
        <v>768</v>
      </c>
      <c r="M1312" s="12" t="s">
        <v>4251</v>
      </c>
      <c r="N1312" s="75"/>
    </row>
    <row r="1313" spans="1:14">
      <c r="A1313" s="12">
        <v>1310</v>
      </c>
      <c r="B1313" s="12" t="s">
        <v>4252</v>
      </c>
      <c r="C1313" s="12" t="s">
        <v>4253</v>
      </c>
      <c r="D1313" s="12" t="s">
        <v>4254</v>
      </c>
      <c r="E1313" s="85">
        <v>3404.31</v>
      </c>
      <c r="F1313" s="6">
        <v>2711184</v>
      </c>
      <c r="G1313" s="12" t="s">
        <v>4255</v>
      </c>
      <c r="H1313" s="12" t="s">
        <v>755</v>
      </c>
      <c r="I1313" s="12" t="s">
        <v>756</v>
      </c>
      <c r="J1313" s="84">
        <v>42886</v>
      </c>
      <c r="K1313" s="84">
        <v>53843</v>
      </c>
      <c r="L1313" s="12" t="s">
        <v>2670</v>
      </c>
      <c r="M1313" s="12" t="s">
        <v>4256</v>
      </c>
      <c r="N1313" s="75"/>
    </row>
    <row r="1314" spans="1:14">
      <c r="A1314" s="12">
        <v>1311</v>
      </c>
      <c r="B1314" s="12" t="s">
        <v>4257</v>
      </c>
      <c r="C1314" s="12" t="s">
        <v>4258</v>
      </c>
      <c r="D1314" s="12" t="s">
        <v>4259</v>
      </c>
      <c r="E1314" s="85">
        <v>302.54000000000002</v>
      </c>
      <c r="F1314" s="6">
        <v>5112389</v>
      </c>
      <c r="G1314" s="12" t="s">
        <v>4260</v>
      </c>
      <c r="H1314" s="12" t="s">
        <v>755</v>
      </c>
      <c r="I1314" s="12" t="s">
        <v>756</v>
      </c>
      <c r="J1314" s="84">
        <v>42895</v>
      </c>
      <c r="K1314" s="84">
        <v>53852</v>
      </c>
      <c r="L1314" s="12" t="s">
        <v>138</v>
      </c>
      <c r="M1314" s="12" t="s">
        <v>1806</v>
      </c>
      <c r="N1314" s="75"/>
    </row>
    <row r="1315" spans="1:14">
      <c r="A1315" s="12">
        <v>1312</v>
      </c>
      <c r="B1315" s="12" t="s">
        <v>4261</v>
      </c>
      <c r="C1315" s="12" t="s">
        <v>4262</v>
      </c>
      <c r="D1315" s="12" t="s">
        <v>4263</v>
      </c>
      <c r="E1315" s="85">
        <v>37.049999999999997</v>
      </c>
      <c r="F1315" s="6">
        <v>2085399</v>
      </c>
      <c r="G1315" s="12" t="s">
        <v>4264</v>
      </c>
      <c r="H1315" s="12" t="s">
        <v>755</v>
      </c>
      <c r="I1315" s="12" t="s">
        <v>756</v>
      </c>
      <c r="J1315" s="84">
        <v>42898</v>
      </c>
      <c r="K1315" s="84">
        <v>53855</v>
      </c>
      <c r="L1315" s="12" t="s">
        <v>128</v>
      </c>
      <c r="M1315" s="12" t="s">
        <v>862</v>
      </c>
      <c r="N1315" s="75"/>
    </row>
    <row r="1316" spans="1:14">
      <c r="A1316" s="12">
        <v>1313</v>
      </c>
      <c r="B1316" s="12" t="s">
        <v>4265</v>
      </c>
      <c r="C1316" s="12" t="s">
        <v>752</v>
      </c>
      <c r="D1316" s="12" t="s">
        <v>4266</v>
      </c>
      <c r="E1316" s="85">
        <v>999.3</v>
      </c>
      <c r="F1316" s="6">
        <v>5267994</v>
      </c>
      <c r="G1316" s="12" t="s">
        <v>4267</v>
      </c>
      <c r="H1316" s="12" t="s">
        <v>755</v>
      </c>
      <c r="I1316" s="12" t="s">
        <v>756</v>
      </c>
      <c r="J1316" s="84">
        <v>42899</v>
      </c>
      <c r="K1316" s="84">
        <v>53856</v>
      </c>
      <c r="L1316" s="12" t="s">
        <v>274</v>
      </c>
      <c r="M1316" s="12" t="s">
        <v>3914</v>
      </c>
      <c r="N1316" s="75"/>
    </row>
    <row r="1317" spans="1:14">
      <c r="A1317" s="12">
        <v>1314</v>
      </c>
      <c r="B1317" s="12" t="s">
        <v>4268</v>
      </c>
      <c r="C1317" s="12" t="s">
        <v>752</v>
      </c>
      <c r="D1317" s="12" t="s">
        <v>4269</v>
      </c>
      <c r="E1317" s="85">
        <v>154.56</v>
      </c>
      <c r="F1317" s="6">
        <v>6009328</v>
      </c>
      <c r="G1317" s="12" t="s">
        <v>4270</v>
      </c>
      <c r="H1317" s="12" t="s">
        <v>755</v>
      </c>
      <c r="I1317" s="12" t="s">
        <v>756</v>
      </c>
      <c r="J1317" s="84">
        <v>42902</v>
      </c>
      <c r="K1317" s="84">
        <v>53859</v>
      </c>
      <c r="L1317" s="12" t="s">
        <v>293</v>
      </c>
      <c r="M1317" s="12" t="s">
        <v>1206</v>
      </c>
      <c r="N1317" s="75"/>
    </row>
    <row r="1318" spans="1:14">
      <c r="A1318" s="12">
        <v>1315</v>
      </c>
      <c r="B1318" s="12" t="s">
        <v>4271</v>
      </c>
      <c r="C1318" s="12" t="s">
        <v>4272</v>
      </c>
      <c r="D1318" s="12" t="s">
        <v>4273</v>
      </c>
      <c r="E1318" s="85">
        <v>131.46</v>
      </c>
      <c r="F1318" s="6">
        <v>5439183</v>
      </c>
      <c r="G1318" s="12" t="s">
        <v>4274</v>
      </c>
      <c r="H1318" s="12" t="s">
        <v>755</v>
      </c>
      <c r="I1318" s="12" t="s">
        <v>756</v>
      </c>
      <c r="J1318" s="84">
        <v>42914</v>
      </c>
      <c r="K1318" s="84">
        <v>54193</v>
      </c>
      <c r="L1318" s="12" t="s">
        <v>233</v>
      </c>
      <c r="M1318" s="12" t="s">
        <v>237</v>
      </c>
      <c r="N1318" s="75"/>
    </row>
    <row r="1319" spans="1:14">
      <c r="A1319" s="12">
        <v>1316</v>
      </c>
      <c r="B1319" s="12" t="s">
        <v>4275</v>
      </c>
      <c r="C1319" s="12" t="s">
        <v>752</v>
      </c>
      <c r="D1319" s="12" t="s">
        <v>4276</v>
      </c>
      <c r="E1319" s="85">
        <v>196.36</v>
      </c>
      <c r="F1319" s="6">
        <v>5103878</v>
      </c>
      <c r="G1319" s="12" t="s">
        <v>4277</v>
      </c>
      <c r="H1319" s="12" t="s">
        <v>755</v>
      </c>
      <c r="I1319" s="12" t="s">
        <v>756</v>
      </c>
      <c r="J1319" s="84">
        <v>42913</v>
      </c>
      <c r="K1319" s="84">
        <v>53870</v>
      </c>
      <c r="L1319" s="12" t="s">
        <v>768</v>
      </c>
      <c r="M1319" s="12" t="s">
        <v>769</v>
      </c>
      <c r="N1319" s="75"/>
    </row>
    <row r="1320" spans="1:14">
      <c r="A1320" s="12">
        <v>1317</v>
      </c>
      <c r="B1320" s="12" t="s">
        <v>4278</v>
      </c>
      <c r="C1320" s="12" t="s">
        <v>979</v>
      </c>
      <c r="D1320" s="12" t="s">
        <v>4279</v>
      </c>
      <c r="E1320" s="85">
        <v>2965.5</v>
      </c>
      <c r="F1320" s="6">
        <v>5057035</v>
      </c>
      <c r="G1320" s="12" t="s">
        <v>4193</v>
      </c>
      <c r="H1320" s="12" t="s">
        <v>755</v>
      </c>
      <c r="I1320" s="12" t="s">
        <v>756</v>
      </c>
      <c r="J1320" s="84">
        <v>42914</v>
      </c>
      <c r="K1320" s="84">
        <v>54389</v>
      </c>
      <c r="L1320" s="12" t="s">
        <v>375</v>
      </c>
      <c r="M1320" s="12" t="s">
        <v>1000</v>
      </c>
      <c r="N1320" s="75"/>
    </row>
    <row r="1321" spans="1:14">
      <c r="A1321" s="12">
        <v>1318</v>
      </c>
      <c r="B1321" s="12" t="s">
        <v>4280</v>
      </c>
      <c r="C1321" s="12" t="s">
        <v>122</v>
      </c>
      <c r="D1321" s="12" t="s">
        <v>3628</v>
      </c>
      <c r="E1321" s="85">
        <v>55.62</v>
      </c>
      <c r="F1321" s="6">
        <v>2661128</v>
      </c>
      <c r="G1321" s="12" t="s">
        <v>1108</v>
      </c>
      <c r="H1321" s="12" t="s">
        <v>755</v>
      </c>
      <c r="I1321" s="12" t="s">
        <v>756</v>
      </c>
      <c r="J1321" s="84">
        <v>42914</v>
      </c>
      <c r="K1321" s="84">
        <v>53871</v>
      </c>
      <c r="L1321" s="12" t="s">
        <v>782</v>
      </c>
      <c r="M1321" s="12" t="s">
        <v>1109</v>
      </c>
      <c r="N1321" s="75"/>
    </row>
    <row r="1322" spans="1:14">
      <c r="A1322" s="12">
        <v>1319</v>
      </c>
      <c r="B1322" s="12" t="s">
        <v>4281</v>
      </c>
      <c r="C1322" s="12" t="s">
        <v>752</v>
      </c>
      <c r="D1322" s="12" t="s">
        <v>3860</v>
      </c>
      <c r="E1322" s="85">
        <v>61.71</v>
      </c>
      <c r="F1322" s="6">
        <v>6112633</v>
      </c>
      <c r="G1322" s="12" t="s">
        <v>4282</v>
      </c>
      <c r="H1322" s="12" t="s">
        <v>755</v>
      </c>
      <c r="I1322" s="12" t="s">
        <v>756</v>
      </c>
      <c r="J1322" s="84">
        <v>42919</v>
      </c>
      <c r="K1322" s="84">
        <v>53876</v>
      </c>
      <c r="L1322" s="12" t="s">
        <v>304</v>
      </c>
      <c r="M1322" s="12" t="s">
        <v>141</v>
      </c>
      <c r="N1322" s="75"/>
    </row>
    <row r="1323" spans="1:14">
      <c r="A1323" s="12">
        <v>1320</v>
      </c>
      <c r="B1323" s="12" t="s">
        <v>4283</v>
      </c>
      <c r="C1323" s="12" t="s">
        <v>752</v>
      </c>
      <c r="D1323" s="12" t="s">
        <v>4284</v>
      </c>
      <c r="E1323" s="85">
        <v>144.43</v>
      </c>
      <c r="F1323" s="6">
        <v>5550505</v>
      </c>
      <c r="G1323" s="12" t="s">
        <v>4285</v>
      </c>
      <c r="H1323" s="12" t="s">
        <v>755</v>
      </c>
      <c r="I1323" s="12" t="s">
        <v>756</v>
      </c>
      <c r="J1323" s="84">
        <v>42920</v>
      </c>
      <c r="K1323" s="84">
        <v>54172</v>
      </c>
      <c r="L1323" s="12" t="s">
        <v>1014</v>
      </c>
      <c r="M1323" s="12" t="s">
        <v>3222</v>
      </c>
      <c r="N1323" s="75"/>
    </row>
    <row r="1324" spans="1:14">
      <c r="A1324" s="12">
        <v>1321</v>
      </c>
      <c r="B1324" s="12" t="s">
        <v>4286</v>
      </c>
      <c r="C1324" s="12" t="s">
        <v>752</v>
      </c>
      <c r="D1324" s="12" t="s">
        <v>4287</v>
      </c>
      <c r="E1324" s="85">
        <v>452.9</v>
      </c>
      <c r="F1324" s="6">
        <v>6030343</v>
      </c>
      <c r="G1324" s="12" t="s">
        <v>4288</v>
      </c>
      <c r="H1324" s="12" t="s">
        <v>755</v>
      </c>
      <c r="I1324" s="12" t="s">
        <v>756</v>
      </c>
      <c r="J1324" s="84">
        <v>42920</v>
      </c>
      <c r="K1324" s="84">
        <v>53877</v>
      </c>
      <c r="L1324" s="12" t="s">
        <v>836</v>
      </c>
      <c r="M1324" s="12" t="s">
        <v>837</v>
      </c>
      <c r="N1324" s="75"/>
    </row>
    <row r="1325" spans="1:14">
      <c r="A1325" s="12">
        <v>1322</v>
      </c>
      <c r="B1325" s="12" t="s">
        <v>4289</v>
      </c>
      <c r="C1325" s="12" t="s">
        <v>752</v>
      </c>
      <c r="D1325" s="12" t="s">
        <v>2761</v>
      </c>
      <c r="E1325" s="85">
        <v>28.64</v>
      </c>
      <c r="F1325" s="6">
        <v>5576741</v>
      </c>
      <c r="G1325" s="12" t="s">
        <v>4290</v>
      </c>
      <c r="H1325" s="12" t="s">
        <v>755</v>
      </c>
      <c r="I1325" s="12" t="s">
        <v>756</v>
      </c>
      <c r="J1325" s="84">
        <v>42922</v>
      </c>
      <c r="K1325" s="84">
        <v>53879</v>
      </c>
      <c r="L1325" s="12" t="s">
        <v>304</v>
      </c>
      <c r="M1325" s="12" t="s">
        <v>141</v>
      </c>
      <c r="N1325" s="75"/>
    </row>
    <row r="1326" spans="1:14">
      <c r="A1326" s="12">
        <v>1323</v>
      </c>
      <c r="B1326" s="12" t="s">
        <v>4291</v>
      </c>
      <c r="C1326" s="12" t="s">
        <v>752</v>
      </c>
      <c r="D1326" s="12" t="s">
        <v>929</v>
      </c>
      <c r="E1326" s="85">
        <v>81.540000000000006</v>
      </c>
      <c r="F1326" s="6">
        <v>5396786</v>
      </c>
      <c r="G1326" s="12" t="s">
        <v>930</v>
      </c>
      <c r="H1326" s="12" t="s">
        <v>755</v>
      </c>
      <c r="I1326" s="12" t="s">
        <v>756</v>
      </c>
      <c r="J1326" s="84">
        <v>34986</v>
      </c>
      <c r="K1326" s="84">
        <v>53249</v>
      </c>
      <c r="L1326" s="12" t="s">
        <v>274</v>
      </c>
      <c r="M1326" s="12" t="s">
        <v>275</v>
      </c>
      <c r="N1326" s="75"/>
    </row>
    <row r="1327" spans="1:14">
      <c r="A1327" s="12">
        <v>1324</v>
      </c>
      <c r="B1327" s="12" t="s">
        <v>4292</v>
      </c>
      <c r="C1327" s="12" t="s">
        <v>752</v>
      </c>
      <c r="D1327" s="12" t="s">
        <v>929</v>
      </c>
      <c r="E1327" s="85">
        <v>178.12</v>
      </c>
      <c r="F1327" s="6">
        <v>2091798</v>
      </c>
      <c r="G1327" s="12" t="s">
        <v>2262</v>
      </c>
      <c r="H1327" s="12" t="s">
        <v>755</v>
      </c>
      <c r="I1327" s="12" t="s">
        <v>756</v>
      </c>
      <c r="J1327" s="84">
        <v>34986</v>
      </c>
      <c r="K1327" s="84">
        <v>45944</v>
      </c>
      <c r="L1327" s="12" t="s">
        <v>274</v>
      </c>
      <c r="M1327" s="12" t="s">
        <v>275</v>
      </c>
      <c r="N1327" s="75"/>
    </row>
    <row r="1328" spans="1:14">
      <c r="A1328" s="12">
        <v>1325</v>
      </c>
      <c r="B1328" s="12" t="s">
        <v>4293</v>
      </c>
      <c r="C1328" s="12" t="s">
        <v>1035</v>
      </c>
      <c r="D1328" s="12" t="s">
        <v>4294</v>
      </c>
      <c r="E1328" s="85">
        <v>510.36</v>
      </c>
      <c r="F1328" s="6">
        <v>2097109</v>
      </c>
      <c r="G1328" s="12" t="s">
        <v>3070</v>
      </c>
      <c r="H1328" s="12" t="s">
        <v>755</v>
      </c>
      <c r="I1328" s="12" t="s">
        <v>756</v>
      </c>
      <c r="J1328" s="84">
        <v>42173</v>
      </c>
      <c r="K1328" s="84">
        <v>53131</v>
      </c>
      <c r="L1328" s="12" t="s">
        <v>274</v>
      </c>
      <c r="M1328" s="12" t="s">
        <v>2184</v>
      </c>
      <c r="N1328" s="75"/>
    </row>
    <row r="1329" spans="1:14">
      <c r="A1329" s="12">
        <v>1326</v>
      </c>
      <c r="B1329" s="12" t="s">
        <v>4295</v>
      </c>
      <c r="C1329" s="12" t="s">
        <v>122</v>
      </c>
      <c r="D1329" s="12" t="s">
        <v>1461</v>
      </c>
      <c r="E1329" s="85">
        <v>915.26</v>
      </c>
      <c r="F1329" s="6">
        <v>2807459</v>
      </c>
      <c r="G1329" s="12" t="s">
        <v>3777</v>
      </c>
      <c r="H1329" s="12" t="s">
        <v>755</v>
      </c>
      <c r="I1329" s="12" t="s">
        <v>756</v>
      </c>
      <c r="J1329" s="84">
        <v>42943</v>
      </c>
      <c r="K1329" s="84">
        <v>53900</v>
      </c>
      <c r="L1329" s="12" t="s">
        <v>782</v>
      </c>
      <c r="M1329" s="12" t="s">
        <v>4296</v>
      </c>
      <c r="N1329" s="75"/>
    </row>
    <row r="1330" spans="1:14">
      <c r="A1330" s="12">
        <v>1327</v>
      </c>
      <c r="B1330" s="12" t="s">
        <v>4297</v>
      </c>
      <c r="C1330" s="12" t="s">
        <v>122</v>
      </c>
      <c r="D1330" s="12" t="s">
        <v>4298</v>
      </c>
      <c r="E1330" s="85">
        <v>1470.73</v>
      </c>
      <c r="F1330" s="6">
        <v>2807459</v>
      </c>
      <c r="G1330" s="12" t="s">
        <v>3777</v>
      </c>
      <c r="H1330" s="12" t="s">
        <v>755</v>
      </c>
      <c r="I1330" s="12" t="s">
        <v>756</v>
      </c>
      <c r="J1330" s="84">
        <v>42943</v>
      </c>
      <c r="K1330" s="84">
        <v>53900</v>
      </c>
      <c r="L1330" s="12" t="s">
        <v>782</v>
      </c>
      <c r="M1330" s="12" t="s">
        <v>1109</v>
      </c>
      <c r="N1330" s="75"/>
    </row>
    <row r="1331" spans="1:14">
      <c r="A1331" s="12">
        <v>1328</v>
      </c>
      <c r="B1331" s="12" t="s">
        <v>4299</v>
      </c>
      <c r="C1331" s="12" t="s">
        <v>752</v>
      </c>
      <c r="D1331" s="12" t="s">
        <v>2761</v>
      </c>
      <c r="E1331" s="85">
        <v>58.25</v>
      </c>
      <c r="F1331" s="6">
        <v>5576741</v>
      </c>
      <c r="G1331" s="12" t="s">
        <v>4290</v>
      </c>
      <c r="H1331" s="12" t="s">
        <v>755</v>
      </c>
      <c r="I1331" s="12" t="s">
        <v>756</v>
      </c>
      <c r="J1331" s="84">
        <v>42947</v>
      </c>
      <c r="K1331" s="84">
        <v>53904</v>
      </c>
      <c r="L1331" s="12" t="s">
        <v>304</v>
      </c>
      <c r="M1331" s="12" t="s">
        <v>141</v>
      </c>
      <c r="N1331" s="75"/>
    </row>
    <row r="1332" spans="1:14">
      <c r="A1332" s="12">
        <v>1329</v>
      </c>
      <c r="B1332" s="12" t="s">
        <v>4300</v>
      </c>
      <c r="C1332" s="12" t="s">
        <v>1803</v>
      </c>
      <c r="D1332" s="12" t="s">
        <v>4301</v>
      </c>
      <c r="E1332" s="85">
        <v>1616.92</v>
      </c>
      <c r="F1332" s="6">
        <v>5365112</v>
      </c>
      <c r="G1332" s="12" t="s">
        <v>4302</v>
      </c>
      <c r="H1332" s="12" t="s">
        <v>755</v>
      </c>
      <c r="I1332" s="12" t="s">
        <v>756</v>
      </c>
      <c r="J1332" s="84">
        <v>42947</v>
      </c>
      <c r="K1332" s="84">
        <v>53603</v>
      </c>
      <c r="L1332" s="12" t="s">
        <v>205</v>
      </c>
      <c r="M1332" s="12" t="s">
        <v>4303</v>
      </c>
      <c r="N1332" s="75"/>
    </row>
    <row r="1333" spans="1:14">
      <c r="A1333" s="12">
        <v>1330</v>
      </c>
      <c r="B1333" s="12" t="s">
        <v>4304</v>
      </c>
      <c r="C1333" s="12" t="s">
        <v>1889</v>
      </c>
      <c r="D1333" s="12" t="s">
        <v>2382</v>
      </c>
      <c r="E1333" s="85">
        <v>504.5</v>
      </c>
      <c r="F1333" s="6">
        <v>2061899</v>
      </c>
      <c r="G1333" s="12" t="s">
        <v>1980</v>
      </c>
      <c r="H1333" s="12" t="s">
        <v>755</v>
      </c>
      <c r="I1333" s="12" t="s">
        <v>756</v>
      </c>
      <c r="J1333" s="84">
        <v>42956</v>
      </c>
      <c r="K1333" s="84">
        <v>53913</v>
      </c>
      <c r="L1333" s="12" t="s">
        <v>274</v>
      </c>
      <c r="M1333" s="12" t="s">
        <v>874</v>
      </c>
      <c r="N1333" s="75"/>
    </row>
    <row r="1334" spans="1:14">
      <c r="A1334" s="12">
        <v>1331</v>
      </c>
      <c r="B1334" s="12" t="s">
        <v>4305</v>
      </c>
      <c r="C1334" s="12" t="s">
        <v>752</v>
      </c>
      <c r="D1334" s="12" t="s">
        <v>4306</v>
      </c>
      <c r="E1334" s="85">
        <v>80.19</v>
      </c>
      <c r="F1334" s="6">
        <v>6134335</v>
      </c>
      <c r="G1334" s="12" t="s">
        <v>4307</v>
      </c>
      <c r="H1334" s="12" t="s">
        <v>848</v>
      </c>
      <c r="I1334" s="12" t="s">
        <v>849</v>
      </c>
      <c r="J1334" s="84">
        <v>42972</v>
      </c>
      <c r="K1334" s="84">
        <v>53929</v>
      </c>
      <c r="L1334" s="12" t="s">
        <v>836</v>
      </c>
      <c r="M1334" s="12" t="s">
        <v>837</v>
      </c>
      <c r="N1334" s="75"/>
    </row>
    <row r="1335" spans="1:14">
      <c r="A1335" s="12">
        <v>1332</v>
      </c>
      <c r="B1335" s="12" t="s">
        <v>4308</v>
      </c>
      <c r="C1335" s="12" t="s">
        <v>752</v>
      </c>
      <c r="D1335" s="12" t="s">
        <v>1476</v>
      </c>
      <c r="E1335" s="85">
        <v>77.92</v>
      </c>
      <c r="F1335" s="6">
        <v>4257456</v>
      </c>
      <c r="G1335" s="12" t="s">
        <v>4309</v>
      </c>
      <c r="H1335" s="12" t="s">
        <v>755</v>
      </c>
      <c r="I1335" s="12" t="s">
        <v>756</v>
      </c>
      <c r="J1335" s="84">
        <v>42972</v>
      </c>
      <c r="K1335" s="84">
        <v>50642</v>
      </c>
      <c r="L1335" s="12" t="s">
        <v>304</v>
      </c>
      <c r="M1335" s="12" t="s">
        <v>1634</v>
      </c>
      <c r="N1335" s="75"/>
    </row>
    <row r="1336" spans="1:14">
      <c r="A1336" s="12">
        <v>1333</v>
      </c>
      <c r="B1336" s="12" t="s">
        <v>4310</v>
      </c>
      <c r="C1336" s="12" t="s">
        <v>752</v>
      </c>
      <c r="D1336" s="12" t="s">
        <v>4311</v>
      </c>
      <c r="E1336" s="85">
        <v>39.15</v>
      </c>
      <c r="F1336" s="6">
        <v>5029066</v>
      </c>
      <c r="G1336" s="12" t="s">
        <v>4312</v>
      </c>
      <c r="H1336" s="12" t="s">
        <v>755</v>
      </c>
      <c r="I1336" s="12" t="s">
        <v>756</v>
      </c>
      <c r="J1336" s="84">
        <v>38751</v>
      </c>
      <c r="K1336" s="84">
        <v>49708</v>
      </c>
      <c r="L1336" s="12" t="s">
        <v>304</v>
      </c>
      <c r="M1336" s="12" t="s">
        <v>773</v>
      </c>
      <c r="N1336" s="75"/>
    </row>
    <row r="1337" spans="1:14">
      <c r="A1337" s="12">
        <v>1334</v>
      </c>
      <c r="B1337" s="12" t="s">
        <v>4313</v>
      </c>
      <c r="C1337" s="12" t="s">
        <v>881</v>
      </c>
      <c r="D1337" s="12" t="s">
        <v>4314</v>
      </c>
      <c r="E1337" s="85">
        <v>410.61</v>
      </c>
      <c r="F1337" s="6">
        <v>2771799</v>
      </c>
      <c r="G1337" s="12" t="s">
        <v>4315</v>
      </c>
      <c r="H1337" s="12" t="s">
        <v>755</v>
      </c>
      <c r="I1337" s="12" t="s">
        <v>756</v>
      </c>
      <c r="J1337" s="84">
        <v>42978</v>
      </c>
      <c r="K1337" s="84">
        <v>53935</v>
      </c>
      <c r="L1337" s="12" t="s">
        <v>128</v>
      </c>
      <c r="M1337" s="12" t="s">
        <v>1076</v>
      </c>
      <c r="N1337" s="75"/>
    </row>
    <row r="1338" spans="1:14">
      <c r="A1338" s="12">
        <v>1335</v>
      </c>
      <c r="B1338" s="12" t="s">
        <v>4316</v>
      </c>
      <c r="C1338" s="12" t="s">
        <v>122</v>
      </c>
      <c r="D1338" s="12" t="s">
        <v>2159</v>
      </c>
      <c r="E1338" s="85">
        <v>65.33</v>
      </c>
      <c r="F1338" s="6">
        <v>2668505</v>
      </c>
      <c r="G1338" s="12" t="s">
        <v>4317</v>
      </c>
      <c r="H1338" s="12" t="s">
        <v>755</v>
      </c>
      <c r="I1338" s="12" t="s">
        <v>756</v>
      </c>
      <c r="J1338" s="84">
        <v>42979</v>
      </c>
      <c r="K1338" s="84">
        <v>53936</v>
      </c>
      <c r="L1338" s="12" t="s">
        <v>375</v>
      </c>
      <c r="M1338" s="12" t="s">
        <v>944</v>
      </c>
      <c r="N1338" s="75"/>
    </row>
    <row r="1339" spans="1:14">
      <c r="A1339" s="12">
        <v>1336</v>
      </c>
      <c r="B1339" s="12" t="s">
        <v>4318</v>
      </c>
      <c r="C1339" s="12" t="s">
        <v>137</v>
      </c>
      <c r="D1339" s="12" t="s">
        <v>2878</v>
      </c>
      <c r="E1339" s="85">
        <v>1745.74</v>
      </c>
      <c r="F1339" s="6">
        <v>5857872</v>
      </c>
      <c r="G1339" s="12" t="s">
        <v>4319</v>
      </c>
      <c r="H1339" s="12" t="s">
        <v>755</v>
      </c>
      <c r="I1339" s="12" t="s">
        <v>756</v>
      </c>
      <c r="J1339" s="84">
        <v>42979</v>
      </c>
      <c r="K1339" s="84">
        <v>53936</v>
      </c>
      <c r="L1339" s="12" t="s">
        <v>123</v>
      </c>
      <c r="M1339" s="12" t="s">
        <v>1058</v>
      </c>
      <c r="N1339" s="75"/>
    </row>
    <row r="1340" spans="1:14">
      <c r="A1340" s="12">
        <v>1337</v>
      </c>
      <c r="B1340" s="12" t="s">
        <v>4320</v>
      </c>
      <c r="C1340" s="12" t="s">
        <v>752</v>
      </c>
      <c r="D1340" s="12" t="s">
        <v>1682</v>
      </c>
      <c r="E1340" s="85">
        <v>34.619999999999997</v>
      </c>
      <c r="F1340" s="6">
        <v>2840995</v>
      </c>
      <c r="G1340" s="12" t="s">
        <v>1683</v>
      </c>
      <c r="H1340" s="12" t="s">
        <v>755</v>
      </c>
      <c r="I1340" s="12" t="s">
        <v>756</v>
      </c>
      <c r="J1340" s="84">
        <v>38329</v>
      </c>
      <c r="K1340" s="84">
        <v>49179</v>
      </c>
      <c r="L1340" s="12" t="s">
        <v>304</v>
      </c>
      <c r="M1340" s="12" t="s">
        <v>843</v>
      </c>
      <c r="N1340" s="75"/>
    </row>
    <row r="1341" spans="1:14">
      <c r="A1341" s="12">
        <v>1338</v>
      </c>
      <c r="B1341" s="12" t="s">
        <v>4321</v>
      </c>
      <c r="C1341" s="12" t="s">
        <v>886</v>
      </c>
      <c r="D1341" s="12" t="s">
        <v>3857</v>
      </c>
      <c r="E1341" s="85">
        <v>1060.76</v>
      </c>
      <c r="F1341" s="6">
        <v>5060419</v>
      </c>
      <c r="G1341" s="12" t="s">
        <v>3858</v>
      </c>
      <c r="H1341" s="12" t="s">
        <v>848</v>
      </c>
      <c r="I1341" s="12" t="s">
        <v>849</v>
      </c>
      <c r="J1341" s="84">
        <v>42978</v>
      </c>
      <c r="K1341" s="84">
        <v>53935</v>
      </c>
      <c r="L1341" s="12" t="s">
        <v>123</v>
      </c>
      <c r="M1341" s="12" t="s">
        <v>1256</v>
      </c>
      <c r="N1341" s="75"/>
    </row>
    <row r="1342" spans="1:14">
      <c r="A1342" s="12">
        <v>1339</v>
      </c>
      <c r="B1342" s="12" t="s">
        <v>4322</v>
      </c>
      <c r="C1342" s="12" t="s">
        <v>212</v>
      </c>
      <c r="D1342" s="12" t="s">
        <v>4323</v>
      </c>
      <c r="E1342" s="85">
        <v>170.14</v>
      </c>
      <c r="F1342" s="6">
        <v>6162711</v>
      </c>
      <c r="G1342" s="12" t="s">
        <v>4324</v>
      </c>
      <c r="H1342" s="12" t="s">
        <v>848</v>
      </c>
      <c r="I1342" s="12" t="s">
        <v>849</v>
      </c>
      <c r="J1342" s="84">
        <v>42983</v>
      </c>
      <c r="K1342" s="84">
        <v>53940</v>
      </c>
      <c r="L1342" s="12" t="s">
        <v>375</v>
      </c>
      <c r="M1342" s="12" t="s">
        <v>4325</v>
      </c>
      <c r="N1342" s="75"/>
    </row>
    <row r="1343" spans="1:14">
      <c r="A1343" s="12">
        <v>1340</v>
      </c>
      <c r="B1343" s="12" t="s">
        <v>4326</v>
      </c>
      <c r="C1343" s="12" t="s">
        <v>752</v>
      </c>
      <c r="D1343" s="12" t="s">
        <v>4327</v>
      </c>
      <c r="E1343" s="85">
        <v>166.55</v>
      </c>
      <c r="F1343" s="6">
        <v>2698161</v>
      </c>
      <c r="G1343" s="12" t="s">
        <v>4328</v>
      </c>
      <c r="H1343" s="12" t="s">
        <v>755</v>
      </c>
      <c r="I1343" s="12" t="s">
        <v>756</v>
      </c>
      <c r="J1343" s="84">
        <v>35986</v>
      </c>
      <c r="K1343" s="84">
        <v>46944</v>
      </c>
      <c r="L1343" s="12" t="s">
        <v>304</v>
      </c>
      <c r="M1343" s="12" t="s">
        <v>773</v>
      </c>
      <c r="N1343" s="75"/>
    </row>
    <row r="1344" spans="1:14">
      <c r="A1344" s="12">
        <v>1341</v>
      </c>
      <c r="B1344" s="12" t="s">
        <v>4329</v>
      </c>
      <c r="C1344" s="12" t="s">
        <v>122</v>
      </c>
      <c r="D1344" s="12" t="s">
        <v>2874</v>
      </c>
      <c r="E1344" s="85">
        <v>1794.81</v>
      </c>
      <c r="F1344" s="6">
        <v>5457912</v>
      </c>
      <c r="G1344" s="12" t="s">
        <v>4330</v>
      </c>
      <c r="H1344" s="12" t="s">
        <v>755</v>
      </c>
      <c r="I1344" s="12" t="s">
        <v>756</v>
      </c>
      <c r="J1344" s="84">
        <v>43004</v>
      </c>
      <c r="K1344" s="84">
        <v>53961</v>
      </c>
      <c r="L1344" s="12" t="s">
        <v>304</v>
      </c>
      <c r="M1344" s="12" t="s">
        <v>1054</v>
      </c>
      <c r="N1344" s="75"/>
    </row>
    <row r="1345" spans="1:14">
      <c r="A1345" s="12">
        <v>1342</v>
      </c>
      <c r="B1345" s="12" t="s">
        <v>4331</v>
      </c>
      <c r="C1345" s="12" t="s">
        <v>752</v>
      </c>
      <c r="D1345" s="12" t="s">
        <v>4152</v>
      </c>
      <c r="E1345" s="85">
        <v>1831.77</v>
      </c>
      <c r="F1345" s="6">
        <v>2721643</v>
      </c>
      <c r="G1345" s="12" t="s">
        <v>4153</v>
      </c>
      <c r="H1345" s="12" t="s">
        <v>755</v>
      </c>
      <c r="I1345" s="12" t="s">
        <v>756</v>
      </c>
      <c r="J1345" s="84">
        <v>43006</v>
      </c>
      <c r="K1345" s="84">
        <v>53963</v>
      </c>
      <c r="L1345" s="12" t="s">
        <v>274</v>
      </c>
      <c r="M1345" s="12" t="s">
        <v>275</v>
      </c>
      <c r="N1345" s="75"/>
    </row>
    <row r="1346" spans="1:14">
      <c r="A1346" s="12">
        <v>1343</v>
      </c>
      <c r="B1346" s="12" t="s">
        <v>4332</v>
      </c>
      <c r="C1346" s="12" t="s">
        <v>1035</v>
      </c>
      <c r="D1346" s="12" t="s">
        <v>4333</v>
      </c>
      <c r="E1346" s="85">
        <v>407.99</v>
      </c>
      <c r="F1346" s="6">
        <v>5774047</v>
      </c>
      <c r="G1346" s="12" t="s">
        <v>4334</v>
      </c>
      <c r="H1346" s="12" t="s">
        <v>755</v>
      </c>
      <c r="I1346" s="12" t="s">
        <v>756</v>
      </c>
      <c r="J1346" s="84">
        <v>43006</v>
      </c>
      <c r="K1346" s="84">
        <v>53963</v>
      </c>
      <c r="L1346" s="12" t="s">
        <v>1102</v>
      </c>
      <c r="M1346" s="12" t="s">
        <v>3357</v>
      </c>
      <c r="N1346" s="75"/>
    </row>
    <row r="1347" spans="1:14">
      <c r="A1347" s="12">
        <v>1344</v>
      </c>
      <c r="B1347" s="12" t="s">
        <v>4335</v>
      </c>
      <c r="C1347" s="12" t="s">
        <v>122</v>
      </c>
      <c r="D1347" s="12" t="s">
        <v>4336</v>
      </c>
      <c r="E1347" s="85">
        <v>3977.24</v>
      </c>
      <c r="F1347" s="6">
        <v>5412153</v>
      </c>
      <c r="G1347" s="12" t="s">
        <v>4337</v>
      </c>
      <c r="H1347" s="12" t="s">
        <v>755</v>
      </c>
      <c r="I1347" s="12" t="s">
        <v>756</v>
      </c>
      <c r="J1347" s="84">
        <v>43007</v>
      </c>
      <c r="K1347" s="84">
        <v>53964</v>
      </c>
      <c r="L1347" s="12" t="s">
        <v>123</v>
      </c>
      <c r="M1347" s="12" t="s">
        <v>3411</v>
      </c>
      <c r="N1347" s="75"/>
    </row>
    <row r="1348" spans="1:14">
      <c r="A1348" s="12">
        <v>1345</v>
      </c>
      <c r="B1348" s="12" t="s">
        <v>4338</v>
      </c>
      <c r="C1348" s="12" t="s">
        <v>122</v>
      </c>
      <c r="D1348" s="12" t="s">
        <v>4339</v>
      </c>
      <c r="E1348" s="85">
        <v>860.91</v>
      </c>
      <c r="F1348" s="6">
        <v>5150167</v>
      </c>
      <c r="G1348" s="12" t="s">
        <v>4340</v>
      </c>
      <c r="H1348" s="12" t="s">
        <v>755</v>
      </c>
      <c r="I1348" s="12" t="s">
        <v>756</v>
      </c>
      <c r="J1348" s="84">
        <v>43014</v>
      </c>
      <c r="K1348" s="84">
        <v>53971</v>
      </c>
      <c r="L1348" s="12" t="s">
        <v>205</v>
      </c>
      <c r="M1348" s="12" t="s">
        <v>1066</v>
      </c>
      <c r="N1348" s="75"/>
    </row>
    <row r="1349" spans="1:14">
      <c r="A1349" s="12">
        <v>1346</v>
      </c>
      <c r="B1349" s="12" t="s">
        <v>4341</v>
      </c>
      <c r="C1349" s="12" t="s">
        <v>212</v>
      </c>
      <c r="D1349" s="12" t="s">
        <v>4342</v>
      </c>
      <c r="E1349" s="85">
        <v>242.74</v>
      </c>
      <c r="F1349" s="6">
        <v>2871114</v>
      </c>
      <c r="G1349" s="12" t="s">
        <v>1372</v>
      </c>
      <c r="H1349" s="12" t="s">
        <v>755</v>
      </c>
      <c r="I1349" s="12" t="s">
        <v>756</v>
      </c>
      <c r="J1349" s="84">
        <v>43019</v>
      </c>
      <c r="K1349" s="84">
        <v>53976</v>
      </c>
      <c r="L1349" s="12" t="s">
        <v>375</v>
      </c>
      <c r="M1349" s="12" t="s">
        <v>4343</v>
      </c>
      <c r="N1349" s="75"/>
    </row>
    <row r="1350" spans="1:14">
      <c r="A1350" s="12">
        <v>1347</v>
      </c>
      <c r="B1350" s="12" t="s">
        <v>4344</v>
      </c>
      <c r="C1350" s="12" t="s">
        <v>752</v>
      </c>
      <c r="D1350" s="12" t="s">
        <v>4345</v>
      </c>
      <c r="E1350" s="85">
        <v>153.66999999999999</v>
      </c>
      <c r="F1350" s="6">
        <v>2081342</v>
      </c>
      <c r="G1350" s="12" t="s">
        <v>4346</v>
      </c>
      <c r="H1350" s="12" t="s">
        <v>755</v>
      </c>
      <c r="I1350" s="12" t="s">
        <v>756</v>
      </c>
      <c r="J1350" s="84">
        <v>43024</v>
      </c>
      <c r="K1350" s="84">
        <v>53981</v>
      </c>
      <c r="L1350" s="12" t="s">
        <v>768</v>
      </c>
      <c r="M1350" s="12" t="s">
        <v>769</v>
      </c>
      <c r="N1350" s="75"/>
    </row>
    <row r="1351" spans="1:14">
      <c r="A1351" s="12">
        <v>1348</v>
      </c>
      <c r="B1351" s="12" t="s">
        <v>4347</v>
      </c>
      <c r="C1351" s="12" t="s">
        <v>752</v>
      </c>
      <c r="D1351" s="12" t="s">
        <v>4348</v>
      </c>
      <c r="E1351" s="85">
        <v>554.61</v>
      </c>
      <c r="F1351" s="6">
        <v>2550466</v>
      </c>
      <c r="G1351" s="12" t="s">
        <v>801</v>
      </c>
      <c r="H1351" s="12" t="s">
        <v>761</v>
      </c>
      <c r="I1351" s="12" t="s">
        <v>756</v>
      </c>
      <c r="J1351" s="84">
        <v>43024</v>
      </c>
      <c r="K1351" s="84">
        <v>53981</v>
      </c>
      <c r="L1351" s="12" t="s">
        <v>274</v>
      </c>
      <c r="M1351" s="12" t="s">
        <v>275</v>
      </c>
      <c r="N1351" s="75"/>
    </row>
    <row r="1352" spans="1:14">
      <c r="A1352" s="12">
        <v>1349</v>
      </c>
      <c r="B1352" s="12" t="s">
        <v>4349</v>
      </c>
      <c r="C1352" s="12" t="s">
        <v>221</v>
      </c>
      <c r="D1352" s="12" t="s">
        <v>4350</v>
      </c>
      <c r="E1352" s="85">
        <v>823.97</v>
      </c>
      <c r="F1352" s="6">
        <v>5938805</v>
      </c>
      <c r="G1352" s="12" t="s">
        <v>4351</v>
      </c>
      <c r="H1352" s="12" t="s">
        <v>755</v>
      </c>
      <c r="I1352" s="12" t="s">
        <v>756</v>
      </c>
      <c r="J1352" s="84">
        <v>43024</v>
      </c>
      <c r="K1352" s="84">
        <v>53981</v>
      </c>
      <c r="L1352" s="12" t="s">
        <v>274</v>
      </c>
      <c r="M1352" s="12" t="s">
        <v>1042</v>
      </c>
      <c r="N1352" s="75"/>
    </row>
    <row r="1353" spans="1:14">
      <c r="A1353" s="12">
        <v>1350</v>
      </c>
      <c r="B1353" s="12" t="s">
        <v>4352</v>
      </c>
      <c r="C1353" s="12" t="s">
        <v>4353</v>
      </c>
      <c r="D1353" s="12" t="s">
        <v>2599</v>
      </c>
      <c r="E1353" s="85">
        <v>2621.73</v>
      </c>
      <c r="F1353" s="6">
        <v>5962862</v>
      </c>
      <c r="G1353" s="12" t="s">
        <v>4113</v>
      </c>
      <c r="H1353" s="12" t="s">
        <v>848</v>
      </c>
      <c r="I1353" s="12" t="s">
        <v>849</v>
      </c>
      <c r="J1353" s="84">
        <v>43027</v>
      </c>
      <c r="K1353" s="84">
        <v>53984</v>
      </c>
      <c r="L1353" s="12" t="s">
        <v>170</v>
      </c>
      <c r="M1353" s="12" t="s">
        <v>2444</v>
      </c>
      <c r="N1353" s="75"/>
    </row>
    <row r="1354" spans="1:14">
      <c r="A1354" s="12">
        <v>1351</v>
      </c>
      <c r="B1354" s="12" t="s">
        <v>4354</v>
      </c>
      <c r="C1354" s="12" t="s">
        <v>122</v>
      </c>
      <c r="D1354" s="12" t="s">
        <v>4355</v>
      </c>
      <c r="E1354" s="85">
        <v>860.5</v>
      </c>
      <c r="F1354" s="6">
        <v>5980208</v>
      </c>
      <c r="G1354" s="12" t="s">
        <v>4356</v>
      </c>
      <c r="H1354" s="12" t="s">
        <v>755</v>
      </c>
      <c r="I1354" s="12" t="s">
        <v>756</v>
      </c>
      <c r="J1354" s="84">
        <v>43033</v>
      </c>
      <c r="K1354" s="84">
        <v>53990</v>
      </c>
      <c r="L1354" s="12" t="s">
        <v>170</v>
      </c>
      <c r="M1354" s="12" t="s">
        <v>802</v>
      </c>
      <c r="N1354" s="75"/>
    </row>
    <row r="1355" spans="1:14">
      <c r="A1355" s="12">
        <v>1352</v>
      </c>
      <c r="B1355" s="12" t="s">
        <v>4357</v>
      </c>
      <c r="C1355" s="12" t="s">
        <v>752</v>
      </c>
      <c r="D1355" s="12" t="s">
        <v>2820</v>
      </c>
      <c r="E1355" s="85">
        <v>14.44</v>
      </c>
      <c r="F1355" s="6">
        <v>5185874</v>
      </c>
      <c r="G1355" s="12" t="s">
        <v>2821</v>
      </c>
      <c r="H1355" s="12" t="s">
        <v>755</v>
      </c>
      <c r="I1355" s="12" t="s">
        <v>756</v>
      </c>
      <c r="J1355" s="84">
        <v>40395</v>
      </c>
      <c r="K1355" s="84">
        <v>51353</v>
      </c>
      <c r="L1355" s="12" t="s">
        <v>782</v>
      </c>
      <c r="M1355" s="12" t="s">
        <v>2822</v>
      </c>
      <c r="N1355" s="75"/>
    </row>
    <row r="1356" spans="1:14">
      <c r="A1356" s="12">
        <v>1353</v>
      </c>
      <c r="B1356" s="12" t="s">
        <v>4358</v>
      </c>
      <c r="C1356" s="12" t="s">
        <v>752</v>
      </c>
      <c r="D1356" s="12" t="s">
        <v>4359</v>
      </c>
      <c r="E1356" s="85">
        <v>245.07</v>
      </c>
      <c r="F1356" s="6">
        <v>3865673</v>
      </c>
      <c r="G1356" s="12" t="s">
        <v>4360</v>
      </c>
      <c r="H1356" s="12" t="s">
        <v>755</v>
      </c>
      <c r="I1356" s="12" t="s">
        <v>756</v>
      </c>
      <c r="J1356" s="84">
        <v>38329</v>
      </c>
      <c r="K1356" s="84">
        <v>49151</v>
      </c>
      <c r="L1356" s="12" t="s">
        <v>4361</v>
      </c>
      <c r="M1356" s="12" t="s">
        <v>4362</v>
      </c>
      <c r="N1356" s="75"/>
    </row>
    <row r="1357" spans="1:14">
      <c r="A1357" s="12">
        <v>1354</v>
      </c>
      <c r="B1357" s="12" t="s">
        <v>4363</v>
      </c>
      <c r="C1357" s="12" t="s">
        <v>122</v>
      </c>
      <c r="D1357" s="12" t="s">
        <v>4364</v>
      </c>
      <c r="E1357" s="85">
        <v>354.12</v>
      </c>
      <c r="F1357" s="6">
        <v>6172768</v>
      </c>
      <c r="G1357" s="12" t="s">
        <v>4365</v>
      </c>
      <c r="H1357" s="12" t="s">
        <v>766</v>
      </c>
      <c r="I1357" s="12" t="s">
        <v>767</v>
      </c>
      <c r="J1357" s="84">
        <v>43047</v>
      </c>
      <c r="K1357" s="84">
        <v>54004</v>
      </c>
      <c r="L1357" s="12" t="s">
        <v>170</v>
      </c>
      <c r="M1357" s="12" t="s">
        <v>171</v>
      </c>
      <c r="N1357" s="75"/>
    </row>
    <row r="1358" spans="1:14">
      <c r="A1358" s="12">
        <v>1355</v>
      </c>
      <c r="B1358" s="12" t="s">
        <v>4366</v>
      </c>
      <c r="C1358" s="12" t="s">
        <v>752</v>
      </c>
      <c r="D1358" s="12" t="s">
        <v>4367</v>
      </c>
      <c r="E1358" s="85">
        <v>195.07</v>
      </c>
      <c r="F1358" s="6">
        <v>5327229</v>
      </c>
      <c r="G1358" s="12" t="s">
        <v>4368</v>
      </c>
      <c r="H1358" s="12" t="s">
        <v>766</v>
      </c>
      <c r="I1358" s="12" t="s">
        <v>767</v>
      </c>
      <c r="J1358" s="84">
        <v>37832</v>
      </c>
      <c r="K1358" s="84">
        <v>48790</v>
      </c>
      <c r="L1358" s="12" t="s">
        <v>768</v>
      </c>
      <c r="M1358" s="12" t="s">
        <v>4369</v>
      </c>
      <c r="N1358" s="75"/>
    </row>
    <row r="1359" spans="1:14">
      <c r="A1359" s="12">
        <v>1356</v>
      </c>
      <c r="B1359" s="12" t="s">
        <v>4370</v>
      </c>
      <c r="C1359" s="12" t="s">
        <v>122</v>
      </c>
      <c r="D1359" s="12" t="s">
        <v>4371</v>
      </c>
      <c r="E1359" s="85">
        <v>759.71</v>
      </c>
      <c r="F1359" s="6">
        <v>5155568</v>
      </c>
      <c r="G1359" s="12" t="s">
        <v>4372</v>
      </c>
      <c r="H1359" s="12" t="s">
        <v>755</v>
      </c>
      <c r="I1359" s="12" t="s">
        <v>756</v>
      </c>
      <c r="J1359" s="84">
        <v>42319</v>
      </c>
      <c r="K1359" s="84">
        <v>53277</v>
      </c>
      <c r="L1359" s="12" t="s">
        <v>123</v>
      </c>
      <c r="M1359" s="12" t="s">
        <v>1256</v>
      </c>
      <c r="N1359" s="75"/>
    </row>
    <row r="1360" spans="1:14">
      <c r="A1360" s="12">
        <v>1357</v>
      </c>
      <c r="B1360" s="12" t="s">
        <v>4373</v>
      </c>
      <c r="C1360" s="12" t="s">
        <v>122</v>
      </c>
      <c r="D1360" s="12" t="s">
        <v>4374</v>
      </c>
      <c r="E1360" s="85">
        <v>903.27</v>
      </c>
      <c r="F1360" s="6">
        <v>5155568</v>
      </c>
      <c r="G1360" s="12" t="s">
        <v>4372</v>
      </c>
      <c r="H1360" s="12" t="s">
        <v>755</v>
      </c>
      <c r="I1360" s="12" t="s">
        <v>756</v>
      </c>
      <c r="J1360" s="84">
        <v>42319</v>
      </c>
      <c r="K1360" s="84">
        <v>53277</v>
      </c>
      <c r="L1360" s="12" t="s">
        <v>123</v>
      </c>
      <c r="M1360" s="12" t="s">
        <v>1256</v>
      </c>
      <c r="N1360" s="75"/>
    </row>
    <row r="1361" spans="1:14">
      <c r="A1361" s="12">
        <v>1358</v>
      </c>
      <c r="B1361" s="12" t="s">
        <v>4375</v>
      </c>
      <c r="C1361" s="12" t="s">
        <v>752</v>
      </c>
      <c r="D1361" s="12" t="s">
        <v>4376</v>
      </c>
      <c r="E1361" s="85">
        <v>279.32</v>
      </c>
      <c r="F1361" s="6">
        <v>2605694</v>
      </c>
      <c r="G1361" s="12" t="s">
        <v>4377</v>
      </c>
      <c r="H1361" s="12" t="s">
        <v>755</v>
      </c>
      <c r="I1361" s="12" t="s">
        <v>756</v>
      </c>
      <c r="J1361" s="84">
        <v>43073</v>
      </c>
      <c r="K1361" s="84">
        <v>54030</v>
      </c>
      <c r="L1361" s="12" t="s">
        <v>293</v>
      </c>
      <c r="M1361" s="12" t="s">
        <v>794</v>
      </c>
      <c r="N1361" s="75"/>
    </row>
    <row r="1362" spans="1:14">
      <c r="A1362" s="12">
        <v>1359</v>
      </c>
      <c r="B1362" s="12" t="s">
        <v>4378</v>
      </c>
      <c r="C1362" s="12" t="s">
        <v>979</v>
      </c>
      <c r="D1362" s="12" t="s">
        <v>4379</v>
      </c>
      <c r="E1362" s="85">
        <v>1008.48</v>
      </c>
      <c r="F1362" s="6">
        <v>2096102</v>
      </c>
      <c r="G1362" s="12" t="s">
        <v>4380</v>
      </c>
      <c r="H1362" s="12" t="s">
        <v>755</v>
      </c>
      <c r="I1362" s="12" t="s">
        <v>756</v>
      </c>
      <c r="J1362" s="84">
        <v>43075</v>
      </c>
      <c r="K1362" s="84">
        <v>54032</v>
      </c>
      <c r="L1362" s="12" t="s">
        <v>1102</v>
      </c>
      <c r="M1362" s="12" t="s">
        <v>3357</v>
      </c>
      <c r="N1362" s="75"/>
    </row>
    <row r="1363" spans="1:14">
      <c r="A1363" s="12">
        <v>1360</v>
      </c>
      <c r="B1363" s="12" t="s">
        <v>4381</v>
      </c>
      <c r="C1363" s="12" t="s">
        <v>122</v>
      </c>
      <c r="D1363" s="12" t="s">
        <v>4382</v>
      </c>
      <c r="E1363" s="85">
        <v>2434.61</v>
      </c>
      <c r="F1363" s="6">
        <v>6172229</v>
      </c>
      <c r="G1363" s="12" t="s">
        <v>4383</v>
      </c>
      <c r="H1363" s="12" t="s">
        <v>755</v>
      </c>
      <c r="I1363" s="12" t="s">
        <v>756</v>
      </c>
      <c r="J1363" s="84">
        <v>43061</v>
      </c>
      <c r="K1363" s="84">
        <v>54018</v>
      </c>
      <c r="L1363" s="12" t="s">
        <v>274</v>
      </c>
      <c r="M1363" s="12" t="s">
        <v>2759</v>
      </c>
      <c r="N1363" s="75"/>
    </row>
    <row r="1364" spans="1:14">
      <c r="A1364" s="12">
        <v>1361</v>
      </c>
      <c r="B1364" s="12" t="s">
        <v>4384</v>
      </c>
      <c r="C1364" s="12" t="s">
        <v>122</v>
      </c>
      <c r="D1364" s="12" t="s">
        <v>4385</v>
      </c>
      <c r="E1364" s="85">
        <v>1222.92</v>
      </c>
      <c r="F1364" s="6">
        <v>6172229</v>
      </c>
      <c r="G1364" s="12" t="s">
        <v>4383</v>
      </c>
      <c r="H1364" s="12" t="s">
        <v>755</v>
      </c>
      <c r="I1364" s="12" t="s">
        <v>756</v>
      </c>
      <c r="J1364" s="84">
        <v>43061</v>
      </c>
      <c r="K1364" s="84">
        <v>54018</v>
      </c>
      <c r="L1364" s="12" t="s">
        <v>274</v>
      </c>
      <c r="M1364" s="12" t="s">
        <v>944</v>
      </c>
      <c r="N1364" s="75"/>
    </row>
    <row r="1365" spans="1:14">
      <c r="A1365" s="12">
        <v>1362</v>
      </c>
      <c r="B1365" s="12" t="s">
        <v>4386</v>
      </c>
      <c r="C1365" s="12" t="s">
        <v>122</v>
      </c>
      <c r="D1365" s="12" t="s">
        <v>4387</v>
      </c>
      <c r="E1365" s="85">
        <v>2792.45</v>
      </c>
      <c r="F1365" s="6">
        <v>2672146</v>
      </c>
      <c r="G1365" s="12" t="s">
        <v>3931</v>
      </c>
      <c r="H1365" s="12" t="s">
        <v>766</v>
      </c>
      <c r="I1365" s="12" t="s">
        <v>767</v>
      </c>
      <c r="J1365" s="84">
        <v>43061</v>
      </c>
      <c r="K1365" s="84">
        <v>54018</v>
      </c>
      <c r="L1365" s="12" t="s">
        <v>293</v>
      </c>
      <c r="M1365" s="12" t="s">
        <v>3472</v>
      </c>
      <c r="N1365" s="75"/>
    </row>
    <row r="1366" spans="1:14">
      <c r="A1366" s="12">
        <v>1363</v>
      </c>
      <c r="B1366" s="12" t="s">
        <v>4388</v>
      </c>
      <c r="C1366" s="12" t="s">
        <v>221</v>
      </c>
      <c r="D1366" s="12" t="s">
        <v>4389</v>
      </c>
      <c r="E1366" s="85">
        <v>56.2</v>
      </c>
      <c r="F1366" s="6">
        <v>5991692</v>
      </c>
      <c r="G1366" s="12" t="s">
        <v>4390</v>
      </c>
      <c r="H1366" s="12" t="s">
        <v>755</v>
      </c>
      <c r="I1366" s="12" t="s">
        <v>756</v>
      </c>
      <c r="J1366" s="84">
        <v>43066</v>
      </c>
      <c r="K1366" s="84">
        <v>54023</v>
      </c>
      <c r="L1366" s="12" t="s">
        <v>274</v>
      </c>
      <c r="M1366" s="12" t="s">
        <v>1042</v>
      </c>
      <c r="N1366" s="75"/>
    </row>
    <row r="1367" spans="1:14">
      <c r="A1367" s="12">
        <v>1364</v>
      </c>
      <c r="B1367" s="12" t="s">
        <v>4391</v>
      </c>
      <c r="C1367" s="12" t="s">
        <v>122</v>
      </c>
      <c r="D1367" s="12" t="s">
        <v>4392</v>
      </c>
      <c r="E1367" s="85">
        <v>36.46</v>
      </c>
      <c r="F1367" s="6">
        <v>5051118</v>
      </c>
      <c r="G1367" s="12" t="s">
        <v>4393</v>
      </c>
      <c r="H1367" s="12" t="s">
        <v>766</v>
      </c>
      <c r="I1367" s="12" t="s">
        <v>767</v>
      </c>
      <c r="J1367" s="84">
        <v>39084</v>
      </c>
      <c r="K1367" s="84">
        <v>50042</v>
      </c>
      <c r="L1367" s="12" t="s">
        <v>138</v>
      </c>
      <c r="M1367" s="12" t="s">
        <v>1806</v>
      </c>
      <c r="N1367" s="75"/>
    </row>
    <row r="1368" spans="1:14">
      <c r="A1368" s="12">
        <v>1365</v>
      </c>
      <c r="B1368" s="12" t="s">
        <v>4394</v>
      </c>
      <c r="C1368" s="12" t="s">
        <v>1203</v>
      </c>
      <c r="D1368" s="12" t="s">
        <v>4395</v>
      </c>
      <c r="E1368" s="85">
        <v>1314.72</v>
      </c>
      <c r="F1368" s="6">
        <v>5840716</v>
      </c>
      <c r="G1368" s="12" t="s">
        <v>2357</v>
      </c>
      <c r="H1368" s="12" t="s">
        <v>755</v>
      </c>
      <c r="I1368" s="12" t="s">
        <v>756</v>
      </c>
      <c r="J1368" s="84">
        <v>43097</v>
      </c>
      <c r="K1368" s="84">
        <v>54054</v>
      </c>
      <c r="L1368" s="12" t="s">
        <v>274</v>
      </c>
      <c r="M1368" s="12" t="s">
        <v>4396</v>
      </c>
      <c r="N1368" s="75"/>
    </row>
    <row r="1369" spans="1:14">
      <c r="A1369" s="12">
        <v>1366</v>
      </c>
      <c r="B1369" s="12" t="s">
        <v>4397</v>
      </c>
      <c r="C1369" s="12" t="s">
        <v>752</v>
      </c>
      <c r="D1369" s="12" t="s">
        <v>4398</v>
      </c>
      <c r="E1369" s="85">
        <v>411.88</v>
      </c>
      <c r="F1369" s="6">
        <v>5979374</v>
      </c>
      <c r="G1369" s="12" t="s">
        <v>4399</v>
      </c>
      <c r="H1369" s="12" t="s">
        <v>755</v>
      </c>
      <c r="I1369" s="12" t="s">
        <v>756</v>
      </c>
      <c r="J1369" s="84">
        <v>43097</v>
      </c>
      <c r="K1369" s="84">
        <v>54054</v>
      </c>
      <c r="L1369" s="12" t="s">
        <v>768</v>
      </c>
      <c r="M1369" s="12" t="s">
        <v>769</v>
      </c>
      <c r="N1369" s="75"/>
    </row>
    <row r="1370" spans="1:14">
      <c r="A1370" s="12">
        <v>1367</v>
      </c>
      <c r="B1370" s="12" t="s">
        <v>4400</v>
      </c>
      <c r="C1370" s="12" t="s">
        <v>212</v>
      </c>
      <c r="D1370" s="12" t="s">
        <v>4401</v>
      </c>
      <c r="E1370" s="85">
        <v>61.13</v>
      </c>
      <c r="F1370" s="6">
        <v>5198321</v>
      </c>
      <c r="G1370" s="12" t="s">
        <v>4402</v>
      </c>
      <c r="H1370" s="12" t="s">
        <v>848</v>
      </c>
      <c r="I1370" s="12" t="s">
        <v>849</v>
      </c>
      <c r="J1370" s="84">
        <v>43097</v>
      </c>
      <c r="K1370" s="84">
        <v>54054</v>
      </c>
      <c r="L1370" s="12" t="s">
        <v>375</v>
      </c>
      <c r="M1370" s="12" t="s">
        <v>2649</v>
      </c>
      <c r="N1370" s="75"/>
    </row>
    <row r="1371" spans="1:14">
      <c r="A1371" s="12">
        <v>1368</v>
      </c>
      <c r="B1371" s="12" t="s">
        <v>4403</v>
      </c>
      <c r="C1371" s="12" t="s">
        <v>147</v>
      </c>
      <c r="D1371" s="12" t="s">
        <v>4404</v>
      </c>
      <c r="E1371" s="85">
        <v>21090.69</v>
      </c>
      <c r="F1371" s="6">
        <v>2074192</v>
      </c>
      <c r="G1371" s="12" t="s">
        <v>760</v>
      </c>
      <c r="H1371" s="12" t="s">
        <v>761</v>
      </c>
      <c r="I1371" s="12" t="s">
        <v>756</v>
      </c>
      <c r="J1371" s="84">
        <v>43097</v>
      </c>
      <c r="K1371" s="84">
        <v>54054</v>
      </c>
      <c r="L1371" s="12" t="s">
        <v>1127</v>
      </c>
      <c r="M1371" s="12" t="s">
        <v>1128</v>
      </c>
      <c r="N1371" s="75"/>
    </row>
    <row r="1372" spans="1:14">
      <c r="A1372" s="12">
        <v>1369</v>
      </c>
      <c r="B1372" s="12" t="s">
        <v>4405</v>
      </c>
      <c r="C1372" s="12" t="s">
        <v>979</v>
      </c>
      <c r="D1372" s="12" t="s">
        <v>4406</v>
      </c>
      <c r="E1372" s="85">
        <v>1460.51</v>
      </c>
      <c r="F1372" s="6">
        <v>5320607</v>
      </c>
      <c r="G1372" s="12" t="s">
        <v>4407</v>
      </c>
      <c r="H1372" s="12" t="s">
        <v>755</v>
      </c>
      <c r="I1372" s="12" t="s">
        <v>756</v>
      </c>
      <c r="J1372" s="84">
        <v>43097</v>
      </c>
      <c r="K1372" s="84">
        <v>54054</v>
      </c>
      <c r="L1372" s="12" t="s">
        <v>1242</v>
      </c>
      <c r="M1372" s="12" t="s">
        <v>1243</v>
      </c>
      <c r="N1372" s="75"/>
    </row>
    <row r="1373" spans="1:14">
      <c r="A1373" s="12">
        <v>1370</v>
      </c>
      <c r="B1373" s="12" t="s">
        <v>4408</v>
      </c>
      <c r="C1373" s="12" t="s">
        <v>122</v>
      </c>
      <c r="D1373" s="12" t="s">
        <v>1953</v>
      </c>
      <c r="E1373" s="85">
        <v>178.98</v>
      </c>
      <c r="F1373" s="6">
        <v>5294088</v>
      </c>
      <c r="G1373" s="12" t="s">
        <v>4409</v>
      </c>
      <c r="H1373" s="12" t="s">
        <v>848</v>
      </c>
      <c r="I1373" s="12" t="s">
        <v>849</v>
      </c>
      <c r="J1373" s="84">
        <v>39783</v>
      </c>
      <c r="K1373" s="84">
        <v>50740</v>
      </c>
      <c r="L1373" s="12" t="s">
        <v>170</v>
      </c>
      <c r="M1373" s="12" t="s">
        <v>171</v>
      </c>
      <c r="N1373" s="75"/>
    </row>
    <row r="1374" spans="1:14">
      <c r="A1374" s="12">
        <v>1371</v>
      </c>
      <c r="B1374" s="12" t="s">
        <v>4410</v>
      </c>
      <c r="C1374" s="12" t="s">
        <v>4411</v>
      </c>
      <c r="D1374" s="12" t="s">
        <v>1159</v>
      </c>
      <c r="E1374" s="85">
        <v>66.72</v>
      </c>
      <c r="F1374" s="6">
        <v>2095025</v>
      </c>
      <c r="G1374" s="12" t="s">
        <v>870</v>
      </c>
      <c r="H1374" s="12" t="s">
        <v>755</v>
      </c>
      <c r="I1374" s="12" t="s">
        <v>756</v>
      </c>
      <c r="J1374" s="84">
        <v>43111</v>
      </c>
      <c r="K1374" s="84">
        <v>54068</v>
      </c>
      <c r="L1374" s="12" t="s">
        <v>128</v>
      </c>
      <c r="M1374" s="12" t="s">
        <v>862</v>
      </c>
      <c r="N1374" s="75"/>
    </row>
    <row r="1375" spans="1:14">
      <c r="A1375" s="12">
        <v>1372</v>
      </c>
      <c r="B1375" s="12" t="s">
        <v>4412</v>
      </c>
      <c r="C1375" s="12" t="s">
        <v>212</v>
      </c>
      <c r="D1375" s="12" t="s">
        <v>4135</v>
      </c>
      <c r="E1375" s="85">
        <v>464.59</v>
      </c>
      <c r="F1375" s="6">
        <v>5481341</v>
      </c>
      <c r="G1375" s="12" t="s">
        <v>4413</v>
      </c>
      <c r="H1375" s="12" t="s">
        <v>755</v>
      </c>
      <c r="I1375" s="12" t="s">
        <v>756</v>
      </c>
      <c r="J1375" s="84">
        <v>43116</v>
      </c>
      <c r="K1375" s="84">
        <v>54073</v>
      </c>
      <c r="L1375" s="12" t="s">
        <v>375</v>
      </c>
      <c r="M1375" s="12" t="s">
        <v>4414</v>
      </c>
      <c r="N1375" s="75"/>
    </row>
    <row r="1376" spans="1:14">
      <c r="A1376" s="12">
        <v>1373</v>
      </c>
      <c r="B1376" s="12" t="s">
        <v>4415</v>
      </c>
      <c r="C1376" s="12" t="s">
        <v>1939</v>
      </c>
      <c r="D1376" s="12" t="s">
        <v>4416</v>
      </c>
      <c r="E1376" s="85">
        <v>1472.04</v>
      </c>
      <c r="F1376" s="6">
        <v>5297052</v>
      </c>
      <c r="G1376" s="12" t="s">
        <v>4417</v>
      </c>
      <c r="H1376" s="12" t="s">
        <v>766</v>
      </c>
      <c r="I1376" s="12" t="s">
        <v>767</v>
      </c>
      <c r="J1376" s="84">
        <v>43116</v>
      </c>
      <c r="K1376" s="84">
        <v>54073</v>
      </c>
      <c r="L1376" s="12" t="s">
        <v>768</v>
      </c>
      <c r="M1376" s="12" t="s">
        <v>4418</v>
      </c>
      <c r="N1376" s="75"/>
    </row>
    <row r="1377" spans="1:14">
      <c r="A1377" s="12">
        <v>1374</v>
      </c>
      <c r="B1377" s="12" t="s">
        <v>4419</v>
      </c>
      <c r="C1377" s="12" t="s">
        <v>3246</v>
      </c>
      <c r="D1377" s="12" t="s">
        <v>3004</v>
      </c>
      <c r="E1377" s="85">
        <v>6557.08</v>
      </c>
      <c r="F1377" s="6">
        <v>2875578</v>
      </c>
      <c r="G1377" s="12" t="s">
        <v>3234</v>
      </c>
      <c r="H1377" s="12" t="s">
        <v>766</v>
      </c>
      <c r="I1377" s="12" t="s">
        <v>767</v>
      </c>
      <c r="J1377" s="84">
        <v>43130</v>
      </c>
      <c r="K1377" s="84">
        <v>54087</v>
      </c>
      <c r="L1377" s="12" t="s">
        <v>768</v>
      </c>
      <c r="M1377" s="12" t="s">
        <v>3235</v>
      </c>
      <c r="N1377" s="75"/>
    </row>
    <row r="1378" spans="1:14">
      <c r="A1378" s="12">
        <v>1375</v>
      </c>
      <c r="B1378" s="12" t="s">
        <v>4420</v>
      </c>
      <c r="C1378" s="12" t="s">
        <v>752</v>
      </c>
      <c r="D1378" s="12" t="s">
        <v>806</v>
      </c>
      <c r="E1378" s="85">
        <v>143.79</v>
      </c>
      <c r="F1378" s="6">
        <v>6438261</v>
      </c>
      <c r="G1378" s="12" t="s">
        <v>4421</v>
      </c>
      <c r="H1378" s="12" t="s">
        <v>755</v>
      </c>
      <c r="I1378" s="12" t="s">
        <v>756</v>
      </c>
      <c r="J1378" s="84">
        <v>43130</v>
      </c>
      <c r="K1378" s="84">
        <v>54087</v>
      </c>
      <c r="L1378" s="12" t="s">
        <v>274</v>
      </c>
      <c r="M1378" s="12" t="s">
        <v>275</v>
      </c>
      <c r="N1378" s="75"/>
    </row>
    <row r="1379" spans="1:14">
      <c r="A1379" s="12">
        <v>1376</v>
      </c>
      <c r="B1379" s="12" t="s">
        <v>4422</v>
      </c>
      <c r="C1379" s="12" t="s">
        <v>221</v>
      </c>
      <c r="D1379" s="12" t="s">
        <v>4423</v>
      </c>
      <c r="E1379" s="85">
        <v>247.41</v>
      </c>
      <c r="F1379" s="6">
        <v>6557627</v>
      </c>
      <c r="G1379" s="12" t="s">
        <v>4424</v>
      </c>
      <c r="H1379" s="12" t="s">
        <v>766</v>
      </c>
      <c r="I1379" s="12" t="s">
        <v>767</v>
      </c>
      <c r="J1379" s="84">
        <v>43165</v>
      </c>
      <c r="K1379" s="84">
        <v>54123</v>
      </c>
      <c r="L1379" s="12" t="s">
        <v>170</v>
      </c>
      <c r="M1379" s="12" t="s">
        <v>171</v>
      </c>
      <c r="N1379" s="75"/>
    </row>
    <row r="1380" spans="1:14">
      <c r="A1380" s="12">
        <v>1377</v>
      </c>
      <c r="B1380" s="12" t="s">
        <v>4425</v>
      </c>
      <c r="C1380" s="12" t="s">
        <v>137</v>
      </c>
      <c r="D1380" s="12" t="s">
        <v>4426</v>
      </c>
      <c r="E1380" s="85">
        <v>599.89</v>
      </c>
      <c r="F1380" s="6">
        <v>5062306</v>
      </c>
      <c r="G1380" s="12" t="s">
        <v>4427</v>
      </c>
      <c r="H1380" s="12" t="s">
        <v>755</v>
      </c>
      <c r="I1380" s="12" t="s">
        <v>756</v>
      </c>
      <c r="J1380" s="84">
        <v>43174</v>
      </c>
      <c r="K1380" s="84">
        <v>54132</v>
      </c>
      <c r="L1380" s="12" t="s">
        <v>836</v>
      </c>
      <c r="M1380" s="12" t="s">
        <v>837</v>
      </c>
      <c r="N1380" s="75"/>
    </row>
    <row r="1381" spans="1:14">
      <c r="A1381" s="12">
        <v>1378</v>
      </c>
      <c r="B1381" s="12" t="s">
        <v>4428</v>
      </c>
      <c r="C1381" s="12" t="s">
        <v>122</v>
      </c>
      <c r="D1381" s="12" t="s">
        <v>3898</v>
      </c>
      <c r="E1381" s="85">
        <v>39.75</v>
      </c>
      <c r="F1381" s="6">
        <v>5350182</v>
      </c>
      <c r="G1381" s="12" t="s">
        <v>4429</v>
      </c>
      <c r="H1381" s="12" t="s">
        <v>766</v>
      </c>
      <c r="I1381" s="12" t="s">
        <v>767</v>
      </c>
      <c r="J1381" s="84">
        <v>43194</v>
      </c>
      <c r="K1381" s="84">
        <v>54152</v>
      </c>
      <c r="L1381" s="12" t="s">
        <v>170</v>
      </c>
      <c r="M1381" s="12" t="s">
        <v>171</v>
      </c>
      <c r="N1381" s="75"/>
    </row>
    <row r="1382" spans="1:14">
      <c r="A1382" s="12">
        <v>1379</v>
      </c>
      <c r="B1382" s="12" t="s">
        <v>4430</v>
      </c>
      <c r="C1382" s="12" t="s">
        <v>212</v>
      </c>
      <c r="D1382" s="12" t="s">
        <v>4431</v>
      </c>
      <c r="E1382" s="85">
        <v>374.14</v>
      </c>
      <c r="F1382" s="6">
        <v>5328918</v>
      </c>
      <c r="G1382" s="12" t="s">
        <v>4432</v>
      </c>
      <c r="H1382" s="12" t="s">
        <v>755</v>
      </c>
      <c r="I1382" s="12" t="s">
        <v>756</v>
      </c>
      <c r="J1382" s="84">
        <v>43194</v>
      </c>
      <c r="K1382" s="84">
        <v>54152</v>
      </c>
      <c r="L1382" s="12" t="s">
        <v>293</v>
      </c>
      <c r="M1382" s="12" t="s">
        <v>815</v>
      </c>
      <c r="N1382" s="75"/>
    </row>
    <row r="1383" spans="1:14">
      <c r="A1383" s="12">
        <v>1380</v>
      </c>
      <c r="B1383" s="12" t="s">
        <v>4433</v>
      </c>
      <c r="C1383" s="12" t="s">
        <v>752</v>
      </c>
      <c r="D1383" s="12" t="s">
        <v>4434</v>
      </c>
      <c r="E1383" s="85">
        <v>574.26</v>
      </c>
      <c r="F1383" s="6">
        <v>5226759</v>
      </c>
      <c r="G1383" s="12" t="s">
        <v>4435</v>
      </c>
      <c r="H1383" s="12" t="s">
        <v>755</v>
      </c>
      <c r="I1383" s="12" t="s">
        <v>756</v>
      </c>
      <c r="J1383" s="84">
        <v>43206</v>
      </c>
      <c r="K1383" s="84">
        <v>54164</v>
      </c>
      <c r="L1383" s="12" t="s">
        <v>768</v>
      </c>
      <c r="M1383" s="12" t="s">
        <v>4369</v>
      </c>
      <c r="N1383" s="75"/>
    </row>
    <row r="1384" spans="1:14">
      <c r="A1384" s="12">
        <v>1381</v>
      </c>
      <c r="B1384" s="12" t="s">
        <v>4436</v>
      </c>
      <c r="C1384" s="12" t="s">
        <v>752</v>
      </c>
      <c r="D1384" s="12" t="s">
        <v>3314</v>
      </c>
      <c r="E1384" s="85">
        <v>1401.48</v>
      </c>
      <c r="F1384" s="6">
        <v>5935539</v>
      </c>
      <c r="G1384" s="12" t="s">
        <v>857</v>
      </c>
      <c r="H1384" s="12" t="s">
        <v>755</v>
      </c>
      <c r="I1384" s="12" t="s">
        <v>756</v>
      </c>
      <c r="J1384" s="84">
        <v>43224</v>
      </c>
      <c r="K1384" s="84">
        <v>54182</v>
      </c>
      <c r="L1384" s="12" t="s">
        <v>274</v>
      </c>
      <c r="M1384" s="12" t="s">
        <v>275</v>
      </c>
      <c r="N1384" s="75"/>
    </row>
    <row r="1385" spans="1:14">
      <c r="A1385" s="12">
        <v>1382</v>
      </c>
      <c r="B1385" s="12" t="s">
        <v>4437</v>
      </c>
      <c r="C1385" s="12" t="s">
        <v>752</v>
      </c>
      <c r="D1385" s="12" t="s">
        <v>4438</v>
      </c>
      <c r="E1385" s="85">
        <v>235.46</v>
      </c>
      <c r="F1385" s="6">
        <v>5516455</v>
      </c>
      <c r="G1385" s="12" t="s">
        <v>4439</v>
      </c>
      <c r="H1385" s="12" t="s">
        <v>755</v>
      </c>
      <c r="I1385" s="12" t="s">
        <v>756</v>
      </c>
      <c r="J1385" s="84">
        <v>43224</v>
      </c>
      <c r="K1385" s="84">
        <v>54182</v>
      </c>
      <c r="L1385" s="12" t="s">
        <v>288</v>
      </c>
      <c r="M1385" s="12" t="s">
        <v>3357</v>
      </c>
      <c r="N1385" s="75"/>
    </row>
    <row r="1386" spans="1:14">
      <c r="A1386" s="12">
        <v>1383</v>
      </c>
      <c r="B1386" s="12" t="s">
        <v>4440</v>
      </c>
      <c r="C1386" s="12" t="s">
        <v>212</v>
      </c>
      <c r="D1386" s="12" t="s">
        <v>2302</v>
      </c>
      <c r="E1386" s="85">
        <v>222.34</v>
      </c>
      <c r="F1386" s="6">
        <v>5051134</v>
      </c>
      <c r="G1386" s="12" t="s">
        <v>1041</v>
      </c>
      <c r="H1386" s="12" t="s">
        <v>755</v>
      </c>
      <c r="I1386" s="12" t="s">
        <v>756</v>
      </c>
      <c r="J1386" s="84">
        <v>38281</v>
      </c>
      <c r="K1386" s="84">
        <v>49238</v>
      </c>
      <c r="L1386" s="12" t="s">
        <v>274</v>
      </c>
      <c r="M1386" s="12" t="s">
        <v>1042</v>
      </c>
      <c r="N1386" s="75"/>
    </row>
    <row r="1387" spans="1:14">
      <c r="A1387" s="12">
        <v>1384</v>
      </c>
      <c r="B1387" s="12" t="s">
        <v>4441</v>
      </c>
      <c r="C1387" s="12" t="s">
        <v>752</v>
      </c>
      <c r="D1387" s="12" t="s">
        <v>964</v>
      </c>
      <c r="E1387" s="85">
        <v>36.22</v>
      </c>
      <c r="F1387" s="6">
        <v>5007127</v>
      </c>
      <c r="G1387" s="12" t="s">
        <v>965</v>
      </c>
      <c r="H1387" s="12" t="s">
        <v>848</v>
      </c>
      <c r="I1387" s="12" t="s">
        <v>849</v>
      </c>
      <c r="J1387" s="84">
        <v>35594</v>
      </c>
      <c r="K1387" s="84">
        <v>46551</v>
      </c>
      <c r="L1387" s="12" t="s">
        <v>304</v>
      </c>
      <c r="M1387" s="12" t="s">
        <v>773</v>
      </c>
      <c r="N1387" s="75"/>
    </row>
    <row r="1388" spans="1:14">
      <c r="A1388" s="12">
        <v>1385</v>
      </c>
      <c r="B1388" s="12" t="s">
        <v>4442</v>
      </c>
      <c r="C1388" s="12" t="s">
        <v>221</v>
      </c>
      <c r="D1388" s="12" t="s">
        <v>4443</v>
      </c>
      <c r="E1388" s="85">
        <v>698.47</v>
      </c>
      <c r="F1388" s="6">
        <v>5830974</v>
      </c>
      <c r="G1388" s="12" t="s">
        <v>1712</v>
      </c>
      <c r="H1388" s="12" t="s">
        <v>755</v>
      </c>
      <c r="I1388" s="12" t="s">
        <v>756</v>
      </c>
      <c r="J1388" s="84">
        <v>43231</v>
      </c>
      <c r="K1388" s="84">
        <v>54189</v>
      </c>
      <c r="L1388" s="12" t="s">
        <v>170</v>
      </c>
      <c r="M1388" s="12" t="s">
        <v>171</v>
      </c>
      <c r="N1388" s="75"/>
    </row>
    <row r="1389" spans="1:14">
      <c r="A1389" s="12">
        <v>1386</v>
      </c>
      <c r="B1389" s="12" t="s">
        <v>4444</v>
      </c>
      <c r="C1389" s="12" t="s">
        <v>752</v>
      </c>
      <c r="D1389" s="12" t="s">
        <v>2078</v>
      </c>
      <c r="E1389" s="85">
        <v>658.34</v>
      </c>
      <c r="F1389" s="6">
        <v>2069792</v>
      </c>
      <c r="G1389" s="12" t="s">
        <v>4445</v>
      </c>
      <c r="H1389" s="12" t="s">
        <v>755</v>
      </c>
      <c r="I1389" s="12" t="s">
        <v>756</v>
      </c>
      <c r="J1389" s="84">
        <v>43237</v>
      </c>
      <c r="K1389" s="84">
        <v>54195</v>
      </c>
      <c r="L1389" s="12" t="s">
        <v>1014</v>
      </c>
      <c r="M1389" s="12" t="s">
        <v>2825</v>
      </c>
      <c r="N1389" s="75"/>
    </row>
    <row r="1390" spans="1:14">
      <c r="A1390" s="12">
        <v>1387</v>
      </c>
      <c r="B1390" s="12" t="s">
        <v>4446</v>
      </c>
      <c r="C1390" s="12" t="s">
        <v>221</v>
      </c>
      <c r="D1390" s="12" t="s">
        <v>1218</v>
      </c>
      <c r="E1390" s="85">
        <v>103.94</v>
      </c>
      <c r="F1390" s="6">
        <v>4065115</v>
      </c>
      <c r="G1390" s="12" t="s">
        <v>4447</v>
      </c>
      <c r="H1390" s="12" t="s">
        <v>755</v>
      </c>
      <c r="I1390" s="12" t="s">
        <v>756</v>
      </c>
      <c r="J1390" s="84">
        <v>43250</v>
      </c>
      <c r="K1390" s="84">
        <v>54208</v>
      </c>
      <c r="L1390" s="12" t="s">
        <v>1102</v>
      </c>
      <c r="M1390" s="12" t="s">
        <v>2761</v>
      </c>
      <c r="N1390" s="75"/>
    </row>
    <row r="1391" spans="1:14">
      <c r="A1391" s="12">
        <v>1388</v>
      </c>
      <c r="B1391" s="12" t="s">
        <v>4448</v>
      </c>
      <c r="C1391" s="12" t="s">
        <v>752</v>
      </c>
      <c r="D1391" s="12" t="s">
        <v>4449</v>
      </c>
      <c r="E1391" s="85">
        <v>309.32</v>
      </c>
      <c r="F1391" s="6">
        <v>5254469</v>
      </c>
      <c r="G1391" s="12" t="s">
        <v>4450</v>
      </c>
      <c r="H1391" s="12" t="s">
        <v>755</v>
      </c>
      <c r="I1391" s="12" t="s">
        <v>756</v>
      </c>
      <c r="J1391" s="84">
        <v>43251</v>
      </c>
      <c r="K1391" s="84">
        <v>54209</v>
      </c>
      <c r="L1391" s="12" t="s">
        <v>163</v>
      </c>
      <c r="M1391" s="12" t="s">
        <v>2891</v>
      </c>
      <c r="N1391" s="75"/>
    </row>
    <row r="1392" spans="1:14">
      <c r="A1392" s="12">
        <v>1389</v>
      </c>
      <c r="B1392" s="12" t="s">
        <v>4451</v>
      </c>
      <c r="C1392" s="12" t="s">
        <v>752</v>
      </c>
      <c r="D1392" s="12" t="s">
        <v>4452</v>
      </c>
      <c r="E1392" s="85">
        <v>30.53</v>
      </c>
      <c r="F1392" s="6">
        <v>6047424</v>
      </c>
      <c r="G1392" s="12" t="s">
        <v>4453</v>
      </c>
      <c r="H1392" s="12" t="s">
        <v>755</v>
      </c>
      <c r="I1392" s="12" t="s">
        <v>756</v>
      </c>
      <c r="J1392" s="84">
        <v>34911</v>
      </c>
      <c r="K1392" s="84">
        <v>45869</v>
      </c>
      <c r="L1392" s="12" t="s">
        <v>274</v>
      </c>
      <c r="M1392" s="12" t="s">
        <v>275</v>
      </c>
      <c r="N1392" s="75"/>
    </row>
    <row r="1393" spans="1:14">
      <c r="A1393" s="12">
        <v>1390</v>
      </c>
      <c r="B1393" s="12" t="s">
        <v>4454</v>
      </c>
      <c r="C1393" s="12" t="s">
        <v>752</v>
      </c>
      <c r="D1393" s="12" t="s">
        <v>2754</v>
      </c>
      <c r="E1393" s="85">
        <v>8.9600000000000009</v>
      </c>
      <c r="F1393" s="6">
        <v>6038034</v>
      </c>
      <c r="G1393" s="12" t="s">
        <v>4455</v>
      </c>
      <c r="H1393" s="12" t="s">
        <v>755</v>
      </c>
      <c r="I1393" s="12" t="s">
        <v>756</v>
      </c>
      <c r="J1393" s="84">
        <v>34911</v>
      </c>
      <c r="K1393" s="84">
        <v>45869</v>
      </c>
      <c r="L1393" s="12" t="s">
        <v>274</v>
      </c>
      <c r="M1393" s="12" t="s">
        <v>275</v>
      </c>
      <c r="N1393" s="75"/>
    </row>
    <row r="1394" spans="1:14">
      <c r="A1394" s="12">
        <v>1391</v>
      </c>
      <c r="B1394" s="12" t="s">
        <v>4456</v>
      </c>
      <c r="C1394" s="12" t="s">
        <v>752</v>
      </c>
      <c r="D1394" s="12" t="s">
        <v>1038</v>
      </c>
      <c r="E1394" s="85">
        <v>1802.56</v>
      </c>
      <c r="F1394" s="6">
        <v>2621169</v>
      </c>
      <c r="G1394" s="12" t="s">
        <v>4457</v>
      </c>
      <c r="H1394" s="12" t="s">
        <v>755</v>
      </c>
      <c r="I1394" s="12" t="s">
        <v>756</v>
      </c>
      <c r="J1394" s="84">
        <v>43256</v>
      </c>
      <c r="K1394" s="84">
        <v>54214</v>
      </c>
      <c r="L1394" s="12" t="s">
        <v>288</v>
      </c>
      <c r="M1394" s="12" t="s">
        <v>1038</v>
      </c>
      <c r="N1394" s="75"/>
    </row>
    <row r="1395" spans="1:14">
      <c r="A1395" s="12">
        <v>1392</v>
      </c>
      <c r="B1395" s="12" t="s">
        <v>4458</v>
      </c>
      <c r="C1395" s="12" t="s">
        <v>752</v>
      </c>
      <c r="D1395" s="12" t="s">
        <v>2786</v>
      </c>
      <c r="E1395" s="85">
        <v>247.49</v>
      </c>
      <c r="F1395" s="6">
        <v>5166667</v>
      </c>
      <c r="G1395" s="12" t="s">
        <v>3425</v>
      </c>
      <c r="H1395" s="12" t="s">
        <v>755</v>
      </c>
      <c r="I1395" s="12" t="s">
        <v>756</v>
      </c>
      <c r="J1395" s="84">
        <v>43258</v>
      </c>
      <c r="K1395" s="84">
        <v>54216</v>
      </c>
      <c r="L1395" s="12" t="s">
        <v>782</v>
      </c>
      <c r="M1395" s="12" t="s">
        <v>1913</v>
      </c>
      <c r="N1395" s="75"/>
    </row>
    <row r="1396" spans="1:14">
      <c r="A1396" s="12">
        <v>1393</v>
      </c>
      <c r="B1396" s="12" t="s">
        <v>4459</v>
      </c>
      <c r="C1396" s="12" t="s">
        <v>752</v>
      </c>
      <c r="D1396" s="12" t="s">
        <v>4460</v>
      </c>
      <c r="E1396" s="85">
        <v>47.74</v>
      </c>
      <c r="F1396" s="6">
        <v>6247059</v>
      </c>
      <c r="G1396" s="12" t="s">
        <v>4461</v>
      </c>
      <c r="H1396" s="12" t="s">
        <v>848</v>
      </c>
      <c r="I1396" s="12" t="s">
        <v>849</v>
      </c>
      <c r="J1396" s="84">
        <v>43270</v>
      </c>
      <c r="K1396" s="84">
        <v>54228</v>
      </c>
      <c r="L1396" s="12" t="s">
        <v>123</v>
      </c>
      <c r="M1396" s="12" t="s">
        <v>272</v>
      </c>
      <c r="N1396" s="75"/>
    </row>
    <row r="1397" spans="1:14">
      <c r="A1397" s="12">
        <v>1394</v>
      </c>
      <c r="B1397" s="12" t="s">
        <v>4462</v>
      </c>
      <c r="C1397" s="12" t="s">
        <v>122</v>
      </c>
      <c r="D1397" s="12" t="s">
        <v>806</v>
      </c>
      <c r="E1397" s="85">
        <v>1980.02</v>
      </c>
      <c r="F1397" s="6">
        <v>6169309</v>
      </c>
      <c r="G1397" s="12" t="s">
        <v>4463</v>
      </c>
      <c r="H1397" s="12" t="s">
        <v>755</v>
      </c>
      <c r="I1397" s="12" t="s">
        <v>756</v>
      </c>
      <c r="J1397" s="84">
        <v>43272</v>
      </c>
      <c r="K1397" s="84">
        <v>54230</v>
      </c>
      <c r="L1397" s="12" t="s">
        <v>1014</v>
      </c>
      <c r="M1397" s="12" t="s">
        <v>3043</v>
      </c>
      <c r="N1397" s="75"/>
    </row>
    <row r="1398" spans="1:14">
      <c r="A1398" s="12">
        <v>1395</v>
      </c>
      <c r="B1398" s="12" t="s">
        <v>4464</v>
      </c>
      <c r="C1398" s="12" t="s">
        <v>212</v>
      </c>
      <c r="D1398" s="12" t="s">
        <v>4465</v>
      </c>
      <c r="E1398" s="85">
        <v>74.98</v>
      </c>
      <c r="F1398" s="6">
        <v>2107511</v>
      </c>
      <c r="G1398" s="12" t="s">
        <v>4466</v>
      </c>
      <c r="H1398" s="12" t="s">
        <v>755</v>
      </c>
      <c r="I1398" s="12" t="s">
        <v>756</v>
      </c>
      <c r="J1398" s="84">
        <v>38253</v>
      </c>
      <c r="K1398" s="84">
        <v>49210</v>
      </c>
      <c r="L1398" s="12" t="s">
        <v>170</v>
      </c>
      <c r="M1398" s="12" t="s">
        <v>807</v>
      </c>
      <c r="N1398" s="75"/>
    </row>
    <row r="1399" spans="1:14">
      <c r="A1399" s="12">
        <v>1396</v>
      </c>
      <c r="B1399" s="12" t="s">
        <v>4467</v>
      </c>
      <c r="C1399" s="12" t="s">
        <v>752</v>
      </c>
      <c r="D1399" s="12" t="s">
        <v>4468</v>
      </c>
      <c r="E1399" s="85">
        <v>127.2</v>
      </c>
      <c r="F1399" s="6">
        <v>2761319</v>
      </c>
      <c r="G1399" s="12" t="s">
        <v>4469</v>
      </c>
      <c r="H1399" s="12" t="s">
        <v>755</v>
      </c>
      <c r="I1399" s="12" t="s">
        <v>756</v>
      </c>
      <c r="J1399" s="84">
        <v>37000</v>
      </c>
      <c r="K1399" s="84">
        <v>47957</v>
      </c>
      <c r="L1399" s="12" t="s">
        <v>304</v>
      </c>
      <c r="M1399" s="12" t="s">
        <v>141</v>
      </c>
      <c r="N1399" s="75"/>
    </row>
    <row r="1400" spans="1:14">
      <c r="A1400" s="12">
        <v>1397</v>
      </c>
      <c r="B1400" s="12" t="s">
        <v>4470</v>
      </c>
      <c r="C1400" s="12" t="s">
        <v>1152</v>
      </c>
      <c r="D1400" s="12" t="s">
        <v>2409</v>
      </c>
      <c r="E1400" s="85">
        <v>3.04</v>
      </c>
      <c r="F1400" s="6">
        <v>5063329</v>
      </c>
      <c r="G1400" s="12" t="s">
        <v>2410</v>
      </c>
      <c r="H1400" s="12" t="s">
        <v>755</v>
      </c>
      <c r="I1400" s="12" t="s">
        <v>756</v>
      </c>
      <c r="J1400" s="84">
        <v>38316</v>
      </c>
      <c r="K1400" s="84">
        <v>49273</v>
      </c>
      <c r="L1400" s="12" t="s">
        <v>274</v>
      </c>
      <c r="M1400" s="12" t="s">
        <v>1267</v>
      </c>
      <c r="N1400" s="75"/>
    </row>
    <row r="1401" spans="1:14">
      <c r="A1401" s="12">
        <v>1398</v>
      </c>
      <c r="B1401" s="12" t="s">
        <v>4471</v>
      </c>
      <c r="C1401" s="12" t="s">
        <v>886</v>
      </c>
      <c r="D1401" s="12" t="s">
        <v>4472</v>
      </c>
      <c r="E1401" s="85">
        <v>862.39</v>
      </c>
      <c r="F1401" s="6">
        <v>5665914</v>
      </c>
      <c r="G1401" s="12" t="s">
        <v>4473</v>
      </c>
      <c r="H1401" s="12" t="s">
        <v>755</v>
      </c>
      <c r="I1401" s="12" t="s">
        <v>756</v>
      </c>
      <c r="J1401" s="84">
        <v>43283</v>
      </c>
      <c r="K1401" s="84">
        <v>54241</v>
      </c>
      <c r="L1401" s="12" t="s">
        <v>138</v>
      </c>
      <c r="M1401" s="12" t="s">
        <v>1759</v>
      </c>
      <c r="N1401" s="75"/>
    </row>
    <row r="1402" spans="1:14">
      <c r="A1402" s="12">
        <v>1399</v>
      </c>
      <c r="B1402" s="12" t="s">
        <v>4474</v>
      </c>
      <c r="C1402" s="12" t="s">
        <v>122</v>
      </c>
      <c r="D1402" s="12" t="s">
        <v>4475</v>
      </c>
      <c r="E1402" s="85">
        <v>5335.2</v>
      </c>
      <c r="F1402" s="6">
        <v>5183308</v>
      </c>
      <c r="G1402" s="12" t="s">
        <v>1782</v>
      </c>
      <c r="H1402" s="12" t="s">
        <v>848</v>
      </c>
      <c r="I1402" s="12" t="s">
        <v>849</v>
      </c>
      <c r="J1402" s="84">
        <v>43284</v>
      </c>
      <c r="K1402" s="84">
        <v>54242</v>
      </c>
      <c r="L1402" s="12" t="s">
        <v>293</v>
      </c>
      <c r="M1402" s="12" t="s">
        <v>1315</v>
      </c>
      <c r="N1402" s="75"/>
    </row>
    <row r="1403" spans="1:14">
      <c r="A1403" s="12">
        <v>1400</v>
      </c>
      <c r="B1403" s="12" t="s">
        <v>4476</v>
      </c>
      <c r="C1403" s="12" t="s">
        <v>122</v>
      </c>
      <c r="D1403" s="12" t="s">
        <v>4032</v>
      </c>
      <c r="E1403" s="85">
        <v>1588.85</v>
      </c>
      <c r="F1403" s="6">
        <v>5689481</v>
      </c>
      <c r="G1403" s="12" t="s">
        <v>4477</v>
      </c>
      <c r="H1403" s="12" t="s">
        <v>755</v>
      </c>
      <c r="I1403" s="12" t="s">
        <v>756</v>
      </c>
      <c r="J1403" s="84">
        <v>42482</v>
      </c>
      <c r="K1403" s="84">
        <v>53745</v>
      </c>
      <c r="L1403" s="12" t="s">
        <v>233</v>
      </c>
      <c r="M1403" s="12" t="s">
        <v>237</v>
      </c>
      <c r="N1403" s="75"/>
    </row>
    <row r="1404" spans="1:14">
      <c r="A1404" s="12">
        <v>1401</v>
      </c>
      <c r="B1404" s="12" t="s">
        <v>4478</v>
      </c>
      <c r="C1404" s="12" t="s">
        <v>886</v>
      </c>
      <c r="D1404" s="12" t="s">
        <v>4479</v>
      </c>
      <c r="E1404" s="85">
        <v>1791.39</v>
      </c>
      <c r="F1404" s="6">
        <v>5477301</v>
      </c>
      <c r="G1404" s="12" t="s">
        <v>4480</v>
      </c>
      <c r="H1404" s="12" t="s">
        <v>755</v>
      </c>
      <c r="I1404" s="12" t="s">
        <v>756</v>
      </c>
      <c r="J1404" s="84">
        <v>43305</v>
      </c>
      <c r="K1404" s="84">
        <v>54263</v>
      </c>
      <c r="L1404" s="12" t="s">
        <v>4481</v>
      </c>
      <c r="M1404" s="12" t="s">
        <v>4482</v>
      </c>
      <c r="N1404" s="75"/>
    </row>
    <row r="1405" spans="1:14">
      <c r="A1405" s="12">
        <v>1402</v>
      </c>
      <c r="B1405" s="12" t="s">
        <v>4483</v>
      </c>
      <c r="C1405" s="12" t="s">
        <v>758</v>
      </c>
      <c r="D1405" s="12" t="s">
        <v>4484</v>
      </c>
      <c r="E1405" s="85">
        <v>203.27</v>
      </c>
      <c r="F1405" s="6">
        <v>5517893</v>
      </c>
      <c r="G1405" s="12" t="s">
        <v>4485</v>
      </c>
      <c r="H1405" s="12" t="s">
        <v>755</v>
      </c>
      <c r="I1405" s="12" t="s">
        <v>756</v>
      </c>
      <c r="J1405" s="84">
        <v>43314</v>
      </c>
      <c r="K1405" s="84">
        <v>54272</v>
      </c>
      <c r="L1405" s="12" t="s">
        <v>836</v>
      </c>
      <c r="M1405" s="12" t="s">
        <v>837</v>
      </c>
      <c r="N1405" s="75"/>
    </row>
    <row r="1406" spans="1:14">
      <c r="A1406" s="12">
        <v>1403</v>
      </c>
      <c r="B1406" s="12" t="s">
        <v>4486</v>
      </c>
      <c r="C1406" s="12" t="s">
        <v>752</v>
      </c>
      <c r="D1406" s="12" t="s">
        <v>4487</v>
      </c>
      <c r="E1406" s="85">
        <v>234.36</v>
      </c>
      <c r="F1406" s="6">
        <v>6167616</v>
      </c>
      <c r="G1406" s="12" t="s">
        <v>4488</v>
      </c>
      <c r="H1406" s="12" t="s">
        <v>755</v>
      </c>
      <c r="I1406" s="12" t="s">
        <v>756</v>
      </c>
      <c r="J1406" s="84">
        <v>43318</v>
      </c>
      <c r="K1406" s="84">
        <v>54276</v>
      </c>
      <c r="L1406" s="12" t="s">
        <v>274</v>
      </c>
      <c r="M1406" s="12" t="s">
        <v>790</v>
      </c>
      <c r="N1406" s="75"/>
    </row>
    <row r="1407" spans="1:14">
      <c r="A1407" s="12">
        <v>1404</v>
      </c>
      <c r="B1407" s="12" t="s">
        <v>4489</v>
      </c>
      <c r="C1407" s="12" t="s">
        <v>2442</v>
      </c>
      <c r="D1407" s="12" t="s">
        <v>2009</v>
      </c>
      <c r="E1407" s="85">
        <v>253.77</v>
      </c>
      <c r="F1407" s="6">
        <v>5102081</v>
      </c>
      <c r="G1407" s="12" t="s">
        <v>2010</v>
      </c>
      <c r="H1407" s="12" t="s">
        <v>755</v>
      </c>
      <c r="I1407" s="12" t="s">
        <v>756</v>
      </c>
      <c r="J1407" s="84">
        <v>43321</v>
      </c>
      <c r="K1407" s="84">
        <v>54279</v>
      </c>
      <c r="L1407" s="12" t="s">
        <v>170</v>
      </c>
      <c r="M1407" s="12" t="s">
        <v>171</v>
      </c>
      <c r="N1407" s="75"/>
    </row>
    <row r="1408" spans="1:14">
      <c r="A1408" s="12">
        <v>1405</v>
      </c>
      <c r="B1408" s="12" t="s">
        <v>4490</v>
      </c>
      <c r="C1408" s="12" t="s">
        <v>221</v>
      </c>
      <c r="D1408" s="12" t="s">
        <v>2090</v>
      </c>
      <c r="E1408" s="85">
        <v>220.93</v>
      </c>
      <c r="F1408" s="6">
        <v>2061899</v>
      </c>
      <c r="G1408" s="12" t="s">
        <v>1980</v>
      </c>
      <c r="H1408" s="12" t="s">
        <v>755</v>
      </c>
      <c r="I1408" s="12" t="s">
        <v>756</v>
      </c>
      <c r="J1408" s="84">
        <v>43321</v>
      </c>
      <c r="K1408" s="84">
        <v>54279</v>
      </c>
      <c r="L1408" s="12" t="s">
        <v>170</v>
      </c>
      <c r="M1408" s="12" t="s">
        <v>171</v>
      </c>
      <c r="N1408" s="75"/>
    </row>
    <row r="1409" spans="1:14">
      <c r="A1409" s="12">
        <v>1406</v>
      </c>
      <c r="B1409" s="12" t="s">
        <v>4491</v>
      </c>
      <c r="C1409" s="12" t="s">
        <v>3421</v>
      </c>
      <c r="D1409" s="12" t="s">
        <v>4492</v>
      </c>
      <c r="E1409" s="85">
        <v>14744.19</v>
      </c>
      <c r="F1409" s="6">
        <v>5005094</v>
      </c>
      <c r="G1409" s="12" t="s">
        <v>1143</v>
      </c>
      <c r="H1409" s="12" t="s">
        <v>755</v>
      </c>
      <c r="I1409" s="12" t="s">
        <v>756</v>
      </c>
      <c r="J1409" s="84">
        <v>43328</v>
      </c>
      <c r="K1409" s="84">
        <v>54286</v>
      </c>
      <c r="L1409" s="12" t="s">
        <v>768</v>
      </c>
      <c r="M1409" s="12" t="s">
        <v>1198</v>
      </c>
      <c r="N1409" s="75"/>
    </row>
    <row r="1410" spans="1:14">
      <c r="A1410" s="12">
        <v>1407</v>
      </c>
      <c r="B1410" s="12" t="s">
        <v>4493</v>
      </c>
      <c r="C1410" s="12" t="s">
        <v>122</v>
      </c>
      <c r="D1410" s="12" t="s">
        <v>4494</v>
      </c>
      <c r="E1410" s="85">
        <v>647.41</v>
      </c>
      <c r="F1410" s="6">
        <v>5147646</v>
      </c>
      <c r="G1410" s="12" t="s">
        <v>4495</v>
      </c>
      <c r="H1410" s="12" t="s">
        <v>755</v>
      </c>
      <c r="I1410" s="12" t="s">
        <v>756</v>
      </c>
      <c r="J1410" s="84">
        <v>43332</v>
      </c>
      <c r="K1410" s="84">
        <v>54290</v>
      </c>
      <c r="L1410" s="12" t="s">
        <v>375</v>
      </c>
      <c r="M1410" s="12" t="s">
        <v>1085</v>
      </c>
      <c r="N1410" s="75"/>
    </row>
    <row r="1411" spans="1:14">
      <c r="A1411" s="12">
        <v>1408</v>
      </c>
      <c r="B1411" s="12" t="s">
        <v>4496</v>
      </c>
      <c r="C1411" s="12" t="s">
        <v>122</v>
      </c>
      <c r="D1411" s="12" t="s">
        <v>4497</v>
      </c>
      <c r="E1411" s="85">
        <v>1498.91</v>
      </c>
      <c r="F1411" s="6">
        <v>5147646</v>
      </c>
      <c r="G1411" s="12" t="s">
        <v>4495</v>
      </c>
      <c r="H1411" s="12" t="s">
        <v>755</v>
      </c>
      <c r="I1411" s="12" t="s">
        <v>756</v>
      </c>
      <c r="J1411" s="84">
        <v>43332</v>
      </c>
      <c r="K1411" s="84">
        <v>54290</v>
      </c>
      <c r="L1411" s="12" t="s">
        <v>375</v>
      </c>
      <c r="M1411" s="12" t="s">
        <v>1085</v>
      </c>
      <c r="N1411" s="75"/>
    </row>
    <row r="1412" spans="1:14">
      <c r="A1412" s="12">
        <v>1409</v>
      </c>
      <c r="B1412" s="12" t="s">
        <v>4498</v>
      </c>
      <c r="C1412" s="12" t="s">
        <v>752</v>
      </c>
      <c r="D1412" s="12" t="s">
        <v>4499</v>
      </c>
      <c r="E1412" s="85">
        <v>1045.8900000000001</v>
      </c>
      <c r="F1412" s="6">
        <v>5439574</v>
      </c>
      <c r="G1412" s="12" t="s">
        <v>4500</v>
      </c>
      <c r="H1412" s="12" t="s">
        <v>755</v>
      </c>
      <c r="I1412" s="12" t="s">
        <v>756</v>
      </c>
      <c r="J1412" s="84">
        <v>43334</v>
      </c>
      <c r="K1412" s="84">
        <v>54292</v>
      </c>
      <c r="L1412" s="12" t="s">
        <v>1102</v>
      </c>
      <c r="M1412" s="12" t="s">
        <v>1194</v>
      </c>
      <c r="N1412" s="75"/>
    </row>
    <row r="1413" spans="1:14">
      <c r="A1413" s="12">
        <v>1410</v>
      </c>
      <c r="B1413" s="12" t="s">
        <v>4501</v>
      </c>
      <c r="C1413" s="12" t="s">
        <v>752</v>
      </c>
      <c r="D1413" s="12" t="s">
        <v>4502</v>
      </c>
      <c r="E1413" s="85">
        <v>1783.29</v>
      </c>
      <c r="F1413" s="6">
        <v>2645556</v>
      </c>
      <c r="G1413" s="12" t="s">
        <v>4503</v>
      </c>
      <c r="H1413" s="12" t="s">
        <v>755</v>
      </c>
      <c r="I1413" s="12" t="s">
        <v>756</v>
      </c>
      <c r="J1413" s="84">
        <v>43341</v>
      </c>
      <c r="K1413" s="84">
        <v>54624</v>
      </c>
      <c r="L1413" s="12" t="s">
        <v>768</v>
      </c>
      <c r="M1413" s="12" t="s">
        <v>933</v>
      </c>
      <c r="N1413" s="75"/>
    </row>
    <row r="1414" spans="1:14">
      <c r="A1414" s="12">
        <v>1411</v>
      </c>
      <c r="B1414" s="12" t="s">
        <v>4504</v>
      </c>
      <c r="C1414" s="12" t="s">
        <v>137</v>
      </c>
      <c r="D1414" s="12" t="s">
        <v>2677</v>
      </c>
      <c r="E1414" s="85">
        <v>2469.52</v>
      </c>
      <c r="F1414" s="6">
        <v>5210402</v>
      </c>
      <c r="G1414" s="12" t="s">
        <v>4505</v>
      </c>
      <c r="H1414" s="12" t="s">
        <v>766</v>
      </c>
      <c r="I1414" s="12" t="s">
        <v>767</v>
      </c>
      <c r="J1414" s="84">
        <v>43342</v>
      </c>
      <c r="K1414" s="84">
        <v>54300</v>
      </c>
      <c r="L1414" s="12" t="s">
        <v>782</v>
      </c>
      <c r="M1414" s="12" t="s">
        <v>2429</v>
      </c>
      <c r="N1414" s="75"/>
    </row>
    <row r="1415" spans="1:14">
      <c r="A1415" s="12">
        <v>1412</v>
      </c>
      <c r="B1415" s="12" t="s">
        <v>4506</v>
      </c>
      <c r="C1415" s="12" t="s">
        <v>122</v>
      </c>
      <c r="D1415" s="12" t="s">
        <v>4507</v>
      </c>
      <c r="E1415" s="85">
        <v>1389.37</v>
      </c>
      <c r="F1415" s="6">
        <v>6163351</v>
      </c>
      <c r="G1415" s="12" t="s">
        <v>4508</v>
      </c>
      <c r="H1415" s="12" t="s">
        <v>848</v>
      </c>
      <c r="I1415" s="12" t="s">
        <v>849</v>
      </c>
      <c r="J1415" s="84">
        <v>43356</v>
      </c>
      <c r="K1415" s="84">
        <v>54702</v>
      </c>
      <c r="L1415" s="12" t="s">
        <v>233</v>
      </c>
      <c r="M1415" s="12" t="s">
        <v>1755</v>
      </c>
      <c r="N1415" s="75"/>
    </row>
    <row r="1416" spans="1:14">
      <c r="A1416" s="12">
        <v>1413</v>
      </c>
      <c r="B1416" s="12" t="s">
        <v>4509</v>
      </c>
      <c r="C1416" s="12" t="s">
        <v>137</v>
      </c>
      <c r="D1416" s="12" t="s">
        <v>4510</v>
      </c>
      <c r="E1416" s="85">
        <v>674.13</v>
      </c>
      <c r="F1416" s="6">
        <v>5203643</v>
      </c>
      <c r="G1416" s="12" t="s">
        <v>4511</v>
      </c>
      <c r="H1416" s="12" t="s">
        <v>755</v>
      </c>
      <c r="I1416" s="12" t="s">
        <v>756</v>
      </c>
      <c r="J1416" s="84">
        <v>43357</v>
      </c>
      <c r="K1416" s="84">
        <v>54315</v>
      </c>
      <c r="L1416" s="12" t="s">
        <v>293</v>
      </c>
      <c r="M1416" s="12" t="s">
        <v>4512</v>
      </c>
      <c r="N1416" s="75"/>
    </row>
    <row r="1417" spans="1:14">
      <c r="A1417" s="12">
        <v>1414</v>
      </c>
      <c r="B1417" s="12" t="s">
        <v>4513</v>
      </c>
      <c r="C1417" s="12" t="s">
        <v>752</v>
      </c>
      <c r="D1417" s="12" t="s">
        <v>4514</v>
      </c>
      <c r="E1417" s="85">
        <v>384.42</v>
      </c>
      <c r="F1417" s="6">
        <v>5884098</v>
      </c>
      <c r="G1417" s="12" t="s">
        <v>4515</v>
      </c>
      <c r="H1417" s="12" t="s">
        <v>755</v>
      </c>
      <c r="I1417" s="12" t="s">
        <v>756</v>
      </c>
      <c r="J1417" s="84">
        <v>43362</v>
      </c>
      <c r="K1417" s="84">
        <v>54320</v>
      </c>
      <c r="L1417" s="12" t="s">
        <v>1014</v>
      </c>
      <c r="M1417" s="12" t="s">
        <v>1699</v>
      </c>
      <c r="N1417" s="75"/>
    </row>
    <row r="1418" spans="1:14">
      <c r="A1418" s="12">
        <v>1415</v>
      </c>
      <c r="B1418" s="12" t="s">
        <v>4516</v>
      </c>
      <c r="C1418" s="12" t="s">
        <v>1027</v>
      </c>
      <c r="D1418" s="12" t="s">
        <v>4517</v>
      </c>
      <c r="E1418" s="85">
        <v>114.7</v>
      </c>
      <c r="F1418" s="6">
        <v>2061899</v>
      </c>
      <c r="G1418" s="12" t="s">
        <v>1980</v>
      </c>
      <c r="H1418" s="12" t="s">
        <v>755</v>
      </c>
      <c r="I1418" s="12" t="s">
        <v>756</v>
      </c>
      <c r="J1418" s="84">
        <v>43362</v>
      </c>
      <c r="K1418" s="84">
        <v>54320</v>
      </c>
      <c r="L1418" s="12" t="s">
        <v>312</v>
      </c>
      <c r="M1418" s="12" t="s">
        <v>4102</v>
      </c>
      <c r="N1418" s="75"/>
    </row>
    <row r="1419" spans="1:14">
      <c r="A1419" s="12">
        <v>1416</v>
      </c>
      <c r="B1419" s="12" t="s">
        <v>4518</v>
      </c>
      <c r="C1419" s="12" t="s">
        <v>212</v>
      </c>
      <c r="D1419" s="12" t="s">
        <v>4519</v>
      </c>
      <c r="E1419" s="85">
        <v>80.290000000000006</v>
      </c>
      <c r="F1419" s="6">
        <v>5152518</v>
      </c>
      <c r="G1419" s="12" t="s">
        <v>4520</v>
      </c>
      <c r="H1419" s="12" t="s">
        <v>848</v>
      </c>
      <c r="I1419" s="12" t="s">
        <v>849</v>
      </c>
      <c r="J1419" s="84">
        <v>39924</v>
      </c>
      <c r="K1419" s="84">
        <v>50881</v>
      </c>
      <c r="L1419" s="12" t="s">
        <v>170</v>
      </c>
      <c r="M1419" s="12" t="s">
        <v>807</v>
      </c>
      <c r="N1419" s="75"/>
    </row>
    <row r="1420" spans="1:14">
      <c r="A1420" s="12">
        <v>1417</v>
      </c>
      <c r="B1420" s="12" t="s">
        <v>4521</v>
      </c>
      <c r="C1420" s="12" t="s">
        <v>752</v>
      </c>
      <c r="D1420" s="12" t="s">
        <v>4522</v>
      </c>
      <c r="E1420" s="85">
        <v>535.38</v>
      </c>
      <c r="F1420" s="6">
        <v>5428904</v>
      </c>
      <c r="G1420" s="12" t="s">
        <v>4523</v>
      </c>
      <c r="H1420" s="12" t="s">
        <v>848</v>
      </c>
      <c r="I1420" s="12" t="s">
        <v>849</v>
      </c>
      <c r="J1420" s="84">
        <v>43368</v>
      </c>
      <c r="K1420" s="84">
        <v>54326</v>
      </c>
      <c r="L1420" s="12" t="s">
        <v>782</v>
      </c>
      <c r="M1420" s="12" t="s">
        <v>783</v>
      </c>
      <c r="N1420" s="75"/>
    </row>
    <row r="1421" spans="1:14">
      <c r="A1421" s="12">
        <v>1418</v>
      </c>
      <c r="B1421" s="12" t="s">
        <v>4524</v>
      </c>
      <c r="C1421" s="12" t="s">
        <v>752</v>
      </c>
      <c r="D1421" s="12" t="s">
        <v>4525</v>
      </c>
      <c r="E1421" s="85">
        <v>260.49</v>
      </c>
      <c r="F1421" s="6">
        <v>2773791</v>
      </c>
      <c r="G1421" s="12" t="s">
        <v>4526</v>
      </c>
      <c r="H1421" s="12" t="s">
        <v>755</v>
      </c>
      <c r="I1421" s="12" t="s">
        <v>756</v>
      </c>
      <c r="J1421" s="84">
        <v>43370</v>
      </c>
      <c r="K1421" s="84">
        <v>54328</v>
      </c>
      <c r="L1421" s="12" t="s">
        <v>1242</v>
      </c>
      <c r="M1421" s="12" t="s">
        <v>4119</v>
      </c>
      <c r="N1421" s="75"/>
    </row>
    <row r="1422" spans="1:14">
      <c r="A1422" s="12">
        <v>1419</v>
      </c>
      <c r="B1422" s="12" t="s">
        <v>4527</v>
      </c>
      <c r="C1422" s="12" t="s">
        <v>122</v>
      </c>
      <c r="D1422" s="12" t="s">
        <v>1426</v>
      </c>
      <c r="E1422" s="85">
        <v>2752.33</v>
      </c>
      <c r="F1422" s="6">
        <v>2893819</v>
      </c>
      <c r="G1422" s="12" t="s">
        <v>4528</v>
      </c>
      <c r="H1422" s="12" t="s">
        <v>755</v>
      </c>
      <c r="I1422" s="12" t="s">
        <v>756</v>
      </c>
      <c r="J1422" s="84">
        <v>43371</v>
      </c>
      <c r="K1422" s="84">
        <v>54329</v>
      </c>
      <c r="L1422" s="12" t="s">
        <v>170</v>
      </c>
      <c r="M1422" s="12" t="s">
        <v>1426</v>
      </c>
      <c r="N1422" s="75"/>
    </row>
    <row r="1423" spans="1:14">
      <c r="A1423" s="12">
        <v>1420</v>
      </c>
      <c r="B1423" s="12" t="s">
        <v>4529</v>
      </c>
      <c r="C1423" s="12" t="s">
        <v>212</v>
      </c>
      <c r="D1423" s="12" t="s">
        <v>4530</v>
      </c>
      <c r="E1423" s="85">
        <v>525.59</v>
      </c>
      <c r="F1423" s="6">
        <v>2699869</v>
      </c>
      <c r="G1423" s="12" t="s">
        <v>4531</v>
      </c>
      <c r="H1423" s="12" t="s">
        <v>755</v>
      </c>
      <c r="I1423" s="12" t="s">
        <v>756</v>
      </c>
      <c r="J1423" s="84">
        <v>43374</v>
      </c>
      <c r="K1423" s="84">
        <v>54332</v>
      </c>
      <c r="L1423" s="12" t="s">
        <v>123</v>
      </c>
      <c r="M1423" s="12" t="s">
        <v>3411</v>
      </c>
      <c r="N1423" s="75"/>
    </row>
    <row r="1424" spans="1:14">
      <c r="A1424" s="12">
        <v>1421</v>
      </c>
      <c r="B1424" s="12" t="s">
        <v>4532</v>
      </c>
      <c r="C1424" s="12" t="s">
        <v>212</v>
      </c>
      <c r="D1424" s="12" t="s">
        <v>4533</v>
      </c>
      <c r="E1424" s="85">
        <v>85.7</v>
      </c>
      <c r="F1424" s="6">
        <v>5145422</v>
      </c>
      <c r="G1424" s="12" t="s">
        <v>4534</v>
      </c>
      <c r="H1424" s="12" t="s">
        <v>755</v>
      </c>
      <c r="I1424" s="12" t="s">
        <v>756</v>
      </c>
      <c r="J1424" s="84">
        <v>43382</v>
      </c>
      <c r="K1424" s="84">
        <v>54340</v>
      </c>
      <c r="L1424" s="12" t="s">
        <v>293</v>
      </c>
      <c r="M1424" s="12" t="s">
        <v>815</v>
      </c>
      <c r="N1424" s="75"/>
    </row>
    <row r="1425" spans="1:14">
      <c r="A1425" s="12">
        <v>1422</v>
      </c>
      <c r="B1425" s="12" t="s">
        <v>4535</v>
      </c>
      <c r="C1425" s="12" t="s">
        <v>122</v>
      </c>
      <c r="D1425" s="12" t="s">
        <v>4536</v>
      </c>
      <c r="E1425" s="85">
        <v>3013.79</v>
      </c>
      <c r="F1425" s="6">
        <v>5103797</v>
      </c>
      <c r="G1425" s="12" t="s">
        <v>3117</v>
      </c>
      <c r="H1425" s="12" t="s">
        <v>848</v>
      </c>
      <c r="I1425" s="12" t="s">
        <v>849</v>
      </c>
      <c r="J1425" s="84">
        <v>43396</v>
      </c>
      <c r="K1425" s="84">
        <v>54354</v>
      </c>
      <c r="L1425" s="12" t="s">
        <v>170</v>
      </c>
      <c r="M1425" s="12" t="s">
        <v>1426</v>
      </c>
      <c r="N1425" s="75"/>
    </row>
    <row r="1426" spans="1:14">
      <c r="A1426" s="12">
        <v>1423</v>
      </c>
      <c r="B1426" s="12" t="s">
        <v>4537</v>
      </c>
      <c r="C1426" s="12" t="s">
        <v>212</v>
      </c>
      <c r="D1426" s="12" t="s">
        <v>1533</v>
      </c>
      <c r="E1426" s="85">
        <v>967.6</v>
      </c>
      <c r="F1426" s="6">
        <v>5459362</v>
      </c>
      <c r="G1426" s="12" t="s">
        <v>4538</v>
      </c>
      <c r="H1426" s="12" t="s">
        <v>755</v>
      </c>
      <c r="I1426" s="12" t="s">
        <v>756</v>
      </c>
      <c r="J1426" s="84">
        <v>43398</v>
      </c>
      <c r="K1426" s="84">
        <v>54356</v>
      </c>
      <c r="L1426" s="12" t="s">
        <v>170</v>
      </c>
      <c r="M1426" s="12" t="s">
        <v>171</v>
      </c>
      <c r="N1426" s="75"/>
    </row>
    <row r="1427" spans="1:14">
      <c r="A1427" s="12">
        <v>1424</v>
      </c>
      <c r="B1427" s="12" t="s">
        <v>4539</v>
      </c>
      <c r="C1427" s="12" t="s">
        <v>752</v>
      </c>
      <c r="D1427" s="12" t="s">
        <v>4540</v>
      </c>
      <c r="E1427" s="85">
        <v>50.83</v>
      </c>
      <c r="F1427" s="6">
        <v>5355141</v>
      </c>
      <c r="G1427" s="12" t="s">
        <v>4541</v>
      </c>
      <c r="H1427" s="12" t="s">
        <v>755</v>
      </c>
      <c r="I1427" s="12" t="s">
        <v>756</v>
      </c>
      <c r="J1427" s="84">
        <v>43403</v>
      </c>
      <c r="K1427" s="84">
        <v>54361</v>
      </c>
      <c r="L1427" s="12" t="s">
        <v>304</v>
      </c>
      <c r="M1427" s="12" t="s">
        <v>1634</v>
      </c>
      <c r="N1427" s="75"/>
    </row>
    <row r="1428" spans="1:14">
      <c r="A1428" s="12">
        <v>1425</v>
      </c>
      <c r="B1428" s="12" t="s">
        <v>4542</v>
      </c>
      <c r="C1428" s="12" t="s">
        <v>147</v>
      </c>
      <c r="D1428" s="12" t="s">
        <v>4543</v>
      </c>
      <c r="E1428" s="85">
        <v>2582.91</v>
      </c>
      <c r="F1428" s="6">
        <v>5482992</v>
      </c>
      <c r="G1428" s="12" t="s">
        <v>4544</v>
      </c>
      <c r="H1428" s="12" t="s">
        <v>755</v>
      </c>
      <c r="I1428" s="12" t="s">
        <v>756</v>
      </c>
      <c r="J1428" s="84">
        <v>43411</v>
      </c>
      <c r="K1428" s="84">
        <v>54369</v>
      </c>
      <c r="L1428" s="12" t="s">
        <v>123</v>
      </c>
      <c r="M1428" s="12" t="s">
        <v>272</v>
      </c>
      <c r="N1428" s="75"/>
    </row>
    <row r="1429" spans="1:14">
      <c r="A1429" s="12">
        <v>1426</v>
      </c>
      <c r="B1429" s="12" t="s">
        <v>4545</v>
      </c>
      <c r="C1429" s="12" t="s">
        <v>221</v>
      </c>
      <c r="D1429" s="12" t="s">
        <v>4546</v>
      </c>
      <c r="E1429" s="85">
        <v>413.8</v>
      </c>
      <c r="F1429" s="6">
        <v>5634946</v>
      </c>
      <c r="G1429" s="12" t="s">
        <v>4547</v>
      </c>
      <c r="H1429" s="12" t="s">
        <v>755</v>
      </c>
      <c r="I1429" s="12" t="s">
        <v>756</v>
      </c>
      <c r="J1429" s="84">
        <v>43411</v>
      </c>
      <c r="K1429" s="84">
        <v>54369</v>
      </c>
      <c r="L1429" s="12" t="s">
        <v>375</v>
      </c>
      <c r="M1429" s="12" t="s">
        <v>893</v>
      </c>
      <c r="N1429" s="75"/>
    </row>
    <row r="1430" spans="1:14">
      <c r="A1430" s="12">
        <v>1427</v>
      </c>
      <c r="B1430" s="12" t="s">
        <v>4548</v>
      </c>
      <c r="C1430" s="12" t="s">
        <v>752</v>
      </c>
      <c r="D1430" s="12" t="s">
        <v>4549</v>
      </c>
      <c r="E1430" s="85">
        <v>864.46</v>
      </c>
      <c r="F1430" s="6">
        <v>5108616</v>
      </c>
      <c r="G1430" s="12" t="s">
        <v>4550</v>
      </c>
      <c r="H1430" s="12" t="s">
        <v>755</v>
      </c>
      <c r="I1430" s="12" t="s">
        <v>756</v>
      </c>
      <c r="J1430" s="84">
        <v>43418</v>
      </c>
      <c r="K1430" s="84">
        <v>54376</v>
      </c>
      <c r="L1430" s="12" t="s">
        <v>304</v>
      </c>
      <c r="M1430" s="12" t="s">
        <v>1634</v>
      </c>
      <c r="N1430" s="75"/>
    </row>
    <row r="1431" spans="1:14">
      <c r="A1431" s="12">
        <v>1428</v>
      </c>
      <c r="B1431" s="12" t="s">
        <v>4551</v>
      </c>
      <c r="C1431" s="12" t="s">
        <v>122</v>
      </c>
      <c r="D1431" s="12" t="s">
        <v>4552</v>
      </c>
      <c r="E1431" s="85">
        <v>2194.6</v>
      </c>
      <c r="F1431" s="6">
        <v>5581486</v>
      </c>
      <c r="G1431" s="12" t="s">
        <v>4553</v>
      </c>
      <c r="H1431" s="12" t="s">
        <v>755</v>
      </c>
      <c r="I1431" s="12" t="s">
        <v>756</v>
      </c>
      <c r="J1431" s="84">
        <v>43420</v>
      </c>
      <c r="K1431" s="84">
        <v>54378</v>
      </c>
      <c r="L1431" s="12" t="s">
        <v>123</v>
      </c>
      <c r="M1431" s="12" t="s">
        <v>2201</v>
      </c>
      <c r="N1431" s="75"/>
    </row>
    <row r="1432" spans="1:14">
      <c r="A1432" s="12">
        <v>1429</v>
      </c>
      <c r="B1432" s="12" t="s">
        <v>4554</v>
      </c>
      <c r="C1432" s="12" t="s">
        <v>752</v>
      </c>
      <c r="D1432" s="12" t="s">
        <v>4555</v>
      </c>
      <c r="E1432" s="85">
        <v>362.62</v>
      </c>
      <c r="F1432" s="6">
        <v>5938953</v>
      </c>
      <c r="G1432" s="12" t="s">
        <v>4556</v>
      </c>
      <c r="H1432" s="12" t="s">
        <v>755</v>
      </c>
      <c r="I1432" s="12" t="s">
        <v>756</v>
      </c>
      <c r="J1432" s="84">
        <v>43441</v>
      </c>
      <c r="K1432" s="84">
        <v>55274</v>
      </c>
      <c r="L1432" s="12" t="s">
        <v>782</v>
      </c>
      <c r="M1432" s="12" t="s">
        <v>2889</v>
      </c>
      <c r="N1432" s="75"/>
    </row>
    <row r="1433" spans="1:14">
      <c r="A1433" s="12">
        <v>1430</v>
      </c>
      <c r="B1433" s="12" t="s">
        <v>4557</v>
      </c>
      <c r="C1433" s="12" t="s">
        <v>212</v>
      </c>
      <c r="D1433" s="12" t="s">
        <v>4558</v>
      </c>
      <c r="E1433" s="85">
        <v>128.69</v>
      </c>
      <c r="F1433" s="6">
        <v>6354785</v>
      </c>
      <c r="G1433" s="12" t="s">
        <v>4559</v>
      </c>
      <c r="H1433" s="12" t="s">
        <v>766</v>
      </c>
      <c r="I1433" s="12" t="s">
        <v>767</v>
      </c>
      <c r="J1433" s="84">
        <v>43455</v>
      </c>
      <c r="K1433" s="84">
        <v>54413</v>
      </c>
      <c r="L1433" s="12" t="s">
        <v>123</v>
      </c>
      <c r="M1433" s="12" t="s">
        <v>1256</v>
      </c>
      <c r="N1433" s="75"/>
    </row>
    <row r="1434" spans="1:14">
      <c r="A1434" s="12">
        <v>1431</v>
      </c>
      <c r="B1434" s="12" t="s">
        <v>4560</v>
      </c>
      <c r="C1434" s="12" t="s">
        <v>2119</v>
      </c>
      <c r="D1434" s="12" t="s">
        <v>4561</v>
      </c>
      <c r="E1434" s="85">
        <v>537.48</v>
      </c>
      <c r="F1434" s="6">
        <v>5266637</v>
      </c>
      <c r="G1434" s="12" t="s">
        <v>4562</v>
      </c>
      <c r="H1434" s="12" t="s">
        <v>755</v>
      </c>
      <c r="I1434" s="12" t="s">
        <v>756</v>
      </c>
      <c r="J1434" s="84">
        <v>43460</v>
      </c>
      <c r="K1434" s="84">
        <v>54418</v>
      </c>
      <c r="L1434" s="12" t="s">
        <v>1097</v>
      </c>
      <c r="M1434" s="12" t="s">
        <v>2302</v>
      </c>
      <c r="N1434" s="75"/>
    </row>
    <row r="1435" spans="1:14">
      <c r="A1435" s="12">
        <v>1432</v>
      </c>
      <c r="B1435" s="12" t="s">
        <v>4563</v>
      </c>
      <c r="C1435" s="12" t="s">
        <v>147</v>
      </c>
      <c r="D1435" s="12" t="s">
        <v>2078</v>
      </c>
      <c r="E1435" s="85">
        <v>3366.43</v>
      </c>
      <c r="F1435" s="6">
        <v>2069792</v>
      </c>
      <c r="G1435" s="12" t="s">
        <v>4445</v>
      </c>
      <c r="H1435" s="12" t="s">
        <v>755</v>
      </c>
      <c r="I1435" s="12" t="s">
        <v>756</v>
      </c>
      <c r="J1435" s="84">
        <v>43460</v>
      </c>
      <c r="K1435" s="84">
        <v>54418</v>
      </c>
      <c r="L1435" s="12" t="s">
        <v>1014</v>
      </c>
      <c r="M1435" s="12" t="s">
        <v>4564</v>
      </c>
      <c r="N1435" s="75"/>
    </row>
    <row r="1436" spans="1:14">
      <c r="A1436" s="12">
        <v>1433</v>
      </c>
      <c r="B1436" s="12" t="s">
        <v>4565</v>
      </c>
      <c r="C1436" s="12" t="s">
        <v>212</v>
      </c>
      <c r="D1436" s="12" t="s">
        <v>4566</v>
      </c>
      <c r="E1436" s="85">
        <v>727.91</v>
      </c>
      <c r="F1436" s="6">
        <v>2674866</v>
      </c>
      <c r="G1436" s="12" t="s">
        <v>4567</v>
      </c>
      <c r="H1436" s="12" t="s">
        <v>755</v>
      </c>
      <c r="I1436" s="12" t="s">
        <v>756</v>
      </c>
      <c r="J1436" s="84">
        <v>43460</v>
      </c>
      <c r="K1436" s="84">
        <v>54418</v>
      </c>
      <c r="L1436" s="12" t="s">
        <v>123</v>
      </c>
      <c r="M1436" s="12" t="s">
        <v>1472</v>
      </c>
      <c r="N1436" s="75"/>
    </row>
    <row r="1437" spans="1:14">
      <c r="A1437" s="12">
        <v>1434</v>
      </c>
      <c r="B1437" s="12" t="s">
        <v>4568</v>
      </c>
      <c r="C1437" s="12" t="s">
        <v>752</v>
      </c>
      <c r="D1437" s="12" t="s">
        <v>4569</v>
      </c>
      <c r="E1437" s="85">
        <v>741.08</v>
      </c>
      <c r="F1437" s="6">
        <v>6152392</v>
      </c>
      <c r="G1437" s="12" t="s">
        <v>4570</v>
      </c>
      <c r="H1437" s="12" t="s">
        <v>755</v>
      </c>
      <c r="I1437" s="12" t="s">
        <v>756</v>
      </c>
      <c r="J1437" s="84">
        <v>43460</v>
      </c>
      <c r="K1437" s="84">
        <v>54418</v>
      </c>
      <c r="L1437" s="12" t="s">
        <v>836</v>
      </c>
      <c r="M1437" s="12" t="s">
        <v>837</v>
      </c>
      <c r="N1437" s="75"/>
    </row>
    <row r="1438" spans="1:14">
      <c r="A1438" s="12">
        <v>1435</v>
      </c>
      <c r="B1438" s="12" t="s">
        <v>4571</v>
      </c>
      <c r="C1438" s="12" t="s">
        <v>1547</v>
      </c>
      <c r="D1438" s="12" t="s">
        <v>4572</v>
      </c>
      <c r="E1438" s="85">
        <v>239.68</v>
      </c>
      <c r="F1438" s="6">
        <v>6836437</v>
      </c>
      <c r="G1438" s="12" t="s">
        <v>3011</v>
      </c>
      <c r="H1438" s="12" t="s">
        <v>848</v>
      </c>
      <c r="I1438" s="12" t="s">
        <v>849</v>
      </c>
      <c r="J1438" s="84">
        <v>38628</v>
      </c>
      <c r="K1438" s="84">
        <v>49585</v>
      </c>
      <c r="L1438" s="12" t="s">
        <v>939</v>
      </c>
      <c r="M1438" s="12" t="s">
        <v>4573</v>
      </c>
      <c r="N1438" s="75"/>
    </row>
    <row r="1439" spans="1:14">
      <c r="A1439" s="12">
        <v>1436</v>
      </c>
      <c r="B1439" s="12" t="s">
        <v>4574</v>
      </c>
      <c r="C1439" s="12" t="s">
        <v>150</v>
      </c>
      <c r="D1439" s="12" t="s">
        <v>4273</v>
      </c>
      <c r="E1439" s="85">
        <v>49.28</v>
      </c>
      <c r="F1439" s="6">
        <v>3623955</v>
      </c>
      <c r="G1439" s="12" t="s">
        <v>4575</v>
      </c>
      <c r="H1439" s="12" t="s">
        <v>766</v>
      </c>
      <c r="I1439" s="12" t="s">
        <v>767</v>
      </c>
      <c r="J1439" s="84">
        <v>43462</v>
      </c>
      <c r="K1439" s="84">
        <v>54760</v>
      </c>
      <c r="L1439" s="12" t="s">
        <v>233</v>
      </c>
      <c r="M1439" s="12" t="s">
        <v>237</v>
      </c>
      <c r="N1439" s="75"/>
    </row>
    <row r="1440" spans="1:14">
      <c r="A1440" s="12">
        <v>1437</v>
      </c>
      <c r="B1440" s="12" t="s">
        <v>4576</v>
      </c>
      <c r="C1440" s="12" t="s">
        <v>200</v>
      </c>
      <c r="D1440" s="12" t="s">
        <v>4577</v>
      </c>
      <c r="E1440" s="85">
        <v>221.94</v>
      </c>
      <c r="F1440" s="6">
        <v>5353564</v>
      </c>
      <c r="G1440" s="12" t="s">
        <v>4578</v>
      </c>
      <c r="H1440" s="12" t="s">
        <v>755</v>
      </c>
      <c r="I1440" s="12" t="s">
        <v>756</v>
      </c>
      <c r="J1440" s="84">
        <v>43476</v>
      </c>
      <c r="K1440" s="84">
        <v>54434</v>
      </c>
      <c r="L1440" s="12" t="s">
        <v>375</v>
      </c>
      <c r="M1440" s="12" t="s">
        <v>893</v>
      </c>
      <c r="N1440" s="75"/>
    </row>
    <row r="1441" spans="1:14">
      <c r="A1441" s="12">
        <v>1438</v>
      </c>
      <c r="B1441" s="12" t="s">
        <v>4579</v>
      </c>
      <c r="C1441" s="12" t="s">
        <v>1035</v>
      </c>
      <c r="D1441" s="12" t="s">
        <v>4580</v>
      </c>
      <c r="E1441" s="85">
        <v>217.91</v>
      </c>
      <c r="F1441" s="6">
        <v>6006124</v>
      </c>
      <c r="G1441" s="12" t="s">
        <v>4581</v>
      </c>
      <c r="H1441" s="12" t="s">
        <v>755</v>
      </c>
      <c r="I1441" s="12" t="s">
        <v>756</v>
      </c>
      <c r="J1441" s="84">
        <v>43487</v>
      </c>
      <c r="K1441" s="84">
        <v>54445</v>
      </c>
      <c r="L1441" s="12" t="s">
        <v>1102</v>
      </c>
      <c r="M1441" s="12" t="s">
        <v>3628</v>
      </c>
      <c r="N1441" s="75"/>
    </row>
    <row r="1442" spans="1:14">
      <c r="A1442" s="12">
        <v>1439</v>
      </c>
      <c r="B1442" s="12" t="s">
        <v>4582</v>
      </c>
      <c r="C1442" s="12" t="s">
        <v>221</v>
      </c>
      <c r="D1442" s="12" t="s">
        <v>4133</v>
      </c>
      <c r="E1442" s="85">
        <v>15408.02</v>
      </c>
      <c r="F1442" s="6">
        <v>6396682</v>
      </c>
      <c r="G1442" s="12" t="s">
        <v>4583</v>
      </c>
      <c r="H1442" s="12" t="s">
        <v>755</v>
      </c>
      <c r="I1442" s="12" t="s">
        <v>756</v>
      </c>
      <c r="J1442" s="84">
        <v>43495</v>
      </c>
      <c r="K1442" s="84">
        <v>54453</v>
      </c>
      <c r="L1442" s="12" t="s">
        <v>375</v>
      </c>
      <c r="M1442" s="12" t="s">
        <v>3886</v>
      </c>
      <c r="N1442" s="75"/>
    </row>
    <row r="1443" spans="1:14">
      <c r="A1443" s="12">
        <v>1440</v>
      </c>
      <c r="B1443" s="12" t="s">
        <v>4584</v>
      </c>
      <c r="C1443" s="12" t="s">
        <v>122</v>
      </c>
      <c r="D1443" s="12" t="s">
        <v>2302</v>
      </c>
      <c r="E1443" s="85">
        <v>223</v>
      </c>
      <c r="F1443" s="6">
        <v>5195454</v>
      </c>
      <c r="G1443" s="12" t="s">
        <v>4585</v>
      </c>
      <c r="H1443" s="12" t="s">
        <v>755</v>
      </c>
      <c r="I1443" s="12" t="s">
        <v>756</v>
      </c>
      <c r="J1443" s="84">
        <v>43510</v>
      </c>
      <c r="K1443" s="84">
        <v>54468</v>
      </c>
      <c r="L1443" s="12" t="s">
        <v>205</v>
      </c>
      <c r="M1443" s="12" t="s">
        <v>2041</v>
      </c>
      <c r="N1443" s="75"/>
    </row>
    <row r="1444" spans="1:14">
      <c r="A1444" s="12">
        <v>1441</v>
      </c>
      <c r="B1444" s="12" t="s">
        <v>4586</v>
      </c>
      <c r="C1444" s="12" t="s">
        <v>122</v>
      </c>
      <c r="D1444" s="12" t="s">
        <v>3004</v>
      </c>
      <c r="E1444" s="85">
        <v>1735.55</v>
      </c>
      <c r="F1444" s="6">
        <v>5107733</v>
      </c>
      <c r="G1444" s="12" t="s">
        <v>4587</v>
      </c>
      <c r="H1444" s="12" t="s">
        <v>755</v>
      </c>
      <c r="I1444" s="12" t="s">
        <v>756</v>
      </c>
      <c r="J1444" s="84">
        <v>43525</v>
      </c>
      <c r="K1444" s="84">
        <v>54483</v>
      </c>
      <c r="L1444" s="12" t="s">
        <v>768</v>
      </c>
      <c r="M1444" s="12" t="s">
        <v>4588</v>
      </c>
      <c r="N1444" s="75"/>
    </row>
    <row r="1445" spans="1:14">
      <c r="A1445" s="12">
        <v>1442</v>
      </c>
      <c r="B1445" s="12" t="s">
        <v>4589</v>
      </c>
      <c r="C1445" s="12" t="s">
        <v>752</v>
      </c>
      <c r="D1445" s="12" t="s">
        <v>4590</v>
      </c>
      <c r="E1445" s="85">
        <v>703.89</v>
      </c>
      <c r="F1445" s="6">
        <v>5145414</v>
      </c>
      <c r="G1445" s="12" t="s">
        <v>4591</v>
      </c>
      <c r="H1445" s="12" t="s">
        <v>755</v>
      </c>
      <c r="I1445" s="12" t="s">
        <v>756</v>
      </c>
      <c r="J1445" s="84">
        <v>43531</v>
      </c>
      <c r="K1445" s="84">
        <v>54489</v>
      </c>
      <c r="L1445" s="12" t="s">
        <v>768</v>
      </c>
      <c r="M1445" s="12" t="s">
        <v>769</v>
      </c>
      <c r="N1445" s="75"/>
    </row>
    <row r="1446" spans="1:14">
      <c r="A1446" s="12">
        <v>1443</v>
      </c>
      <c r="B1446" s="12" t="s">
        <v>4592</v>
      </c>
      <c r="C1446" s="12" t="s">
        <v>752</v>
      </c>
      <c r="D1446" s="12" t="s">
        <v>141</v>
      </c>
      <c r="E1446" s="85">
        <v>27.77</v>
      </c>
      <c r="F1446" s="6">
        <v>2574233</v>
      </c>
      <c r="G1446" s="12" t="s">
        <v>4593</v>
      </c>
      <c r="H1446" s="12" t="s">
        <v>755</v>
      </c>
      <c r="I1446" s="12" t="s">
        <v>756</v>
      </c>
      <c r="J1446" s="84">
        <v>35818</v>
      </c>
      <c r="K1446" s="84">
        <v>46775</v>
      </c>
      <c r="L1446" s="12" t="s">
        <v>274</v>
      </c>
      <c r="M1446" s="12" t="s">
        <v>275</v>
      </c>
      <c r="N1446" s="75"/>
    </row>
    <row r="1447" spans="1:14">
      <c r="A1447" s="12">
        <v>1444</v>
      </c>
      <c r="B1447" s="12" t="s">
        <v>4594</v>
      </c>
      <c r="C1447" s="12" t="s">
        <v>122</v>
      </c>
      <c r="D1447" s="12" t="s">
        <v>3989</v>
      </c>
      <c r="E1447" s="85">
        <v>12839.43</v>
      </c>
      <c r="F1447" s="6">
        <v>2687968</v>
      </c>
      <c r="G1447" s="12" t="s">
        <v>4595</v>
      </c>
      <c r="H1447" s="12" t="s">
        <v>755</v>
      </c>
      <c r="I1447" s="12" t="s">
        <v>756</v>
      </c>
      <c r="J1447" s="84">
        <v>42810</v>
      </c>
      <c r="K1447" s="84">
        <v>54181</v>
      </c>
      <c r="L1447" s="12" t="s">
        <v>233</v>
      </c>
      <c r="M1447" s="12" t="s">
        <v>237</v>
      </c>
      <c r="N1447" s="75"/>
    </row>
    <row r="1448" spans="1:14">
      <c r="A1448" s="12">
        <v>1445</v>
      </c>
      <c r="B1448" s="12" t="s">
        <v>4596</v>
      </c>
      <c r="C1448" s="12" t="s">
        <v>752</v>
      </c>
      <c r="D1448" s="12" t="s">
        <v>4597</v>
      </c>
      <c r="E1448" s="85">
        <v>6364.36</v>
      </c>
      <c r="F1448" s="6">
        <v>5420504</v>
      </c>
      <c r="G1448" s="12" t="s">
        <v>4598</v>
      </c>
      <c r="H1448" s="12" t="s">
        <v>755</v>
      </c>
      <c r="I1448" s="12" t="s">
        <v>756</v>
      </c>
      <c r="J1448" s="84">
        <v>43551</v>
      </c>
      <c r="K1448" s="84">
        <v>54509</v>
      </c>
      <c r="L1448" s="12" t="s">
        <v>768</v>
      </c>
      <c r="M1448" s="12" t="s">
        <v>4599</v>
      </c>
      <c r="N1448" s="75"/>
    </row>
    <row r="1449" spans="1:14">
      <c r="A1449" s="12">
        <v>1446</v>
      </c>
      <c r="B1449" s="12" t="s">
        <v>4600</v>
      </c>
      <c r="C1449" s="12" t="s">
        <v>752</v>
      </c>
      <c r="D1449" s="12" t="s">
        <v>2302</v>
      </c>
      <c r="E1449" s="85">
        <v>3924.54</v>
      </c>
      <c r="F1449" s="6">
        <v>3753603</v>
      </c>
      <c r="G1449" s="12" t="s">
        <v>4601</v>
      </c>
      <c r="H1449" s="12" t="s">
        <v>755</v>
      </c>
      <c r="I1449" s="12" t="s">
        <v>756</v>
      </c>
      <c r="J1449" s="84">
        <v>43563</v>
      </c>
      <c r="K1449" s="84">
        <v>54521</v>
      </c>
      <c r="L1449" s="12" t="s">
        <v>2670</v>
      </c>
      <c r="M1449" s="12" t="s">
        <v>4602</v>
      </c>
      <c r="N1449" s="75"/>
    </row>
    <row r="1450" spans="1:14">
      <c r="A1450" s="12">
        <v>1447</v>
      </c>
      <c r="B1450" s="12" t="s">
        <v>4603</v>
      </c>
      <c r="C1450" s="12" t="s">
        <v>122</v>
      </c>
      <c r="D1450" s="12" t="s">
        <v>4604</v>
      </c>
      <c r="E1450" s="85">
        <v>11966.2</v>
      </c>
      <c r="F1450" s="6">
        <v>3318486</v>
      </c>
      <c r="G1450" s="12" t="s">
        <v>4605</v>
      </c>
      <c r="H1450" s="12" t="s">
        <v>755</v>
      </c>
      <c r="I1450" s="12" t="s">
        <v>756</v>
      </c>
      <c r="J1450" s="84">
        <v>43563</v>
      </c>
      <c r="K1450" s="84">
        <v>54521</v>
      </c>
      <c r="L1450" s="12" t="s">
        <v>170</v>
      </c>
      <c r="M1450" s="12" t="s">
        <v>2450</v>
      </c>
      <c r="N1450" s="75"/>
    </row>
    <row r="1451" spans="1:14">
      <c r="A1451" s="12">
        <v>1448</v>
      </c>
      <c r="B1451" s="12" t="s">
        <v>4606</v>
      </c>
      <c r="C1451" s="12" t="s">
        <v>752</v>
      </c>
      <c r="D1451" s="12" t="s">
        <v>4607</v>
      </c>
      <c r="E1451" s="85">
        <v>43.1</v>
      </c>
      <c r="F1451" s="6">
        <v>5046483</v>
      </c>
      <c r="G1451" s="12" t="s">
        <v>4608</v>
      </c>
      <c r="H1451" s="12" t="s">
        <v>755</v>
      </c>
      <c r="I1451" s="12" t="s">
        <v>756</v>
      </c>
      <c r="J1451" s="84">
        <v>43565</v>
      </c>
      <c r="K1451" s="84">
        <v>54523</v>
      </c>
      <c r="L1451" s="12" t="s">
        <v>836</v>
      </c>
      <c r="M1451" s="12" t="s">
        <v>837</v>
      </c>
      <c r="N1451" s="75"/>
    </row>
    <row r="1452" spans="1:14">
      <c r="A1452" s="12">
        <v>1449</v>
      </c>
      <c r="B1452" s="12" t="s">
        <v>4609</v>
      </c>
      <c r="C1452" s="12" t="s">
        <v>212</v>
      </c>
      <c r="D1452" s="12" t="s">
        <v>1883</v>
      </c>
      <c r="E1452" s="85">
        <v>28.92</v>
      </c>
      <c r="F1452" s="6">
        <v>2771179</v>
      </c>
      <c r="G1452" s="12" t="s">
        <v>4610</v>
      </c>
      <c r="H1452" s="12" t="s">
        <v>755</v>
      </c>
      <c r="I1452" s="12" t="s">
        <v>756</v>
      </c>
      <c r="J1452" s="84">
        <v>38153</v>
      </c>
      <c r="K1452" s="84">
        <v>49110</v>
      </c>
      <c r="L1452" s="12" t="s">
        <v>293</v>
      </c>
      <c r="M1452" s="12" t="s">
        <v>1826</v>
      </c>
      <c r="N1452" s="75"/>
    </row>
    <row r="1453" spans="1:14">
      <c r="A1453" s="12">
        <v>1450</v>
      </c>
      <c r="B1453" s="12" t="s">
        <v>4611</v>
      </c>
      <c r="C1453" s="12" t="s">
        <v>212</v>
      </c>
      <c r="D1453" s="12" t="s">
        <v>2761</v>
      </c>
      <c r="E1453" s="85">
        <v>177.41</v>
      </c>
      <c r="F1453" s="6">
        <v>5878756</v>
      </c>
      <c r="G1453" s="12" t="s">
        <v>4612</v>
      </c>
      <c r="H1453" s="12" t="s">
        <v>848</v>
      </c>
      <c r="I1453" s="12" t="s">
        <v>849</v>
      </c>
      <c r="J1453" s="84">
        <v>43586</v>
      </c>
      <c r="K1453" s="84">
        <v>54544</v>
      </c>
      <c r="L1453" s="12" t="s">
        <v>293</v>
      </c>
      <c r="M1453" s="12" t="s">
        <v>1826</v>
      </c>
      <c r="N1453" s="75"/>
    </row>
    <row r="1454" spans="1:14">
      <c r="A1454" s="12">
        <v>1451</v>
      </c>
      <c r="B1454" s="12" t="s">
        <v>4613</v>
      </c>
      <c r="C1454" s="12" t="s">
        <v>752</v>
      </c>
      <c r="D1454" s="12" t="s">
        <v>3314</v>
      </c>
      <c r="E1454" s="85">
        <v>8.33</v>
      </c>
      <c r="F1454" s="6">
        <v>6858422</v>
      </c>
      <c r="G1454" s="12" t="s">
        <v>4614</v>
      </c>
      <c r="H1454" s="12" t="s">
        <v>755</v>
      </c>
      <c r="I1454" s="12" t="s">
        <v>756</v>
      </c>
      <c r="J1454" s="84">
        <v>43586</v>
      </c>
      <c r="K1454" s="84">
        <v>54544</v>
      </c>
      <c r="L1454" s="12" t="s">
        <v>274</v>
      </c>
      <c r="M1454" s="12" t="s">
        <v>275</v>
      </c>
      <c r="N1454" s="75"/>
    </row>
    <row r="1455" spans="1:14">
      <c r="A1455" s="12">
        <v>1452</v>
      </c>
      <c r="B1455" s="12" t="s">
        <v>4615</v>
      </c>
      <c r="C1455" s="12" t="s">
        <v>122</v>
      </c>
      <c r="D1455" s="12" t="s">
        <v>3167</v>
      </c>
      <c r="E1455" s="85">
        <v>5254.35</v>
      </c>
      <c r="F1455" s="6">
        <v>6401481</v>
      </c>
      <c r="G1455" s="12" t="s">
        <v>4616</v>
      </c>
      <c r="H1455" s="12" t="s">
        <v>755</v>
      </c>
      <c r="I1455" s="12" t="s">
        <v>756</v>
      </c>
      <c r="J1455" s="84">
        <v>40980</v>
      </c>
      <c r="K1455" s="84">
        <v>51937</v>
      </c>
      <c r="L1455" s="12" t="s">
        <v>375</v>
      </c>
      <c r="M1455" s="12" t="s">
        <v>3169</v>
      </c>
      <c r="N1455" s="75"/>
    </row>
    <row r="1456" spans="1:14">
      <c r="A1456" s="12">
        <v>1453</v>
      </c>
      <c r="B1456" s="12" t="s">
        <v>4617</v>
      </c>
      <c r="C1456" s="12" t="s">
        <v>3840</v>
      </c>
      <c r="D1456" s="12" t="s">
        <v>3639</v>
      </c>
      <c r="E1456" s="85">
        <v>6496.67</v>
      </c>
      <c r="F1456" s="6">
        <v>5468213</v>
      </c>
      <c r="G1456" s="12" t="s">
        <v>4618</v>
      </c>
      <c r="H1456" s="12" t="s">
        <v>755</v>
      </c>
      <c r="I1456" s="12" t="s">
        <v>756</v>
      </c>
      <c r="J1456" s="84">
        <v>43598</v>
      </c>
      <c r="K1456" s="84">
        <v>54556</v>
      </c>
      <c r="L1456" s="12" t="s">
        <v>768</v>
      </c>
      <c r="M1456" s="12" t="s">
        <v>3235</v>
      </c>
      <c r="N1456" s="75"/>
    </row>
    <row r="1457" spans="1:14">
      <c r="A1457" s="12">
        <v>1454</v>
      </c>
      <c r="B1457" s="12" t="s">
        <v>4619</v>
      </c>
      <c r="C1457" s="12" t="s">
        <v>1818</v>
      </c>
      <c r="D1457" s="12" t="s">
        <v>4620</v>
      </c>
      <c r="E1457" s="85">
        <v>2316.23</v>
      </c>
      <c r="F1457" s="6">
        <v>6050948</v>
      </c>
      <c r="G1457" s="12" t="s">
        <v>4621</v>
      </c>
      <c r="H1457" s="12" t="s">
        <v>848</v>
      </c>
      <c r="I1457" s="12" t="s">
        <v>849</v>
      </c>
      <c r="J1457" s="84">
        <v>43600</v>
      </c>
      <c r="K1457" s="84">
        <v>54558</v>
      </c>
      <c r="L1457" s="12" t="s">
        <v>293</v>
      </c>
      <c r="M1457" s="12" t="s">
        <v>1206</v>
      </c>
      <c r="N1457" s="75"/>
    </row>
    <row r="1458" spans="1:14">
      <c r="A1458" s="12">
        <v>1455</v>
      </c>
      <c r="B1458" s="12" t="s">
        <v>4622</v>
      </c>
      <c r="C1458" s="12" t="s">
        <v>886</v>
      </c>
      <c r="D1458" s="12" t="s">
        <v>884</v>
      </c>
      <c r="E1458" s="85">
        <v>5226.1400000000003</v>
      </c>
      <c r="F1458" s="6">
        <v>5450861</v>
      </c>
      <c r="G1458" s="12" t="s">
        <v>4623</v>
      </c>
      <c r="H1458" s="12" t="s">
        <v>848</v>
      </c>
      <c r="I1458" s="12" t="s">
        <v>849</v>
      </c>
      <c r="J1458" s="84">
        <v>43605</v>
      </c>
      <c r="K1458" s="84">
        <v>54563</v>
      </c>
      <c r="L1458" s="12" t="s">
        <v>375</v>
      </c>
      <c r="M1458" s="12" t="s">
        <v>944</v>
      </c>
      <c r="N1458" s="75"/>
    </row>
    <row r="1459" spans="1:14">
      <c r="A1459" s="12">
        <v>1456</v>
      </c>
      <c r="B1459" s="12" t="s">
        <v>4624</v>
      </c>
      <c r="C1459" s="12" t="s">
        <v>752</v>
      </c>
      <c r="D1459" s="12" t="s">
        <v>4625</v>
      </c>
      <c r="E1459" s="85">
        <v>421.14</v>
      </c>
      <c r="F1459" s="6">
        <v>5439574</v>
      </c>
      <c r="G1459" s="12" t="s">
        <v>4500</v>
      </c>
      <c r="H1459" s="12" t="s">
        <v>755</v>
      </c>
      <c r="I1459" s="12" t="s">
        <v>756</v>
      </c>
      <c r="J1459" s="84">
        <v>43605</v>
      </c>
      <c r="K1459" s="84">
        <v>54563</v>
      </c>
      <c r="L1459" s="12" t="s">
        <v>1102</v>
      </c>
      <c r="M1459" s="12" t="s">
        <v>836</v>
      </c>
      <c r="N1459" s="75"/>
    </row>
    <row r="1460" spans="1:14">
      <c r="A1460" s="12">
        <v>1457</v>
      </c>
      <c r="B1460" s="12" t="s">
        <v>4626</v>
      </c>
      <c r="C1460" s="12" t="s">
        <v>752</v>
      </c>
      <c r="D1460" s="12" t="s">
        <v>3904</v>
      </c>
      <c r="E1460" s="85">
        <v>1042.94</v>
      </c>
      <c r="F1460" s="6">
        <v>2091798</v>
      </c>
      <c r="G1460" s="12" t="s">
        <v>2262</v>
      </c>
      <c r="H1460" s="12" t="s">
        <v>755</v>
      </c>
      <c r="I1460" s="12" t="s">
        <v>756</v>
      </c>
      <c r="J1460" s="84">
        <v>42660</v>
      </c>
      <c r="K1460" s="84">
        <v>53617</v>
      </c>
      <c r="L1460" s="12" t="s">
        <v>274</v>
      </c>
      <c r="M1460" s="12" t="s">
        <v>275</v>
      </c>
      <c r="N1460" s="75"/>
    </row>
    <row r="1461" spans="1:14">
      <c r="A1461" s="12">
        <v>1458</v>
      </c>
      <c r="B1461" s="12" t="s">
        <v>4627</v>
      </c>
      <c r="C1461" s="12" t="s">
        <v>4353</v>
      </c>
      <c r="D1461" s="12" t="s">
        <v>4628</v>
      </c>
      <c r="E1461" s="85">
        <v>51.78</v>
      </c>
      <c r="F1461" s="6">
        <v>2006057</v>
      </c>
      <c r="G1461" s="12" t="s">
        <v>4629</v>
      </c>
      <c r="H1461" s="12" t="s">
        <v>755</v>
      </c>
      <c r="I1461" s="12" t="s">
        <v>756</v>
      </c>
      <c r="J1461" s="84">
        <v>43608</v>
      </c>
      <c r="K1461" s="84">
        <v>54566</v>
      </c>
      <c r="L1461" s="12" t="s">
        <v>274</v>
      </c>
      <c r="M1461" s="12" t="s">
        <v>790</v>
      </c>
      <c r="N1461" s="75"/>
    </row>
    <row r="1462" spans="1:14">
      <c r="A1462" s="12">
        <v>1459</v>
      </c>
      <c r="B1462" s="12" t="s">
        <v>4630</v>
      </c>
      <c r="C1462" s="12" t="s">
        <v>122</v>
      </c>
      <c r="D1462" s="12" t="s">
        <v>4631</v>
      </c>
      <c r="E1462" s="85">
        <v>4244.3</v>
      </c>
      <c r="F1462" s="6">
        <v>5070554</v>
      </c>
      <c r="G1462" s="12" t="s">
        <v>4632</v>
      </c>
      <c r="H1462" s="12" t="s">
        <v>755</v>
      </c>
      <c r="I1462" s="12" t="s">
        <v>756</v>
      </c>
      <c r="J1462" s="84">
        <v>43613</v>
      </c>
      <c r="K1462" s="84">
        <v>54571</v>
      </c>
      <c r="L1462" s="12" t="s">
        <v>233</v>
      </c>
      <c r="M1462" s="12" t="s">
        <v>237</v>
      </c>
      <c r="N1462" s="75"/>
    </row>
    <row r="1463" spans="1:14">
      <c r="A1463" s="12">
        <v>1460</v>
      </c>
      <c r="B1463" s="12" t="s">
        <v>4633</v>
      </c>
      <c r="C1463" s="12" t="s">
        <v>212</v>
      </c>
      <c r="D1463" s="12" t="s">
        <v>2874</v>
      </c>
      <c r="E1463" s="85">
        <v>786.34</v>
      </c>
      <c r="F1463" s="6">
        <v>5098033</v>
      </c>
      <c r="G1463" s="12" t="s">
        <v>3316</v>
      </c>
      <c r="H1463" s="12" t="s">
        <v>848</v>
      </c>
      <c r="I1463" s="12" t="s">
        <v>849</v>
      </c>
      <c r="J1463" s="84">
        <v>43613</v>
      </c>
      <c r="K1463" s="84">
        <v>54571</v>
      </c>
      <c r="L1463" s="12" t="s">
        <v>375</v>
      </c>
      <c r="M1463" s="12" t="s">
        <v>3317</v>
      </c>
      <c r="N1463" s="75"/>
    </row>
    <row r="1464" spans="1:14">
      <c r="A1464" s="12">
        <v>1461</v>
      </c>
      <c r="B1464" s="12" t="s">
        <v>4634</v>
      </c>
      <c r="C1464" s="12" t="s">
        <v>752</v>
      </c>
      <c r="D1464" s="12" t="s">
        <v>2697</v>
      </c>
      <c r="E1464" s="85">
        <v>410.06</v>
      </c>
      <c r="F1464" s="6">
        <v>5876826</v>
      </c>
      <c r="G1464" s="12" t="s">
        <v>4635</v>
      </c>
      <c r="H1464" s="12" t="s">
        <v>755</v>
      </c>
      <c r="I1464" s="12" t="s">
        <v>756</v>
      </c>
      <c r="J1464" s="84">
        <v>43614</v>
      </c>
      <c r="K1464" s="84">
        <v>54572</v>
      </c>
      <c r="L1464" s="12" t="s">
        <v>304</v>
      </c>
      <c r="M1464" s="12" t="s">
        <v>1634</v>
      </c>
      <c r="N1464" s="75"/>
    </row>
    <row r="1465" spans="1:14">
      <c r="A1465" s="12">
        <v>1462</v>
      </c>
      <c r="B1465" s="12" t="s">
        <v>4636</v>
      </c>
      <c r="C1465" s="12" t="s">
        <v>137</v>
      </c>
      <c r="D1465" s="12" t="s">
        <v>4637</v>
      </c>
      <c r="E1465" s="85">
        <v>329.98</v>
      </c>
      <c r="F1465" s="6">
        <v>5081416</v>
      </c>
      <c r="G1465" s="12" t="s">
        <v>2627</v>
      </c>
      <c r="H1465" s="12" t="s">
        <v>755</v>
      </c>
      <c r="I1465" s="12" t="s">
        <v>756</v>
      </c>
      <c r="J1465" s="84">
        <v>43623</v>
      </c>
      <c r="K1465" s="84">
        <v>54581</v>
      </c>
      <c r="L1465" s="12" t="s">
        <v>138</v>
      </c>
      <c r="M1465" s="12" t="s">
        <v>1216</v>
      </c>
      <c r="N1465" s="75"/>
    </row>
    <row r="1466" spans="1:14">
      <c r="A1466" s="12">
        <v>1463</v>
      </c>
      <c r="B1466" s="12" t="s">
        <v>4638</v>
      </c>
      <c r="C1466" s="12" t="s">
        <v>752</v>
      </c>
      <c r="D1466" s="12" t="s">
        <v>4639</v>
      </c>
      <c r="E1466" s="85">
        <v>186.41</v>
      </c>
      <c r="F1466" s="6">
        <v>6522297</v>
      </c>
      <c r="G1466" s="12" t="s">
        <v>4640</v>
      </c>
      <c r="H1466" s="12" t="s">
        <v>848</v>
      </c>
      <c r="I1466" s="12" t="s">
        <v>849</v>
      </c>
      <c r="J1466" s="84">
        <v>43629</v>
      </c>
      <c r="K1466" s="84">
        <v>54587</v>
      </c>
      <c r="L1466" s="12" t="s">
        <v>782</v>
      </c>
      <c r="M1466" s="12" t="s">
        <v>783</v>
      </c>
      <c r="N1466" s="75"/>
    </row>
    <row r="1467" spans="1:14">
      <c r="A1467" s="12">
        <v>1464</v>
      </c>
      <c r="B1467" s="12" t="s">
        <v>4641</v>
      </c>
      <c r="C1467" s="12" t="s">
        <v>221</v>
      </c>
      <c r="D1467" s="12" t="s">
        <v>1476</v>
      </c>
      <c r="E1467" s="85">
        <v>100.38</v>
      </c>
      <c r="F1467" s="6">
        <v>5383854</v>
      </c>
      <c r="G1467" s="12" t="s">
        <v>4642</v>
      </c>
      <c r="H1467" s="12" t="s">
        <v>755</v>
      </c>
      <c r="I1467" s="12" t="s">
        <v>756</v>
      </c>
      <c r="J1467" s="84">
        <v>43637</v>
      </c>
      <c r="K1467" s="84">
        <v>54595</v>
      </c>
      <c r="L1467" s="12" t="s">
        <v>170</v>
      </c>
      <c r="M1467" s="12" t="s">
        <v>171</v>
      </c>
      <c r="N1467" s="75"/>
    </row>
    <row r="1468" spans="1:14">
      <c r="A1468" s="12">
        <v>1465</v>
      </c>
      <c r="B1468" s="12" t="s">
        <v>4643</v>
      </c>
      <c r="C1468" s="12" t="s">
        <v>221</v>
      </c>
      <c r="D1468" s="12" t="s">
        <v>1476</v>
      </c>
      <c r="E1468" s="85">
        <v>515.04999999999995</v>
      </c>
      <c r="F1468" s="6">
        <v>5383854</v>
      </c>
      <c r="G1468" s="12" t="s">
        <v>4642</v>
      </c>
      <c r="H1468" s="12" t="s">
        <v>755</v>
      </c>
      <c r="I1468" s="12" t="s">
        <v>756</v>
      </c>
      <c r="J1468" s="84">
        <v>43637</v>
      </c>
      <c r="K1468" s="84">
        <v>54595</v>
      </c>
      <c r="L1468" s="12" t="s">
        <v>170</v>
      </c>
      <c r="M1468" s="12" t="s">
        <v>171</v>
      </c>
      <c r="N1468" s="75"/>
    </row>
    <row r="1469" spans="1:14">
      <c r="A1469" s="12">
        <v>1466</v>
      </c>
      <c r="B1469" s="12" t="s">
        <v>4644</v>
      </c>
      <c r="C1469" s="12" t="s">
        <v>4272</v>
      </c>
      <c r="D1469" s="12" t="s">
        <v>4645</v>
      </c>
      <c r="E1469" s="85">
        <v>2487.1799999999998</v>
      </c>
      <c r="F1469" s="6">
        <v>2715619</v>
      </c>
      <c r="G1469" s="12" t="s">
        <v>3826</v>
      </c>
      <c r="H1469" s="12" t="s">
        <v>766</v>
      </c>
      <c r="I1469" s="12" t="s">
        <v>767</v>
      </c>
      <c r="J1469" s="84">
        <v>43637</v>
      </c>
      <c r="K1469" s="84">
        <v>54595</v>
      </c>
      <c r="L1469" s="12" t="s">
        <v>288</v>
      </c>
      <c r="M1469" s="12" t="s">
        <v>3320</v>
      </c>
      <c r="N1469" s="75"/>
    </row>
    <row r="1470" spans="1:14">
      <c r="A1470" s="12">
        <v>1467</v>
      </c>
      <c r="B1470" s="12" t="s">
        <v>4646</v>
      </c>
      <c r="C1470" s="12" t="s">
        <v>752</v>
      </c>
      <c r="D1470" s="12" t="s">
        <v>1411</v>
      </c>
      <c r="E1470" s="85">
        <v>28.14</v>
      </c>
      <c r="F1470" s="6">
        <v>5215757</v>
      </c>
      <c r="G1470" s="12" t="s">
        <v>1412</v>
      </c>
      <c r="H1470" s="12" t="s">
        <v>755</v>
      </c>
      <c r="I1470" s="12" t="s">
        <v>756</v>
      </c>
      <c r="J1470" s="84">
        <v>43637</v>
      </c>
      <c r="K1470" s="84">
        <v>54595</v>
      </c>
      <c r="L1470" s="12" t="s">
        <v>274</v>
      </c>
      <c r="M1470" s="12" t="s">
        <v>1413</v>
      </c>
      <c r="N1470" s="75"/>
    </row>
    <row r="1471" spans="1:14">
      <c r="A1471" s="12">
        <v>1468</v>
      </c>
      <c r="B1471" s="12" t="s">
        <v>4647</v>
      </c>
      <c r="C1471" s="12" t="s">
        <v>122</v>
      </c>
      <c r="D1471" s="12" t="s">
        <v>982</v>
      </c>
      <c r="E1471" s="85">
        <v>2223.9299999999998</v>
      </c>
      <c r="F1471" s="6">
        <v>5059755</v>
      </c>
      <c r="G1471" s="12" t="s">
        <v>4648</v>
      </c>
      <c r="H1471" s="12" t="s">
        <v>755</v>
      </c>
      <c r="I1471" s="12" t="s">
        <v>756</v>
      </c>
      <c r="J1471" s="84">
        <v>43641</v>
      </c>
      <c r="K1471" s="84">
        <v>54599</v>
      </c>
      <c r="L1471" s="12" t="s">
        <v>274</v>
      </c>
      <c r="M1471" s="12" t="s">
        <v>944</v>
      </c>
      <c r="N1471" s="75"/>
    </row>
    <row r="1472" spans="1:14">
      <c r="A1472" s="12">
        <v>1469</v>
      </c>
      <c r="B1472" s="12" t="s">
        <v>4649</v>
      </c>
      <c r="C1472" s="12" t="s">
        <v>212</v>
      </c>
      <c r="D1472" s="12" t="s">
        <v>4650</v>
      </c>
      <c r="E1472" s="85">
        <v>195.75</v>
      </c>
      <c r="F1472" s="6">
        <v>5824699</v>
      </c>
      <c r="G1472" s="12" t="s">
        <v>4651</v>
      </c>
      <c r="H1472" s="12" t="s">
        <v>755</v>
      </c>
      <c r="I1472" s="12" t="s">
        <v>756</v>
      </c>
      <c r="J1472" s="84">
        <v>43642</v>
      </c>
      <c r="K1472" s="84">
        <v>54600</v>
      </c>
      <c r="L1472" s="12" t="s">
        <v>293</v>
      </c>
      <c r="M1472" s="12" t="s">
        <v>827</v>
      </c>
      <c r="N1472" s="75"/>
    </row>
    <row r="1473" spans="1:14">
      <c r="A1473" s="12">
        <v>1470</v>
      </c>
      <c r="B1473" s="12" t="s">
        <v>4652</v>
      </c>
      <c r="C1473" s="12" t="s">
        <v>752</v>
      </c>
      <c r="D1473" s="12" t="s">
        <v>4653</v>
      </c>
      <c r="E1473" s="85">
        <v>157.08000000000001</v>
      </c>
      <c r="F1473" s="6">
        <v>6438776</v>
      </c>
      <c r="G1473" s="12" t="s">
        <v>4654</v>
      </c>
      <c r="H1473" s="12" t="s">
        <v>755</v>
      </c>
      <c r="I1473" s="12" t="s">
        <v>756</v>
      </c>
      <c r="J1473" s="84">
        <v>43654</v>
      </c>
      <c r="K1473" s="84">
        <v>54612</v>
      </c>
      <c r="L1473" s="12" t="s">
        <v>180</v>
      </c>
      <c r="M1473" s="12" t="s">
        <v>927</v>
      </c>
      <c r="N1473" s="75"/>
    </row>
    <row r="1474" spans="1:14">
      <c r="A1474" s="12">
        <v>1471</v>
      </c>
      <c r="B1474" s="12" t="s">
        <v>4655</v>
      </c>
      <c r="C1474" s="12" t="s">
        <v>137</v>
      </c>
      <c r="D1474" s="12" t="s">
        <v>4549</v>
      </c>
      <c r="E1474" s="85">
        <v>1902.92</v>
      </c>
      <c r="F1474" s="6">
        <v>6287727</v>
      </c>
      <c r="G1474" s="12" t="s">
        <v>4656</v>
      </c>
      <c r="H1474" s="12" t="s">
        <v>755</v>
      </c>
      <c r="I1474" s="12" t="s">
        <v>756</v>
      </c>
      <c r="J1474" s="84">
        <v>43670</v>
      </c>
      <c r="K1474" s="84">
        <v>54628</v>
      </c>
      <c r="L1474" s="12" t="s">
        <v>170</v>
      </c>
      <c r="M1474" s="12" t="s">
        <v>171</v>
      </c>
      <c r="N1474" s="75"/>
    </row>
    <row r="1475" spans="1:14">
      <c r="A1475" s="12">
        <v>1472</v>
      </c>
      <c r="B1475" s="12" t="s">
        <v>4657</v>
      </c>
      <c r="C1475" s="12" t="s">
        <v>212</v>
      </c>
      <c r="D1475" s="12" t="s">
        <v>2599</v>
      </c>
      <c r="E1475" s="85">
        <v>764.09</v>
      </c>
      <c r="F1475" s="6">
        <v>6165524</v>
      </c>
      <c r="G1475" s="12" t="s">
        <v>4658</v>
      </c>
      <c r="H1475" s="12" t="s">
        <v>766</v>
      </c>
      <c r="I1475" s="12" t="s">
        <v>767</v>
      </c>
      <c r="J1475" s="84">
        <v>43678</v>
      </c>
      <c r="K1475" s="84">
        <v>54636</v>
      </c>
      <c r="L1475" s="12" t="s">
        <v>293</v>
      </c>
      <c r="M1475" s="12" t="s">
        <v>181</v>
      </c>
      <c r="N1475" s="75"/>
    </row>
    <row r="1476" spans="1:14">
      <c r="A1476" s="12">
        <v>1473</v>
      </c>
      <c r="B1476" s="12" t="s">
        <v>4659</v>
      </c>
      <c r="C1476" s="12" t="s">
        <v>979</v>
      </c>
      <c r="D1476" s="12" t="s">
        <v>4660</v>
      </c>
      <c r="E1476" s="85">
        <v>2308.62</v>
      </c>
      <c r="F1476" s="6">
        <v>2718243</v>
      </c>
      <c r="G1476" s="12" t="s">
        <v>4661</v>
      </c>
      <c r="H1476" s="12" t="s">
        <v>848</v>
      </c>
      <c r="I1476" s="12" t="s">
        <v>849</v>
      </c>
      <c r="J1476" s="84">
        <v>43682</v>
      </c>
      <c r="K1476" s="84">
        <v>54640</v>
      </c>
      <c r="L1476" s="12" t="s">
        <v>768</v>
      </c>
      <c r="M1476" s="12" t="s">
        <v>1198</v>
      </c>
      <c r="N1476" s="75"/>
    </row>
    <row r="1477" spans="1:14">
      <c r="A1477" s="12">
        <v>1474</v>
      </c>
      <c r="B1477" s="12" t="s">
        <v>4662</v>
      </c>
      <c r="C1477" s="12" t="s">
        <v>212</v>
      </c>
      <c r="D1477" s="12" t="s">
        <v>1923</v>
      </c>
      <c r="E1477" s="85">
        <v>227.44</v>
      </c>
      <c r="F1477" s="6">
        <v>5279216</v>
      </c>
      <c r="G1477" s="12" t="s">
        <v>4663</v>
      </c>
      <c r="H1477" s="12" t="s">
        <v>755</v>
      </c>
      <c r="I1477" s="12" t="s">
        <v>756</v>
      </c>
      <c r="J1477" s="84">
        <v>43690</v>
      </c>
      <c r="K1477" s="84">
        <v>54648</v>
      </c>
      <c r="L1477" s="12" t="s">
        <v>293</v>
      </c>
      <c r="M1477" s="12" t="s">
        <v>124</v>
      </c>
      <c r="N1477" s="75"/>
    </row>
    <row r="1478" spans="1:14">
      <c r="A1478" s="12">
        <v>1475</v>
      </c>
      <c r="B1478" s="12" t="s">
        <v>4664</v>
      </c>
      <c r="C1478" s="12" t="s">
        <v>752</v>
      </c>
      <c r="D1478" s="12" t="s">
        <v>4665</v>
      </c>
      <c r="E1478" s="85">
        <v>268</v>
      </c>
      <c r="F1478" s="6">
        <v>6171028</v>
      </c>
      <c r="G1478" s="12" t="s">
        <v>4666</v>
      </c>
      <c r="H1478" s="12" t="s">
        <v>755</v>
      </c>
      <c r="I1478" s="12" t="s">
        <v>756</v>
      </c>
      <c r="J1478" s="84">
        <v>38715</v>
      </c>
      <c r="K1478" s="84">
        <v>53181</v>
      </c>
      <c r="L1478" s="12" t="s">
        <v>304</v>
      </c>
      <c r="M1478" s="12" t="s">
        <v>773</v>
      </c>
      <c r="N1478" s="75"/>
    </row>
    <row r="1479" spans="1:14">
      <c r="A1479" s="12">
        <v>1476</v>
      </c>
      <c r="B1479" s="12" t="s">
        <v>4667</v>
      </c>
      <c r="C1479" s="12" t="s">
        <v>212</v>
      </c>
      <c r="D1479" s="12" t="s">
        <v>4668</v>
      </c>
      <c r="E1479" s="85">
        <v>57.8</v>
      </c>
      <c r="F1479" s="6">
        <v>6165524</v>
      </c>
      <c r="G1479" s="12" t="s">
        <v>4658</v>
      </c>
      <c r="H1479" s="12" t="s">
        <v>766</v>
      </c>
      <c r="I1479" s="12" t="s">
        <v>767</v>
      </c>
      <c r="J1479" s="84">
        <v>43696</v>
      </c>
      <c r="K1479" s="84">
        <v>54654</v>
      </c>
      <c r="L1479" s="12" t="s">
        <v>293</v>
      </c>
      <c r="M1479" s="12" t="s">
        <v>294</v>
      </c>
      <c r="N1479" s="75"/>
    </row>
    <row r="1480" spans="1:14">
      <c r="A1480" s="12">
        <v>1477</v>
      </c>
      <c r="B1480" s="12" t="s">
        <v>4669</v>
      </c>
      <c r="C1480" s="12" t="s">
        <v>752</v>
      </c>
      <c r="D1480" s="12" t="s">
        <v>874</v>
      </c>
      <c r="E1480" s="85">
        <v>1202.8900000000001</v>
      </c>
      <c r="F1480" s="6">
        <v>5466679</v>
      </c>
      <c r="G1480" s="12" t="s">
        <v>4670</v>
      </c>
      <c r="H1480" s="12" t="s">
        <v>755</v>
      </c>
      <c r="I1480" s="12" t="s">
        <v>756</v>
      </c>
      <c r="J1480" s="84">
        <v>43698</v>
      </c>
      <c r="K1480" s="84">
        <v>54656</v>
      </c>
      <c r="L1480" s="12" t="s">
        <v>274</v>
      </c>
      <c r="M1480" s="12" t="s">
        <v>874</v>
      </c>
      <c r="N1480" s="75"/>
    </row>
    <row r="1481" spans="1:14">
      <c r="A1481" s="12">
        <v>1478</v>
      </c>
      <c r="B1481" s="12" t="s">
        <v>4671</v>
      </c>
      <c r="C1481" s="12" t="s">
        <v>122</v>
      </c>
      <c r="D1481" s="12" t="s">
        <v>3213</v>
      </c>
      <c r="E1481" s="85">
        <v>18821.57</v>
      </c>
      <c r="F1481" s="6">
        <v>5506816</v>
      </c>
      <c r="G1481" s="12" t="s">
        <v>3493</v>
      </c>
      <c r="H1481" s="12" t="s">
        <v>755</v>
      </c>
      <c r="I1481" s="12" t="s">
        <v>756</v>
      </c>
      <c r="J1481" s="84">
        <v>43703</v>
      </c>
      <c r="K1481" s="84">
        <v>54661</v>
      </c>
      <c r="L1481" s="12" t="s">
        <v>170</v>
      </c>
      <c r="M1481" s="12" t="s">
        <v>4672</v>
      </c>
      <c r="N1481" s="75"/>
    </row>
    <row r="1482" spans="1:14">
      <c r="A1482" s="12">
        <v>1479</v>
      </c>
      <c r="B1482" s="12" t="s">
        <v>4673</v>
      </c>
      <c r="C1482" s="12" t="s">
        <v>752</v>
      </c>
      <c r="D1482" s="12" t="s">
        <v>4287</v>
      </c>
      <c r="E1482" s="85">
        <v>29.37</v>
      </c>
      <c r="F1482" s="6">
        <v>4283767</v>
      </c>
      <c r="G1482" s="12" t="s">
        <v>4674</v>
      </c>
      <c r="H1482" s="12" t="s">
        <v>755</v>
      </c>
      <c r="I1482" s="12" t="s">
        <v>756</v>
      </c>
      <c r="J1482" s="84">
        <v>43712</v>
      </c>
      <c r="K1482" s="84">
        <v>54670</v>
      </c>
      <c r="L1482" s="12" t="s">
        <v>836</v>
      </c>
      <c r="M1482" s="12" t="s">
        <v>837</v>
      </c>
      <c r="N1482" s="75"/>
    </row>
    <row r="1483" spans="1:14">
      <c r="A1483" s="12">
        <v>1480</v>
      </c>
      <c r="B1483" s="12" t="s">
        <v>4675</v>
      </c>
      <c r="C1483" s="12" t="s">
        <v>122</v>
      </c>
      <c r="D1483" s="12" t="s">
        <v>4676</v>
      </c>
      <c r="E1483" s="85">
        <v>3251.05</v>
      </c>
      <c r="F1483" s="6">
        <v>6645127</v>
      </c>
      <c r="G1483" s="12" t="s">
        <v>4677</v>
      </c>
      <c r="H1483" s="12" t="s">
        <v>766</v>
      </c>
      <c r="I1483" s="12" t="s">
        <v>767</v>
      </c>
      <c r="J1483" s="84">
        <v>43717</v>
      </c>
      <c r="K1483" s="84">
        <v>54675</v>
      </c>
      <c r="L1483" s="12" t="s">
        <v>138</v>
      </c>
      <c r="M1483" s="12" t="s">
        <v>1806</v>
      </c>
      <c r="N1483" s="75"/>
    </row>
    <row r="1484" spans="1:14">
      <c r="A1484" s="12">
        <v>1481</v>
      </c>
      <c r="B1484" s="12" t="s">
        <v>4678</v>
      </c>
      <c r="C1484" s="12" t="s">
        <v>752</v>
      </c>
      <c r="D1484" s="12" t="s">
        <v>4679</v>
      </c>
      <c r="E1484" s="85">
        <v>9349.19</v>
      </c>
      <c r="F1484" s="6">
        <v>5495229</v>
      </c>
      <c r="G1484" s="12" t="s">
        <v>4680</v>
      </c>
      <c r="H1484" s="12" t="s">
        <v>848</v>
      </c>
      <c r="I1484" s="12" t="s">
        <v>849</v>
      </c>
      <c r="J1484" s="84">
        <v>43692</v>
      </c>
      <c r="K1484" s="84">
        <v>54650</v>
      </c>
      <c r="L1484" s="12" t="s">
        <v>768</v>
      </c>
      <c r="M1484" s="12" t="s">
        <v>1042</v>
      </c>
      <c r="N1484" s="75"/>
    </row>
    <row r="1485" spans="1:14">
      <c r="A1485" s="12">
        <v>1482</v>
      </c>
      <c r="B1485" s="12" t="s">
        <v>4681</v>
      </c>
      <c r="C1485" s="12" t="s">
        <v>122</v>
      </c>
      <c r="D1485" s="12" t="s">
        <v>4682</v>
      </c>
      <c r="E1485" s="85">
        <v>3852.2</v>
      </c>
      <c r="F1485" s="6">
        <v>5311918</v>
      </c>
      <c r="G1485" s="12" t="s">
        <v>4683</v>
      </c>
      <c r="H1485" s="12" t="s">
        <v>848</v>
      </c>
      <c r="I1485" s="12" t="s">
        <v>849</v>
      </c>
      <c r="J1485" s="84">
        <v>41866</v>
      </c>
      <c r="K1485" s="84">
        <v>52824</v>
      </c>
      <c r="L1485" s="12" t="s">
        <v>233</v>
      </c>
      <c r="M1485" s="12" t="s">
        <v>1300</v>
      </c>
      <c r="N1485" s="75"/>
    </row>
    <row r="1486" spans="1:14">
      <c r="A1486" s="12">
        <v>1483</v>
      </c>
      <c r="B1486" s="12" t="s">
        <v>4684</v>
      </c>
      <c r="C1486" s="12" t="s">
        <v>122</v>
      </c>
      <c r="D1486" s="12" t="s">
        <v>4682</v>
      </c>
      <c r="E1486" s="85">
        <v>1459.05</v>
      </c>
      <c r="F1486" s="6">
        <v>5311918</v>
      </c>
      <c r="G1486" s="12" t="s">
        <v>4683</v>
      </c>
      <c r="H1486" s="12" t="s">
        <v>848</v>
      </c>
      <c r="I1486" s="12" t="s">
        <v>849</v>
      </c>
      <c r="J1486" s="84">
        <v>40298</v>
      </c>
      <c r="K1486" s="84">
        <v>51256</v>
      </c>
      <c r="L1486" s="12" t="s">
        <v>233</v>
      </c>
      <c r="M1486" s="12" t="s">
        <v>1300</v>
      </c>
      <c r="N1486" s="75"/>
    </row>
    <row r="1487" spans="1:14">
      <c r="A1487" s="12">
        <v>1484</v>
      </c>
      <c r="B1487" s="12" t="s">
        <v>4685</v>
      </c>
      <c r="C1487" s="12" t="s">
        <v>122</v>
      </c>
      <c r="D1487" s="12" t="s">
        <v>3213</v>
      </c>
      <c r="E1487" s="85">
        <v>251.1</v>
      </c>
      <c r="F1487" s="6">
        <v>6280161</v>
      </c>
      <c r="G1487" s="12" t="s">
        <v>4686</v>
      </c>
      <c r="H1487" s="12" t="s">
        <v>755</v>
      </c>
      <c r="I1487" s="12" t="s">
        <v>756</v>
      </c>
      <c r="J1487" s="84">
        <v>41607</v>
      </c>
      <c r="K1487" s="84">
        <v>52564</v>
      </c>
      <c r="L1487" s="12" t="s">
        <v>170</v>
      </c>
      <c r="M1487" s="12" t="s">
        <v>2444</v>
      </c>
      <c r="N1487" s="75"/>
    </row>
    <row r="1488" spans="1:14">
      <c r="A1488" s="12">
        <v>1485</v>
      </c>
      <c r="B1488" s="12" t="s">
        <v>4687</v>
      </c>
      <c r="C1488" s="12" t="s">
        <v>147</v>
      </c>
      <c r="D1488" s="12" t="s">
        <v>4688</v>
      </c>
      <c r="E1488" s="85">
        <v>3717.13</v>
      </c>
      <c r="F1488" s="6">
        <v>5024021</v>
      </c>
      <c r="G1488" s="12" t="s">
        <v>4689</v>
      </c>
      <c r="H1488" s="12" t="s">
        <v>755</v>
      </c>
      <c r="I1488" s="12" t="s">
        <v>756</v>
      </c>
      <c r="J1488" s="84">
        <v>43714</v>
      </c>
      <c r="K1488" s="84">
        <v>54672</v>
      </c>
      <c r="L1488" s="12" t="s">
        <v>768</v>
      </c>
      <c r="M1488" s="12" t="s">
        <v>4690</v>
      </c>
      <c r="N1488" s="75"/>
    </row>
    <row r="1489" spans="1:14">
      <c r="A1489" s="12">
        <v>1486</v>
      </c>
      <c r="B1489" s="12" t="s">
        <v>4691</v>
      </c>
      <c r="C1489" s="12" t="s">
        <v>752</v>
      </c>
      <c r="D1489" s="12" t="s">
        <v>4692</v>
      </c>
      <c r="E1489" s="85">
        <v>4791.43</v>
      </c>
      <c r="F1489" s="6">
        <v>5035503</v>
      </c>
      <c r="G1489" s="12" t="s">
        <v>4693</v>
      </c>
      <c r="H1489" s="12" t="s">
        <v>755</v>
      </c>
      <c r="I1489" s="12" t="s">
        <v>756</v>
      </c>
      <c r="J1489" s="84">
        <v>43732</v>
      </c>
      <c r="K1489" s="84">
        <v>54690</v>
      </c>
      <c r="L1489" s="12" t="s">
        <v>768</v>
      </c>
      <c r="M1489" s="12" t="s">
        <v>1476</v>
      </c>
      <c r="N1489" s="75"/>
    </row>
    <row r="1490" spans="1:14">
      <c r="A1490" s="12">
        <v>1487</v>
      </c>
      <c r="B1490" s="12" t="s">
        <v>4694</v>
      </c>
      <c r="C1490" s="12" t="s">
        <v>137</v>
      </c>
      <c r="D1490" s="12" t="s">
        <v>1476</v>
      </c>
      <c r="E1490" s="85">
        <v>123.84</v>
      </c>
      <c r="F1490" s="6">
        <v>5887917</v>
      </c>
      <c r="G1490" s="12" t="s">
        <v>4695</v>
      </c>
      <c r="H1490" s="12" t="s">
        <v>755</v>
      </c>
      <c r="I1490" s="12" t="s">
        <v>756</v>
      </c>
      <c r="J1490" s="84">
        <v>42186</v>
      </c>
      <c r="K1490" s="84">
        <v>53144</v>
      </c>
      <c r="L1490" s="12" t="s">
        <v>170</v>
      </c>
      <c r="M1490" s="12" t="s">
        <v>171</v>
      </c>
      <c r="N1490" s="75"/>
    </row>
    <row r="1491" spans="1:14">
      <c r="A1491" s="12">
        <v>1488</v>
      </c>
      <c r="B1491" s="12" t="s">
        <v>4696</v>
      </c>
      <c r="C1491" s="12" t="s">
        <v>752</v>
      </c>
      <c r="D1491" s="12" t="s">
        <v>2485</v>
      </c>
      <c r="E1491" s="85">
        <v>905.35</v>
      </c>
      <c r="F1491" s="6">
        <v>5073189</v>
      </c>
      <c r="G1491" s="12" t="s">
        <v>1293</v>
      </c>
      <c r="H1491" s="12" t="s">
        <v>755</v>
      </c>
      <c r="I1491" s="12" t="s">
        <v>756</v>
      </c>
      <c r="J1491" s="84">
        <v>43732</v>
      </c>
      <c r="K1491" s="84">
        <v>54690</v>
      </c>
      <c r="L1491" s="12" t="s">
        <v>274</v>
      </c>
      <c r="M1491" s="12" t="s">
        <v>275</v>
      </c>
      <c r="N1491" s="75"/>
    </row>
    <row r="1492" spans="1:14">
      <c r="A1492" s="12">
        <v>1489</v>
      </c>
      <c r="B1492" s="12" t="s">
        <v>4697</v>
      </c>
      <c r="C1492" s="12" t="s">
        <v>137</v>
      </c>
      <c r="D1492" s="12" t="s">
        <v>2950</v>
      </c>
      <c r="E1492" s="85">
        <v>222.06</v>
      </c>
      <c r="F1492" s="6">
        <v>5165407</v>
      </c>
      <c r="G1492" s="12" t="s">
        <v>2951</v>
      </c>
      <c r="H1492" s="12" t="s">
        <v>848</v>
      </c>
      <c r="I1492" s="12" t="s">
        <v>849</v>
      </c>
      <c r="J1492" s="84">
        <v>43727</v>
      </c>
      <c r="K1492" s="84">
        <v>54685</v>
      </c>
      <c r="L1492" s="12" t="s">
        <v>375</v>
      </c>
      <c r="M1492" s="12" t="s">
        <v>944</v>
      </c>
      <c r="N1492" s="75"/>
    </row>
    <row r="1493" spans="1:14">
      <c r="A1493" s="12">
        <v>1490</v>
      </c>
      <c r="B1493" s="12" t="s">
        <v>4698</v>
      </c>
      <c r="C1493" s="12" t="s">
        <v>1017</v>
      </c>
      <c r="D1493" s="12" t="s">
        <v>3863</v>
      </c>
      <c r="E1493" s="85">
        <v>1587.77</v>
      </c>
      <c r="F1493" s="6">
        <v>6249264</v>
      </c>
      <c r="G1493" s="12" t="s">
        <v>3864</v>
      </c>
      <c r="H1493" s="12" t="s">
        <v>848</v>
      </c>
      <c r="I1493" s="12" t="s">
        <v>849</v>
      </c>
      <c r="J1493" s="84">
        <v>43749</v>
      </c>
      <c r="K1493" s="84">
        <v>54707</v>
      </c>
      <c r="L1493" s="12" t="s">
        <v>375</v>
      </c>
      <c r="M1493" s="12" t="s">
        <v>2550</v>
      </c>
      <c r="N1493" s="75"/>
    </row>
    <row r="1494" spans="1:14">
      <c r="A1494" s="12">
        <v>1491</v>
      </c>
      <c r="B1494" s="12" t="s">
        <v>4699</v>
      </c>
      <c r="C1494" s="12" t="s">
        <v>122</v>
      </c>
      <c r="D1494" s="12" t="s">
        <v>4700</v>
      </c>
      <c r="E1494" s="85">
        <v>4924.18</v>
      </c>
      <c r="F1494" s="6">
        <v>5609321</v>
      </c>
      <c r="G1494" s="12" t="s">
        <v>4701</v>
      </c>
      <c r="H1494" s="12" t="s">
        <v>755</v>
      </c>
      <c r="I1494" s="12" t="s">
        <v>756</v>
      </c>
      <c r="J1494" s="84">
        <v>42559</v>
      </c>
      <c r="K1494" s="84">
        <v>53516</v>
      </c>
      <c r="L1494" s="12" t="s">
        <v>123</v>
      </c>
      <c r="M1494" s="12" t="s">
        <v>4702</v>
      </c>
      <c r="N1494" s="75"/>
    </row>
    <row r="1495" spans="1:14">
      <c r="A1495" s="12">
        <v>1492</v>
      </c>
      <c r="B1495" s="12" t="s">
        <v>4703</v>
      </c>
      <c r="C1495" s="12" t="s">
        <v>122</v>
      </c>
      <c r="D1495" s="12" t="s">
        <v>4704</v>
      </c>
      <c r="E1495" s="85">
        <v>5053.6899999999996</v>
      </c>
      <c r="F1495" s="6">
        <v>5338085</v>
      </c>
      <c r="G1495" s="12" t="s">
        <v>4705</v>
      </c>
      <c r="H1495" s="12" t="s">
        <v>848</v>
      </c>
      <c r="I1495" s="12" t="s">
        <v>849</v>
      </c>
      <c r="J1495" s="84">
        <v>41097</v>
      </c>
      <c r="K1495" s="84">
        <v>52054</v>
      </c>
      <c r="L1495" s="12" t="s">
        <v>768</v>
      </c>
      <c r="M1495" s="12" t="s">
        <v>1198</v>
      </c>
      <c r="N1495" s="75"/>
    </row>
    <row r="1496" spans="1:14">
      <c r="A1496" s="12">
        <v>1493</v>
      </c>
      <c r="B1496" s="12" t="s">
        <v>4706</v>
      </c>
      <c r="C1496" s="12" t="s">
        <v>1203</v>
      </c>
      <c r="D1496" s="12" t="s">
        <v>4181</v>
      </c>
      <c r="E1496" s="85">
        <v>59.8</v>
      </c>
      <c r="F1496" s="6">
        <v>6452175</v>
      </c>
      <c r="G1496" s="12" t="s">
        <v>4707</v>
      </c>
      <c r="H1496" s="12" t="s">
        <v>755</v>
      </c>
      <c r="I1496" s="12" t="s">
        <v>756</v>
      </c>
      <c r="J1496" s="84">
        <v>42754</v>
      </c>
      <c r="K1496" s="84">
        <v>53711</v>
      </c>
      <c r="L1496" s="12" t="s">
        <v>274</v>
      </c>
      <c r="M1496" s="12" t="s">
        <v>1023</v>
      </c>
      <c r="N1496" s="75"/>
    </row>
    <row r="1497" spans="1:14">
      <c r="A1497" s="12">
        <v>1494</v>
      </c>
      <c r="B1497" s="12" t="s">
        <v>4708</v>
      </c>
      <c r="C1497" s="12" t="s">
        <v>3638</v>
      </c>
      <c r="D1497" s="12" t="s">
        <v>792</v>
      </c>
      <c r="E1497" s="85">
        <v>2887.85</v>
      </c>
      <c r="F1497" s="6">
        <v>6289754</v>
      </c>
      <c r="G1497" s="12" t="s">
        <v>4709</v>
      </c>
      <c r="H1497" s="12" t="s">
        <v>755</v>
      </c>
      <c r="I1497" s="12" t="s">
        <v>756</v>
      </c>
      <c r="J1497" s="84">
        <v>43755</v>
      </c>
      <c r="K1497" s="84">
        <v>54713</v>
      </c>
      <c r="L1497" s="12" t="s">
        <v>375</v>
      </c>
      <c r="M1497" s="12" t="s">
        <v>2649</v>
      </c>
      <c r="N1497" s="75"/>
    </row>
    <row r="1498" spans="1:14">
      <c r="A1498" s="12">
        <v>1495</v>
      </c>
      <c r="B1498" s="12" t="s">
        <v>4710</v>
      </c>
      <c r="C1498" s="12" t="s">
        <v>122</v>
      </c>
      <c r="D1498" s="12" t="s">
        <v>4711</v>
      </c>
      <c r="E1498" s="85">
        <v>1181.1400000000001</v>
      </c>
      <c r="F1498" s="6">
        <v>5124913</v>
      </c>
      <c r="G1498" s="12" t="s">
        <v>900</v>
      </c>
      <c r="H1498" s="12" t="s">
        <v>901</v>
      </c>
      <c r="I1498" s="12" t="s">
        <v>756</v>
      </c>
      <c r="J1498" s="84">
        <v>43754</v>
      </c>
      <c r="K1498" s="84">
        <v>54712</v>
      </c>
      <c r="L1498" s="12" t="s">
        <v>128</v>
      </c>
      <c r="M1498" s="12" t="s">
        <v>1076</v>
      </c>
      <c r="N1498" s="75"/>
    </row>
    <row r="1499" spans="1:14">
      <c r="A1499" s="12">
        <v>1496</v>
      </c>
      <c r="B1499" s="12" t="s">
        <v>4712</v>
      </c>
      <c r="C1499" s="12" t="s">
        <v>221</v>
      </c>
      <c r="D1499" s="12" t="s">
        <v>4668</v>
      </c>
      <c r="E1499" s="85">
        <v>4128.05</v>
      </c>
      <c r="F1499" s="6">
        <v>2045931</v>
      </c>
      <c r="G1499" s="12" t="s">
        <v>2449</v>
      </c>
      <c r="H1499" s="12" t="s">
        <v>755</v>
      </c>
      <c r="I1499" s="12" t="s">
        <v>756</v>
      </c>
      <c r="J1499" s="84">
        <v>43762</v>
      </c>
      <c r="K1499" s="84">
        <v>54720</v>
      </c>
      <c r="L1499" s="12" t="s">
        <v>170</v>
      </c>
      <c r="M1499" s="12" t="s">
        <v>2450</v>
      </c>
      <c r="N1499" s="75"/>
    </row>
    <row r="1500" spans="1:14">
      <c r="A1500" s="12">
        <v>1497</v>
      </c>
      <c r="B1500" s="12" t="s">
        <v>4713</v>
      </c>
      <c r="C1500" s="12" t="s">
        <v>122</v>
      </c>
      <c r="D1500" s="12" t="s">
        <v>826</v>
      </c>
      <c r="E1500" s="85">
        <v>151.22</v>
      </c>
      <c r="F1500" s="6">
        <v>2862468</v>
      </c>
      <c r="G1500" s="12" t="s">
        <v>1013</v>
      </c>
      <c r="H1500" s="12" t="s">
        <v>766</v>
      </c>
      <c r="I1500" s="12" t="s">
        <v>767</v>
      </c>
      <c r="J1500" s="84">
        <v>43770</v>
      </c>
      <c r="K1500" s="84">
        <v>54728</v>
      </c>
      <c r="L1500" s="12" t="s">
        <v>768</v>
      </c>
      <c r="M1500" s="12" t="s">
        <v>1198</v>
      </c>
      <c r="N1500" s="75"/>
    </row>
    <row r="1501" spans="1:14">
      <c r="A1501" s="12">
        <v>1498</v>
      </c>
      <c r="B1501" s="12" t="s">
        <v>4714</v>
      </c>
      <c r="C1501" s="12" t="s">
        <v>122</v>
      </c>
      <c r="D1501" s="12" t="s">
        <v>3208</v>
      </c>
      <c r="E1501" s="85">
        <v>89.58</v>
      </c>
      <c r="F1501" s="6">
        <v>2862468</v>
      </c>
      <c r="G1501" s="12" t="s">
        <v>1013</v>
      </c>
      <c r="H1501" s="12" t="s">
        <v>766</v>
      </c>
      <c r="I1501" s="12" t="s">
        <v>767</v>
      </c>
      <c r="J1501" s="84">
        <v>43770</v>
      </c>
      <c r="K1501" s="84">
        <v>54728</v>
      </c>
      <c r="L1501" s="12" t="s">
        <v>768</v>
      </c>
      <c r="M1501" s="12" t="s">
        <v>1198</v>
      </c>
      <c r="N1501" s="75"/>
    </row>
    <row r="1502" spans="1:14">
      <c r="A1502" s="12">
        <v>1499</v>
      </c>
      <c r="B1502" s="12" t="s">
        <v>4715</v>
      </c>
      <c r="C1502" s="12" t="s">
        <v>212</v>
      </c>
      <c r="D1502" s="12" t="s">
        <v>4716</v>
      </c>
      <c r="E1502" s="85">
        <v>80.12</v>
      </c>
      <c r="F1502" s="6">
        <v>5082544</v>
      </c>
      <c r="G1502" s="12" t="s">
        <v>4717</v>
      </c>
      <c r="H1502" s="12" t="s">
        <v>766</v>
      </c>
      <c r="I1502" s="12" t="s">
        <v>767</v>
      </c>
      <c r="J1502" s="84">
        <v>41632</v>
      </c>
      <c r="K1502" s="84">
        <v>53604</v>
      </c>
      <c r="L1502" s="12" t="s">
        <v>293</v>
      </c>
      <c r="M1502" s="12" t="s">
        <v>1816</v>
      </c>
      <c r="N1502" s="75"/>
    </row>
    <row r="1503" spans="1:14">
      <c r="A1503" s="12">
        <v>1500</v>
      </c>
      <c r="B1503" s="12" t="s">
        <v>4718</v>
      </c>
      <c r="C1503" s="12" t="s">
        <v>979</v>
      </c>
      <c r="D1503" s="12" t="s">
        <v>4719</v>
      </c>
      <c r="E1503" s="85">
        <v>85.39</v>
      </c>
      <c r="F1503" s="6">
        <v>5099005</v>
      </c>
      <c r="G1503" s="12" t="s">
        <v>2661</v>
      </c>
      <c r="H1503" s="12" t="s">
        <v>755</v>
      </c>
      <c r="I1503" s="12" t="s">
        <v>756</v>
      </c>
      <c r="J1503" s="84">
        <v>35704</v>
      </c>
      <c r="K1503" s="84">
        <v>46661</v>
      </c>
      <c r="L1503" s="12" t="s">
        <v>233</v>
      </c>
      <c r="M1503" s="12" t="s">
        <v>2563</v>
      </c>
      <c r="N1503" s="75"/>
    </row>
    <row r="1504" spans="1:14">
      <c r="A1504" s="12">
        <v>1501</v>
      </c>
      <c r="B1504" s="12" t="s">
        <v>4720</v>
      </c>
      <c r="C1504" s="12" t="s">
        <v>979</v>
      </c>
      <c r="D1504" s="12" t="s">
        <v>2660</v>
      </c>
      <c r="E1504" s="85">
        <v>81.93</v>
      </c>
      <c r="F1504" s="6">
        <v>5099005</v>
      </c>
      <c r="G1504" s="12" t="s">
        <v>2661</v>
      </c>
      <c r="H1504" s="12" t="s">
        <v>755</v>
      </c>
      <c r="I1504" s="12" t="s">
        <v>756</v>
      </c>
      <c r="J1504" s="84">
        <v>37686</v>
      </c>
      <c r="K1504" s="84">
        <v>48644</v>
      </c>
      <c r="L1504" s="12" t="s">
        <v>233</v>
      </c>
      <c r="M1504" s="12" t="s">
        <v>2563</v>
      </c>
      <c r="N1504" s="75"/>
    </row>
    <row r="1505" spans="1:14">
      <c r="A1505" s="12">
        <v>1502</v>
      </c>
      <c r="B1505" s="12" t="s">
        <v>4721</v>
      </c>
      <c r="C1505" s="12" t="s">
        <v>752</v>
      </c>
      <c r="D1505" s="12" t="s">
        <v>4722</v>
      </c>
      <c r="E1505" s="85">
        <v>2740.33</v>
      </c>
      <c r="F1505" s="6">
        <v>5032415</v>
      </c>
      <c r="G1505" s="12" t="s">
        <v>4723</v>
      </c>
      <c r="H1505" s="12" t="s">
        <v>755</v>
      </c>
      <c r="I1505" s="12" t="s">
        <v>756</v>
      </c>
      <c r="J1505" s="84">
        <v>43783</v>
      </c>
      <c r="K1505" s="84">
        <v>54741</v>
      </c>
      <c r="L1505" s="12" t="s">
        <v>233</v>
      </c>
      <c r="M1505" s="12" t="s">
        <v>2644</v>
      </c>
      <c r="N1505" s="75"/>
    </row>
    <row r="1506" spans="1:14">
      <c r="A1506" s="12">
        <v>1503</v>
      </c>
      <c r="B1506" s="12" t="s">
        <v>4724</v>
      </c>
      <c r="C1506" s="12" t="s">
        <v>752</v>
      </c>
      <c r="D1506" s="12" t="s">
        <v>4725</v>
      </c>
      <c r="E1506" s="85">
        <v>776.62</v>
      </c>
      <c r="F1506" s="6">
        <v>5481694</v>
      </c>
      <c r="G1506" s="12" t="s">
        <v>4726</v>
      </c>
      <c r="H1506" s="12" t="s">
        <v>755</v>
      </c>
      <c r="I1506" s="12" t="s">
        <v>756</v>
      </c>
      <c r="J1506" s="84">
        <v>43404</v>
      </c>
      <c r="K1506" s="84">
        <v>54362</v>
      </c>
      <c r="L1506" s="12" t="s">
        <v>293</v>
      </c>
      <c r="M1506" s="12" t="s">
        <v>3681</v>
      </c>
      <c r="N1506" s="75"/>
    </row>
    <row r="1507" spans="1:14">
      <c r="A1507" s="12">
        <v>1504</v>
      </c>
      <c r="B1507" s="12" t="s">
        <v>4727</v>
      </c>
      <c r="C1507" s="12" t="s">
        <v>752</v>
      </c>
      <c r="D1507" s="12" t="s">
        <v>1561</v>
      </c>
      <c r="E1507" s="85">
        <v>622.29999999999995</v>
      </c>
      <c r="F1507" s="6">
        <v>5472989</v>
      </c>
      <c r="G1507" s="12" t="s">
        <v>4728</v>
      </c>
      <c r="H1507" s="12" t="s">
        <v>755</v>
      </c>
      <c r="I1507" s="12" t="s">
        <v>756</v>
      </c>
      <c r="J1507" s="84">
        <v>41005</v>
      </c>
      <c r="K1507" s="84">
        <v>51962</v>
      </c>
      <c r="L1507" s="12" t="s">
        <v>274</v>
      </c>
      <c r="M1507" s="12" t="s">
        <v>874</v>
      </c>
      <c r="N1507" s="75"/>
    </row>
    <row r="1508" spans="1:14">
      <c r="A1508" s="12">
        <v>1505</v>
      </c>
      <c r="B1508" s="12" t="s">
        <v>4729</v>
      </c>
      <c r="C1508" s="12" t="s">
        <v>752</v>
      </c>
      <c r="D1508" s="12" t="s">
        <v>4730</v>
      </c>
      <c r="E1508" s="85">
        <v>105.37</v>
      </c>
      <c r="F1508" s="6">
        <v>5763177</v>
      </c>
      <c r="G1508" s="12" t="s">
        <v>4731</v>
      </c>
      <c r="H1508" s="12" t="s">
        <v>755</v>
      </c>
      <c r="I1508" s="12" t="s">
        <v>756</v>
      </c>
      <c r="J1508" s="84">
        <v>37805</v>
      </c>
      <c r="K1508" s="84">
        <v>48763</v>
      </c>
      <c r="L1508" s="12" t="s">
        <v>1536</v>
      </c>
      <c r="M1508" s="12" t="s">
        <v>1963</v>
      </c>
      <c r="N1508" s="75"/>
    </row>
    <row r="1509" spans="1:14">
      <c r="A1509" s="12">
        <v>1506</v>
      </c>
      <c r="B1509" s="12" t="s">
        <v>4732</v>
      </c>
      <c r="C1509" s="12" t="s">
        <v>122</v>
      </c>
      <c r="D1509" s="12" t="s">
        <v>3804</v>
      </c>
      <c r="E1509" s="85">
        <v>377.19</v>
      </c>
      <c r="F1509" s="6">
        <v>5522935</v>
      </c>
      <c r="G1509" s="12" t="s">
        <v>3312</v>
      </c>
      <c r="H1509" s="12" t="s">
        <v>848</v>
      </c>
      <c r="I1509" s="12" t="s">
        <v>849</v>
      </c>
      <c r="J1509" s="84">
        <v>42145</v>
      </c>
      <c r="K1509" s="84">
        <v>53103</v>
      </c>
      <c r="L1509" s="12" t="s">
        <v>170</v>
      </c>
      <c r="M1509" s="12" t="s">
        <v>1738</v>
      </c>
      <c r="N1509" s="75"/>
    </row>
    <row r="1510" spans="1:14">
      <c r="A1510" s="12">
        <v>1507</v>
      </c>
      <c r="B1510" s="12" t="s">
        <v>4733</v>
      </c>
      <c r="C1510" s="12" t="s">
        <v>752</v>
      </c>
      <c r="D1510" s="12" t="s">
        <v>4734</v>
      </c>
      <c r="E1510" s="85">
        <v>1061.24</v>
      </c>
      <c r="F1510" s="6">
        <v>2693046</v>
      </c>
      <c r="G1510" s="12" t="s">
        <v>4735</v>
      </c>
      <c r="H1510" s="12" t="s">
        <v>755</v>
      </c>
      <c r="I1510" s="12" t="s">
        <v>756</v>
      </c>
      <c r="J1510" s="84">
        <v>43808</v>
      </c>
      <c r="K1510" s="84">
        <v>54766</v>
      </c>
      <c r="L1510" s="12" t="s">
        <v>274</v>
      </c>
      <c r="M1510" s="12" t="s">
        <v>275</v>
      </c>
      <c r="N1510" s="75"/>
    </row>
    <row r="1511" spans="1:14">
      <c r="A1511" s="12">
        <v>1508</v>
      </c>
      <c r="B1511" s="12" t="s">
        <v>4736</v>
      </c>
      <c r="C1511" s="12" t="s">
        <v>886</v>
      </c>
      <c r="D1511" s="12" t="s">
        <v>2296</v>
      </c>
      <c r="E1511" s="85">
        <v>3772.13</v>
      </c>
      <c r="F1511" s="6">
        <v>5209552</v>
      </c>
      <c r="G1511" s="12" t="s">
        <v>4737</v>
      </c>
      <c r="H1511" s="12" t="s">
        <v>755</v>
      </c>
      <c r="I1511" s="12" t="s">
        <v>756</v>
      </c>
      <c r="J1511" s="84">
        <v>43819</v>
      </c>
      <c r="K1511" s="84">
        <v>54777</v>
      </c>
      <c r="L1511" s="12" t="s">
        <v>138</v>
      </c>
      <c r="M1511" s="12" t="s">
        <v>1806</v>
      </c>
      <c r="N1511" s="75"/>
    </row>
    <row r="1512" spans="1:14">
      <c r="A1512" s="12">
        <v>1509</v>
      </c>
      <c r="B1512" s="12" t="s">
        <v>4738</v>
      </c>
      <c r="C1512" s="12" t="s">
        <v>886</v>
      </c>
      <c r="D1512" s="12" t="s">
        <v>4739</v>
      </c>
      <c r="E1512" s="85">
        <v>2636.66</v>
      </c>
      <c r="F1512" s="6">
        <v>5100038</v>
      </c>
      <c r="G1512" s="12" t="s">
        <v>4740</v>
      </c>
      <c r="H1512" s="12" t="s">
        <v>755</v>
      </c>
      <c r="I1512" s="12" t="s">
        <v>756</v>
      </c>
      <c r="J1512" s="84">
        <v>43819</v>
      </c>
      <c r="K1512" s="84">
        <v>54777</v>
      </c>
      <c r="L1512" s="12" t="s">
        <v>138</v>
      </c>
      <c r="M1512" s="12" t="s">
        <v>138</v>
      </c>
      <c r="N1512" s="75"/>
    </row>
    <row r="1513" spans="1:14">
      <c r="A1513" s="12">
        <v>1510</v>
      </c>
      <c r="B1513" s="12" t="s">
        <v>4741</v>
      </c>
      <c r="C1513" s="12" t="s">
        <v>752</v>
      </c>
      <c r="D1513" s="12" t="s">
        <v>4742</v>
      </c>
      <c r="E1513" s="85">
        <v>1139.97</v>
      </c>
      <c r="F1513" s="6">
        <v>5958989</v>
      </c>
      <c r="G1513" s="12" t="s">
        <v>4743</v>
      </c>
      <c r="H1513" s="12" t="s">
        <v>755</v>
      </c>
      <c r="I1513" s="12" t="s">
        <v>756</v>
      </c>
      <c r="J1513" s="84">
        <v>43836</v>
      </c>
      <c r="K1513" s="84">
        <v>54794</v>
      </c>
      <c r="L1513" s="12" t="s">
        <v>274</v>
      </c>
      <c r="M1513" s="12" t="s">
        <v>275</v>
      </c>
      <c r="N1513" s="75"/>
    </row>
    <row r="1514" spans="1:14">
      <c r="A1514" s="12">
        <v>1511</v>
      </c>
      <c r="B1514" s="12" t="s">
        <v>4744</v>
      </c>
      <c r="C1514" s="12" t="s">
        <v>221</v>
      </c>
      <c r="D1514" s="12" t="s">
        <v>4745</v>
      </c>
      <c r="E1514" s="85">
        <v>31.84</v>
      </c>
      <c r="F1514" s="6">
        <v>5631521</v>
      </c>
      <c r="G1514" s="12" t="s">
        <v>4746</v>
      </c>
      <c r="H1514" s="12" t="s">
        <v>755</v>
      </c>
      <c r="I1514" s="12" t="s">
        <v>756</v>
      </c>
      <c r="J1514" s="84">
        <v>37447</v>
      </c>
      <c r="K1514" s="84">
        <v>48405</v>
      </c>
      <c r="L1514" s="12" t="s">
        <v>180</v>
      </c>
      <c r="M1514" s="12" t="s">
        <v>927</v>
      </c>
      <c r="N1514" s="75"/>
    </row>
    <row r="1515" spans="1:14">
      <c r="A1515" s="12">
        <v>1512</v>
      </c>
      <c r="B1515" s="12" t="s">
        <v>4747</v>
      </c>
      <c r="C1515" s="12" t="s">
        <v>4748</v>
      </c>
      <c r="D1515" s="12" t="s">
        <v>2296</v>
      </c>
      <c r="E1515" s="85">
        <v>26.56</v>
      </c>
      <c r="F1515" s="6">
        <v>5005221</v>
      </c>
      <c r="G1515" s="12" t="s">
        <v>4749</v>
      </c>
      <c r="H1515" s="12" t="s">
        <v>755</v>
      </c>
      <c r="I1515" s="12" t="s">
        <v>756</v>
      </c>
      <c r="J1515" s="84">
        <v>39294</v>
      </c>
      <c r="K1515" s="84">
        <v>50252</v>
      </c>
      <c r="L1515" s="12" t="s">
        <v>274</v>
      </c>
      <c r="M1515" s="12" t="s">
        <v>1042</v>
      </c>
      <c r="N1515" s="75"/>
    </row>
    <row r="1516" spans="1:14">
      <c r="A1516" s="12">
        <v>1513</v>
      </c>
      <c r="B1516" s="12" t="s">
        <v>4750</v>
      </c>
      <c r="C1516" s="12" t="s">
        <v>752</v>
      </c>
      <c r="D1516" s="12" t="s">
        <v>806</v>
      </c>
      <c r="E1516" s="85">
        <v>125.84</v>
      </c>
      <c r="F1516" s="6">
        <v>5722942</v>
      </c>
      <c r="G1516" s="12" t="s">
        <v>1608</v>
      </c>
      <c r="H1516" s="12" t="s">
        <v>755</v>
      </c>
      <c r="I1516" s="12" t="s">
        <v>756</v>
      </c>
      <c r="J1516" s="84">
        <v>43130</v>
      </c>
      <c r="K1516" s="84">
        <v>54087</v>
      </c>
      <c r="L1516" s="12" t="s">
        <v>274</v>
      </c>
      <c r="M1516" s="12" t="s">
        <v>275</v>
      </c>
      <c r="N1516" s="75"/>
    </row>
    <row r="1517" spans="1:14">
      <c r="A1517" s="12">
        <v>1514</v>
      </c>
      <c r="B1517" s="12" t="s">
        <v>4751</v>
      </c>
      <c r="C1517" s="12" t="s">
        <v>752</v>
      </c>
      <c r="D1517" s="12" t="s">
        <v>806</v>
      </c>
      <c r="E1517" s="85">
        <v>85.55</v>
      </c>
      <c r="F1517" s="6">
        <v>6438261</v>
      </c>
      <c r="G1517" s="12" t="s">
        <v>4421</v>
      </c>
      <c r="H1517" s="12" t="s">
        <v>755</v>
      </c>
      <c r="I1517" s="12" t="s">
        <v>756</v>
      </c>
      <c r="J1517" s="84">
        <v>43130</v>
      </c>
      <c r="K1517" s="84">
        <v>54087</v>
      </c>
      <c r="L1517" s="12" t="s">
        <v>274</v>
      </c>
      <c r="M1517" s="12" t="s">
        <v>275</v>
      </c>
      <c r="N1517" s="75"/>
    </row>
    <row r="1518" spans="1:14">
      <c r="A1518" s="12">
        <v>1515</v>
      </c>
      <c r="B1518" s="12" t="s">
        <v>4752</v>
      </c>
      <c r="C1518" s="12" t="s">
        <v>752</v>
      </c>
      <c r="D1518" s="12" t="s">
        <v>806</v>
      </c>
      <c r="E1518" s="85">
        <v>51.06</v>
      </c>
      <c r="F1518" s="6">
        <v>5722942</v>
      </c>
      <c r="G1518" s="12" t="s">
        <v>1608</v>
      </c>
      <c r="H1518" s="12" t="s">
        <v>755</v>
      </c>
      <c r="I1518" s="12" t="s">
        <v>756</v>
      </c>
      <c r="J1518" s="84">
        <v>43130</v>
      </c>
      <c r="K1518" s="84">
        <v>54087</v>
      </c>
      <c r="L1518" s="12" t="s">
        <v>274</v>
      </c>
      <c r="M1518" s="12" t="s">
        <v>275</v>
      </c>
      <c r="N1518" s="75"/>
    </row>
    <row r="1519" spans="1:14">
      <c r="A1519" s="12">
        <v>1516</v>
      </c>
      <c r="B1519" s="12" t="s">
        <v>4753</v>
      </c>
      <c r="C1519" s="12" t="s">
        <v>752</v>
      </c>
      <c r="D1519" s="12" t="s">
        <v>806</v>
      </c>
      <c r="E1519" s="85">
        <v>41.45</v>
      </c>
      <c r="F1519" s="6">
        <v>5722942</v>
      </c>
      <c r="G1519" s="12" t="s">
        <v>1608</v>
      </c>
      <c r="H1519" s="12" t="s">
        <v>755</v>
      </c>
      <c r="I1519" s="12" t="s">
        <v>756</v>
      </c>
      <c r="J1519" s="84">
        <v>43130</v>
      </c>
      <c r="K1519" s="84">
        <v>54087</v>
      </c>
      <c r="L1519" s="12" t="s">
        <v>274</v>
      </c>
      <c r="M1519" s="12" t="s">
        <v>275</v>
      </c>
      <c r="N1519" s="75"/>
    </row>
    <row r="1520" spans="1:14">
      <c r="A1520" s="12">
        <v>1517</v>
      </c>
      <c r="B1520" s="12" t="s">
        <v>4754</v>
      </c>
      <c r="C1520" s="12" t="s">
        <v>752</v>
      </c>
      <c r="D1520" s="12" t="s">
        <v>806</v>
      </c>
      <c r="E1520" s="85">
        <v>26.06</v>
      </c>
      <c r="F1520" s="6">
        <v>5722942</v>
      </c>
      <c r="G1520" s="12" t="s">
        <v>1608</v>
      </c>
      <c r="H1520" s="12" t="s">
        <v>755</v>
      </c>
      <c r="I1520" s="12" t="s">
        <v>756</v>
      </c>
      <c r="J1520" s="84">
        <v>43130</v>
      </c>
      <c r="K1520" s="84">
        <v>54087</v>
      </c>
      <c r="L1520" s="12" t="s">
        <v>274</v>
      </c>
      <c r="M1520" s="12" t="s">
        <v>275</v>
      </c>
      <c r="N1520" s="75"/>
    </row>
    <row r="1521" spans="1:14">
      <c r="A1521" s="12">
        <v>1518</v>
      </c>
      <c r="B1521" s="12" t="s">
        <v>4755</v>
      </c>
      <c r="C1521" s="12" t="s">
        <v>122</v>
      </c>
      <c r="D1521" s="12" t="s">
        <v>4756</v>
      </c>
      <c r="E1521" s="85">
        <v>1336.07</v>
      </c>
      <c r="F1521" s="6">
        <v>5347831</v>
      </c>
      <c r="G1521" s="12" t="s">
        <v>4757</v>
      </c>
      <c r="H1521" s="12" t="s">
        <v>848</v>
      </c>
      <c r="I1521" s="12" t="s">
        <v>849</v>
      </c>
      <c r="J1521" s="84">
        <v>43852</v>
      </c>
      <c r="K1521" s="84">
        <v>54810</v>
      </c>
      <c r="L1521" s="12" t="s">
        <v>233</v>
      </c>
      <c r="M1521" s="12" t="s">
        <v>1845</v>
      </c>
      <c r="N1521" s="75"/>
    </row>
    <row r="1522" spans="1:14">
      <c r="A1522" s="12">
        <v>1519</v>
      </c>
      <c r="B1522" s="12" t="s">
        <v>4758</v>
      </c>
      <c r="C1522" s="12" t="s">
        <v>752</v>
      </c>
      <c r="D1522" s="12" t="s">
        <v>4759</v>
      </c>
      <c r="E1522" s="85">
        <v>1654.22</v>
      </c>
      <c r="F1522" s="6">
        <v>6128963</v>
      </c>
      <c r="G1522" s="12" t="s">
        <v>4760</v>
      </c>
      <c r="H1522" s="12" t="s">
        <v>848</v>
      </c>
      <c r="I1522" s="12" t="s">
        <v>849</v>
      </c>
      <c r="J1522" s="84">
        <v>43854</v>
      </c>
      <c r="K1522" s="84">
        <v>54812</v>
      </c>
      <c r="L1522" s="12" t="s">
        <v>274</v>
      </c>
      <c r="M1522" s="12" t="s">
        <v>275</v>
      </c>
      <c r="N1522" s="75"/>
    </row>
    <row r="1523" spans="1:14">
      <c r="A1523" s="12">
        <v>1520</v>
      </c>
      <c r="B1523" s="12" t="s">
        <v>4761</v>
      </c>
      <c r="C1523" s="12" t="s">
        <v>122</v>
      </c>
      <c r="D1523" s="12" t="s">
        <v>4762</v>
      </c>
      <c r="E1523" s="85">
        <v>2617.58</v>
      </c>
      <c r="F1523" s="6">
        <v>5874963</v>
      </c>
      <c r="G1523" s="12" t="s">
        <v>4763</v>
      </c>
      <c r="H1523" s="12" t="s">
        <v>755</v>
      </c>
      <c r="I1523" s="12" t="s">
        <v>756</v>
      </c>
      <c r="J1523" s="84">
        <v>43854</v>
      </c>
      <c r="K1523" s="84">
        <v>54812</v>
      </c>
      <c r="L1523" s="12" t="s">
        <v>170</v>
      </c>
      <c r="M1523" s="12" t="s">
        <v>1738</v>
      </c>
      <c r="N1523" s="75"/>
    </row>
    <row r="1524" spans="1:14">
      <c r="A1524" s="12">
        <v>1521</v>
      </c>
      <c r="B1524" s="12" t="s">
        <v>4764</v>
      </c>
      <c r="C1524" s="12" t="s">
        <v>212</v>
      </c>
      <c r="D1524" s="12" t="s">
        <v>4765</v>
      </c>
      <c r="E1524" s="85">
        <v>951.78</v>
      </c>
      <c r="F1524" s="6">
        <v>5860318</v>
      </c>
      <c r="G1524" s="12" t="s">
        <v>4766</v>
      </c>
      <c r="H1524" s="12" t="s">
        <v>755</v>
      </c>
      <c r="I1524" s="12" t="s">
        <v>756</v>
      </c>
      <c r="J1524" s="84">
        <v>43861</v>
      </c>
      <c r="K1524" s="84">
        <v>54819</v>
      </c>
      <c r="L1524" s="12" t="s">
        <v>138</v>
      </c>
      <c r="M1524" s="12" t="s">
        <v>138</v>
      </c>
      <c r="N1524" s="75"/>
    </row>
    <row r="1525" spans="1:14">
      <c r="A1525" s="12">
        <v>1522</v>
      </c>
      <c r="B1525" s="12" t="s">
        <v>4767</v>
      </c>
      <c r="C1525" s="12" t="s">
        <v>4768</v>
      </c>
      <c r="D1525" s="12" t="s">
        <v>4769</v>
      </c>
      <c r="E1525" s="85">
        <v>524.61</v>
      </c>
      <c r="F1525" s="6">
        <v>5072085</v>
      </c>
      <c r="G1525" s="12" t="s">
        <v>4770</v>
      </c>
      <c r="H1525" s="12" t="s">
        <v>848</v>
      </c>
      <c r="I1525" s="12" t="s">
        <v>849</v>
      </c>
      <c r="J1525" s="84">
        <v>43861</v>
      </c>
      <c r="K1525" s="84">
        <v>54819</v>
      </c>
      <c r="L1525" s="12" t="s">
        <v>170</v>
      </c>
      <c r="M1525" s="12" t="s">
        <v>811</v>
      </c>
      <c r="N1525" s="75"/>
    </row>
    <row r="1526" spans="1:14">
      <c r="A1526" s="12">
        <v>1523</v>
      </c>
      <c r="B1526" s="12" t="s">
        <v>4771</v>
      </c>
      <c r="C1526" s="12" t="s">
        <v>752</v>
      </c>
      <c r="D1526" s="12" t="s">
        <v>4772</v>
      </c>
      <c r="E1526" s="85">
        <v>124.42</v>
      </c>
      <c r="F1526" s="6">
        <v>3551075</v>
      </c>
      <c r="G1526" s="12" t="s">
        <v>4773</v>
      </c>
      <c r="H1526" s="12" t="s">
        <v>755</v>
      </c>
      <c r="I1526" s="12" t="s">
        <v>756</v>
      </c>
      <c r="J1526" s="84">
        <v>43867</v>
      </c>
      <c r="K1526" s="84">
        <v>54825</v>
      </c>
      <c r="L1526" s="12" t="s">
        <v>274</v>
      </c>
      <c r="M1526" s="12" t="s">
        <v>874</v>
      </c>
      <c r="N1526" s="75"/>
    </row>
    <row r="1527" spans="1:14">
      <c r="A1527" s="12">
        <v>1524</v>
      </c>
      <c r="B1527" s="12" t="s">
        <v>4774</v>
      </c>
      <c r="C1527" s="12" t="s">
        <v>212</v>
      </c>
      <c r="D1527" s="12" t="s">
        <v>3605</v>
      </c>
      <c r="E1527" s="85">
        <v>100.42</v>
      </c>
      <c r="F1527" s="6">
        <v>5060338</v>
      </c>
      <c r="G1527" s="12" t="s">
        <v>3606</v>
      </c>
      <c r="H1527" s="12" t="s">
        <v>755</v>
      </c>
      <c r="I1527" s="12" t="s">
        <v>756</v>
      </c>
      <c r="J1527" s="84">
        <v>43871</v>
      </c>
      <c r="K1527" s="84">
        <v>54829</v>
      </c>
      <c r="L1527" s="12" t="s">
        <v>375</v>
      </c>
      <c r="M1527" s="12" t="s">
        <v>944</v>
      </c>
      <c r="N1527" s="75"/>
    </row>
    <row r="1528" spans="1:14">
      <c r="A1528" s="12">
        <v>1525</v>
      </c>
      <c r="B1528" s="12" t="s">
        <v>4775</v>
      </c>
      <c r="C1528" s="12" t="s">
        <v>979</v>
      </c>
      <c r="D1528" s="12" t="s">
        <v>2078</v>
      </c>
      <c r="E1528" s="85">
        <v>6793.28</v>
      </c>
      <c r="F1528" s="6">
        <v>6413811</v>
      </c>
      <c r="G1528" s="12" t="s">
        <v>4776</v>
      </c>
      <c r="H1528" s="12" t="s">
        <v>755</v>
      </c>
      <c r="I1528" s="12" t="s">
        <v>756</v>
      </c>
      <c r="J1528" s="84">
        <v>43871</v>
      </c>
      <c r="K1528" s="84">
        <v>54829</v>
      </c>
      <c r="L1528" s="12" t="s">
        <v>1014</v>
      </c>
      <c r="M1528" s="12" t="s">
        <v>1699</v>
      </c>
      <c r="N1528" s="75"/>
    </row>
    <row r="1529" spans="1:14">
      <c r="A1529" s="12">
        <v>1526</v>
      </c>
      <c r="B1529" s="12" t="s">
        <v>4777</v>
      </c>
      <c r="C1529" s="12" t="s">
        <v>752</v>
      </c>
      <c r="D1529" s="12" t="s">
        <v>1753</v>
      </c>
      <c r="E1529" s="85">
        <v>2064.0100000000002</v>
      </c>
      <c r="F1529" s="6">
        <v>5079942</v>
      </c>
      <c r="G1529" s="12" t="s">
        <v>4778</v>
      </c>
      <c r="H1529" s="12" t="s">
        <v>755</v>
      </c>
      <c r="I1529" s="12" t="s">
        <v>756</v>
      </c>
      <c r="J1529" s="84">
        <v>43879</v>
      </c>
      <c r="K1529" s="84">
        <v>54837</v>
      </c>
      <c r="L1529" s="12" t="s">
        <v>1014</v>
      </c>
      <c r="M1529" s="12" t="s">
        <v>1023</v>
      </c>
      <c r="N1529" s="75"/>
    </row>
    <row r="1530" spans="1:14">
      <c r="A1530" s="12">
        <v>1527</v>
      </c>
      <c r="B1530" s="12" t="s">
        <v>4779</v>
      </c>
      <c r="C1530" s="12" t="s">
        <v>212</v>
      </c>
      <c r="D1530" s="12" t="s">
        <v>4780</v>
      </c>
      <c r="E1530" s="85">
        <v>143.1</v>
      </c>
      <c r="F1530" s="6">
        <v>6207251</v>
      </c>
      <c r="G1530" s="12" t="s">
        <v>4781</v>
      </c>
      <c r="H1530" s="12" t="s">
        <v>755</v>
      </c>
      <c r="I1530" s="12" t="s">
        <v>756</v>
      </c>
      <c r="J1530" s="84">
        <v>43882</v>
      </c>
      <c r="K1530" s="84">
        <v>54840</v>
      </c>
      <c r="L1530" s="12" t="s">
        <v>293</v>
      </c>
      <c r="M1530" s="12" t="s">
        <v>1826</v>
      </c>
      <c r="N1530" s="75"/>
    </row>
    <row r="1531" spans="1:14">
      <c r="A1531" s="12">
        <v>1528</v>
      </c>
      <c r="B1531" s="12" t="s">
        <v>4782</v>
      </c>
      <c r="C1531" s="12" t="s">
        <v>4783</v>
      </c>
      <c r="D1531" s="12" t="s">
        <v>4784</v>
      </c>
      <c r="E1531" s="85">
        <v>4668.6400000000003</v>
      </c>
      <c r="F1531" s="6">
        <v>2718243</v>
      </c>
      <c r="G1531" s="12" t="s">
        <v>4661</v>
      </c>
      <c r="H1531" s="12" t="s">
        <v>848</v>
      </c>
      <c r="I1531" s="12" t="s">
        <v>849</v>
      </c>
      <c r="J1531" s="84">
        <v>43894</v>
      </c>
      <c r="K1531" s="84">
        <v>54851</v>
      </c>
      <c r="L1531" s="12" t="s">
        <v>768</v>
      </c>
      <c r="M1531" s="12" t="s">
        <v>4588</v>
      </c>
      <c r="N1531" s="75"/>
    </row>
    <row r="1532" spans="1:14">
      <c r="A1532" s="12">
        <v>1529</v>
      </c>
      <c r="B1532" s="12" t="s">
        <v>4785</v>
      </c>
      <c r="C1532" s="12" t="s">
        <v>4786</v>
      </c>
      <c r="D1532" s="12" t="s">
        <v>4787</v>
      </c>
      <c r="E1532" s="85">
        <v>21.27</v>
      </c>
      <c r="F1532" s="6">
        <v>5063329</v>
      </c>
      <c r="G1532" s="12" t="s">
        <v>2410</v>
      </c>
      <c r="H1532" s="12" t="s">
        <v>755</v>
      </c>
      <c r="I1532" s="12" t="s">
        <v>756</v>
      </c>
      <c r="J1532" s="84">
        <v>43907</v>
      </c>
      <c r="K1532" s="84">
        <v>54864</v>
      </c>
      <c r="L1532" s="12" t="s">
        <v>274</v>
      </c>
      <c r="M1532" s="12" t="s">
        <v>1267</v>
      </c>
      <c r="N1532" s="75"/>
    </row>
    <row r="1533" spans="1:14">
      <c r="A1533" s="12">
        <v>1530</v>
      </c>
      <c r="B1533" s="12" t="s">
        <v>4788</v>
      </c>
      <c r="C1533" s="12" t="s">
        <v>212</v>
      </c>
      <c r="D1533" s="12" t="s">
        <v>3019</v>
      </c>
      <c r="E1533" s="85">
        <v>170.57</v>
      </c>
      <c r="F1533" s="6">
        <v>6347444</v>
      </c>
      <c r="G1533" s="12" t="s">
        <v>4789</v>
      </c>
      <c r="H1533" s="12" t="s">
        <v>755</v>
      </c>
      <c r="I1533" s="12" t="s">
        <v>756</v>
      </c>
      <c r="J1533" s="84">
        <v>43910</v>
      </c>
      <c r="K1533" s="84">
        <v>54867</v>
      </c>
      <c r="L1533" s="12" t="s">
        <v>293</v>
      </c>
      <c r="M1533" s="12" t="s">
        <v>1826</v>
      </c>
      <c r="N1533" s="75"/>
    </row>
    <row r="1534" spans="1:14">
      <c r="A1534" s="12">
        <v>1531</v>
      </c>
      <c r="B1534" s="12" t="s">
        <v>4790</v>
      </c>
      <c r="C1534" s="12" t="s">
        <v>122</v>
      </c>
      <c r="D1534" s="12" t="s">
        <v>4791</v>
      </c>
      <c r="E1534" s="85">
        <v>932.13</v>
      </c>
      <c r="F1534" s="6">
        <v>6375839</v>
      </c>
      <c r="G1534" s="12" t="s">
        <v>4792</v>
      </c>
      <c r="H1534" s="12" t="s">
        <v>755</v>
      </c>
      <c r="I1534" s="12" t="s">
        <v>756</v>
      </c>
      <c r="J1534" s="84">
        <v>43922</v>
      </c>
      <c r="K1534" s="84">
        <v>54879</v>
      </c>
      <c r="L1534" s="12" t="s">
        <v>170</v>
      </c>
      <c r="M1534" s="12" t="s">
        <v>1738</v>
      </c>
      <c r="N1534" s="75"/>
    </row>
    <row r="1535" spans="1:14">
      <c r="A1535" s="12">
        <v>1532</v>
      </c>
      <c r="B1535" s="12" t="s">
        <v>4793</v>
      </c>
      <c r="C1535" s="12" t="s">
        <v>212</v>
      </c>
      <c r="D1535" s="12" t="s">
        <v>4794</v>
      </c>
      <c r="E1535" s="85">
        <v>157.99</v>
      </c>
      <c r="F1535" s="6">
        <v>5134617</v>
      </c>
      <c r="G1535" s="12" t="s">
        <v>4795</v>
      </c>
      <c r="H1535" s="12" t="s">
        <v>755</v>
      </c>
      <c r="I1535" s="12" t="s">
        <v>756</v>
      </c>
      <c r="J1535" s="84">
        <v>43929</v>
      </c>
      <c r="K1535" s="84">
        <v>54886</v>
      </c>
      <c r="L1535" s="12" t="s">
        <v>375</v>
      </c>
      <c r="M1535" s="12" t="s">
        <v>1892</v>
      </c>
      <c r="N1535" s="75"/>
    </row>
    <row r="1536" spans="1:14">
      <c r="A1536" s="12">
        <v>1533</v>
      </c>
      <c r="B1536" s="12" t="s">
        <v>4796</v>
      </c>
      <c r="C1536" s="12" t="s">
        <v>122</v>
      </c>
      <c r="D1536" s="12" t="s">
        <v>4797</v>
      </c>
      <c r="E1536" s="85">
        <v>397.93</v>
      </c>
      <c r="F1536" s="6">
        <v>5084024</v>
      </c>
      <c r="G1536" s="12" t="s">
        <v>4798</v>
      </c>
      <c r="H1536" s="12" t="s">
        <v>755</v>
      </c>
      <c r="I1536" s="12" t="s">
        <v>756</v>
      </c>
      <c r="J1536" s="84">
        <v>40080</v>
      </c>
      <c r="K1536" s="84">
        <v>51037</v>
      </c>
      <c r="L1536" s="12" t="s">
        <v>170</v>
      </c>
      <c r="M1536" s="12" t="s">
        <v>171</v>
      </c>
      <c r="N1536" s="75"/>
    </row>
    <row r="1537" spans="1:14">
      <c r="A1537" s="12">
        <v>1534</v>
      </c>
      <c r="B1537" s="12" t="s">
        <v>4799</v>
      </c>
      <c r="C1537" s="12" t="s">
        <v>122</v>
      </c>
      <c r="D1537" s="12" t="s">
        <v>4800</v>
      </c>
      <c r="E1537" s="85">
        <v>852.96</v>
      </c>
      <c r="F1537" s="6">
        <v>5084024</v>
      </c>
      <c r="G1537" s="12" t="s">
        <v>4798</v>
      </c>
      <c r="H1537" s="12" t="s">
        <v>755</v>
      </c>
      <c r="I1537" s="12" t="s">
        <v>756</v>
      </c>
      <c r="J1537" s="84">
        <v>42237</v>
      </c>
      <c r="K1537" s="84">
        <v>53195</v>
      </c>
      <c r="L1537" s="12" t="s">
        <v>170</v>
      </c>
      <c r="M1537" s="12" t="s">
        <v>171</v>
      </c>
      <c r="N1537" s="75"/>
    </row>
    <row r="1538" spans="1:14">
      <c r="A1538" s="12">
        <v>1535</v>
      </c>
      <c r="B1538" s="12" t="s">
        <v>4801</v>
      </c>
      <c r="C1538" s="12" t="s">
        <v>212</v>
      </c>
      <c r="D1538" s="12" t="s">
        <v>4802</v>
      </c>
      <c r="E1538" s="85">
        <v>578.22</v>
      </c>
      <c r="F1538" s="6">
        <v>5379334</v>
      </c>
      <c r="G1538" s="12" t="s">
        <v>4803</v>
      </c>
      <c r="H1538" s="12" t="s">
        <v>755</v>
      </c>
      <c r="I1538" s="12" t="s">
        <v>756</v>
      </c>
      <c r="J1538" s="84">
        <v>43936</v>
      </c>
      <c r="K1538" s="84">
        <v>54893</v>
      </c>
      <c r="L1538" s="12" t="s">
        <v>293</v>
      </c>
      <c r="M1538" s="12" t="s">
        <v>933</v>
      </c>
      <c r="N1538" s="75"/>
    </row>
    <row r="1539" spans="1:14">
      <c r="A1539" s="12">
        <v>1536</v>
      </c>
      <c r="B1539" s="12" t="s">
        <v>4804</v>
      </c>
      <c r="C1539" s="12" t="s">
        <v>212</v>
      </c>
      <c r="D1539" s="12" t="s">
        <v>4805</v>
      </c>
      <c r="E1539" s="85">
        <v>633.58000000000004</v>
      </c>
      <c r="F1539" s="6">
        <v>5556554</v>
      </c>
      <c r="G1539" s="12" t="s">
        <v>4806</v>
      </c>
      <c r="H1539" s="12" t="s">
        <v>755</v>
      </c>
      <c r="I1539" s="12" t="s">
        <v>756</v>
      </c>
      <c r="J1539" s="84">
        <v>43936</v>
      </c>
      <c r="K1539" s="84">
        <v>54893</v>
      </c>
      <c r="L1539" s="12" t="s">
        <v>293</v>
      </c>
      <c r="M1539" s="12" t="s">
        <v>815</v>
      </c>
      <c r="N1539" s="75"/>
    </row>
    <row r="1540" spans="1:14">
      <c r="A1540" s="12">
        <v>1537</v>
      </c>
      <c r="B1540" s="12" t="s">
        <v>4807</v>
      </c>
      <c r="C1540" s="12" t="s">
        <v>752</v>
      </c>
      <c r="D1540" s="12" t="s">
        <v>4808</v>
      </c>
      <c r="E1540" s="85">
        <v>527.12</v>
      </c>
      <c r="F1540" s="6">
        <v>8413908</v>
      </c>
      <c r="G1540" s="12" t="s">
        <v>4809</v>
      </c>
      <c r="H1540" s="12" t="s">
        <v>755</v>
      </c>
      <c r="I1540" s="12" t="s">
        <v>756</v>
      </c>
      <c r="J1540" s="84">
        <v>43944</v>
      </c>
      <c r="K1540" s="84">
        <v>54901</v>
      </c>
      <c r="L1540" s="12" t="s">
        <v>274</v>
      </c>
      <c r="M1540" s="12" t="s">
        <v>790</v>
      </c>
      <c r="N1540" s="75"/>
    </row>
    <row r="1541" spans="1:14">
      <c r="A1541" s="12">
        <v>1538</v>
      </c>
      <c r="B1541" s="12" t="s">
        <v>4810</v>
      </c>
      <c r="C1541" s="12" t="s">
        <v>132</v>
      </c>
      <c r="D1541" s="12" t="s">
        <v>4811</v>
      </c>
      <c r="E1541" s="85">
        <v>2333.92</v>
      </c>
      <c r="F1541" s="6">
        <v>5106648</v>
      </c>
      <c r="G1541" s="12" t="s">
        <v>4812</v>
      </c>
      <c r="H1541" s="12" t="s">
        <v>755</v>
      </c>
      <c r="I1541" s="12" t="s">
        <v>756</v>
      </c>
      <c r="J1541" s="84">
        <v>43944</v>
      </c>
      <c r="K1541" s="84">
        <v>54901</v>
      </c>
      <c r="L1541" s="12" t="s">
        <v>274</v>
      </c>
      <c r="M1541" s="12" t="s">
        <v>1379</v>
      </c>
      <c r="N1541" s="75"/>
    </row>
    <row r="1542" spans="1:14">
      <c r="A1542" s="12">
        <v>1539</v>
      </c>
      <c r="B1542" s="12" t="s">
        <v>4813</v>
      </c>
      <c r="C1542" s="12" t="s">
        <v>122</v>
      </c>
      <c r="D1542" s="12" t="s">
        <v>2884</v>
      </c>
      <c r="E1542" s="85">
        <v>1692.44</v>
      </c>
      <c r="F1542" s="6">
        <v>5106656</v>
      </c>
      <c r="G1542" s="12" t="s">
        <v>3987</v>
      </c>
      <c r="H1542" s="12" t="s">
        <v>755</v>
      </c>
      <c r="I1542" s="12" t="s">
        <v>756</v>
      </c>
      <c r="J1542" s="84">
        <v>43949</v>
      </c>
      <c r="K1542" s="84">
        <v>54906</v>
      </c>
      <c r="L1542" s="12" t="s">
        <v>138</v>
      </c>
      <c r="M1542" s="12" t="s">
        <v>138</v>
      </c>
      <c r="N1542" s="75"/>
    </row>
    <row r="1543" spans="1:14">
      <c r="A1543" s="12">
        <v>1540</v>
      </c>
      <c r="B1543" s="12" t="s">
        <v>4814</v>
      </c>
      <c r="C1543" s="12" t="s">
        <v>752</v>
      </c>
      <c r="D1543" s="12" t="s">
        <v>4815</v>
      </c>
      <c r="E1543" s="85">
        <v>879.52</v>
      </c>
      <c r="F1543" s="6">
        <v>5747392</v>
      </c>
      <c r="G1543" s="12" t="s">
        <v>4816</v>
      </c>
      <c r="H1543" s="12" t="s">
        <v>755</v>
      </c>
      <c r="I1543" s="12" t="s">
        <v>756</v>
      </c>
      <c r="J1543" s="84">
        <v>43955</v>
      </c>
      <c r="K1543" s="84">
        <v>54912</v>
      </c>
      <c r="L1543" s="12" t="s">
        <v>293</v>
      </c>
      <c r="M1543" s="12" t="s">
        <v>4817</v>
      </c>
      <c r="N1543" s="75"/>
    </row>
    <row r="1544" spans="1:14">
      <c r="A1544" s="12">
        <v>1541</v>
      </c>
      <c r="B1544" s="12" t="s">
        <v>4818</v>
      </c>
      <c r="C1544" s="12" t="s">
        <v>1124</v>
      </c>
      <c r="D1544" s="12" t="s">
        <v>4819</v>
      </c>
      <c r="E1544" s="85">
        <v>95.49</v>
      </c>
      <c r="F1544" s="6">
        <v>5442893</v>
      </c>
      <c r="G1544" s="12" t="s">
        <v>1698</v>
      </c>
      <c r="H1544" s="12" t="s">
        <v>755</v>
      </c>
      <c r="I1544" s="12" t="s">
        <v>756</v>
      </c>
      <c r="J1544" s="84">
        <v>43955</v>
      </c>
      <c r="K1544" s="84">
        <v>54912</v>
      </c>
      <c r="L1544" s="12" t="s">
        <v>1014</v>
      </c>
      <c r="M1544" s="12" t="s">
        <v>4820</v>
      </c>
      <c r="N1544" s="75"/>
    </row>
    <row r="1545" spans="1:14">
      <c r="A1545" s="12">
        <v>1542</v>
      </c>
      <c r="B1545" s="12" t="s">
        <v>4821</v>
      </c>
      <c r="C1545" s="12" t="s">
        <v>137</v>
      </c>
      <c r="D1545" s="12" t="s">
        <v>141</v>
      </c>
      <c r="E1545" s="85">
        <v>761.13</v>
      </c>
      <c r="F1545" s="6">
        <v>2855119</v>
      </c>
      <c r="G1545" s="12" t="s">
        <v>1685</v>
      </c>
      <c r="H1545" s="12" t="s">
        <v>848</v>
      </c>
      <c r="I1545" s="12" t="s">
        <v>849</v>
      </c>
      <c r="J1545" s="84">
        <v>43957</v>
      </c>
      <c r="K1545" s="84">
        <v>54914</v>
      </c>
      <c r="L1545" s="12" t="s">
        <v>304</v>
      </c>
      <c r="M1545" s="12" t="s">
        <v>4822</v>
      </c>
      <c r="N1545" s="75"/>
    </row>
    <row r="1546" spans="1:14">
      <c r="A1546" s="12">
        <v>1543</v>
      </c>
      <c r="B1546" s="12" t="s">
        <v>4823</v>
      </c>
      <c r="C1546" s="12" t="s">
        <v>752</v>
      </c>
      <c r="D1546" s="12" t="s">
        <v>4824</v>
      </c>
      <c r="E1546" s="85">
        <v>740.96</v>
      </c>
      <c r="F1546" s="6">
        <v>5369703</v>
      </c>
      <c r="G1546" s="12" t="s">
        <v>4825</v>
      </c>
      <c r="H1546" s="12" t="s">
        <v>755</v>
      </c>
      <c r="I1546" s="12" t="s">
        <v>756</v>
      </c>
      <c r="J1546" s="84">
        <v>40618</v>
      </c>
      <c r="K1546" s="84">
        <v>51578</v>
      </c>
      <c r="L1546" s="12" t="s">
        <v>123</v>
      </c>
      <c r="M1546" s="12" t="s">
        <v>1472</v>
      </c>
      <c r="N1546" s="75"/>
    </row>
    <row r="1547" spans="1:14">
      <c r="A1547" s="12">
        <v>1544</v>
      </c>
      <c r="B1547" s="12" t="s">
        <v>4826</v>
      </c>
      <c r="C1547" s="12" t="s">
        <v>122</v>
      </c>
      <c r="D1547" s="12" t="s">
        <v>4827</v>
      </c>
      <c r="E1547" s="85">
        <v>2135.67</v>
      </c>
      <c r="F1547" s="6">
        <v>5689481</v>
      </c>
      <c r="G1547" s="12" t="s">
        <v>4477</v>
      </c>
      <c r="H1547" s="12" t="s">
        <v>755</v>
      </c>
      <c r="I1547" s="12" t="s">
        <v>756</v>
      </c>
      <c r="J1547" s="84">
        <v>43980</v>
      </c>
      <c r="K1547" s="84">
        <v>54937</v>
      </c>
      <c r="L1547" s="12" t="s">
        <v>233</v>
      </c>
      <c r="M1547" s="12" t="s">
        <v>237</v>
      </c>
      <c r="N1547" s="75"/>
    </row>
    <row r="1548" spans="1:14">
      <c r="A1548" s="12">
        <v>1545</v>
      </c>
      <c r="B1548" s="12" t="s">
        <v>4828</v>
      </c>
      <c r="C1548" s="12" t="s">
        <v>137</v>
      </c>
      <c r="D1548" s="12" t="s">
        <v>4829</v>
      </c>
      <c r="E1548" s="85">
        <v>543.33000000000004</v>
      </c>
      <c r="F1548" s="6">
        <v>2059681</v>
      </c>
      <c r="G1548" s="12" t="s">
        <v>4830</v>
      </c>
      <c r="H1548" s="12" t="s">
        <v>755</v>
      </c>
      <c r="I1548" s="12" t="s">
        <v>756</v>
      </c>
      <c r="J1548" s="84">
        <v>43985</v>
      </c>
      <c r="K1548" s="84">
        <v>54942</v>
      </c>
      <c r="L1548" s="12" t="s">
        <v>304</v>
      </c>
      <c r="M1548" s="12" t="s">
        <v>773</v>
      </c>
      <c r="N1548" s="75"/>
    </row>
    <row r="1549" spans="1:14">
      <c r="A1549" s="12">
        <v>1546</v>
      </c>
      <c r="B1549" s="12" t="s">
        <v>4831</v>
      </c>
      <c r="C1549" s="12" t="s">
        <v>752</v>
      </c>
      <c r="D1549" s="12" t="s">
        <v>3860</v>
      </c>
      <c r="E1549" s="85">
        <v>25.74</v>
      </c>
      <c r="F1549" s="6">
        <v>6377947</v>
      </c>
      <c r="G1549" s="12" t="s">
        <v>4832</v>
      </c>
      <c r="H1549" s="12" t="s">
        <v>755</v>
      </c>
      <c r="I1549" s="12" t="s">
        <v>756</v>
      </c>
      <c r="J1549" s="84">
        <v>42237</v>
      </c>
      <c r="K1549" s="84">
        <v>53195</v>
      </c>
      <c r="L1549" s="12" t="s">
        <v>304</v>
      </c>
      <c r="M1549" s="12" t="s">
        <v>141</v>
      </c>
      <c r="N1549" s="75"/>
    </row>
    <row r="1550" spans="1:14">
      <c r="A1550" s="12">
        <v>1547</v>
      </c>
      <c r="B1550" s="12" t="s">
        <v>4833</v>
      </c>
      <c r="C1550" s="12" t="s">
        <v>137</v>
      </c>
      <c r="D1550" s="12" t="s">
        <v>4834</v>
      </c>
      <c r="E1550" s="85">
        <v>1548.92</v>
      </c>
      <c r="F1550" s="6">
        <v>5420172</v>
      </c>
      <c r="G1550" s="12" t="s">
        <v>3509</v>
      </c>
      <c r="H1550" s="12" t="s">
        <v>848</v>
      </c>
      <c r="I1550" s="12" t="s">
        <v>849</v>
      </c>
      <c r="J1550" s="84">
        <v>43985</v>
      </c>
      <c r="K1550" s="84">
        <v>54942</v>
      </c>
      <c r="L1550" s="12" t="s">
        <v>293</v>
      </c>
      <c r="M1550" s="12" t="s">
        <v>1206</v>
      </c>
      <c r="N1550" s="75"/>
    </row>
    <row r="1551" spans="1:14">
      <c r="A1551" s="12">
        <v>1548</v>
      </c>
      <c r="B1551" s="12" t="s">
        <v>4835</v>
      </c>
      <c r="C1551" s="12" t="s">
        <v>221</v>
      </c>
      <c r="D1551" s="12" t="s">
        <v>4604</v>
      </c>
      <c r="E1551" s="85">
        <v>1600.46</v>
      </c>
      <c r="F1551" s="6">
        <v>6168019</v>
      </c>
      <c r="G1551" s="12" t="s">
        <v>4836</v>
      </c>
      <c r="H1551" s="12" t="s">
        <v>755</v>
      </c>
      <c r="I1551" s="12" t="s">
        <v>756</v>
      </c>
      <c r="J1551" s="84">
        <v>43986</v>
      </c>
      <c r="K1551" s="84">
        <v>54943</v>
      </c>
      <c r="L1551" s="12" t="s">
        <v>170</v>
      </c>
      <c r="M1551" s="12" t="s">
        <v>2450</v>
      </c>
      <c r="N1551" s="75"/>
    </row>
    <row r="1552" spans="1:14">
      <c r="A1552" s="12">
        <v>1549</v>
      </c>
      <c r="B1552" s="12" t="s">
        <v>4837</v>
      </c>
      <c r="C1552" s="12" t="s">
        <v>200</v>
      </c>
      <c r="D1552" s="12" t="s">
        <v>4838</v>
      </c>
      <c r="E1552" s="85">
        <v>1959.05</v>
      </c>
      <c r="F1552" s="6">
        <v>5011965</v>
      </c>
      <c r="G1552" s="12" t="s">
        <v>4839</v>
      </c>
      <c r="H1552" s="12" t="s">
        <v>755</v>
      </c>
      <c r="I1552" s="12" t="s">
        <v>756</v>
      </c>
      <c r="J1552" s="84">
        <v>43986</v>
      </c>
      <c r="K1552" s="84">
        <v>54943</v>
      </c>
      <c r="L1552" s="12" t="s">
        <v>1102</v>
      </c>
      <c r="M1552" s="12" t="s">
        <v>836</v>
      </c>
      <c r="N1552" s="75"/>
    </row>
    <row r="1553" spans="1:14">
      <c r="A1553" s="12">
        <v>1550</v>
      </c>
      <c r="B1553" s="12" t="s">
        <v>4840</v>
      </c>
      <c r="C1553" s="12" t="s">
        <v>752</v>
      </c>
      <c r="D1553" s="12" t="s">
        <v>4841</v>
      </c>
      <c r="E1553" s="85">
        <v>55.92</v>
      </c>
      <c r="F1553" s="6">
        <v>6597068</v>
      </c>
      <c r="G1553" s="12" t="s">
        <v>4842</v>
      </c>
      <c r="H1553" s="12" t="s">
        <v>755</v>
      </c>
      <c r="I1553" s="12" t="s">
        <v>756</v>
      </c>
      <c r="J1553" s="84">
        <v>43999</v>
      </c>
      <c r="K1553" s="84">
        <v>54956</v>
      </c>
      <c r="L1553" s="12" t="s">
        <v>836</v>
      </c>
      <c r="M1553" s="12" t="s">
        <v>837</v>
      </c>
      <c r="N1553" s="75"/>
    </row>
    <row r="1554" spans="1:14">
      <c r="A1554" s="12">
        <v>1551</v>
      </c>
      <c r="B1554" s="12" t="s">
        <v>4843</v>
      </c>
      <c r="C1554" s="12" t="s">
        <v>752</v>
      </c>
      <c r="D1554" s="12" t="s">
        <v>4844</v>
      </c>
      <c r="E1554" s="85">
        <v>2920.91</v>
      </c>
      <c r="F1554" s="6">
        <v>5108659</v>
      </c>
      <c r="G1554" s="12" t="s">
        <v>4845</v>
      </c>
      <c r="H1554" s="12" t="s">
        <v>755</v>
      </c>
      <c r="I1554" s="12" t="s">
        <v>756</v>
      </c>
      <c r="J1554" s="84">
        <v>44004</v>
      </c>
      <c r="K1554" s="84">
        <v>54961</v>
      </c>
      <c r="L1554" s="12" t="s">
        <v>836</v>
      </c>
      <c r="M1554" s="12" t="s">
        <v>4846</v>
      </c>
      <c r="N1554" s="75"/>
    </row>
    <row r="1555" spans="1:14">
      <c r="A1555" s="12">
        <v>1552</v>
      </c>
      <c r="B1555" s="12" t="s">
        <v>4847</v>
      </c>
      <c r="C1555" s="12" t="s">
        <v>212</v>
      </c>
      <c r="D1555" s="12" t="s">
        <v>4848</v>
      </c>
      <c r="E1555" s="85">
        <v>495.54</v>
      </c>
      <c r="F1555" s="6">
        <v>2104989</v>
      </c>
      <c r="G1555" s="12" t="s">
        <v>4849</v>
      </c>
      <c r="H1555" s="12" t="s">
        <v>755</v>
      </c>
      <c r="I1555" s="12" t="s">
        <v>756</v>
      </c>
      <c r="J1555" s="84">
        <v>44020</v>
      </c>
      <c r="K1555" s="84">
        <v>54977</v>
      </c>
      <c r="L1555" s="12" t="s">
        <v>375</v>
      </c>
      <c r="M1555" s="12" t="s">
        <v>1476</v>
      </c>
      <c r="N1555" s="75"/>
    </row>
    <row r="1556" spans="1:14">
      <c r="A1556" s="12">
        <v>1553</v>
      </c>
      <c r="B1556" s="12" t="s">
        <v>4850</v>
      </c>
      <c r="C1556" s="12" t="s">
        <v>147</v>
      </c>
      <c r="D1556" s="12" t="s">
        <v>2296</v>
      </c>
      <c r="E1556" s="85">
        <v>999.71</v>
      </c>
      <c r="F1556" s="6">
        <v>6184812</v>
      </c>
      <c r="G1556" s="12" t="s">
        <v>4851</v>
      </c>
      <c r="H1556" s="12" t="s">
        <v>848</v>
      </c>
      <c r="I1556" s="12" t="s">
        <v>849</v>
      </c>
      <c r="J1556" s="84">
        <v>44022</v>
      </c>
      <c r="K1556" s="84">
        <v>54979</v>
      </c>
      <c r="L1556" s="12" t="s">
        <v>170</v>
      </c>
      <c r="M1556" s="12" t="s">
        <v>1023</v>
      </c>
      <c r="N1556" s="75"/>
    </row>
    <row r="1557" spans="1:14">
      <c r="A1557" s="12">
        <v>1554</v>
      </c>
      <c r="B1557" s="12" t="s">
        <v>4852</v>
      </c>
      <c r="C1557" s="12" t="s">
        <v>979</v>
      </c>
      <c r="D1557" s="12" t="s">
        <v>4853</v>
      </c>
      <c r="E1557" s="85">
        <v>507.13</v>
      </c>
      <c r="F1557" s="6">
        <v>5198003</v>
      </c>
      <c r="G1557" s="12" t="s">
        <v>4854</v>
      </c>
      <c r="H1557" s="12" t="s">
        <v>755</v>
      </c>
      <c r="I1557" s="12" t="s">
        <v>756</v>
      </c>
      <c r="J1557" s="84">
        <v>44022</v>
      </c>
      <c r="K1557" s="84">
        <v>54979</v>
      </c>
      <c r="L1557" s="12" t="s">
        <v>233</v>
      </c>
      <c r="M1557" s="12" t="s">
        <v>2965</v>
      </c>
      <c r="N1557" s="75"/>
    </row>
    <row r="1558" spans="1:14">
      <c r="A1558" s="12">
        <v>1555</v>
      </c>
      <c r="B1558" s="12" t="s">
        <v>4855</v>
      </c>
      <c r="C1558" s="12" t="s">
        <v>4856</v>
      </c>
      <c r="D1558" s="12" t="s">
        <v>4857</v>
      </c>
      <c r="E1558" s="85">
        <v>7120.59</v>
      </c>
      <c r="F1558" s="6">
        <v>5137977</v>
      </c>
      <c r="G1558" s="12" t="s">
        <v>4858</v>
      </c>
      <c r="H1558" s="12" t="s">
        <v>848</v>
      </c>
      <c r="I1558" s="12" t="s">
        <v>849</v>
      </c>
      <c r="J1558" s="84">
        <v>44034</v>
      </c>
      <c r="K1558" s="84">
        <v>54991</v>
      </c>
      <c r="L1558" s="12" t="s">
        <v>1014</v>
      </c>
      <c r="M1558" s="12" t="s">
        <v>3357</v>
      </c>
      <c r="N1558" s="75"/>
    </row>
    <row r="1559" spans="1:14">
      <c r="A1559" s="12">
        <v>1556</v>
      </c>
      <c r="B1559" s="12" t="s">
        <v>4859</v>
      </c>
      <c r="C1559" s="12" t="s">
        <v>212</v>
      </c>
      <c r="D1559" s="12" t="s">
        <v>4860</v>
      </c>
      <c r="E1559" s="85">
        <v>639.53</v>
      </c>
      <c r="F1559" s="6">
        <v>2739135</v>
      </c>
      <c r="G1559" s="12" t="s">
        <v>4861</v>
      </c>
      <c r="H1559" s="12" t="s">
        <v>755</v>
      </c>
      <c r="I1559" s="12" t="s">
        <v>756</v>
      </c>
      <c r="J1559" s="84">
        <v>44034</v>
      </c>
      <c r="K1559" s="84">
        <v>54991</v>
      </c>
      <c r="L1559" s="12" t="s">
        <v>293</v>
      </c>
      <c r="M1559" s="12" t="s">
        <v>815</v>
      </c>
      <c r="N1559" s="75"/>
    </row>
    <row r="1560" spans="1:14">
      <c r="A1560" s="12">
        <v>1557</v>
      </c>
      <c r="B1560" s="12" t="s">
        <v>4862</v>
      </c>
      <c r="C1560" s="12" t="s">
        <v>979</v>
      </c>
      <c r="D1560" s="12" t="s">
        <v>4863</v>
      </c>
      <c r="E1560" s="85">
        <v>342.91</v>
      </c>
      <c r="F1560" s="6">
        <v>2765853</v>
      </c>
      <c r="G1560" s="12" t="s">
        <v>4864</v>
      </c>
      <c r="H1560" s="12" t="s">
        <v>755</v>
      </c>
      <c r="I1560" s="12" t="s">
        <v>756</v>
      </c>
      <c r="J1560" s="84">
        <v>35594</v>
      </c>
      <c r="K1560" s="84">
        <v>46551</v>
      </c>
      <c r="L1560" s="12" t="s">
        <v>274</v>
      </c>
      <c r="M1560" s="12" t="s">
        <v>1413</v>
      </c>
      <c r="N1560" s="75"/>
    </row>
    <row r="1561" spans="1:14">
      <c r="A1561" s="12">
        <v>1558</v>
      </c>
      <c r="B1561" s="12" t="s">
        <v>4865</v>
      </c>
      <c r="C1561" s="12" t="s">
        <v>212</v>
      </c>
      <c r="D1561" s="12" t="s">
        <v>4866</v>
      </c>
      <c r="E1561" s="85">
        <v>571.29999999999995</v>
      </c>
      <c r="F1561" s="6">
        <v>5071569</v>
      </c>
      <c r="G1561" s="12" t="s">
        <v>4867</v>
      </c>
      <c r="H1561" s="12" t="s">
        <v>755</v>
      </c>
      <c r="I1561" s="12" t="s">
        <v>756</v>
      </c>
      <c r="J1561" s="84">
        <v>44046</v>
      </c>
      <c r="K1561" s="84">
        <v>55003</v>
      </c>
      <c r="L1561" s="12" t="s">
        <v>170</v>
      </c>
      <c r="M1561" s="12" t="s">
        <v>171</v>
      </c>
      <c r="N1561" s="75"/>
    </row>
    <row r="1562" spans="1:14">
      <c r="A1562" s="12">
        <v>1559</v>
      </c>
      <c r="B1562" s="12" t="s">
        <v>4868</v>
      </c>
      <c r="C1562" s="12" t="s">
        <v>212</v>
      </c>
      <c r="D1562" s="12" t="s">
        <v>2510</v>
      </c>
      <c r="E1562" s="85">
        <v>755.74</v>
      </c>
      <c r="F1562" s="6">
        <v>5105501</v>
      </c>
      <c r="G1562" s="12" t="s">
        <v>2511</v>
      </c>
      <c r="H1562" s="12" t="s">
        <v>755</v>
      </c>
      <c r="I1562" s="12" t="s">
        <v>756</v>
      </c>
      <c r="J1562" s="84">
        <v>44057</v>
      </c>
      <c r="K1562" s="84">
        <v>55014</v>
      </c>
      <c r="L1562" s="12" t="s">
        <v>138</v>
      </c>
      <c r="M1562" s="12" t="s">
        <v>1927</v>
      </c>
      <c r="N1562" s="75"/>
    </row>
    <row r="1563" spans="1:14">
      <c r="A1563" s="12">
        <v>1560</v>
      </c>
      <c r="B1563" s="12" t="s">
        <v>4869</v>
      </c>
      <c r="C1563" s="12" t="s">
        <v>212</v>
      </c>
      <c r="D1563" s="12" t="s">
        <v>4870</v>
      </c>
      <c r="E1563" s="85">
        <v>219.4</v>
      </c>
      <c r="F1563" s="6">
        <v>5497272</v>
      </c>
      <c r="G1563" s="12" t="s">
        <v>4871</v>
      </c>
      <c r="H1563" s="12" t="s">
        <v>755</v>
      </c>
      <c r="I1563" s="12" t="s">
        <v>756</v>
      </c>
      <c r="J1563" s="84">
        <v>44062</v>
      </c>
      <c r="K1563" s="84">
        <v>55019</v>
      </c>
      <c r="L1563" s="12" t="s">
        <v>170</v>
      </c>
      <c r="M1563" s="12" t="s">
        <v>1426</v>
      </c>
      <c r="N1563" s="75"/>
    </row>
    <row r="1564" spans="1:14">
      <c r="A1564" s="12">
        <v>1561</v>
      </c>
      <c r="B1564" s="12" t="s">
        <v>4872</v>
      </c>
      <c r="C1564" s="12" t="s">
        <v>1506</v>
      </c>
      <c r="D1564" s="12" t="s">
        <v>4873</v>
      </c>
      <c r="E1564" s="85">
        <v>3439.88</v>
      </c>
      <c r="F1564" s="6">
        <v>5343542</v>
      </c>
      <c r="G1564" s="12" t="s">
        <v>4874</v>
      </c>
      <c r="H1564" s="12" t="s">
        <v>848</v>
      </c>
      <c r="I1564" s="12" t="s">
        <v>849</v>
      </c>
      <c r="J1564" s="84">
        <v>44075</v>
      </c>
      <c r="K1564" s="84">
        <v>55032</v>
      </c>
      <c r="L1564" s="12" t="s">
        <v>170</v>
      </c>
      <c r="M1564" s="12" t="s">
        <v>1738</v>
      </c>
      <c r="N1564" s="75"/>
    </row>
    <row r="1565" spans="1:14">
      <c r="A1565" s="12">
        <v>1562</v>
      </c>
      <c r="B1565" s="12" t="s">
        <v>4875</v>
      </c>
      <c r="C1565" s="12" t="s">
        <v>4876</v>
      </c>
      <c r="D1565" s="12" t="s">
        <v>4877</v>
      </c>
      <c r="E1565" s="85">
        <v>2890.72</v>
      </c>
      <c r="F1565" s="6">
        <v>2888696</v>
      </c>
      <c r="G1565" s="12" t="s">
        <v>4878</v>
      </c>
      <c r="H1565" s="12" t="s">
        <v>755</v>
      </c>
      <c r="I1565" s="12" t="s">
        <v>756</v>
      </c>
      <c r="J1565" s="84">
        <v>44075</v>
      </c>
      <c r="K1565" s="84">
        <v>55032</v>
      </c>
      <c r="L1565" s="12" t="s">
        <v>1242</v>
      </c>
      <c r="M1565" s="12" t="s">
        <v>1516</v>
      </c>
      <c r="N1565" s="75"/>
    </row>
    <row r="1566" spans="1:14">
      <c r="A1566" s="12">
        <v>1563</v>
      </c>
      <c r="B1566" s="12" t="s">
        <v>4879</v>
      </c>
      <c r="C1566" s="12" t="s">
        <v>752</v>
      </c>
      <c r="D1566" s="12" t="s">
        <v>4880</v>
      </c>
      <c r="E1566" s="85">
        <v>1226.71</v>
      </c>
      <c r="F1566" s="6">
        <v>5256267</v>
      </c>
      <c r="G1566" s="12" t="s">
        <v>4881</v>
      </c>
      <c r="H1566" s="12" t="s">
        <v>755</v>
      </c>
      <c r="I1566" s="12" t="s">
        <v>756</v>
      </c>
      <c r="J1566" s="84">
        <v>44084</v>
      </c>
      <c r="K1566" s="84">
        <v>55041</v>
      </c>
      <c r="L1566" s="12" t="s">
        <v>1102</v>
      </c>
      <c r="M1566" s="12" t="s">
        <v>2761</v>
      </c>
      <c r="N1566" s="75"/>
    </row>
    <row r="1567" spans="1:14">
      <c r="A1567" s="12">
        <v>1564</v>
      </c>
      <c r="B1567" s="12" t="s">
        <v>4882</v>
      </c>
      <c r="C1567" s="12" t="s">
        <v>212</v>
      </c>
      <c r="D1567" s="12" t="s">
        <v>4883</v>
      </c>
      <c r="E1567" s="85">
        <v>71.75</v>
      </c>
      <c r="F1567" s="6">
        <v>5162696</v>
      </c>
      <c r="G1567" s="12" t="s">
        <v>4884</v>
      </c>
      <c r="H1567" s="12" t="s">
        <v>755</v>
      </c>
      <c r="I1567" s="12" t="s">
        <v>756</v>
      </c>
      <c r="J1567" s="84">
        <v>44088</v>
      </c>
      <c r="K1567" s="84">
        <v>55045</v>
      </c>
      <c r="L1567" s="12" t="s">
        <v>274</v>
      </c>
      <c r="M1567" s="12" t="s">
        <v>874</v>
      </c>
      <c r="N1567" s="75"/>
    </row>
    <row r="1568" spans="1:14">
      <c r="A1568" s="12">
        <v>1565</v>
      </c>
      <c r="B1568" s="12" t="s">
        <v>4885</v>
      </c>
      <c r="C1568" s="12" t="s">
        <v>212</v>
      </c>
      <c r="D1568" s="12" t="s">
        <v>3508</v>
      </c>
      <c r="E1568" s="85">
        <v>761.91</v>
      </c>
      <c r="F1568" s="6">
        <v>4248015</v>
      </c>
      <c r="G1568" s="12" t="s">
        <v>1146</v>
      </c>
      <c r="H1568" s="12" t="s">
        <v>755</v>
      </c>
      <c r="I1568" s="12" t="s">
        <v>756</v>
      </c>
      <c r="J1568" s="84">
        <v>44088</v>
      </c>
      <c r="K1568" s="84">
        <v>55045</v>
      </c>
      <c r="L1568" s="12" t="s">
        <v>170</v>
      </c>
      <c r="M1568" s="12" t="s">
        <v>807</v>
      </c>
      <c r="N1568" s="75"/>
    </row>
    <row r="1569" spans="1:14">
      <c r="A1569" s="12">
        <v>1566</v>
      </c>
      <c r="B1569" s="12" t="s">
        <v>4886</v>
      </c>
      <c r="C1569" s="12" t="s">
        <v>752</v>
      </c>
      <c r="D1569" s="12" t="s">
        <v>2189</v>
      </c>
      <c r="E1569" s="85">
        <v>1006.09</v>
      </c>
      <c r="F1569" s="6">
        <v>5857643</v>
      </c>
      <c r="G1569" s="12" t="s">
        <v>4887</v>
      </c>
      <c r="H1569" s="12" t="s">
        <v>755</v>
      </c>
      <c r="I1569" s="12" t="s">
        <v>756</v>
      </c>
      <c r="J1569" s="84">
        <v>44092</v>
      </c>
      <c r="K1569" s="84">
        <v>55049</v>
      </c>
      <c r="L1569" s="12" t="s">
        <v>304</v>
      </c>
      <c r="M1569" s="12" t="s">
        <v>141</v>
      </c>
      <c r="N1569" s="75"/>
    </row>
    <row r="1570" spans="1:14">
      <c r="A1570" s="12">
        <v>1567</v>
      </c>
      <c r="B1570" s="12" t="s">
        <v>4888</v>
      </c>
      <c r="C1570" s="12" t="s">
        <v>137</v>
      </c>
      <c r="D1570" s="12" t="s">
        <v>2629</v>
      </c>
      <c r="E1570" s="85">
        <v>866.68</v>
      </c>
      <c r="F1570" s="6">
        <v>5567319</v>
      </c>
      <c r="G1570" s="12" t="s">
        <v>2180</v>
      </c>
      <c r="H1570" s="12" t="s">
        <v>848</v>
      </c>
      <c r="I1570" s="12" t="s">
        <v>849</v>
      </c>
      <c r="J1570" s="84">
        <v>44099</v>
      </c>
      <c r="K1570" s="84">
        <v>55056</v>
      </c>
      <c r="L1570" s="12" t="s">
        <v>836</v>
      </c>
      <c r="M1570" s="12" t="s">
        <v>837</v>
      </c>
      <c r="N1570" s="75"/>
    </row>
    <row r="1571" spans="1:14">
      <c r="A1571" s="12">
        <v>1568</v>
      </c>
      <c r="B1571" s="12" t="s">
        <v>4889</v>
      </c>
      <c r="C1571" s="12" t="s">
        <v>752</v>
      </c>
      <c r="D1571" s="12" t="s">
        <v>1607</v>
      </c>
      <c r="E1571" s="85">
        <v>370.31</v>
      </c>
      <c r="F1571" s="6">
        <v>5722942</v>
      </c>
      <c r="G1571" s="12" t="s">
        <v>1608</v>
      </c>
      <c r="H1571" s="12" t="s">
        <v>755</v>
      </c>
      <c r="I1571" s="12" t="s">
        <v>756</v>
      </c>
      <c r="J1571" s="84">
        <v>38149</v>
      </c>
      <c r="K1571" s="84">
        <v>49106</v>
      </c>
      <c r="L1571" s="12" t="s">
        <v>831</v>
      </c>
      <c r="M1571" s="12" t="s">
        <v>832</v>
      </c>
      <c r="N1571" s="75"/>
    </row>
    <row r="1572" spans="1:14">
      <c r="A1572" s="12">
        <v>1569</v>
      </c>
      <c r="B1572" s="12" t="s">
        <v>4890</v>
      </c>
      <c r="C1572" s="12" t="s">
        <v>752</v>
      </c>
      <c r="D1572" s="12" t="s">
        <v>1607</v>
      </c>
      <c r="E1572" s="85">
        <v>248.68</v>
      </c>
      <c r="F1572" s="6">
        <v>5722942</v>
      </c>
      <c r="G1572" s="12" t="s">
        <v>1608</v>
      </c>
      <c r="H1572" s="12" t="s">
        <v>755</v>
      </c>
      <c r="I1572" s="12" t="s">
        <v>756</v>
      </c>
      <c r="J1572" s="84">
        <v>38149</v>
      </c>
      <c r="K1572" s="84">
        <v>49106</v>
      </c>
      <c r="L1572" s="12" t="s">
        <v>274</v>
      </c>
      <c r="M1572" s="12" t="s">
        <v>275</v>
      </c>
      <c r="N1572" s="75"/>
    </row>
    <row r="1573" spans="1:14">
      <c r="A1573" s="12">
        <v>1570</v>
      </c>
      <c r="B1573" s="12" t="s">
        <v>4891</v>
      </c>
      <c r="C1573" s="12" t="s">
        <v>752</v>
      </c>
      <c r="D1573" s="12" t="s">
        <v>1607</v>
      </c>
      <c r="E1573" s="85">
        <v>196.53</v>
      </c>
      <c r="F1573" s="6">
        <v>5722942</v>
      </c>
      <c r="G1573" s="12" t="s">
        <v>1608</v>
      </c>
      <c r="H1573" s="12" t="s">
        <v>755</v>
      </c>
      <c r="I1573" s="12" t="s">
        <v>756</v>
      </c>
      <c r="J1573" s="84">
        <v>38149</v>
      </c>
      <c r="K1573" s="84">
        <v>49106</v>
      </c>
      <c r="L1573" s="12" t="s">
        <v>831</v>
      </c>
      <c r="M1573" s="12" t="s">
        <v>832</v>
      </c>
      <c r="N1573" s="75"/>
    </row>
    <row r="1574" spans="1:14">
      <c r="A1574" s="12">
        <v>1571</v>
      </c>
      <c r="B1574" s="12" t="s">
        <v>4892</v>
      </c>
      <c r="C1574" s="12" t="s">
        <v>752</v>
      </c>
      <c r="D1574" s="12" t="s">
        <v>1607</v>
      </c>
      <c r="E1574" s="85">
        <v>54.54</v>
      </c>
      <c r="F1574" s="6">
        <v>5722942</v>
      </c>
      <c r="G1574" s="12" t="s">
        <v>1608</v>
      </c>
      <c r="H1574" s="12" t="s">
        <v>755</v>
      </c>
      <c r="I1574" s="12" t="s">
        <v>756</v>
      </c>
      <c r="J1574" s="84">
        <v>38149</v>
      </c>
      <c r="K1574" s="84">
        <v>49106</v>
      </c>
      <c r="L1574" s="12" t="s">
        <v>274</v>
      </c>
      <c r="M1574" s="12" t="s">
        <v>275</v>
      </c>
      <c r="N1574" s="75"/>
    </row>
    <row r="1575" spans="1:14">
      <c r="A1575" s="12">
        <v>1572</v>
      </c>
      <c r="B1575" s="12" t="s">
        <v>4893</v>
      </c>
      <c r="C1575" s="12" t="s">
        <v>752</v>
      </c>
      <c r="D1575" s="12" t="s">
        <v>1607</v>
      </c>
      <c r="E1575" s="85">
        <v>53.4</v>
      </c>
      <c r="F1575" s="6">
        <v>5722942</v>
      </c>
      <c r="G1575" s="12" t="s">
        <v>1608</v>
      </c>
      <c r="H1575" s="12" t="s">
        <v>755</v>
      </c>
      <c r="I1575" s="12" t="s">
        <v>756</v>
      </c>
      <c r="J1575" s="84">
        <v>38149</v>
      </c>
      <c r="K1575" s="84">
        <v>49106</v>
      </c>
      <c r="L1575" s="12" t="s">
        <v>831</v>
      </c>
      <c r="M1575" s="12" t="s">
        <v>832</v>
      </c>
      <c r="N1575" s="75"/>
    </row>
    <row r="1576" spans="1:14">
      <c r="A1576" s="12">
        <v>1573</v>
      </c>
      <c r="B1576" s="12" t="s">
        <v>4894</v>
      </c>
      <c r="C1576" s="12" t="s">
        <v>752</v>
      </c>
      <c r="D1576" s="12" t="s">
        <v>1610</v>
      </c>
      <c r="E1576" s="85">
        <v>210.33</v>
      </c>
      <c r="F1576" s="6">
        <v>5722942</v>
      </c>
      <c r="G1576" s="12" t="s">
        <v>1608</v>
      </c>
      <c r="H1576" s="12" t="s">
        <v>755</v>
      </c>
      <c r="I1576" s="12" t="s">
        <v>756</v>
      </c>
      <c r="J1576" s="84">
        <v>38149</v>
      </c>
      <c r="K1576" s="84">
        <v>49106</v>
      </c>
      <c r="L1576" s="12" t="s">
        <v>274</v>
      </c>
      <c r="M1576" s="12" t="s">
        <v>275</v>
      </c>
      <c r="N1576" s="75"/>
    </row>
    <row r="1577" spans="1:14">
      <c r="A1577" s="12">
        <v>1574</v>
      </c>
      <c r="B1577" s="12" t="s">
        <v>4895</v>
      </c>
      <c r="C1577" s="12" t="s">
        <v>137</v>
      </c>
      <c r="D1577" s="12" t="s">
        <v>4896</v>
      </c>
      <c r="E1577" s="85">
        <v>91.16</v>
      </c>
      <c r="F1577" s="6">
        <v>6255671</v>
      </c>
      <c r="G1577" s="12" t="s">
        <v>4897</v>
      </c>
      <c r="H1577" s="12" t="s">
        <v>755</v>
      </c>
      <c r="I1577" s="12" t="s">
        <v>756</v>
      </c>
      <c r="J1577" s="84">
        <v>38441</v>
      </c>
      <c r="K1577" s="84">
        <v>49398</v>
      </c>
      <c r="L1577" s="12" t="s">
        <v>274</v>
      </c>
      <c r="M1577" s="12" t="s">
        <v>944</v>
      </c>
      <c r="N1577" s="75"/>
    </row>
    <row r="1578" spans="1:14">
      <c r="A1578" s="12">
        <v>1575</v>
      </c>
      <c r="B1578" s="12" t="s">
        <v>4898</v>
      </c>
      <c r="C1578" s="12" t="s">
        <v>3840</v>
      </c>
      <c r="D1578" s="12" t="s">
        <v>4899</v>
      </c>
      <c r="E1578" s="85">
        <v>2693.3</v>
      </c>
      <c r="F1578" s="6">
        <v>5485312</v>
      </c>
      <c r="G1578" s="12" t="s">
        <v>3642</v>
      </c>
      <c r="H1578" s="12" t="s">
        <v>755</v>
      </c>
      <c r="I1578" s="12" t="s">
        <v>756</v>
      </c>
      <c r="J1578" s="84">
        <v>44109</v>
      </c>
      <c r="K1578" s="84">
        <v>55066</v>
      </c>
      <c r="L1578" s="12" t="s">
        <v>1014</v>
      </c>
      <c r="M1578" s="12" t="s">
        <v>3643</v>
      </c>
      <c r="N1578" s="75"/>
    </row>
    <row r="1579" spans="1:14">
      <c r="A1579" s="12">
        <v>1576</v>
      </c>
      <c r="B1579" s="12" t="s">
        <v>4900</v>
      </c>
      <c r="C1579" s="12" t="s">
        <v>916</v>
      </c>
      <c r="D1579" s="12" t="s">
        <v>4901</v>
      </c>
      <c r="E1579" s="85">
        <v>354.96</v>
      </c>
      <c r="F1579" s="6">
        <v>5051665</v>
      </c>
      <c r="G1579" s="12" t="s">
        <v>4902</v>
      </c>
      <c r="H1579" s="12" t="s">
        <v>755</v>
      </c>
      <c r="I1579" s="12" t="s">
        <v>756</v>
      </c>
      <c r="J1579" s="84">
        <v>44109</v>
      </c>
      <c r="K1579" s="84">
        <v>55066</v>
      </c>
      <c r="L1579" s="12" t="s">
        <v>170</v>
      </c>
      <c r="M1579" s="12" t="s">
        <v>811</v>
      </c>
      <c r="N1579" s="75"/>
    </row>
    <row r="1580" spans="1:14">
      <c r="A1580" s="12">
        <v>1577</v>
      </c>
      <c r="B1580" s="12" t="s">
        <v>4903</v>
      </c>
      <c r="C1580" s="12" t="s">
        <v>4904</v>
      </c>
      <c r="D1580" s="12" t="s">
        <v>4905</v>
      </c>
      <c r="E1580" s="85">
        <v>1015.33</v>
      </c>
      <c r="F1580" s="6">
        <v>2548747</v>
      </c>
      <c r="G1580" s="12" t="s">
        <v>987</v>
      </c>
      <c r="H1580" s="12" t="s">
        <v>766</v>
      </c>
      <c r="I1580" s="12" t="s">
        <v>767</v>
      </c>
      <c r="J1580" s="84">
        <v>44109</v>
      </c>
      <c r="K1580" s="84">
        <v>55066</v>
      </c>
      <c r="L1580" s="12" t="s">
        <v>138</v>
      </c>
      <c r="M1580" s="12" t="s">
        <v>138</v>
      </c>
      <c r="N1580" s="75"/>
    </row>
    <row r="1581" spans="1:14">
      <c r="A1581" s="12">
        <v>1578</v>
      </c>
      <c r="B1581" s="12" t="s">
        <v>4906</v>
      </c>
      <c r="C1581" s="12" t="s">
        <v>212</v>
      </c>
      <c r="D1581" s="12" t="s">
        <v>124</v>
      </c>
      <c r="E1581" s="85">
        <v>441.93</v>
      </c>
      <c r="F1581" s="6">
        <v>5864801</v>
      </c>
      <c r="G1581" s="12" t="s">
        <v>4907</v>
      </c>
      <c r="H1581" s="12" t="s">
        <v>755</v>
      </c>
      <c r="I1581" s="12" t="s">
        <v>756</v>
      </c>
      <c r="J1581" s="84">
        <v>44106</v>
      </c>
      <c r="K1581" s="84">
        <v>55063</v>
      </c>
      <c r="L1581" s="12" t="s">
        <v>293</v>
      </c>
      <c r="M1581" s="12" t="s">
        <v>124</v>
      </c>
      <c r="N1581" s="75"/>
    </row>
    <row r="1582" spans="1:14">
      <c r="A1582" s="12">
        <v>1579</v>
      </c>
      <c r="B1582" s="12" t="s">
        <v>4908</v>
      </c>
      <c r="C1582" s="12" t="s">
        <v>122</v>
      </c>
      <c r="D1582" s="12" t="s">
        <v>4909</v>
      </c>
      <c r="E1582" s="85">
        <v>132.88</v>
      </c>
      <c r="F1582" s="6">
        <v>2843129</v>
      </c>
      <c r="G1582" s="12" t="s">
        <v>4910</v>
      </c>
      <c r="H1582" s="12" t="s">
        <v>755</v>
      </c>
      <c r="I1582" s="12" t="s">
        <v>756</v>
      </c>
      <c r="J1582" s="84">
        <v>38441</v>
      </c>
      <c r="K1582" s="84">
        <v>49398</v>
      </c>
      <c r="L1582" s="12" t="s">
        <v>170</v>
      </c>
      <c r="M1582" s="12" t="s">
        <v>171</v>
      </c>
      <c r="N1582" s="75"/>
    </row>
    <row r="1583" spans="1:14">
      <c r="A1583" s="12">
        <v>1580</v>
      </c>
      <c r="B1583" s="12" t="s">
        <v>4911</v>
      </c>
      <c r="C1583" s="12" t="s">
        <v>122</v>
      </c>
      <c r="D1583" s="12" t="s">
        <v>4555</v>
      </c>
      <c r="E1583" s="85">
        <v>1278.6300000000001</v>
      </c>
      <c r="F1583" s="6">
        <v>2843129</v>
      </c>
      <c r="G1583" s="12" t="s">
        <v>4910</v>
      </c>
      <c r="H1583" s="12" t="s">
        <v>755</v>
      </c>
      <c r="I1583" s="12" t="s">
        <v>756</v>
      </c>
      <c r="J1583" s="84">
        <v>39449</v>
      </c>
      <c r="K1583" s="84">
        <v>50407</v>
      </c>
      <c r="L1583" s="12" t="s">
        <v>170</v>
      </c>
      <c r="M1583" s="12" t="s">
        <v>171</v>
      </c>
      <c r="N1583" s="75"/>
    </row>
    <row r="1584" spans="1:14">
      <c r="A1584" s="12">
        <v>1581</v>
      </c>
      <c r="B1584" s="12" t="s">
        <v>4912</v>
      </c>
      <c r="C1584" s="12" t="s">
        <v>979</v>
      </c>
      <c r="D1584" s="12" t="s">
        <v>4628</v>
      </c>
      <c r="E1584" s="85">
        <v>398.09</v>
      </c>
      <c r="F1584" s="6">
        <v>5489601</v>
      </c>
      <c r="G1584" s="12" t="s">
        <v>4913</v>
      </c>
      <c r="H1584" s="12" t="s">
        <v>848</v>
      </c>
      <c r="I1584" s="12" t="s">
        <v>849</v>
      </c>
      <c r="J1584" s="84">
        <v>44111</v>
      </c>
      <c r="K1584" s="84">
        <v>55068</v>
      </c>
      <c r="L1584" s="12" t="s">
        <v>375</v>
      </c>
      <c r="M1584" s="12" t="s">
        <v>1000</v>
      </c>
      <c r="N1584" s="75"/>
    </row>
    <row r="1585" spans="1:14">
      <c r="A1585" s="12">
        <v>1582</v>
      </c>
      <c r="B1585" s="12" t="s">
        <v>4914</v>
      </c>
      <c r="C1585" s="12" t="s">
        <v>122</v>
      </c>
      <c r="D1585" s="12" t="s">
        <v>984</v>
      </c>
      <c r="E1585" s="85">
        <v>406.46</v>
      </c>
      <c r="F1585" s="6">
        <v>5427967</v>
      </c>
      <c r="G1585" s="12" t="s">
        <v>4915</v>
      </c>
      <c r="H1585" s="12" t="s">
        <v>848</v>
      </c>
      <c r="I1585" s="12" t="s">
        <v>849</v>
      </c>
      <c r="J1585" s="84">
        <v>44113</v>
      </c>
      <c r="K1585" s="84">
        <v>55070</v>
      </c>
      <c r="L1585" s="12" t="s">
        <v>170</v>
      </c>
      <c r="M1585" s="12" t="s">
        <v>171</v>
      </c>
      <c r="N1585" s="75"/>
    </row>
    <row r="1586" spans="1:14">
      <c r="A1586" s="12">
        <v>1583</v>
      </c>
      <c r="B1586" s="12" t="s">
        <v>4916</v>
      </c>
      <c r="C1586" s="12" t="s">
        <v>2980</v>
      </c>
      <c r="D1586" s="12" t="s">
        <v>4917</v>
      </c>
      <c r="E1586" s="85">
        <v>10598.56</v>
      </c>
      <c r="F1586" s="6">
        <v>5228026</v>
      </c>
      <c r="G1586" s="12" t="s">
        <v>4918</v>
      </c>
      <c r="H1586" s="12" t="s">
        <v>848</v>
      </c>
      <c r="I1586" s="12" t="s">
        <v>849</v>
      </c>
      <c r="J1586" s="84">
        <v>44131</v>
      </c>
      <c r="K1586" s="84">
        <v>55088</v>
      </c>
      <c r="L1586" s="12" t="s">
        <v>170</v>
      </c>
      <c r="M1586" s="12" t="s">
        <v>1426</v>
      </c>
      <c r="N1586" s="75"/>
    </row>
    <row r="1587" spans="1:14">
      <c r="A1587" s="12">
        <v>1584</v>
      </c>
      <c r="B1587" s="12" t="s">
        <v>4919</v>
      </c>
      <c r="C1587" s="12" t="s">
        <v>752</v>
      </c>
      <c r="D1587" s="12" t="s">
        <v>4920</v>
      </c>
      <c r="E1587" s="85">
        <v>27.1</v>
      </c>
      <c r="F1587" s="6">
        <v>6172601</v>
      </c>
      <c r="G1587" s="12" t="s">
        <v>4921</v>
      </c>
      <c r="H1587" s="12" t="s">
        <v>755</v>
      </c>
      <c r="I1587" s="12" t="s">
        <v>756</v>
      </c>
      <c r="J1587" s="84">
        <v>39951</v>
      </c>
      <c r="K1587" s="84">
        <v>50908</v>
      </c>
      <c r="L1587" s="12" t="s">
        <v>180</v>
      </c>
      <c r="M1587" s="12" t="s">
        <v>927</v>
      </c>
      <c r="N1587" s="75"/>
    </row>
    <row r="1588" spans="1:14">
      <c r="A1588" s="12">
        <v>1585</v>
      </c>
      <c r="B1588" s="12" t="s">
        <v>4922</v>
      </c>
      <c r="C1588" s="12" t="s">
        <v>752</v>
      </c>
      <c r="D1588" s="12" t="s">
        <v>4923</v>
      </c>
      <c r="E1588" s="85">
        <v>1036.49</v>
      </c>
      <c r="F1588" s="6">
        <v>5024226</v>
      </c>
      <c r="G1588" s="12" t="s">
        <v>4924</v>
      </c>
      <c r="H1588" s="12" t="s">
        <v>755</v>
      </c>
      <c r="I1588" s="12" t="s">
        <v>756</v>
      </c>
      <c r="J1588" s="84">
        <v>44181</v>
      </c>
      <c r="K1588" s="84">
        <v>55138</v>
      </c>
      <c r="L1588" s="12" t="s">
        <v>274</v>
      </c>
      <c r="M1588" s="12" t="s">
        <v>982</v>
      </c>
      <c r="N1588" s="75"/>
    </row>
    <row r="1589" spans="1:14">
      <c r="A1589" s="12">
        <v>1586</v>
      </c>
      <c r="B1589" s="12" t="s">
        <v>4925</v>
      </c>
      <c r="C1589" s="12" t="s">
        <v>3840</v>
      </c>
      <c r="D1589" s="12" t="s">
        <v>4926</v>
      </c>
      <c r="E1589" s="85">
        <v>545.55999999999995</v>
      </c>
      <c r="F1589" s="6">
        <v>2085976</v>
      </c>
      <c r="G1589" s="12" t="s">
        <v>4927</v>
      </c>
      <c r="H1589" s="12" t="s">
        <v>755</v>
      </c>
      <c r="I1589" s="12" t="s">
        <v>756</v>
      </c>
      <c r="J1589" s="84">
        <v>44193</v>
      </c>
      <c r="K1589" s="84">
        <v>55150</v>
      </c>
      <c r="L1589" s="12" t="s">
        <v>375</v>
      </c>
      <c r="M1589" s="12" t="s">
        <v>1000</v>
      </c>
      <c r="N1589" s="75"/>
    </row>
    <row r="1590" spans="1:14">
      <c r="A1590" s="12">
        <v>1587</v>
      </c>
      <c r="B1590" s="12" t="s">
        <v>4928</v>
      </c>
      <c r="C1590" s="12" t="s">
        <v>4929</v>
      </c>
      <c r="D1590" s="12" t="s">
        <v>4389</v>
      </c>
      <c r="E1590" s="85">
        <v>3220.88</v>
      </c>
      <c r="F1590" s="6">
        <v>5199123</v>
      </c>
      <c r="G1590" s="12" t="s">
        <v>4103</v>
      </c>
      <c r="H1590" s="12" t="s">
        <v>755</v>
      </c>
      <c r="I1590" s="12" t="s">
        <v>756</v>
      </c>
      <c r="J1590" s="84">
        <v>44209</v>
      </c>
      <c r="K1590" s="84">
        <v>55166</v>
      </c>
      <c r="L1590" s="12" t="s">
        <v>375</v>
      </c>
      <c r="M1590" s="12" t="s">
        <v>1892</v>
      </c>
      <c r="N1590" s="75"/>
    </row>
    <row r="1591" spans="1:14">
      <c r="A1591" s="12">
        <v>1588</v>
      </c>
      <c r="B1591" s="12" t="s">
        <v>4930</v>
      </c>
      <c r="C1591" s="12" t="s">
        <v>4904</v>
      </c>
      <c r="D1591" s="12" t="s">
        <v>4931</v>
      </c>
      <c r="E1591" s="85">
        <v>15316.82</v>
      </c>
      <c r="F1591" s="6">
        <v>5403197</v>
      </c>
      <c r="G1591" s="12" t="s">
        <v>4932</v>
      </c>
      <c r="H1591" s="12" t="s">
        <v>755</v>
      </c>
      <c r="I1591" s="12" t="s">
        <v>756</v>
      </c>
      <c r="J1591" s="84">
        <v>44214</v>
      </c>
      <c r="K1591" s="84">
        <v>55171</v>
      </c>
      <c r="L1591" s="12" t="s">
        <v>233</v>
      </c>
      <c r="M1591" s="12" t="s">
        <v>234</v>
      </c>
      <c r="N1591" s="75"/>
    </row>
    <row r="1592" spans="1:14">
      <c r="A1592" s="12">
        <v>1589</v>
      </c>
      <c r="B1592" s="12" t="s">
        <v>4933</v>
      </c>
      <c r="C1592" s="12" t="s">
        <v>122</v>
      </c>
      <c r="D1592" s="12" t="s">
        <v>4934</v>
      </c>
      <c r="E1592" s="85">
        <v>6192.83</v>
      </c>
      <c r="F1592" s="6">
        <v>5417791</v>
      </c>
      <c r="G1592" s="12" t="s">
        <v>4935</v>
      </c>
      <c r="H1592" s="12" t="s">
        <v>755</v>
      </c>
      <c r="I1592" s="12" t="s">
        <v>756</v>
      </c>
      <c r="J1592" s="84">
        <v>44214</v>
      </c>
      <c r="K1592" s="84">
        <v>55171</v>
      </c>
      <c r="L1592" s="12" t="s">
        <v>233</v>
      </c>
      <c r="M1592" s="12" t="s">
        <v>2965</v>
      </c>
      <c r="N1592" s="75"/>
    </row>
    <row r="1593" spans="1:14">
      <c r="A1593" s="12">
        <v>1590</v>
      </c>
      <c r="B1593" s="12" t="s">
        <v>4936</v>
      </c>
      <c r="C1593" s="12" t="s">
        <v>4937</v>
      </c>
      <c r="D1593" s="12" t="s">
        <v>4938</v>
      </c>
      <c r="E1593" s="85">
        <v>2085.6</v>
      </c>
      <c r="F1593" s="6">
        <v>5197783</v>
      </c>
      <c r="G1593" s="12" t="s">
        <v>4939</v>
      </c>
      <c r="H1593" s="12" t="s">
        <v>755</v>
      </c>
      <c r="I1593" s="12" t="s">
        <v>756</v>
      </c>
      <c r="J1593" s="84">
        <v>44225</v>
      </c>
      <c r="K1593" s="84">
        <v>55182</v>
      </c>
      <c r="L1593" s="12" t="s">
        <v>138</v>
      </c>
      <c r="M1593" s="12" t="s">
        <v>1806</v>
      </c>
      <c r="N1593" s="75"/>
    </row>
    <row r="1594" spans="1:14">
      <c r="A1594" s="12">
        <v>1591</v>
      </c>
      <c r="B1594" s="12" t="s">
        <v>4940</v>
      </c>
      <c r="C1594" s="12" t="s">
        <v>137</v>
      </c>
      <c r="D1594" s="12" t="s">
        <v>1516</v>
      </c>
      <c r="E1594" s="85">
        <v>99.26</v>
      </c>
      <c r="F1594" s="6">
        <v>5076978</v>
      </c>
      <c r="G1594" s="12" t="s">
        <v>4941</v>
      </c>
      <c r="H1594" s="12" t="s">
        <v>755</v>
      </c>
      <c r="I1594" s="12" t="s">
        <v>756</v>
      </c>
      <c r="J1594" s="84">
        <v>44235</v>
      </c>
      <c r="K1594" s="84">
        <v>55192</v>
      </c>
      <c r="L1594" s="12" t="s">
        <v>1518</v>
      </c>
      <c r="M1594" s="12" t="s">
        <v>1519</v>
      </c>
      <c r="N1594" s="75"/>
    </row>
    <row r="1595" spans="1:14">
      <c r="A1595" s="12">
        <v>1592</v>
      </c>
      <c r="B1595" s="12" t="s">
        <v>4942</v>
      </c>
      <c r="C1595" s="12" t="s">
        <v>4943</v>
      </c>
      <c r="D1595" s="12" t="s">
        <v>3401</v>
      </c>
      <c r="E1595" s="85">
        <v>874.69</v>
      </c>
      <c r="F1595" s="6">
        <v>5153077</v>
      </c>
      <c r="G1595" s="12" t="s">
        <v>4944</v>
      </c>
      <c r="H1595" s="12" t="s">
        <v>755</v>
      </c>
      <c r="I1595" s="12" t="s">
        <v>756</v>
      </c>
      <c r="J1595" s="84">
        <v>44265</v>
      </c>
      <c r="K1595" s="84">
        <v>55222</v>
      </c>
      <c r="L1595" s="12" t="s">
        <v>170</v>
      </c>
      <c r="M1595" s="12" t="s">
        <v>171</v>
      </c>
      <c r="N1595" s="75"/>
    </row>
    <row r="1596" spans="1:14">
      <c r="A1596" s="12">
        <v>1593</v>
      </c>
      <c r="B1596" s="12" t="s">
        <v>4945</v>
      </c>
      <c r="C1596" s="12" t="s">
        <v>200</v>
      </c>
      <c r="D1596" s="12" t="s">
        <v>4946</v>
      </c>
      <c r="E1596" s="85">
        <v>79.67</v>
      </c>
      <c r="F1596" s="6">
        <v>5947243</v>
      </c>
      <c r="G1596" s="12" t="s">
        <v>4947</v>
      </c>
      <c r="H1596" s="12" t="s">
        <v>755</v>
      </c>
      <c r="I1596" s="12" t="s">
        <v>756</v>
      </c>
      <c r="J1596" s="84">
        <v>44260</v>
      </c>
      <c r="K1596" s="84">
        <v>55217</v>
      </c>
      <c r="L1596" s="12" t="s">
        <v>170</v>
      </c>
      <c r="M1596" s="12" t="s">
        <v>205</v>
      </c>
      <c r="N1596" s="75"/>
    </row>
    <row r="1597" spans="1:14">
      <c r="A1597" s="12">
        <v>1594</v>
      </c>
      <c r="B1597" s="12" t="s">
        <v>4948</v>
      </c>
      <c r="C1597" s="12" t="s">
        <v>200</v>
      </c>
      <c r="D1597" s="12" t="s">
        <v>4949</v>
      </c>
      <c r="E1597" s="85">
        <v>262.85000000000002</v>
      </c>
      <c r="F1597" s="6">
        <v>5947243</v>
      </c>
      <c r="G1597" s="12" t="s">
        <v>4947</v>
      </c>
      <c r="H1597" s="12" t="s">
        <v>755</v>
      </c>
      <c r="I1597" s="12" t="s">
        <v>756</v>
      </c>
      <c r="J1597" s="84">
        <v>44260</v>
      </c>
      <c r="K1597" s="84">
        <v>55217</v>
      </c>
      <c r="L1597" s="12" t="s">
        <v>170</v>
      </c>
      <c r="M1597" s="12" t="s">
        <v>205</v>
      </c>
      <c r="N1597" s="75"/>
    </row>
    <row r="1598" spans="1:14">
      <c r="A1598" s="12">
        <v>1595</v>
      </c>
      <c r="B1598" s="12" t="s">
        <v>4950</v>
      </c>
      <c r="C1598" s="12" t="s">
        <v>979</v>
      </c>
      <c r="D1598" s="12" t="s">
        <v>1389</v>
      </c>
      <c r="E1598" s="85">
        <v>5826.87</v>
      </c>
      <c r="F1598" s="6">
        <v>5235251</v>
      </c>
      <c r="G1598" s="12" t="s">
        <v>4951</v>
      </c>
      <c r="H1598" s="12" t="s">
        <v>755</v>
      </c>
      <c r="I1598" s="12" t="s">
        <v>756</v>
      </c>
      <c r="J1598" s="84">
        <v>44266</v>
      </c>
      <c r="K1598" s="84">
        <v>55223</v>
      </c>
      <c r="L1598" s="12" t="s">
        <v>233</v>
      </c>
      <c r="M1598" s="12" t="s">
        <v>2965</v>
      </c>
      <c r="N1598" s="75"/>
    </row>
    <row r="1599" spans="1:14">
      <c r="A1599" s="12">
        <v>1596</v>
      </c>
      <c r="B1599" s="12" t="s">
        <v>4952</v>
      </c>
      <c r="C1599" s="12" t="s">
        <v>752</v>
      </c>
      <c r="D1599" s="12" t="s">
        <v>4953</v>
      </c>
      <c r="E1599" s="85">
        <v>77.09</v>
      </c>
      <c r="F1599" s="6">
        <v>2675471</v>
      </c>
      <c r="G1599" s="12" t="s">
        <v>2282</v>
      </c>
      <c r="H1599" s="12" t="s">
        <v>755</v>
      </c>
      <c r="I1599" s="12" t="s">
        <v>756</v>
      </c>
      <c r="J1599" s="84">
        <v>37644</v>
      </c>
      <c r="K1599" s="84">
        <v>50415</v>
      </c>
      <c r="L1599" s="12" t="s">
        <v>768</v>
      </c>
      <c r="M1599" s="12" t="s">
        <v>1386</v>
      </c>
      <c r="N1599" s="75"/>
    </row>
    <row r="1600" spans="1:14">
      <c r="A1600" s="12">
        <v>1597</v>
      </c>
      <c r="B1600" s="12" t="s">
        <v>4954</v>
      </c>
      <c r="C1600" s="12" t="s">
        <v>212</v>
      </c>
      <c r="D1600" s="12" t="s">
        <v>4955</v>
      </c>
      <c r="E1600" s="85">
        <v>240.95</v>
      </c>
      <c r="F1600" s="6">
        <v>5581729</v>
      </c>
      <c r="G1600" s="12" t="s">
        <v>4956</v>
      </c>
      <c r="H1600" s="12" t="s">
        <v>755</v>
      </c>
      <c r="I1600" s="12" t="s">
        <v>756</v>
      </c>
      <c r="J1600" s="84">
        <v>44278</v>
      </c>
      <c r="K1600" s="84">
        <v>55235</v>
      </c>
      <c r="L1600" s="12" t="s">
        <v>375</v>
      </c>
      <c r="M1600" s="12" t="s">
        <v>1476</v>
      </c>
      <c r="N1600" s="75"/>
    </row>
    <row r="1601" spans="1:14">
      <c r="A1601" s="12">
        <v>1598</v>
      </c>
      <c r="B1601" s="12" t="s">
        <v>4957</v>
      </c>
      <c r="C1601" s="12" t="s">
        <v>752</v>
      </c>
      <c r="D1601" s="12" t="s">
        <v>1290</v>
      </c>
      <c r="E1601" s="85">
        <v>215.57</v>
      </c>
      <c r="F1601" s="6">
        <v>5898749</v>
      </c>
      <c r="G1601" s="12" t="s">
        <v>786</v>
      </c>
      <c r="H1601" s="12" t="s">
        <v>755</v>
      </c>
      <c r="I1601" s="12" t="s">
        <v>756</v>
      </c>
      <c r="J1601" s="84">
        <v>37391</v>
      </c>
      <c r="K1601" s="84">
        <v>48349</v>
      </c>
      <c r="L1601" s="12" t="s">
        <v>274</v>
      </c>
      <c r="M1601" s="12" t="s">
        <v>275</v>
      </c>
      <c r="N1601" s="75"/>
    </row>
    <row r="1602" spans="1:14">
      <c r="A1602" s="12">
        <v>1599</v>
      </c>
      <c r="B1602" s="12" t="s">
        <v>4958</v>
      </c>
      <c r="C1602" s="12" t="s">
        <v>122</v>
      </c>
      <c r="D1602" s="12" t="s">
        <v>4434</v>
      </c>
      <c r="E1602" s="85">
        <v>3858.78</v>
      </c>
      <c r="F1602" s="6">
        <v>5402204</v>
      </c>
      <c r="G1602" s="12" t="s">
        <v>4959</v>
      </c>
      <c r="H1602" s="12" t="s">
        <v>755</v>
      </c>
      <c r="I1602" s="12" t="s">
        <v>756</v>
      </c>
      <c r="J1602" s="84">
        <v>43818</v>
      </c>
      <c r="K1602" s="84">
        <v>54776</v>
      </c>
      <c r="L1602" s="12" t="s">
        <v>233</v>
      </c>
      <c r="M1602" s="12" t="s">
        <v>1755</v>
      </c>
      <c r="N1602" s="75"/>
    </row>
    <row r="1603" spans="1:14">
      <c r="A1603" s="12">
        <v>1600</v>
      </c>
      <c r="B1603" s="12" t="s">
        <v>4960</v>
      </c>
      <c r="C1603" s="12" t="s">
        <v>200</v>
      </c>
      <c r="D1603" s="12" t="s">
        <v>3064</v>
      </c>
      <c r="E1603" s="85">
        <v>443.08</v>
      </c>
      <c r="F1603" s="6">
        <v>5405335</v>
      </c>
      <c r="G1603" s="12" t="s">
        <v>3513</v>
      </c>
      <c r="H1603" s="12" t="s">
        <v>755</v>
      </c>
      <c r="I1603" s="12" t="s">
        <v>756</v>
      </c>
      <c r="J1603" s="84">
        <v>44279</v>
      </c>
      <c r="K1603" s="84">
        <v>55236</v>
      </c>
      <c r="L1603" s="12" t="s">
        <v>375</v>
      </c>
      <c r="M1603" s="12" t="s">
        <v>893</v>
      </c>
      <c r="N1603" s="75"/>
    </row>
    <row r="1604" spans="1:14">
      <c r="A1604" s="12">
        <v>1601</v>
      </c>
      <c r="B1604" s="12" t="s">
        <v>4961</v>
      </c>
      <c r="C1604" s="12" t="s">
        <v>212</v>
      </c>
      <c r="D1604" s="12" t="s">
        <v>4962</v>
      </c>
      <c r="E1604" s="85">
        <v>194.58</v>
      </c>
      <c r="F1604" s="6">
        <v>5102189</v>
      </c>
      <c r="G1604" s="12" t="s">
        <v>2360</v>
      </c>
      <c r="H1604" s="12" t="s">
        <v>848</v>
      </c>
      <c r="I1604" s="12" t="s">
        <v>849</v>
      </c>
      <c r="J1604" s="84">
        <v>44280</v>
      </c>
      <c r="K1604" s="84">
        <v>55237</v>
      </c>
      <c r="L1604" s="12" t="s">
        <v>293</v>
      </c>
      <c r="M1604" s="12" t="s">
        <v>815</v>
      </c>
      <c r="N1604" s="75"/>
    </row>
    <row r="1605" spans="1:14">
      <c r="A1605" s="12">
        <v>1602</v>
      </c>
      <c r="B1605" s="12" t="s">
        <v>4963</v>
      </c>
      <c r="C1605" s="12" t="s">
        <v>752</v>
      </c>
      <c r="D1605" s="12" t="s">
        <v>4102</v>
      </c>
      <c r="E1605" s="85">
        <v>1275.22</v>
      </c>
      <c r="F1605" s="6">
        <v>5199123</v>
      </c>
      <c r="G1605" s="12" t="s">
        <v>4103</v>
      </c>
      <c r="H1605" s="12" t="s">
        <v>755</v>
      </c>
      <c r="I1605" s="12" t="s">
        <v>756</v>
      </c>
      <c r="J1605" s="84">
        <v>44309</v>
      </c>
      <c r="K1605" s="84">
        <v>55266</v>
      </c>
      <c r="L1605" s="12" t="s">
        <v>274</v>
      </c>
      <c r="M1605" s="12" t="s">
        <v>874</v>
      </c>
      <c r="N1605" s="75"/>
    </row>
    <row r="1606" spans="1:14">
      <c r="A1606" s="12">
        <v>1603</v>
      </c>
      <c r="B1606" s="12" t="s">
        <v>4964</v>
      </c>
      <c r="C1606" s="12" t="s">
        <v>752</v>
      </c>
      <c r="D1606" s="12" t="s">
        <v>4965</v>
      </c>
      <c r="E1606" s="85">
        <v>1249.69</v>
      </c>
      <c r="F1606" s="6">
        <v>2291142</v>
      </c>
      <c r="G1606" s="12" t="s">
        <v>2936</v>
      </c>
      <c r="H1606" s="12" t="s">
        <v>755</v>
      </c>
      <c r="I1606" s="12" t="s">
        <v>756</v>
      </c>
      <c r="J1606" s="84">
        <v>44309</v>
      </c>
      <c r="K1606" s="84">
        <v>55266</v>
      </c>
      <c r="L1606" s="12" t="s">
        <v>274</v>
      </c>
      <c r="M1606" s="12" t="s">
        <v>874</v>
      </c>
      <c r="N1606" s="75"/>
    </row>
    <row r="1607" spans="1:14">
      <c r="A1607" s="12">
        <v>1604</v>
      </c>
      <c r="B1607" s="12" t="s">
        <v>4966</v>
      </c>
      <c r="C1607" s="12" t="s">
        <v>221</v>
      </c>
      <c r="D1607" s="12" t="s">
        <v>4917</v>
      </c>
      <c r="E1607" s="85">
        <v>1601.16</v>
      </c>
      <c r="F1607" s="6">
        <v>6300693</v>
      </c>
      <c r="G1607" s="12" t="s">
        <v>4967</v>
      </c>
      <c r="H1607" s="12" t="s">
        <v>755</v>
      </c>
      <c r="I1607" s="12" t="s">
        <v>756</v>
      </c>
      <c r="J1607" s="84">
        <v>44309</v>
      </c>
      <c r="K1607" s="84">
        <v>55266</v>
      </c>
      <c r="L1607" s="12" t="s">
        <v>170</v>
      </c>
      <c r="M1607" s="12" t="s">
        <v>1426</v>
      </c>
      <c r="N1607" s="75"/>
    </row>
    <row r="1608" spans="1:14">
      <c r="A1608" s="12">
        <v>1605</v>
      </c>
      <c r="B1608" s="12" t="s">
        <v>4968</v>
      </c>
      <c r="C1608" s="12" t="s">
        <v>137</v>
      </c>
      <c r="D1608" s="12" t="s">
        <v>4969</v>
      </c>
      <c r="E1608" s="85">
        <v>205.26</v>
      </c>
      <c r="F1608" s="6">
        <v>5068053</v>
      </c>
      <c r="G1608" s="12" t="s">
        <v>3416</v>
      </c>
      <c r="H1608" s="12" t="s">
        <v>766</v>
      </c>
      <c r="I1608" s="12" t="s">
        <v>767</v>
      </c>
      <c r="J1608" s="84">
        <v>44334</v>
      </c>
      <c r="K1608" s="84">
        <v>55291</v>
      </c>
      <c r="L1608" s="12" t="s">
        <v>293</v>
      </c>
      <c r="M1608" s="12" t="s">
        <v>181</v>
      </c>
      <c r="N1608" s="75"/>
    </row>
    <row r="1609" spans="1:14">
      <c r="A1609" s="12">
        <v>1606</v>
      </c>
      <c r="B1609" s="12" t="s">
        <v>4970</v>
      </c>
      <c r="C1609" s="12" t="s">
        <v>147</v>
      </c>
      <c r="D1609" s="12" t="s">
        <v>4971</v>
      </c>
      <c r="E1609" s="85">
        <v>1240.93</v>
      </c>
      <c r="F1609" s="6">
        <v>5152054</v>
      </c>
      <c r="G1609" s="12" t="s">
        <v>4972</v>
      </c>
      <c r="H1609" s="12" t="s">
        <v>755</v>
      </c>
      <c r="I1609" s="12" t="s">
        <v>756</v>
      </c>
      <c r="J1609" s="84">
        <v>44335</v>
      </c>
      <c r="K1609" s="84">
        <v>55292</v>
      </c>
      <c r="L1609" s="12" t="s">
        <v>288</v>
      </c>
      <c r="M1609" s="12" t="s">
        <v>2467</v>
      </c>
      <c r="N1609" s="75"/>
    </row>
    <row r="1610" spans="1:14">
      <c r="A1610" s="12">
        <v>1607</v>
      </c>
      <c r="B1610" s="12" t="s">
        <v>4973</v>
      </c>
      <c r="C1610" s="12" t="s">
        <v>752</v>
      </c>
      <c r="D1610" s="12" t="s">
        <v>4974</v>
      </c>
      <c r="E1610" s="85">
        <v>452.1</v>
      </c>
      <c r="F1610" s="6">
        <v>6423922</v>
      </c>
      <c r="G1610" s="12" t="s">
        <v>4975</v>
      </c>
      <c r="H1610" s="12" t="s">
        <v>755</v>
      </c>
      <c r="I1610" s="12" t="s">
        <v>756</v>
      </c>
      <c r="J1610" s="84">
        <v>44337</v>
      </c>
      <c r="K1610" s="84">
        <v>55294</v>
      </c>
      <c r="L1610" s="12" t="s">
        <v>768</v>
      </c>
      <c r="M1610" s="12" t="s">
        <v>933</v>
      </c>
      <c r="N1610" s="75"/>
    </row>
    <row r="1611" spans="1:14">
      <c r="A1611" s="12">
        <v>1608</v>
      </c>
      <c r="B1611" s="12" t="s">
        <v>4976</v>
      </c>
      <c r="C1611" s="12" t="s">
        <v>3421</v>
      </c>
      <c r="D1611" s="12" t="s">
        <v>4977</v>
      </c>
      <c r="E1611" s="85">
        <v>7082.59</v>
      </c>
      <c r="F1611" s="6">
        <v>5195233</v>
      </c>
      <c r="G1611" s="12" t="s">
        <v>4978</v>
      </c>
      <c r="H1611" s="12" t="s">
        <v>755</v>
      </c>
      <c r="I1611" s="12" t="s">
        <v>756</v>
      </c>
      <c r="J1611" s="84">
        <v>44344</v>
      </c>
      <c r="K1611" s="84">
        <v>55301</v>
      </c>
      <c r="L1611" s="12" t="s">
        <v>233</v>
      </c>
      <c r="M1611" s="12" t="s">
        <v>2965</v>
      </c>
      <c r="N1611" s="75"/>
    </row>
    <row r="1612" spans="1:14">
      <c r="A1612" s="12">
        <v>1609</v>
      </c>
      <c r="B1612" s="12" t="s">
        <v>4979</v>
      </c>
      <c r="C1612" s="12" t="s">
        <v>212</v>
      </c>
      <c r="D1612" s="12" t="s">
        <v>1766</v>
      </c>
      <c r="E1612" s="85">
        <v>166.13</v>
      </c>
      <c r="F1612" s="6">
        <v>6444318</v>
      </c>
      <c r="G1612" s="12" t="s">
        <v>4980</v>
      </c>
      <c r="H1612" s="12" t="s">
        <v>755</v>
      </c>
      <c r="I1612" s="12" t="s">
        <v>756</v>
      </c>
      <c r="J1612" s="84">
        <v>44347</v>
      </c>
      <c r="K1612" s="84">
        <v>55304</v>
      </c>
      <c r="L1612" s="12" t="s">
        <v>170</v>
      </c>
      <c r="M1612" s="12" t="s">
        <v>802</v>
      </c>
      <c r="N1612" s="75"/>
    </row>
    <row r="1613" spans="1:14">
      <c r="A1613" s="12">
        <v>1610</v>
      </c>
      <c r="B1613" s="12" t="s">
        <v>4981</v>
      </c>
      <c r="C1613" s="12" t="s">
        <v>212</v>
      </c>
      <c r="D1613" s="12" t="s">
        <v>4982</v>
      </c>
      <c r="E1613" s="85">
        <v>117.26</v>
      </c>
      <c r="F1613" s="6">
        <v>6471919</v>
      </c>
      <c r="G1613" s="12" t="s">
        <v>4983</v>
      </c>
      <c r="H1613" s="12" t="s">
        <v>755</v>
      </c>
      <c r="I1613" s="12" t="s">
        <v>756</v>
      </c>
      <c r="J1613" s="84">
        <v>44358</v>
      </c>
      <c r="K1613" s="84">
        <v>55315</v>
      </c>
      <c r="L1613" s="12" t="s">
        <v>375</v>
      </c>
      <c r="M1613" s="12" t="s">
        <v>4984</v>
      </c>
      <c r="N1613" s="75"/>
    </row>
    <row r="1614" spans="1:14">
      <c r="A1614" s="12">
        <v>1611</v>
      </c>
      <c r="B1614" s="12" t="s">
        <v>4985</v>
      </c>
      <c r="C1614" s="12" t="s">
        <v>4986</v>
      </c>
      <c r="D1614" s="12" t="s">
        <v>1200</v>
      </c>
      <c r="E1614" s="85">
        <v>4523.6400000000003</v>
      </c>
      <c r="F1614" s="6">
        <v>5533864</v>
      </c>
      <c r="G1614" s="12" t="s">
        <v>4987</v>
      </c>
      <c r="H1614" s="12" t="s">
        <v>755</v>
      </c>
      <c r="I1614" s="12" t="s">
        <v>756</v>
      </c>
      <c r="J1614" s="84">
        <v>44358</v>
      </c>
      <c r="K1614" s="84">
        <v>55315</v>
      </c>
      <c r="L1614" s="12" t="s">
        <v>170</v>
      </c>
      <c r="M1614" s="12" t="s">
        <v>1738</v>
      </c>
      <c r="N1614" s="75"/>
    </row>
    <row r="1615" spans="1:14">
      <c r="A1615" s="12">
        <v>1612</v>
      </c>
      <c r="B1615" s="12" t="s">
        <v>4988</v>
      </c>
      <c r="C1615" s="12" t="s">
        <v>122</v>
      </c>
      <c r="D1615" s="12" t="s">
        <v>4704</v>
      </c>
      <c r="E1615" s="85">
        <v>2931.59</v>
      </c>
      <c r="F1615" s="6">
        <v>5133351</v>
      </c>
      <c r="G1615" s="12" t="s">
        <v>4989</v>
      </c>
      <c r="H1615" s="12" t="s">
        <v>755</v>
      </c>
      <c r="I1615" s="12" t="s">
        <v>756</v>
      </c>
      <c r="J1615" s="84">
        <v>44358</v>
      </c>
      <c r="K1615" s="84">
        <v>55315</v>
      </c>
      <c r="L1615" s="12" t="s">
        <v>768</v>
      </c>
      <c r="M1615" s="12" t="s">
        <v>884</v>
      </c>
      <c r="N1615" s="75"/>
    </row>
    <row r="1616" spans="1:14">
      <c r="A1616" s="12">
        <v>1613</v>
      </c>
      <c r="B1616" s="12" t="s">
        <v>4990</v>
      </c>
      <c r="C1616" s="12" t="s">
        <v>1124</v>
      </c>
      <c r="D1616" s="12" t="s">
        <v>2350</v>
      </c>
      <c r="E1616" s="85">
        <v>321.67</v>
      </c>
      <c r="F1616" s="6">
        <v>2696304</v>
      </c>
      <c r="G1616" s="12" t="s">
        <v>1658</v>
      </c>
      <c r="H1616" s="12" t="s">
        <v>755</v>
      </c>
      <c r="I1616" s="12" t="s">
        <v>756</v>
      </c>
      <c r="J1616" s="84">
        <v>44364</v>
      </c>
      <c r="K1616" s="84">
        <v>55321</v>
      </c>
      <c r="L1616" s="12" t="s">
        <v>274</v>
      </c>
      <c r="M1616" s="12" t="s">
        <v>1042</v>
      </c>
      <c r="N1616" s="75"/>
    </row>
    <row r="1617" spans="1:14">
      <c r="A1617" s="12">
        <v>1614</v>
      </c>
      <c r="B1617" s="12" t="s">
        <v>4991</v>
      </c>
      <c r="C1617" s="12" t="s">
        <v>1939</v>
      </c>
      <c r="D1617" s="12" t="s">
        <v>4992</v>
      </c>
      <c r="E1617" s="85">
        <v>662.66</v>
      </c>
      <c r="F1617" s="6">
        <v>5210453</v>
      </c>
      <c r="G1617" s="12" t="s">
        <v>4993</v>
      </c>
      <c r="H1617" s="12" t="s">
        <v>766</v>
      </c>
      <c r="I1617" s="12" t="s">
        <v>767</v>
      </c>
      <c r="J1617" s="84">
        <v>44376</v>
      </c>
      <c r="K1617" s="84">
        <v>55333</v>
      </c>
      <c r="L1617" s="12" t="s">
        <v>1242</v>
      </c>
      <c r="M1617" s="12" t="s">
        <v>4994</v>
      </c>
      <c r="N1617" s="75"/>
    </row>
    <row r="1618" spans="1:14">
      <c r="A1618" s="12">
        <v>1615</v>
      </c>
      <c r="B1618" s="12" t="s">
        <v>4995</v>
      </c>
      <c r="C1618" s="12" t="s">
        <v>1939</v>
      </c>
      <c r="D1618" s="12" t="s">
        <v>4996</v>
      </c>
      <c r="E1618" s="85">
        <v>927.94</v>
      </c>
      <c r="F1618" s="6">
        <v>5210453</v>
      </c>
      <c r="G1618" s="12" t="s">
        <v>4993</v>
      </c>
      <c r="H1618" s="12" t="s">
        <v>766</v>
      </c>
      <c r="I1618" s="12" t="s">
        <v>767</v>
      </c>
      <c r="J1618" s="84">
        <v>44376</v>
      </c>
      <c r="K1618" s="84">
        <v>55333</v>
      </c>
      <c r="L1618" s="12" t="s">
        <v>1242</v>
      </c>
      <c r="M1618" s="12" t="s">
        <v>4994</v>
      </c>
      <c r="N1618" s="75"/>
    </row>
    <row r="1619" spans="1:14">
      <c r="A1619" s="12">
        <v>1616</v>
      </c>
      <c r="B1619" s="12" t="s">
        <v>4997</v>
      </c>
      <c r="C1619" s="12" t="s">
        <v>752</v>
      </c>
      <c r="D1619" s="12" t="s">
        <v>4084</v>
      </c>
      <c r="E1619" s="85">
        <v>1492.43</v>
      </c>
      <c r="F1619" s="6">
        <v>5926629</v>
      </c>
      <c r="G1619" s="12" t="s">
        <v>2755</v>
      </c>
      <c r="H1619" s="12" t="s">
        <v>755</v>
      </c>
      <c r="I1619" s="12" t="s">
        <v>756</v>
      </c>
      <c r="J1619" s="84">
        <v>44376</v>
      </c>
      <c r="K1619" s="84">
        <v>55333</v>
      </c>
      <c r="L1619" s="12" t="s">
        <v>836</v>
      </c>
      <c r="M1619" s="12" t="s">
        <v>3029</v>
      </c>
      <c r="N1619" s="75"/>
    </row>
    <row r="1620" spans="1:14">
      <c r="A1620" s="12">
        <v>1617</v>
      </c>
      <c r="B1620" s="12" t="s">
        <v>4998</v>
      </c>
      <c r="C1620" s="12" t="s">
        <v>752</v>
      </c>
      <c r="D1620" s="12" t="s">
        <v>4084</v>
      </c>
      <c r="E1620" s="85">
        <v>1149.49</v>
      </c>
      <c r="F1620" s="6">
        <v>5926629</v>
      </c>
      <c r="G1620" s="12" t="s">
        <v>2755</v>
      </c>
      <c r="H1620" s="12" t="s">
        <v>755</v>
      </c>
      <c r="I1620" s="12" t="s">
        <v>756</v>
      </c>
      <c r="J1620" s="84">
        <v>44376</v>
      </c>
      <c r="K1620" s="84">
        <v>55333</v>
      </c>
      <c r="L1620" s="12" t="s">
        <v>836</v>
      </c>
      <c r="M1620" s="12" t="s">
        <v>3029</v>
      </c>
      <c r="N1620" s="75"/>
    </row>
    <row r="1621" spans="1:14">
      <c r="A1621" s="12">
        <v>1618</v>
      </c>
      <c r="B1621" s="12" t="s">
        <v>4999</v>
      </c>
      <c r="C1621" s="12" t="s">
        <v>752</v>
      </c>
      <c r="D1621" s="12" t="s">
        <v>1677</v>
      </c>
      <c r="E1621" s="85">
        <v>126.42</v>
      </c>
      <c r="F1621" s="6">
        <v>2784165</v>
      </c>
      <c r="G1621" s="12" t="s">
        <v>1678</v>
      </c>
      <c r="H1621" s="12" t="s">
        <v>755</v>
      </c>
      <c r="I1621" s="12" t="s">
        <v>756</v>
      </c>
      <c r="J1621" s="84">
        <v>38329</v>
      </c>
      <c r="K1621" s="84">
        <v>49286</v>
      </c>
      <c r="L1621" s="12" t="s">
        <v>836</v>
      </c>
      <c r="M1621" s="12" t="s">
        <v>837</v>
      </c>
      <c r="N1621" s="75"/>
    </row>
    <row r="1622" spans="1:14">
      <c r="A1622" s="12">
        <v>1619</v>
      </c>
      <c r="B1622" s="12" t="s">
        <v>5000</v>
      </c>
      <c r="C1622" s="12" t="s">
        <v>3246</v>
      </c>
      <c r="D1622" s="12" t="s">
        <v>5001</v>
      </c>
      <c r="E1622" s="85">
        <v>5270.88</v>
      </c>
      <c r="F1622" s="6">
        <v>5625254</v>
      </c>
      <c r="G1622" s="12" t="s">
        <v>5002</v>
      </c>
      <c r="H1622" s="12" t="s">
        <v>755</v>
      </c>
      <c r="I1622" s="12" t="s">
        <v>756</v>
      </c>
      <c r="J1622" s="84">
        <v>44396</v>
      </c>
      <c r="K1622" s="84">
        <v>55353</v>
      </c>
      <c r="L1622" s="12" t="s">
        <v>123</v>
      </c>
      <c r="M1622" s="12" t="s">
        <v>1256</v>
      </c>
      <c r="N1622" s="75"/>
    </row>
    <row r="1623" spans="1:14">
      <c r="A1623" s="12">
        <v>1620</v>
      </c>
      <c r="B1623" s="12" t="s">
        <v>5003</v>
      </c>
      <c r="C1623" s="12" t="s">
        <v>212</v>
      </c>
      <c r="D1623" s="12" t="s">
        <v>5004</v>
      </c>
      <c r="E1623" s="85">
        <v>393.7</v>
      </c>
      <c r="F1623" s="6">
        <v>3435474</v>
      </c>
      <c r="G1623" s="12" t="s">
        <v>5005</v>
      </c>
      <c r="H1623" s="12" t="s">
        <v>755</v>
      </c>
      <c r="I1623" s="12" t="s">
        <v>756</v>
      </c>
      <c r="J1623" s="84">
        <v>44396</v>
      </c>
      <c r="K1623" s="84">
        <v>55353</v>
      </c>
      <c r="L1623" s="12" t="s">
        <v>375</v>
      </c>
      <c r="M1623" s="12" t="s">
        <v>1476</v>
      </c>
      <c r="N1623" s="75"/>
    </row>
    <row r="1624" spans="1:14">
      <c r="A1624" s="12">
        <v>1621</v>
      </c>
      <c r="B1624" s="12" t="s">
        <v>5006</v>
      </c>
      <c r="C1624" s="12" t="s">
        <v>752</v>
      </c>
      <c r="D1624" s="12" t="s">
        <v>5007</v>
      </c>
      <c r="E1624" s="85">
        <v>112.64</v>
      </c>
      <c r="F1624" s="6">
        <v>5470862</v>
      </c>
      <c r="G1624" s="12" t="s">
        <v>5008</v>
      </c>
      <c r="H1624" s="12" t="s">
        <v>755</v>
      </c>
      <c r="I1624" s="12" t="s">
        <v>756</v>
      </c>
      <c r="J1624" s="84">
        <v>34859</v>
      </c>
      <c r="K1624" s="84">
        <v>53122</v>
      </c>
      <c r="L1624" s="12" t="s">
        <v>123</v>
      </c>
      <c r="M1624" s="12" t="s">
        <v>272</v>
      </c>
      <c r="N1624" s="75"/>
    </row>
    <row r="1625" spans="1:14">
      <c r="A1625" s="12">
        <v>1622</v>
      </c>
      <c r="B1625" s="12" t="s">
        <v>5009</v>
      </c>
      <c r="C1625" s="12" t="s">
        <v>212</v>
      </c>
      <c r="D1625" s="12" t="s">
        <v>2382</v>
      </c>
      <c r="E1625" s="85">
        <v>116.22</v>
      </c>
      <c r="F1625" s="6">
        <v>5241359</v>
      </c>
      <c r="G1625" s="12" t="s">
        <v>5010</v>
      </c>
      <c r="H1625" s="12" t="s">
        <v>848</v>
      </c>
      <c r="I1625" s="12" t="s">
        <v>849</v>
      </c>
      <c r="J1625" s="84">
        <v>44398</v>
      </c>
      <c r="K1625" s="84">
        <v>55355</v>
      </c>
      <c r="L1625" s="12" t="s">
        <v>170</v>
      </c>
      <c r="M1625" s="12" t="s">
        <v>802</v>
      </c>
      <c r="N1625" s="75"/>
    </row>
    <row r="1626" spans="1:14">
      <c r="A1626" s="12">
        <v>1623</v>
      </c>
      <c r="B1626" s="12" t="s">
        <v>5011</v>
      </c>
      <c r="C1626" s="12" t="s">
        <v>979</v>
      </c>
      <c r="D1626" s="12" t="s">
        <v>5012</v>
      </c>
      <c r="E1626" s="85">
        <v>1217.8399999999999</v>
      </c>
      <c r="F1626" s="6">
        <v>5235251</v>
      </c>
      <c r="G1626" s="12" t="s">
        <v>4951</v>
      </c>
      <c r="H1626" s="12" t="s">
        <v>755</v>
      </c>
      <c r="I1626" s="12" t="s">
        <v>756</v>
      </c>
      <c r="J1626" s="84">
        <v>44407</v>
      </c>
      <c r="K1626" s="84">
        <v>55364</v>
      </c>
      <c r="L1626" s="12" t="s">
        <v>233</v>
      </c>
      <c r="M1626" s="12" t="s">
        <v>2965</v>
      </c>
      <c r="N1626" s="75"/>
    </row>
    <row r="1627" spans="1:14">
      <c r="A1627" s="12">
        <v>1624</v>
      </c>
      <c r="B1627" s="12" t="s">
        <v>5013</v>
      </c>
      <c r="C1627" s="12" t="s">
        <v>212</v>
      </c>
      <c r="D1627" s="12" t="s">
        <v>5014</v>
      </c>
      <c r="E1627" s="85">
        <v>1205.1400000000001</v>
      </c>
      <c r="F1627" s="6">
        <v>6301843</v>
      </c>
      <c r="G1627" s="12" t="s">
        <v>5015</v>
      </c>
      <c r="H1627" s="12" t="s">
        <v>848</v>
      </c>
      <c r="I1627" s="12" t="s">
        <v>849</v>
      </c>
      <c r="J1627" s="84">
        <v>44414</v>
      </c>
      <c r="K1627" s="84">
        <v>55371</v>
      </c>
      <c r="L1627" s="12" t="s">
        <v>170</v>
      </c>
      <c r="M1627" s="12" t="s">
        <v>802</v>
      </c>
      <c r="N1627" s="75"/>
    </row>
    <row r="1628" spans="1:14">
      <c r="A1628" s="12">
        <v>1625</v>
      </c>
      <c r="B1628" s="12" t="s">
        <v>5016</v>
      </c>
      <c r="C1628" s="12" t="s">
        <v>752</v>
      </c>
      <c r="D1628" s="12" t="s">
        <v>3069</v>
      </c>
      <c r="E1628" s="85">
        <v>195.7</v>
      </c>
      <c r="F1628" s="6">
        <v>2097109</v>
      </c>
      <c r="G1628" s="12" t="s">
        <v>3070</v>
      </c>
      <c r="H1628" s="12" t="s">
        <v>755</v>
      </c>
      <c r="I1628" s="12" t="s">
        <v>756</v>
      </c>
      <c r="J1628" s="84">
        <v>44431</v>
      </c>
      <c r="K1628" s="84">
        <v>55388</v>
      </c>
      <c r="L1628" s="12" t="s">
        <v>274</v>
      </c>
      <c r="M1628" s="12" t="s">
        <v>790</v>
      </c>
      <c r="N1628" s="75"/>
    </row>
    <row r="1629" spans="1:14">
      <c r="A1629" s="12">
        <v>1626</v>
      </c>
      <c r="B1629" s="12" t="s">
        <v>5017</v>
      </c>
      <c r="C1629" s="12" t="s">
        <v>752</v>
      </c>
      <c r="D1629" s="12" t="s">
        <v>5018</v>
      </c>
      <c r="E1629" s="85">
        <v>214.51</v>
      </c>
      <c r="F1629" s="6">
        <v>5976367</v>
      </c>
      <c r="G1629" s="12" t="s">
        <v>5019</v>
      </c>
      <c r="H1629" s="12" t="s">
        <v>755</v>
      </c>
      <c r="I1629" s="12" t="s">
        <v>756</v>
      </c>
      <c r="J1629" s="84">
        <v>44433</v>
      </c>
      <c r="K1629" s="84">
        <v>55390</v>
      </c>
      <c r="L1629" s="12" t="s">
        <v>293</v>
      </c>
      <c r="M1629" s="12" t="s">
        <v>124</v>
      </c>
      <c r="N1629" s="75"/>
    </row>
    <row r="1630" spans="1:14">
      <c r="A1630" s="12">
        <v>1627</v>
      </c>
      <c r="B1630" s="12" t="s">
        <v>5020</v>
      </c>
      <c r="C1630" s="12" t="s">
        <v>1879</v>
      </c>
      <c r="D1630" s="12" t="s">
        <v>5021</v>
      </c>
      <c r="E1630" s="85">
        <v>486.72</v>
      </c>
      <c r="F1630" s="6">
        <v>5626412</v>
      </c>
      <c r="G1630" s="12" t="s">
        <v>5022</v>
      </c>
      <c r="H1630" s="12" t="s">
        <v>755</v>
      </c>
      <c r="I1630" s="12" t="s">
        <v>756</v>
      </c>
      <c r="J1630" s="84">
        <v>44439</v>
      </c>
      <c r="K1630" s="84">
        <v>55396</v>
      </c>
      <c r="L1630" s="12" t="s">
        <v>170</v>
      </c>
      <c r="M1630" s="12" t="s">
        <v>1738</v>
      </c>
      <c r="N1630" s="75"/>
    </row>
    <row r="1631" spans="1:14">
      <c r="A1631" s="12">
        <v>1628</v>
      </c>
      <c r="B1631" s="12" t="s">
        <v>5023</v>
      </c>
      <c r="C1631" s="12" t="s">
        <v>122</v>
      </c>
      <c r="D1631" s="12" t="s">
        <v>4704</v>
      </c>
      <c r="E1631" s="85">
        <v>11903.82</v>
      </c>
      <c r="F1631" s="6">
        <v>5133351</v>
      </c>
      <c r="G1631" s="12" t="s">
        <v>4989</v>
      </c>
      <c r="H1631" s="12" t="s">
        <v>755</v>
      </c>
      <c r="I1631" s="12" t="s">
        <v>756</v>
      </c>
      <c r="J1631" s="84">
        <v>44441</v>
      </c>
      <c r="K1631" s="84">
        <v>55398</v>
      </c>
      <c r="L1631" s="12" t="s">
        <v>768</v>
      </c>
      <c r="M1631" s="12" t="s">
        <v>4588</v>
      </c>
      <c r="N1631" s="75"/>
    </row>
    <row r="1632" spans="1:14">
      <c r="A1632" s="12">
        <v>1629</v>
      </c>
      <c r="B1632" s="12" t="s">
        <v>5024</v>
      </c>
      <c r="C1632" s="12" t="s">
        <v>212</v>
      </c>
      <c r="D1632" s="12" t="s">
        <v>4650</v>
      </c>
      <c r="E1632" s="85">
        <v>1000.26</v>
      </c>
      <c r="F1632" s="6">
        <v>5931193</v>
      </c>
      <c r="G1632" s="12" t="s">
        <v>5025</v>
      </c>
      <c r="H1632" s="12" t="s">
        <v>755</v>
      </c>
      <c r="I1632" s="12" t="s">
        <v>756</v>
      </c>
      <c r="J1632" s="84">
        <v>44449</v>
      </c>
      <c r="K1632" s="84">
        <v>55406</v>
      </c>
      <c r="L1632" s="12" t="s">
        <v>293</v>
      </c>
      <c r="M1632" s="12" t="s">
        <v>815</v>
      </c>
      <c r="N1632" s="75"/>
    </row>
    <row r="1633" spans="1:14">
      <c r="A1633" s="12">
        <v>1630</v>
      </c>
      <c r="B1633" s="12" t="s">
        <v>5026</v>
      </c>
      <c r="C1633" s="12" t="s">
        <v>752</v>
      </c>
      <c r="D1633" s="12" t="s">
        <v>5027</v>
      </c>
      <c r="E1633" s="85">
        <v>1084.67</v>
      </c>
      <c r="F1633" s="6">
        <v>5132649</v>
      </c>
      <c r="G1633" s="12" t="s">
        <v>5028</v>
      </c>
      <c r="H1633" s="12" t="s">
        <v>755</v>
      </c>
      <c r="I1633" s="12" t="s">
        <v>756</v>
      </c>
      <c r="J1633" s="84">
        <v>44454</v>
      </c>
      <c r="K1633" s="84">
        <v>55411</v>
      </c>
      <c r="L1633" s="12" t="s">
        <v>123</v>
      </c>
      <c r="M1633" s="12" t="s">
        <v>272</v>
      </c>
      <c r="N1633" s="75"/>
    </row>
    <row r="1634" spans="1:14">
      <c r="A1634" s="12">
        <v>1631</v>
      </c>
      <c r="B1634" s="12" t="s">
        <v>5029</v>
      </c>
      <c r="C1634" s="12" t="s">
        <v>1017</v>
      </c>
      <c r="D1634" s="12" t="s">
        <v>1406</v>
      </c>
      <c r="E1634" s="85">
        <v>5242.8599999999997</v>
      </c>
      <c r="F1634" s="6">
        <v>6160212</v>
      </c>
      <c r="G1634" s="12" t="s">
        <v>5030</v>
      </c>
      <c r="H1634" s="12" t="s">
        <v>755</v>
      </c>
      <c r="I1634" s="12" t="s">
        <v>756</v>
      </c>
      <c r="J1634" s="84">
        <v>44474</v>
      </c>
      <c r="K1634" s="84">
        <v>55431</v>
      </c>
      <c r="L1634" s="12" t="s">
        <v>233</v>
      </c>
      <c r="M1634" s="12" t="s">
        <v>5031</v>
      </c>
      <c r="N1634" s="75"/>
    </row>
    <row r="1635" spans="1:14">
      <c r="A1635" s="12">
        <v>1632</v>
      </c>
      <c r="B1635" s="12" t="s">
        <v>5032</v>
      </c>
      <c r="C1635" s="12" t="s">
        <v>3840</v>
      </c>
      <c r="D1635" s="12" t="s">
        <v>2302</v>
      </c>
      <c r="E1635" s="85">
        <v>635.38</v>
      </c>
      <c r="F1635" s="6">
        <v>5941601</v>
      </c>
      <c r="G1635" s="12" t="s">
        <v>5033</v>
      </c>
      <c r="H1635" s="12" t="s">
        <v>755</v>
      </c>
      <c r="I1635" s="12" t="s">
        <v>756</v>
      </c>
      <c r="J1635" s="84">
        <v>44487</v>
      </c>
      <c r="K1635" s="84">
        <v>55444</v>
      </c>
      <c r="L1635" s="12" t="s">
        <v>375</v>
      </c>
      <c r="M1635" s="12" t="s">
        <v>3086</v>
      </c>
      <c r="N1635" s="75"/>
    </row>
    <row r="1636" spans="1:14">
      <c r="A1636" s="12">
        <v>1633</v>
      </c>
      <c r="B1636" s="12" t="s">
        <v>5034</v>
      </c>
      <c r="C1636" s="12" t="s">
        <v>212</v>
      </c>
      <c r="D1636" s="12" t="s">
        <v>5035</v>
      </c>
      <c r="E1636" s="85">
        <v>1224.42</v>
      </c>
      <c r="F1636" s="6">
        <v>6714692</v>
      </c>
      <c r="G1636" s="12" t="s">
        <v>5036</v>
      </c>
      <c r="H1636" s="12" t="s">
        <v>755</v>
      </c>
      <c r="I1636" s="12" t="s">
        <v>756</v>
      </c>
      <c r="J1636" s="84">
        <v>44490</v>
      </c>
      <c r="K1636" s="84">
        <v>55447</v>
      </c>
      <c r="L1636" s="12" t="s">
        <v>170</v>
      </c>
      <c r="M1636" s="12" t="s">
        <v>807</v>
      </c>
      <c r="N1636" s="75"/>
    </row>
    <row r="1637" spans="1:14">
      <c r="A1637" s="12">
        <v>1634</v>
      </c>
      <c r="B1637" s="12" t="s">
        <v>5037</v>
      </c>
      <c r="C1637" s="12" t="s">
        <v>752</v>
      </c>
      <c r="D1637" s="12" t="s">
        <v>5038</v>
      </c>
      <c r="E1637" s="85">
        <v>475.16</v>
      </c>
      <c r="F1637" s="6">
        <v>5849314</v>
      </c>
      <c r="G1637" s="12" t="s">
        <v>5039</v>
      </c>
      <c r="H1637" s="12" t="s">
        <v>755</v>
      </c>
      <c r="I1637" s="12" t="s">
        <v>756</v>
      </c>
      <c r="J1637" s="84">
        <v>44491</v>
      </c>
      <c r="K1637" s="84">
        <v>55448</v>
      </c>
      <c r="L1637" s="12" t="s">
        <v>123</v>
      </c>
      <c r="M1637" s="12" t="s">
        <v>272</v>
      </c>
      <c r="N1637" s="75"/>
    </row>
    <row r="1638" spans="1:14">
      <c r="A1638" s="12">
        <v>1635</v>
      </c>
      <c r="B1638" s="12" t="s">
        <v>5040</v>
      </c>
      <c r="C1638" s="12" t="s">
        <v>752</v>
      </c>
      <c r="D1638" s="12" t="s">
        <v>5041</v>
      </c>
      <c r="E1638" s="85">
        <v>31.75</v>
      </c>
      <c r="F1638" s="6">
        <v>6171346</v>
      </c>
      <c r="G1638" s="12" t="s">
        <v>5042</v>
      </c>
      <c r="H1638" s="12" t="s">
        <v>755</v>
      </c>
      <c r="I1638" s="12" t="s">
        <v>756</v>
      </c>
      <c r="J1638" s="84">
        <v>36420</v>
      </c>
      <c r="K1638" s="84">
        <v>49956</v>
      </c>
      <c r="L1638" s="12" t="s">
        <v>836</v>
      </c>
      <c r="M1638" s="12" t="s">
        <v>837</v>
      </c>
      <c r="N1638" s="75"/>
    </row>
    <row r="1639" spans="1:14">
      <c r="A1639" s="12">
        <v>1636</v>
      </c>
      <c r="B1639" s="12" t="s">
        <v>5043</v>
      </c>
      <c r="C1639" s="12" t="s">
        <v>122</v>
      </c>
      <c r="D1639" s="12" t="s">
        <v>3261</v>
      </c>
      <c r="E1639" s="85">
        <v>2087.16</v>
      </c>
      <c r="F1639" s="6">
        <v>2023202</v>
      </c>
      <c r="G1639" s="12" t="s">
        <v>1468</v>
      </c>
      <c r="H1639" s="12" t="s">
        <v>755</v>
      </c>
      <c r="I1639" s="12" t="s">
        <v>756</v>
      </c>
      <c r="J1639" s="84">
        <v>44497</v>
      </c>
      <c r="K1639" s="84">
        <v>55454</v>
      </c>
      <c r="L1639" s="12" t="s">
        <v>1014</v>
      </c>
      <c r="M1639" s="12" t="s">
        <v>3262</v>
      </c>
      <c r="N1639" s="75"/>
    </row>
    <row r="1640" spans="1:14">
      <c r="A1640" s="12">
        <v>1637</v>
      </c>
      <c r="B1640" s="12" t="s">
        <v>5044</v>
      </c>
      <c r="C1640" s="12" t="s">
        <v>4876</v>
      </c>
      <c r="D1640" s="12" t="s">
        <v>5045</v>
      </c>
      <c r="E1640" s="85">
        <v>267.39</v>
      </c>
      <c r="F1640" s="6">
        <v>6952305</v>
      </c>
      <c r="G1640" s="12" t="s">
        <v>5046</v>
      </c>
      <c r="H1640" s="12" t="s">
        <v>848</v>
      </c>
      <c r="I1640" s="12" t="s">
        <v>849</v>
      </c>
      <c r="J1640" s="84">
        <v>44517</v>
      </c>
      <c r="K1640" s="84">
        <v>55474</v>
      </c>
      <c r="L1640" s="12" t="s">
        <v>288</v>
      </c>
      <c r="M1640" s="12" t="s">
        <v>1575</v>
      </c>
      <c r="N1640" s="75"/>
    </row>
    <row r="1641" spans="1:14">
      <c r="A1641" s="12">
        <v>1638</v>
      </c>
      <c r="B1641" s="12" t="s">
        <v>5047</v>
      </c>
      <c r="C1641" s="12" t="s">
        <v>1060</v>
      </c>
      <c r="D1641" s="12" t="s">
        <v>927</v>
      </c>
      <c r="E1641" s="85">
        <v>1492.75</v>
      </c>
      <c r="F1641" s="6">
        <v>5185181</v>
      </c>
      <c r="G1641" s="12" t="s">
        <v>5048</v>
      </c>
      <c r="H1641" s="12" t="s">
        <v>755</v>
      </c>
      <c r="I1641" s="12" t="s">
        <v>756</v>
      </c>
      <c r="J1641" s="84">
        <v>44517</v>
      </c>
      <c r="K1641" s="84">
        <v>55474</v>
      </c>
      <c r="L1641" s="12" t="s">
        <v>768</v>
      </c>
      <c r="M1641" s="12" t="s">
        <v>4588</v>
      </c>
      <c r="N1641" s="75"/>
    </row>
    <row r="1642" spans="1:14">
      <c r="A1642" s="12">
        <v>1639</v>
      </c>
      <c r="B1642" s="12" t="s">
        <v>5049</v>
      </c>
      <c r="C1642" s="12" t="s">
        <v>132</v>
      </c>
      <c r="D1642" s="12" t="s">
        <v>1999</v>
      </c>
      <c r="E1642" s="85">
        <v>389.14</v>
      </c>
      <c r="F1642" s="6">
        <v>2701391</v>
      </c>
      <c r="G1642" s="12" t="s">
        <v>5050</v>
      </c>
      <c r="H1642" s="12" t="s">
        <v>755</v>
      </c>
      <c r="I1642" s="12" t="s">
        <v>756</v>
      </c>
      <c r="J1642" s="84">
        <v>44518</v>
      </c>
      <c r="K1642" s="84">
        <v>55475</v>
      </c>
      <c r="L1642" s="12" t="s">
        <v>163</v>
      </c>
      <c r="M1642" s="12" t="s">
        <v>164</v>
      </c>
      <c r="N1642" s="75"/>
    </row>
    <row r="1643" spans="1:14">
      <c r="A1643" s="12">
        <v>1640</v>
      </c>
      <c r="B1643" s="12" t="s">
        <v>5051</v>
      </c>
      <c r="C1643" s="12" t="s">
        <v>752</v>
      </c>
      <c r="D1643" s="12" t="s">
        <v>5052</v>
      </c>
      <c r="E1643" s="85">
        <v>234.46</v>
      </c>
      <c r="F1643" s="6">
        <v>6518036</v>
      </c>
      <c r="G1643" s="12" t="s">
        <v>5053</v>
      </c>
      <c r="H1643" s="12" t="s">
        <v>755</v>
      </c>
      <c r="I1643" s="12" t="s">
        <v>756</v>
      </c>
      <c r="J1643" s="84">
        <v>44525</v>
      </c>
      <c r="K1643" s="84">
        <v>55482</v>
      </c>
      <c r="L1643" s="12" t="s">
        <v>1014</v>
      </c>
      <c r="M1643" s="12" t="s">
        <v>3043</v>
      </c>
      <c r="N1643" s="75"/>
    </row>
    <row r="1644" spans="1:14">
      <c r="A1644" s="12">
        <v>1641</v>
      </c>
      <c r="B1644" s="12" t="s">
        <v>5054</v>
      </c>
      <c r="C1644" s="12" t="s">
        <v>212</v>
      </c>
      <c r="D1644" s="12" t="s">
        <v>5055</v>
      </c>
      <c r="E1644" s="85">
        <v>216.83</v>
      </c>
      <c r="F1644" s="6">
        <v>5057043</v>
      </c>
      <c r="G1644" s="12" t="s">
        <v>5056</v>
      </c>
      <c r="H1644" s="12" t="s">
        <v>755</v>
      </c>
      <c r="I1644" s="12" t="s">
        <v>756</v>
      </c>
      <c r="J1644" s="84">
        <v>44511</v>
      </c>
      <c r="K1644" s="84">
        <v>55468</v>
      </c>
      <c r="L1644" s="12" t="s">
        <v>293</v>
      </c>
      <c r="M1644" s="12" t="s">
        <v>815</v>
      </c>
      <c r="N1644" s="75"/>
    </row>
    <row r="1645" spans="1:14">
      <c r="A1645" s="12">
        <v>1642</v>
      </c>
      <c r="B1645" s="12" t="s">
        <v>5057</v>
      </c>
      <c r="C1645" s="12" t="s">
        <v>752</v>
      </c>
      <c r="D1645" s="12" t="s">
        <v>1185</v>
      </c>
      <c r="E1645" s="85">
        <v>2759.82</v>
      </c>
      <c r="F1645" s="6">
        <v>5892295</v>
      </c>
      <c r="G1645" s="12" t="s">
        <v>5058</v>
      </c>
      <c r="H1645" s="12" t="s">
        <v>766</v>
      </c>
      <c r="I1645" s="12" t="s">
        <v>767</v>
      </c>
      <c r="J1645" s="84">
        <v>44551</v>
      </c>
      <c r="K1645" s="84">
        <v>55508</v>
      </c>
      <c r="L1645" s="12" t="s">
        <v>1242</v>
      </c>
      <c r="M1645" s="12" t="s">
        <v>5059</v>
      </c>
      <c r="N1645" s="75"/>
    </row>
    <row r="1646" spans="1:14">
      <c r="A1646" s="12">
        <v>1643</v>
      </c>
      <c r="B1646" s="12" t="s">
        <v>5060</v>
      </c>
      <c r="C1646" s="12" t="s">
        <v>3840</v>
      </c>
      <c r="D1646" s="12" t="s">
        <v>2012</v>
      </c>
      <c r="E1646" s="85">
        <v>1400.12</v>
      </c>
      <c r="F1646" s="6">
        <v>5224942</v>
      </c>
      <c r="G1646" s="12" t="s">
        <v>5061</v>
      </c>
      <c r="H1646" s="12" t="s">
        <v>755</v>
      </c>
      <c r="I1646" s="12" t="s">
        <v>756</v>
      </c>
      <c r="J1646" s="84">
        <v>44552</v>
      </c>
      <c r="K1646" s="84">
        <v>55509</v>
      </c>
      <c r="L1646" s="12" t="s">
        <v>170</v>
      </c>
      <c r="M1646" s="12" t="s">
        <v>171</v>
      </c>
      <c r="N1646" s="75"/>
    </row>
    <row r="1647" spans="1:14">
      <c r="A1647" s="12">
        <v>1644</v>
      </c>
      <c r="B1647" s="12" t="s">
        <v>5062</v>
      </c>
      <c r="C1647" s="12" t="s">
        <v>752</v>
      </c>
      <c r="D1647" s="12" t="s">
        <v>5052</v>
      </c>
      <c r="E1647" s="85">
        <v>109.81</v>
      </c>
      <c r="F1647" s="6">
        <v>6518036</v>
      </c>
      <c r="G1647" s="12" t="s">
        <v>5053</v>
      </c>
      <c r="H1647" s="12" t="s">
        <v>755</v>
      </c>
      <c r="I1647" s="12" t="s">
        <v>756</v>
      </c>
      <c r="J1647" s="84">
        <v>44553</v>
      </c>
      <c r="K1647" s="84">
        <v>55510</v>
      </c>
      <c r="L1647" s="12" t="s">
        <v>1014</v>
      </c>
      <c r="M1647" s="12" t="s">
        <v>3043</v>
      </c>
      <c r="N1647" s="75"/>
    </row>
    <row r="1648" spans="1:14">
      <c r="A1648" s="12">
        <v>1645</v>
      </c>
      <c r="B1648" s="12" t="s">
        <v>5063</v>
      </c>
      <c r="C1648" s="12" t="s">
        <v>212</v>
      </c>
      <c r="D1648" s="12" t="s">
        <v>1476</v>
      </c>
      <c r="E1648" s="85">
        <v>63.22</v>
      </c>
      <c r="F1648" s="6">
        <v>5968216</v>
      </c>
      <c r="G1648" s="12" t="s">
        <v>5064</v>
      </c>
      <c r="H1648" s="12" t="s">
        <v>755</v>
      </c>
      <c r="I1648" s="12" t="s">
        <v>756</v>
      </c>
      <c r="J1648" s="84">
        <v>44558</v>
      </c>
      <c r="K1648" s="84">
        <v>55515</v>
      </c>
      <c r="L1648" s="12" t="s">
        <v>375</v>
      </c>
      <c r="M1648" s="12" t="s">
        <v>1476</v>
      </c>
      <c r="N1648" s="75"/>
    </row>
    <row r="1649" spans="1:14">
      <c r="A1649" s="12">
        <v>1646</v>
      </c>
      <c r="B1649" s="12" t="s">
        <v>5065</v>
      </c>
      <c r="C1649" s="12" t="s">
        <v>752</v>
      </c>
      <c r="D1649" s="12" t="s">
        <v>5066</v>
      </c>
      <c r="E1649" s="85">
        <v>219.4</v>
      </c>
      <c r="F1649" s="6">
        <v>6604277</v>
      </c>
      <c r="G1649" s="12" t="s">
        <v>5067</v>
      </c>
      <c r="H1649" s="12" t="s">
        <v>755</v>
      </c>
      <c r="I1649" s="12" t="s">
        <v>756</v>
      </c>
      <c r="J1649" s="84">
        <v>44564</v>
      </c>
      <c r="K1649" s="84">
        <v>55521</v>
      </c>
      <c r="L1649" s="12" t="s">
        <v>123</v>
      </c>
      <c r="M1649" s="12" t="s">
        <v>272</v>
      </c>
      <c r="N1649" s="75"/>
    </row>
    <row r="1650" spans="1:14">
      <c r="A1650" s="12">
        <v>1647</v>
      </c>
      <c r="B1650" s="12" t="s">
        <v>5068</v>
      </c>
      <c r="C1650" s="12" t="s">
        <v>122</v>
      </c>
      <c r="D1650" s="12" t="s">
        <v>1052</v>
      </c>
      <c r="E1650" s="85">
        <v>175.74</v>
      </c>
      <c r="F1650" s="6">
        <v>5002265</v>
      </c>
      <c r="G1650" s="12" t="s">
        <v>5069</v>
      </c>
      <c r="H1650" s="12" t="s">
        <v>848</v>
      </c>
      <c r="I1650" s="12" t="s">
        <v>849</v>
      </c>
      <c r="J1650" s="84">
        <v>35945</v>
      </c>
      <c r="K1650" s="84">
        <v>46903</v>
      </c>
      <c r="L1650" s="12" t="s">
        <v>304</v>
      </c>
      <c r="M1650" s="12" t="s">
        <v>1054</v>
      </c>
      <c r="N1650" s="75"/>
    </row>
    <row r="1651" spans="1:14">
      <c r="A1651" s="12">
        <v>1648</v>
      </c>
      <c r="B1651" s="12" t="s">
        <v>5070</v>
      </c>
      <c r="C1651" s="12" t="s">
        <v>122</v>
      </c>
      <c r="D1651" s="12" t="s">
        <v>806</v>
      </c>
      <c r="E1651" s="85">
        <v>2799.3</v>
      </c>
      <c r="F1651" s="6">
        <v>5599695</v>
      </c>
      <c r="G1651" s="12" t="s">
        <v>5071</v>
      </c>
      <c r="H1651" s="12" t="s">
        <v>848</v>
      </c>
      <c r="I1651" s="12" t="s">
        <v>849</v>
      </c>
      <c r="J1651" s="84">
        <v>44567</v>
      </c>
      <c r="K1651" s="84">
        <v>55524</v>
      </c>
      <c r="L1651" s="12" t="s">
        <v>375</v>
      </c>
      <c r="M1651" s="12" t="s">
        <v>1476</v>
      </c>
      <c r="N1651" s="75"/>
    </row>
    <row r="1652" spans="1:14">
      <c r="A1652" s="12">
        <v>1649</v>
      </c>
      <c r="B1652" s="12" t="s">
        <v>5072</v>
      </c>
      <c r="C1652" s="12" t="s">
        <v>221</v>
      </c>
      <c r="D1652" s="12" t="s">
        <v>5073</v>
      </c>
      <c r="E1652" s="85">
        <v>159.11000000000001</v>
      </c>
      <c r="F1652" s="6">
        <v>3856259</v>
      </c>
      <c r="G1652" s="12" t="s">
        <v>5074</v>
      </c>
      <c r="H1652" s="12" t="s">
        <v>755</v>
      </c>
      <c r="I1652" s="12" t="s">
        <v>756</v>
      </c>
      <c r="J1652" s="84">
        <v>44571</v>
      </c>
      <c r="K1652" s="84">
        <v>55528</v>
      </c>
      <c r="L1652" s="12" t="s">
        <v>768</v>
      </c>
      <c r="M1652" s="12" t="s">
        <v>1476</v>
      </c>
      <c r="N1652" s="75"/>
    </row>
    <row r="1653" spans="1:14">
      <c r="A1653" s="12">
        <v>1650</v>
      </c>
      <c r="B1653" s="12" t="s">
        <v>5075</v>
      </c>
      <c r="C1653" s="12" t="s">
        <v>752</v>
      </c>
      <c r="D1653" s="12" t="s">
        <v>5076</v>
      </c>
      <c r="E1653" s="85">
        <v>7799.79</v>
      </c>
      <c r="F1653" s="6">
        <v>6385885</v>
      </c>
      <c r="G1653" s="12" t="s">
        <v>5077</v>
      </c>
      <c r="H1653" s="12" t="s">
        <v>755</v>
      </c>
      <c r="I1653" s="12" t="s">
        <v>756</v>
      </c>
      <c r="J1653" s="84">
        <v>44574</v>
      </c>
      <c r="K1653" s="84">
        <v>55531</v>
      </c>
      <c r="L1653" s="12" t="s">
        <v>1014</v>
      </c>
      <c r="M1653" s="12" t="s">
        <v>3222</v>
      </c>
      <c r="N1653" s="75"/>
    </row>
    <row r="1654" spans="1:14">
      <c r="A1654" s="12">
        <v>1651</v>
      </c>
      <c r="B1654" s="12" t="s">
        <v>5078</v>
      </c>
      <c r="C1654" s="12" t="s">
        <v>212</v>
      </c>
      <c r="D1654" s="12" t="s">
        <v>2382</v>
      </c>
      <c r="E1654" s="85">
        <v>382.26</v>
      </c>
      <c r="F1654" s="6">
        <v>5686695</v>
      </c>
      <c r="G1654" s="12" t="s">
        <v>5079</v>
      </c>
      <c r="H1654" s="12" t="s">
        <v>755</v>
      </c>
      <c r="I1654" s="12" t="s">
        <v>756</v>
      </c>
      <c r="J1654" s="84">
        <v>44574</v>
      </c>
      <c r="K1654" s="84">
        <v>55531</v>
      </c>
      <c r="L1654" s="12" t="s">
        <v>375</v>
      </c>
      <c r="M1654" s="12" t="s">
        <v>3086</v>
      </c>
      <c r="N1654" s="75"/>
    </row>
    <row r="1655" spans="1:14">
      <c r="A1655" s="12">
        <v>1652</v>
      </c>
      <c r="B1655" s="12" t="s">
        <v>5080</v>
      </c>
      <c r="C1655" s="12" t="s">
        <v>132</v>
      </c>
      <c r="D1655" s="12" t="s">
        <v>5081</v>
      </c>
      <c r="E1655" s="85">
        <v>557.29999999999995</v>
      </c>
      <c r="F1655" s="6">
        <v>5526515</v>
      </c>
      <c r="G1655" s="12" t="s">
        <v>5082</v>
      </c>
      <c r="H1655" s="12" t="s">
        <v>755</v>
      </c>
      <c r="I1655" s="12" t="s">
        <v>756</v>
      </c>
      <c r="J1655" s="84">
        <v>44575</v>
      </c>
      <c r="K1655" s="84">
        <v>55532</v>
      </c>
      <c r="L1655" s="12" t="s">
        <v>768</v>
      </c>
      <c r="M1655" s="12" t="s">
        <v>933</v>
      </c>
      <c r="N1655" s="75"/>
    </row>
    <row r="1656" spans="1:14">
      <c r="A1656" s="12">
        <v>1653</v>
      </c>
      <c r="B1656" s="12" t="s">
        <v>5083</v>
      </c>
      <c r="C1656" s="12" t="s">
        <v>752</v>
      </c>
      <c r="D1656" s="12" t="s">
        <v>5084</v>
      </c>
      <c r="E1656" s="85">
        <v>600.74</v>
      </c>
      <c r="F1656" s="6">
        <v>5935539</v>
      </c>
      <c r="G1656" s="12" t="s">
        <v>857</v>
      </c>
      <c r="H1656" s="12" t="s">
        <v>755</v>
      </c>
      <c r="I1656" s="12" t="s">
        <v>756</v>
      </c>
      <c r="J1656" s="84">
        <v>44600</v>
      </c>
      <c r="K1656" s="84">
        <v>55557</v>
      </c>
      <c r="L1656" s="12" t="s">
        <v>180</v>
      </c>
      <c r="M1656" s="12" t="s">
        <v>927</v>
      </c>
      <c r="N1656" s="75"/>
    </row>
    <row r="1657" spans="1:14">
      <c r="A1657" s="12">
        <v>1654</v>
      </c>
      <c r="B1657" s="12" t="s">
        <v>5085</v>
      </c>
      <c r="C1657" s="12" t="s">
        <v>752</v>
      </c>
      <c r="D1657" s="12" t="s">
        <v>2754</v>
      </c>
      <c r="E1657" s="85">
        <v>222.68</v>
      </c>
      <c r="F1657" s="6">
        <v>5485932</v>
      </c>
      <c r="G1657" s="12" t="s">
        <v>3059</v>
      </c>
      <c r="H1657" s="12" t="s">
        <v>755</v>
      </c>
      <c r="I1657" s="12" t="s">
        <v>756</v>
      </c>
      <c r="J1657" s="84">
        <v>44651</v>
      </c>
      <c r="K1657" s="84">
        <v>55609</v>
      </c>
      <c r="L1657" s="12" t="s">
        <v>836</v>
      </c>
      <c r="M1657" s="12" t="s">
        <v>837</v>
      </c>
      <c r="N1657" s="75"/>
    </row>
    <row r="1658" spans="1:14">
      <c r="A1658" s="12">
        <v>1655</v>
      </c>
      <c r="B1658" s="12" t="s">
        <v>5086</v>
      </c>
      <c r="C1658" s="12" t="s">
        <v>4904</v>
      </c>
      <c r="D1658" s="12" t="s">
        <v>4660</v>
      </c>
      <c r="E1658" s="85">
        <v>30.81</v>
      </c>
      <c r="F1658" s="6">
        <v>5887917</v>
      </c>
      <c r="G1658" s="12" t="s">
        <v>4695</v>
      </c>
      <c r="H1658" s="12" t="s">
        <v>755</v>
      </c>
      <c r="I1658" s="12" t="s">
        <v>756</v>
      </c>
      <c r="J1658" s="84">
        <v>44656</v>
      </c>
      <c r="K1658" s="84">
        <v>55614</v>
      </c>
      <c r="L1658" s="12" t="s">
        <v>170</v>
      </c>
      <c r="M1658" s="12" t="s">
        <v>171</v>
      </c>
      <c r="N1658" s="75"/>
    </row>
    <row r="1659" spans="1:14">
      <c r="A1659" s="12">
        <v>1656</v>
      </c>
      <c r="B1659" s="12" t="s">
        <v>5087</v>
      </c>
      <c r="C1659" s="12" t="s">
        <v>4353</v>
      </c>
      <c r="D1659" s="12" t="s">
        <v>2296</v>
      </c>
      <c r="E1659" s="85">
        <v>119.63</v>
      </c>
      <c r="F1659" s="6">
        <v>5070899</v>
      </c>
      <c r="G1659" s="12" t="s">
        <v>5088</v>
      </c>
      <c r="H1659" s="12" t="s">
        <v>755</v>
      </c>
      <c r="I1659" s="12" t="s">
        <v>756</v>
      </c>
      <c r="J1659" s="84">
        <v>44656</v>
      </c>
      <c r="K1659" s="84">
        <v>55614</v>
      </c>
      <c r="L1659" s="12" t="s">
        <v>375</v>
      </c>
      <c r="M1659" s="12" t="s">
        <v>1476</v>
      </c>
      <c r="N1659" s="75"/>
    </row>
    <row r="1660" spans="1:14">
      <c r="A1660" s="12">
        <v>1657</v>
      </c>
      <c r="B1660" s="12" t="s">
        <v>5089</v>
      </c>
      <c r="C1660" s="12" t="s">
        <v>1879</v>
      </c>
      <c r="D1660" s="12" t="s">
        <v>5090</v>
      </c>
      <c r="E1660" s="85">
        <v>506.26</v>
      </c>
      <c r="F1660" s="6">
        <v>5322448</v>
      </c>
      <c r="G1660" s="12" t="s">
        <v>5091</v>
      </c>
      <c r="H1660" s="12" t="s">
        <v>766</v>
      </c>
      <c r="I1660" s="12" t="s">
        <v>767</v>
      </c>
      <c r="J1660" s="84">
        <v>44659</v>
      </c>
      <c r="K1660" s="84">
        <v>55617</v>
      </c>
      <c r="L1660" s="12" t="s">
        <v>375</v>
      </c>
      <c r="M1660" s="12" t="s">
        <v>3086</v>
      </c>
      <c r="N1660" s="75"/>
    </row>
    <row r="1661" spans="1:14">
      <c r="A1661" s="12">
        <v>1658</v>
      </c>
      <c r="B1661" s="12" t="s">
        <v>5092</v>
      </c>
      <c r="C1661" s="12" t="s">
        <v>221</v>
      </c>
      <c r="D1661" s="12" t="s">
        <v>5093</v>
      </c>
      <c r="E1661" s="85">
        <v>170.89</v>
      </c>
      <c r="F1661" s="6">
        <v>5153913</v>
      </c>
      <c r="G1661" s="12" t="s">
        <v>5094</v>
      </c>
      <c r="H1661" s="12" t="s">
        <v>755</v>
      </c>
      <c r="I1661" s="12" t="s">
        <v>756</v>
      </c>
      <c r="J1661" s="84">
        <v>44659</v>
      </c>
      <c r="K1661" s="84">
        <v>55617</v>
      </c>
      <c r="L1661" s="12" t="s">
        <v>274</v>
      </c>
      <c r="M1661" s="12" t="s">
        <v>874</v>
      </c>
      <c r="N1661" s="75"/>
    </row>
    <row r="1662" spans="1:14">
      <c r="A1662" s="12">
        <v>1659</v>
      </c>
      <c r="B1662" s="12" t="s">
        <v>5095</v>
      </c>
      <c r="C1662" s="12" t="s">
        <v>4904</v>
      </c>
      <c r="D1662" s="12" t="s">
        <v>5096</v>
      </c>
      <c r="E1662" s="85">
        <v>2661.84</v>
      </c>
      <c r="F1662" s="6">
        <v>2160757</v>
      </c>
      <c r="G1662" s="12" t="s">
        <v>5097</v>
      </c>
      <c r="H1662" s="12" t="s">
        <v>755</v>
      </c>
      <c r="I1662" s="12" t="s">
        <v>756</v>
      </c>
      <c r="J1662" s="84">
        <v>44671</v>
      </c>
      <c r="K1662" s="84">
        <v>55629</v>
      </c>
      <c r="L1662" s="12" t="s">
        <v>1102</v>
      </c>
      <c r="M1662" s="12" t="s">
        <v>1194</v>
      </c>
      <c r="N1662" s="75"/>
    </row>
    <row r="1663" spans="1:14">
      <c r="A1663" s="12">
        <v>1660</v>
      </c>
      <c r="B1663" s="12" t="s">
        <v>5098</v>
      </c>
      <c r="C1663" s="12" t="s">
        <v>752</v>
      </c>
      <c r="D1663" s="12" t="s">
        <v>2275</v>
      </c>
      <c r="E1663" s="85">
        <v>165.52</v>
      </c>
      <c r="F1663" s="6">
        <v>6622844</v>
      </c>
      <c r="G1663" s="12" t="s">
        <v>5099</v>
      </c>
      <c r="H1663" s="12" t="s">
        <v>755</v>
      </c>
      <c r="I1663" s="12" t="s">
        <v>756</v>
      </c>
      <c r="J1663" s="84">
        <v>44678</v>
      </c>
      <c r="K1663" s="84">
        <v>55636</v>
      </c>
      <c r="L1663" s="12" t="s">
        <v>304</v>
      </c>
      <c r="M1663" s="12" t="s">
        <v>141</v>
      </c>
      <c r="N1663" s="75"/>
    </row>
    <row r="1664" spans="1:14">
      <c r="A1664" s="12">
        <v>1661</v>
      </c>
      <c r="B1664" s="12" t="s">
        <v>5100</v>
      </c>
      <c r="C1664" s="12" t="s">
        <v>752</v>
      </c>
      <c r="D1664" s="12" t="s">
        <v>2859</v>
      </c>
      <c r="E1664" s="85">
        <v>256.20999999999998</v>
      </c>
      <c r="F1664" s="6">
        <v>5912245</v>
      </c>
      <c r="G1664" s="12" t="s">
        <v>2860</v>
      </c>
      <c r="H1664" s="12" t="s">
        <v>755</v>
      </c>
      <c r="I1664" s="12" t="s">
        <v>756</v>
      </c>
      <c r="J1664" s="84">
        <v>40429</v>
      </c>
      <c r="K1664" s="84">
        <v>51387</v>
      </c>
      <c r="L1664" s="12" t="s">
        <v>768</v>
      </c>
      <c r="M1664" s="12" t="s">
        <v>982</v>
      </c>
      <c r="N1664" s="75"/>
    </row>
    <row r="1665" spans="1:14">
      <c r="A1665" s="12">
        <v>1662</v>
      </c>
      <c r="B1665" s="12" t="s">
        <v>5101</v>
      </c>
      <c r="C1665" s="12" t="s">
        <v>752</v>
      </c>
      <c r="D1665" s="12" t="s">
        <v>4084</v>
      </c>
      <c r="E1665" s="85">
        <v>268.95999999999998</v>
      </c>
      <c r="F1665" s="6">
        <v>6192939</v>
      </c>
      <c r="G1665" s="12" t="s">
        <v>5102</v>
      </c>
      <c r="H1665" s="12" t="s">
        <v>755</v>
      </c>
      <c r="I1665" s="12" t="s">
        <v>756</v>
      </c>
      <c r="J1665" s="84">
        <v>42123</v>
      </c>
      <c r="K1665" s="84">
        <v>53081</v>
      </c>
      <c r="L1665" s="12" t="s">
        <v>836</v>
      </c>
      <c r="M1665" s="12" t="s">
        <v>3029</v>
      </c>
      <c r="N1665" s="75"/>
    </row>
    <row r="1666" spans="1:14">
      <c r="A1666" s="12">
        <v>1663</v>
      </c>
      <c r="B1666" s="12" t="s">
        <v>5103</v>
      </c>
      <c r="C1666" s="12" t="s">
        <v>752</v>
      </c>
      <c r="D1666" s="12" t="s">
        <v>5104</v>
      </c>
      <c r="E1666" s="85">
        <v>1691.18</v>
      </c>
      <c r="F1666" s="6">
        <v>5226627</v>
      </c>
      <c r="G1666" s="12" t="s">
        <v>5105</v>
      </c>
      <c r="H1666" s="12" t="s">
        <v>755</v>
      </c>
      <c r="I1666" s="12" t="s">
        <v>756</v>
      </c>
      <c r="J1666" s="84">
        <v>44679</v>
      </c>
      <c r="K1666" s="84">
        <v>55637</v>
      </c>
      <c r="L1666" s="12" t="s">
        <v>274</v>
      </c>
      <c r="M1666" s="12" t="s">
        <v>3186</v>
      </c>
      <c r="N1666" s="75"/>
    </row>
    <row r="1667" spans="1:14">
      <c r="A1667" s="12">
        <v>1664</v>
      </c>
      <c r="B1667" s="12" t="s">
        <v>5106</v>
      </c>
      <c r="C1667" s="12" t="s">
        <v>752</v>
      </c>
      <c r="D1667" s="12" t="s">
        <v>3314</v>
      </c>
      <c r="E1667" s="85">
        <v>175.78</v>
      </c>
      <c r="F1667" s="6">
        <v>5748933</v>
      </c>
      <c r="G1667" s="12" t="s">
        <v>5107</v>
      </c>
      <c r="H1667" s="12" t="s">
        <v>766</v>
      </c>
      <c r="I1667" s="12" t="s">
        <v>767</v>
      </c>
      <c r="J1667" s="84">
        <v>43224</v>
      </c>
      <c r="K1667" s="84">
        <v>54182</v>
      </c>
      <c r="L1667" s="12" t="s">
        <v>274</v>
      </c>
      <c r="M1667" s="12" t="s">
        <v>275</v>
      </c>
      <c r="N1667" s="75"/>
    </row>
    <row r="1668" spans="1:14">
      <c r="A1668" s="12">
        <v>1665</v>
      </c>
      <c r="B1668" s="12" t="s">
        <v>5108</v>
      </c>
      <c r="C1668" s="12" t="s">
        <v>212</v>
      </c>
      <c r="D1668" s="12" t="s">
        <v>2673</v>
      </c>
      <c r="E1668" s="85">
        <v>100.88</v>
      </c>
      <c r="F1668" s="6">
        <v>5991625</v>
      </c>
      <c r="G1668" s="12" t="s">
        <v>5109</v>
      </c>
      <c r="H1668" s="12" t="s">
        <v>755</v>
      </c>
      <c r="I1668" s="12" t="s">
        <v>756</v>
      </c>
      <c r="J1668" s="84">
        <v>44692</v>
      </c>
      <c r="K1668" s="84">
        <v>55650</v>
      </c>
      <c r="L1668" s="12" t="s">
        <v>170</v>
      </c>
      <c r="M1668" s="12" t="s">
        <v>807</v>
      </c>
      <c r="N1668" s="75"/>
    </row>
    <row r="1669" spans="1:14">
      <c r="A1669" s="12">
        <v>1666</v>
      </c>
      <c r="B1669" s="12" t="s">
        <v>5110</v>
      </c>
      <c r="C1669" s="12" t="s">
        <v>752</v>
      </c>
      <c r="D1669" s="12" t="s">
        <v>5111</v>
      </c>
      <c r="E1669" s="85">
        <v>164.78</v>
      </c>
      <c r="F1669" s="6">
        <v>5146852</v>
      </c>
      <c r="G1669" s="12" t="s">
        <v>5112</v>
      </c>
      <c r="H1669" s="12" t="s">
        <v>755</v>
      </c>
      <c r="I1669" s="12" t="s">
        <v>756</v>
      </c>
      <c r="J1669" s="84">
        <v>40220</v>
      </c>
      <c r="K1669" s="84">
        <v>51177</v>
      </c>
      <c r="L1669" s="12" t="s">
        <v>768</v>
      </c>
      <c r="M1669" s="12" t="s">
        <v>769</v>
      </c>
      <c r="N1669" s="75"/>
    </row>
    <row r="1670" spans="1:14">
      <c r="A1670" s="12">
        <v>1667</v>
      </c>
      <c r="B1670" s="12" t="s">
        <v>5113</v>
      </c>
      <c r="C1670" s="12" t="s">
        <v>137</v>
      </c>
      <c r="D1670" s="12" t="s">
        <v>2579</v>
      </c>
      <c r="E1670" s="85">
        <v>156.35</v>
      </c>
      <c r="F1670" s="6">
        <v>5467268</v>
      </c>
      <c r="G1670" s="12" t="s">
        <v>194</v>
      </c>
      <c r="H1670" s="12" t="s">
        <v>755</v>
      </c>
      <c r="I1670" s="12" t="s">
        <v>756</v>
      </c>
      <c r="J1670" s="84">
        <v>44705</v>
      </c>
      <c r="K1670" s="84">
        <v>55663</v>
      </c>
      <c r="L1670" s="12" t="s">
        <v>304</v>
      </c>
      <c r="M1670" s="12" t="s">
        <v>773</v>
      </c>
      <c r="N1670" s="75"/>
    </row>
    <row r="1671" spans="1:14">
      <c r="A1671" s="12">
        <v>1668</v>
      </c>
      <c r="B1671" s="12" t="s">
        <v>5114</v>
      </c>
      <c r="C1671" s="12" t="s">
        <v>122</v>
      </c>
      <c r="D1671" s="12" t="s">
        <v>5115</v>
      </c>
      <c r="E1671" s="85">
        <v>3516.81</v>
      </c>
      <c r="F1671" s="6">
        <v>5103576</v>
      </c>
      <c r="G1671" s="12" t="s">
        <v>5116</v>
      </c>
      <c r="H1671" s="12" t="s">
        <v>755</v>
      </c>
      <c r="I1671" s="12" t="s">
        <v>756</v>
      </c>
      <c r="J1671" s="84">
        <v>44708</v>
      </c>
      <c r="K1671" s="84">
        <v>55666</v>
      </c>
      <c r="L1671" s="12" t="s">
        <v>375</v>
      </c>
      <c r="M1671" s="12" t="s">
        <v>2955</v>
      </c>
      <c r="N1671" s="75"/>
    </row>
    <row r="1672" spans="1:14">
      <c r="A1672" s="12">
        <v>1669</v>
      </c>
      <c r="B1672" s="12" t="s">
        <v>5117</v>
      </c>
      <c r="C1672" s="12" t="s">
        <v>212</v>
      </c>
      <c r="D1672" s="12" t="s">
        <v>5118</v>
      </c>
      <c r="E1672" s="85">
        <v>401.16</v>
      </c>
      <c r="F1672" s="6">
        <v>6777015</v>
      </c>
      <c r="G1672" s="12" t="s">
        <v>5119</v>
      </c>
      <c r="H1672" s="12" t="s">
        <v>755</v>
      </c>
      <c r="I1672" s="12" t="s">
        <v>756</v>
      </c>
      <c r="J1672" s="84">
        <v>44718</v>
      </c>
      <c r="K1672" s="84">
        <v>55676</v>
      </c>
      <c r="L1672" s="12" t="s">
        <v>170</v>
      </c>
      <c r="M1672" s="12" t="s">
        <v>2444</v>
      </c>
      <c r="N1672" s="75"/>
    </row>
    <row r="1673" spans="1:14">
      <c r="A1673" s="12">
        <v>1670</v>
      </c>
      <c r="B1673" s="12" t="s">
        <v>5120</v>
      </c>
      <c r="C1673" s="12" t="s">
        <v>4929</v>
      </c>
      <c r="D1673" s="12" t="s">
        <v>5121</v>
      </c>
      <c r="E1673" s="85">
        <v>2985.15</v>
      </c>
      <c r="F1673" s="6">
        <v>5055105</v>
      </c>
      <c r="G1673" s="12" t="s">
        <v>5122</v>
      </c>
      <c r="H1673" s="12" t="s">
        <v>755</v>
      </c>
      <c r="I1673" s="12" t="s">
        <v>756</v>
      </c>
      <c r="J1673" s="84">
        <v>44728</v>
      </c>
      <c r="K1673" s="84">
        <v>55686</v>
      </c>
      <c r="L1673" s="12" t="s">
        <v>304</v>
      </c>
      <c r="M1673" s="12" t="s">
        <v>1634</v>
      </c>
      <c r="N1673" s="75"/>
    </row>
    <row r="1674" spans="1:14">
      <c r="A1674" s="12">
        <v>1671</v>
      </c>
      <c r="B1674" s="12" t="s">
        <v>5123</v>
      </c>
      <c r="C1674" s="12" t="s">
        <v>979</v>
      </c>
      <c r="D1674" s="12" t="s">
        <v>5124</v>
      </c>
      <c r="E1674" s="85">
        <v>5335.81</v>
      </c>
      <c r="F1674" s="6">
        <v>2069792</v>
      </c>
      <c r="G1674" s="12" t="s">
        <v>4445</v>
      </c>
      <c r="H1674" s="12" t="s">
        <v>755</v>
      </c>
      <c r="I1674" s="12" t="s">
        <v>756</v>
      </c>
      <c r="J1674" s="84">
        <v>44732</v>
      </c>
      <c r="K1674" s="84">
        <v>55690</v>
      </c>
      <c r="L1674" s="12" t="s">
        <v>1014</v>
      </c>
      <c r="M1674" s="12" t="s">
        <v>2825</v>
      </c>
      <c r="N1674" s="75"/>
    </row>
    <row r="1675" spans="1:14">
      <c r="A1675" s="12">
        <v>1672</v>
      </c>
      <c r="B1675" s="12" t="s">
        <v>5125</v>
      </c>
      <c r="C1675" s="12" t="s">
        <v>221</v>
      </c>
      <c r="D1675" s="12" t="s">
        <v>5126</v>
      </c>
      <c r="E1675" s="85">
        <v>1396.12</v>
      </c>
      <c r="F1675" s="6">
        <v>5154715</v>
      </c>
      <c r="G1675" s="12" t="s">
        <v>5127</v>
      </c>
      <c r="H1675" s="12" t="s">
        <v>755</v>
      </c>
      <c r="I1675" s="12" t="s">
        <v>756</v>
      </c>
      <c r="J1675" s="84">
        <v>44739</v>
      </c>
      <c r="K1675" s="84">
        <v>55697</v>
      </c>
      <c r="L1675" s="12" t="s">
        <v>375</v>
      </c>
      <c r="M1675" s="12" t="s">
        <v>2649</v>
      </c>
      <c r="N1675" s="75"/>
    </row>
    <row r="1676" spans="1:14">
      <c r="A1676" s="12">
        <v>1673</v>
      </c>
      <c r="B1676" s="12" t="s">
        <v>5128</v>
      </c>
      <c r="C1676" s="12" t="s">
        <v>752</v>
      </c>
      <c r="D1676" s="12" t="s">
        <v>5129</v>
      </c>
      <c r="E1676" s="85">
        <v>567.19000000000005</v>
      </c>
      <c r="F1676" s="6">
        <v>6204767</v>
      </c>
      <c r="G1676" s="12" t="s">
        <v>5130</v>
      </c>
      <c r="H1676" s="12" t="s">
        <v>755</v>
      </c>
      <c r="I1676" s="12" t="s">
        <v>756</v>
      </c>
      <c r="J1676" s="84">
        <v>44742</v>
      </c>
      <c r="K1676" s="84">
        <v>55700</v>
      </c>
      <c r="L1676" s="12" t="s">
        <v>768</v>
      </c>
      <c r="M1676" s="12" t="s">
        <v>933</v>
      </c>
      <c r="N1676" s="75"/>
    </row>
    <row r="1677" spans="1:14">
      <c r="A1677" s="12">
        <v>1674</v>
      </c>
      <c r="B1677" s="12" t="s">
        <v>5131</v>
      </c>
      <c r="C1677" s="12" t="s">
        <v>752</v>
      </c>
      <c r="D1677" s="12" t="s">
        <v>5132</v>
      </c>
      <c r="E1677" s="85">
        <v>1027.27</v>
      </c>
      <c r="F1677" s="6">
        <v>6613713</v>
      </c>
      <c r="G1677" s="12" t="s">
        <v>5133</v>
      </c>
      <c r="H1677" s="12" t="s">
        <v>755</v>
      </c>
      <c r="I1677" s="12" t="s">
        <v>756</v>
      </c>
      <c r="J1677" s="84">
        <v>44750</v>
      </c>
      <c r="K1677" s="84">
        <v>55708</v>
      </c>
      <c r="L1677" s="12" t="s">
        <v>5134</v>
      </c>
      <c r="M1677" s="12" t="s">
        <v>5135</v>
      </c>
      <c r="N1677" s="75"/>
    </row>
    <row r="1678" spans="1:14">
      <c r="A1678" s="12">
        <v>1675</v>
      </c>
      <c r="B1678" s="12" t="s">
        <v>5136</v>
      </c>
      <c r="C1678" s="12" t="s">
        <v>752</v>
      </c>
      <c r="D1678" s="12" t="s">
        <v>4660</v>
      </c>
      <c r="E1678" s="85">
        <v>117.81</v>
      </c>
      <c r="F1678" s="6">
        <v>5568005</v>
      </c>
      <c r="G1678" s="12" t="s">
        <v>5137</v>
      </c>
      <c r="H1678" s="12" t="s">
        <v>755</v>
      </c>
      <c r="I1678" s="12" t="s">
        <v>756</v>
      </c>
      <c r="J1678" s="84">
        <v>44750</v>
      </c>
      <c r="K1678" s="84">
        <v>55708</v>
      </c>
      <c r="L1678" s="12" t="s">
        <v>180</v>
      </c>
      <c r="M1678" s="12" t="s">
        <v>927</v>
      </c>
      <c r="N1678" s="75"/>
    </row>
    <row r="1679" spans="1:14">
      <c r="A1679" s="12">
        <v>1676</v>
      </c>
      <c r="B1679" s="12" t="s">
        <v>5138</v>
      </c>
      <c r="C1679" s="12" t="s">
        <v>979</v>
      </c>
      <c r="D1679" s="12" t="s">
        <v>5139</v>
      </c>
      <c r="E1679" s="85">
        <v>10982.2</v>
      </c>
      <c r="F1679" s="6">
        <v>5250684</v>
      </c>
      <c r="G1679" s="12" t="s">
        <v>5140</v>
      </c>
      <c r="H1679" s="12" t="s">
        <v>755</v>
      </c>
      <c r="I1679" s="12" t="s">
        <v>756</v>
      </c>
      <c r="J1679" s="84">
        <v>44760</v>
      </c>
      <c r="K1679" s="84">
        <v>55718</v>
      </c>
      <c r="L1679" s="12" t="s">
        <v>1102</v>
      </c>
      <c r="M1679" s="12" t="s">
        <v>1550</v>
      </c>
      <c r="N1679" s="75"/>
    </row>
    <row r="1680" spans="1:14">
      <c r="A1680" s="12">
        <v>1677</v>
      </c>
      <c r="B1680" s="12" t="s">
        <v>5141</v>
      </c>
      <c r="C1680" s="12" t="s">
        <v>979</v>
      </c>
      <c r="D1680" s="12" t="s">
        <v>5142</v>
      </c>
      <c r="E1680" s="85">
        <v>27978.639999999999</v>
      </c>
      <c r="F1680" s="6">
        <v>5185181</v>
      </c>
      <c r="G1680" s="12" t="s">
        <v>5048</v>
      </c>
      <c r="H1680" s="12" t="s">
        <v>755</v>
      </c>
      <c r="I1680" s="12" t="s">
        <v>756</v>
      </c>
      <c r="J1680" s="84">
        <v>44763</v>
      </c>
      <c r="K1680" s="84">
        <v>55721</v>
      </c>
      <c r="L1680" s="12" t="s">
        <v>768</v>
      </c>
      <c r="M1680" s="12" t="s">
        <v>1198</v>
      </c>
      <c r="N1680" s="75"/>
    </row>
    <row r="1681" spans="1:14">
      <c r="A1681" s="12">
        <v>1678</v>
      </c>
      <c r="B1681" s="12" t="s">
        <v>5143</v>
      </c>
      <c r="C1681" s="12" t="s">
        <v>979</v>
      </c>
      <c r="D1681" s="12" t="s">
        <v>1015</v>
      </c>
      <c r="E1681" s="85">
        <v>2076.7399999999998</v>
      </c>
      <c r="F1681" s="6">
        <v>2724286</v>
      </c>
      <c r="G1681" s="12" t="s">
        <v>5144</v>
      </c>
      <c r="H1681" s="12" t="s">
        <v>755</v>
      </c>
      <c r="I1681" s="12" t="s">
        <v>756</v>
      </c>
      <c r="J1681" s="84">
        <v>44763</v>
      </c>
      <c r="K1681" s="84">
        <v>55721</v>
      </c>
      <c r="L1681" s="12" t="s">
        <v>233</v>
      </c>
      <c r="M1681" s="12" t="s">
        <v>2965</v>
      </c>
      <c r="N1681" s="75"/>
    </row>
    <row r="1682" spans="1:14">
      <c r="A1682" s="12">
        <v>1679</v>
      </c>
      <c r="B1682" s="12" t="s">
        <v>5145</v>
      </c>
      <c r="C1682" s="12" t="s">
        <v>137</v>
      </c>
      <c r="D1682" s="12" t="s">
        <v>5146</v>
      </c>
      <c r="E1682" s="85">
        <v>1651.43</v>
      </c>
      <c r="F1682" s="6">
        <v>2059681</v>
      </c>
      <c r="G1682" s="12" t="s">
        <v>4830</v>
      </c>
      <c r="H1682" s="12" t="s">
        <v>755</v>
      </c>
      <c r="I1682" s="12" t="s">
        <v>756</v>
      </c>
      <c r="J1682" s="84">
        <v>44778</v>
      </c>
      <c r="K1682" s="84">
        <v>55736</v>
      </c>
      <c r="L1682" s="12" t="s">
        <v>304</v>
      </c>
      <c r="M1682" s="12" t="s">
        <v>773</v>
      </c>
      <c r="N1682" s="75"/>
    </row>
    <row r="1683" spans="1:14">
      <c r="A1683" s="12">
        <v>1680</v>
      </c>
      <c r="B1683" s="12" t="s">
        <v>5147</v>
      </c>
      <c r="C1683" s="12" t="s">
        <v>752</v>
      </c>
      <c r="D1683" s="12" t="s">
        <v>5148</v>
      </c>
      <c r="E1683" s="85">
        <v>262.64999999999998</v>
      </c>
      <c r="F1683" s="6">
        <v>5287359</v>
      </c>
      <c r="G1683" s="12" t="s">
        <v>5149</v>
      </c>
      <c r="H1683" s="12" t="s">
        <v>755</v>
      </c>
      <c r="I1683" s="12" t="s">
        <v>756</v>
      </c>
      <c r="J1683" s="84">
        <v>44831</v>
      </c>
      <c r="K1683" s="84">
        <v>55789</v>
      </c>
      <c r="L1683" s="12" t="s">
        <v>836</v>
      </c>
      <c r="M1683" s="12" t="s">
        <v>837</v>
      </c>
      <c r="N1683" s="75"/>
    </row>
    <row r="1684" spans="1:14">
      <c r="A1684" s="12">
        <v>1681</v>
      </c>
      <c r="B1684" s="12" t="s">
        <v>5150</v>
      </c>
      <c r="C1684" s="12" t="s">
        <v>752</v>
      </c>
      <c r="D1684" s="12" t="s">
        <v>5151</v>
      </c>
      <c r="E1684" s="85">
        <v>47.52</v>
      </c>
      <c r="F1684" s="6">
        <v>2861429</v>
      </c>
      <c r="G1684" s="12" t="s">
        <v>5152</v>
      </c>
      <c r="H1684" s="12" t="s">
        <v>755</v>
      </c>
      <c r="I1684" s="12" t="s">
        <v>756</v>
      </c>
      <c r="J1684" s="84">
        <v>37119</v>
      </c>
      <c r="K1684" s="84">
        <v>48076</v>
      </c>
      <c r="L1684" s="12" t="s">
        <v>304</v>
      </c>
      <c r="M1684" s="12" t="s">
        <v>773</v>
      </c>
      <c r="N1684" s="75"/>
    </row>
    <row r="1685" spans="1:14">
      <c r="A1685" s="12">
        <v>1682</v>
      </c>
      <c r="B1685" s="12" t="s">
        <v>5153</v>
      </c>
      <c r="C1685" s="12" t="s">
        <v>2008</v>
      </c>
      <c r="D1685" s="12" t="s">
        <v>5154</v>
      </c>
      <c r="E1685" s="85">
        <v>464.98</v>
      </c>
      <c r="F1685" s="6">
        <v>2654652</v>
      </c>
      <c r="G1685" s="12" t="s">
        <v>4052</v>
      </c>
      <c r="H1685" s="12" t="s">
        <v>755</v>
      </c>
      <c r="I1685" s="12" t="s">
        <v>756</v>
      </c>
      <c r="J1685" s="84">
        <v>44861</v>
      </c>
      <c r="K1685" s="84">
        <v>55819</v>
      </c>
      <c r="L1685" s="12" t="s">
        <v>170</v>
      </c>
      <c r="M1685" s="12" t="s">
        <v>2444</v>
      </c>
      <c r="N1685" s="75"/>
    </row>
    <row r="1686" spans="1:14">
      <c r="A1686" s="12">
        <v>1683</v>
      </c>
      <c r="B1686" s="12" t="s">
        <v>5155</v>
      </c>
      <c r="C1686" s="12" t="s">
        <v>212</v>
      </c>
      <c r="D1686" s="12" t="s">
        <v>5156</v>
      </c>
      <c r="E1686" s="85">
        <v>377.01</v>
      </c>
      <c r="F1686" s="6">
        <v>3435474</v>
      </c>
      <c r="G1686" s="12" t="s">
        <v>5005</v>
      </c>
      <c r="H1686" s="12" t="s">
        <v>755</v>
      </c>
      <c r="I1686" s="12" t="s">
        <v>756</v>
      </c>
      <c r="J1686" s="84">
        <v>44866</v>
      </c>
      <c r="K1686" s="84">
        <v>55824</v>
      </c>
      <c r="L1686" s="12" t="s">
        <v>375</v>
      </c>
      <c r="M1686" s="12" t="s">
        <v>2649</v>
      </c>
      <c r="N1686" s="75"/>
    </row>
    <row r="1687" spans="1:14">
      <c r="A1687" s="12">
        <v>1684</v>
      </c>
      <c r="B1687" s="12" t="s">
        <v>5157</v>
      </c>
      <c r="C1687" s="12" t="s">
        <v>752</v>
      </c>
      <c r="D1687" s="12" t="s">
        <v>5158</v>
      </c>
      <c r="E1687" s="85">
        <v>290.05</v>
      </c>
      <c r="F1687" s="6">
        <v>6470556</v>
      </c>
      <c r="G1687" s="12" t="s">
        <v>5159</v>
      </c>
      <c r="H1687" s="12" t="s">
        <v>755</v>
      </c>
      <c r="I1687" s="12" t="s">
        <v>756</v>
      </c>
      <c r="J1687" s="84">
        <v>44872</v>
      </c>
      <c r="K1687" s="84">
        <v>55830</v>
      </c>
      <c r="L1687" s="12" t="s">
        <v>304</v>
      </c>
      <c r="M1687" s="12" t="s">
        <v>1634</v>
      </c>
      <c r="N1687" s="75"/>
    </row>
    <row r="1688" spans="1:14">
      <c r="A1688" s="12">
        <v>1685</v>
      </c>
      <c r="B1688" s="12" t="s">
        <v>5160</v>
      </c>
      <c r="C1688" s="12" t="s">
        <v>122</v>
      </c>
      <c r="D1688" s="12" t="s">
        <v>1389</v>
      </c>
      <c r="E1688" s="85">
        <v>3003.37</v>
      </c>
      <c r="F1688" s="6">
        <v>6422403</v>
      </c>
      <c r="G1688" s="12" t="s">
        <v>5161</v>
      </c>
      <c r="H1688" s="12" t="s">
        <v>755</v>
      </c>
      <c r="I1688" s="12" t="s">
        <v>756</v>
      </c>
      <c r="J1688" s="84">
        <v>44918</v>
      </c>
      <c r="K1688" s="84">
        <v>55876</v>
      </c>
      <c r="L1688" s="12" t="s">
        <v>170</v>
      </c>
      <c r="M1688" s="12" t="s">
        <v>2444</v>
      </c>
      <c r="N1688" s="75"/>
    </row>
    <row r="1689" spans="1:14">
      <c r="A1689" s="12">
        <v>1686</v>
      </c>
      <c r="B1689" s="12" t="s">
        <v>5162</v>
      </c>
      <c r="C1689" s="12" t="s">
        <v>212</v>
      </c>
      <c r="D1689" s="12" t="s">
        <v>2296</v>
      </c>
      <c r="E1689" s="85">
        <v>8546.9500000000007</v>
      </c>
      <c r="F1689" s="6">
        <v>3435474</v>
      </c>
      <c r="G1689" s="12" t="s">
        <v>5005</v>
      </c>
      <c r="H1689" s="12" t="s">
        <v>755</v>
      </c>
      <c r="I1689" s="12" t="s">
        <v>756</v>
      </c>
      <c r="J1689" s="84">
        <v>44928</v>
      </c>
      <c r="K1689" s="84">
        <v>55886</v>
      </c>
      <c r="L1689" s="12" t="s">
        <v>375</v>
      </c>
      <c r="M1689" s="12" t="s">
        <v>2649</v>
      </c>
      <c r="N1689" s="75"/>
    </row>
    <row r="1690" spans="1:14">
      <c r="A1690" s="12">
        <v>1687</v>
      </c>
      <c r="B1690" s="12" t="s">
        <v>5163</v>
      </c>
      <c r="C1690" s="12" t="s">
        <v>752</v>
      </c>
      <c r="D1690" s="12" t="s">
        <v>856</v>
      </c>
      <c r="E1690" s="85">
        <v>25.13</v>
      </c>
      <c r="F1690" s="6">
        <v>5958989</v>
      </c>
      <c r="G1690" s="12" t="s">
        <v>4743</v>
      </c>
      <c r="H1690" s="12" t="s">
        <v>755</v>
      </c>
      <c r="I1690" s="12" t="s">
        <v>756</v>
      </c>
      <c r="J1690" s="84">
        <v>39209</v>
      </c>
      <c r="K1690" s="84">
        <v>50167</v>
      </c>
      <c r="L1690" s="12" t="s">
        <v>274</v>
      </c>
      <c r="M1690" s="12" t="s">
        <v>275</v>
      </c>
      <c r="N1690" s="75"/>
    </row>
    <row r="1691" spans="1:14">
      <c r="A1691" s="12">
        <v>1688</v>
      </c>
      <c r="B1691" s="12" t="s">
        <v>5164</v>
      </c>
      <c r="C1691" s="12" t="s">
        <v>221</v>
      </c>
      <c r="D1691" s="12" t="s">
        <v>5165</v>
      </c>
      <c r="E1691" s="85">
        <v>37.96</v>
      </c>
      <c r="F1691" s="6">
        <v>2041278</v>
      </c>
      <c r="G1691" s="12" t="s">
        <v>5166</v>
      </c>
      <c r="H1691" s="12" t="s">
        <v>755</v>
      </c>
      <c r="I1691" s="12" t="s">
        <v>756</v>
      </c>
      <c r="J1691" s="84">
        <v>35749</v>
      </c>
      <c r="K1691" s="84">
        <v>46706</v>
      </c>
      <c r="L1691" s="12" t="s">
        <v>274</v>
      </c>
      <c r="M1691" s="12" t="s">
        <v>874</v>
      </c>
      <c r="N1691" s="75"/>
    </row>
    <row r="1692" spans="1:14">
      <c r="A1692" s="12">
        <v>1689</v>
      </c>
      <c r="B1692" s="12" t="s">
        <v>5167</v>
      </c>
      <c r="C1692" s="12" t="s">
        <v>752</v>
      </c>
      <c r="D1692" s="12" t="s">
        <v>856</v>
      </c>
      <c r="E1692" s="85">
        <v>25.18</v>
      </c>
      <c r="F1692" s="6">
        <v>6922031</v>
      </c>
      <c r="G1692" s="12" t="s">
        <v>5168</v>
      </c>
      <c r="H1692" s="12" t="s">
        <v>755</v>
      </c>
      <c r="I1692" s="12" t="s">
        <v>756</v>
      </c>
      <c r="J1692" s="84">
        <v>39209</v>
      </c>
      <c r="K1692" s="84">
        <v>50167</v>
      </c>
      <c r="L1692" s="12" t="s">
        <v>274</v>
      </c>
      <c r="M1692" s="12" t="s">
        <v>275</v>
      </c>
      <c r="N1692" s="75"/>
    </row>
    <row r="1693" spans="1:14">
      <c r="A1693" s="12">
        <v>1690</v>
      </c>
      <c r="B1693" s="12" t="s">
        <v>5169</v>
      </c>
      <c r="C1693" s="12" t="s">
        <v>2980</v>
      </c>
      <c r="D1693" s="12" t="s">
        <v>5170</v>
      </c>
      <c r="E1693" s="85">
        <v>154.29</v>
      </c>
      <c r="F1693" s="6">
        <v>6690912</v>
      </c>
      <c r="G1693" s="12" t="s">
        <v>5171</v>
      </c>
      <c r="H1693" s="12" t="s">
        <v>755</v>
      </c>
      <c r="I1693" s="12" t="s">
        <v>756</v>
      </c>
      <c r="J1693" s="84">
        <v>45028</v>
      </c>
      <c r="K1693" s="84">
        <v>55986</v>
      </c>
      <c r="L1693" s="12" t="s">
        <v>138</v>
      </c>
      <c r="M1693" s="12" t="s">
        <v>1806</v>
      </c>
      <c r="N1693" s="75"/>
    </row>
    <row r="1694" spans="1:14">
      <c r="A1694" s="12">
        <v>1691</v>
      </c>
      <c r="B1694" s="12" t="s">
        <v>5172</v>
      </c>
      <c r="C1694" s="12" t="s">
        <v>1203</v>
      </c>
      <c r="D1694" s="12" t="s">
        <v>5173</v>
      </c>
      <c r="E1694" s="85">
        <v>404.98</v>
      </c>
      <c r="F1694" s="6">
        <v>5111676</v>
      </c>
      <c r="G1694" s="12" t="s">
        <v>5174</v>
      </c>
      <c r="H1694" s="12" t="s">
        <v>755</v>
      </c>
      <c r="I1694" s="12" t="s">
        <v>756</v>
      </c>
      <c r="J1694" s="84">
        <v>40059</v>
      </c>
      <c r="K1694" s="84">
        <v>51016</v>
      </c>
      <c r="L1694" s="12" t="s">
        <v>123</v>
      </c>
      <c r="M1694" s="12" t="s">
        <v>2876</v>
      </c>
      <c r="N1694" s="75"/>
    </row>
    <row r="1695" spans="1:14">
      <c r="A1695" s="12">
        <v>1692</v>
      </c>
      <c r="B1695" s="12" t="s">
        <v>5175</v>
      </c>
      <c r="C1695" s="12" t="s">
        <v>752</v>
      </c>
      <c r="D1695" s="12" t="s">
        <v>5176</v>
      </c>
      <c r="E1695" s="85">
        <v>344.04</v>
      </c>
      <c r="F1695" s="6">
        <v>2054701</v>
      </c>
      <c r="G1695" s="12" t="s">
        <v>776</v>
      </c>
      <c r="H1695" s="12" t="s">
        <v>755</v>
      </c>
      <c r="I1695" s="12" t="s">
        <v>756</v>
      </c>
      <c r="J1695" s="84">
        <v>38947</v>
      </c>
      <c r="K1695" s="84">
        <v>50345</v>
      </c>
      <c r="L1695" s="12" t="s">
        <v>768</v>
      </c>
      <c r="M1695" s="12" t="s">
        <v>867</v>
      </c>
      <c r="N1695" s="75"/>
    </row>
    <row r="1696" spans="1:14">
      <c r="A1696" s="12">
        <v>1693</v>
      </c>
      <c r="B1696" s="12" t="s">
        <v>5177</v>
      </c>
      <c r="C1696" s="12" t="s">
        <v>752</v>
      </c>
      <c r="D1696" s="12" t="s">
        <v>1315</v>
      </c>
      <c r="E1696" s="85">
        <v>244.53</v>
      </c>
      <c r="F1696" s="6">
        <v>6014801</v>
      </c>
      <c r="G1696" s="12" t="s">
        <v>5178</v>
      </c>
      <c r="H1696" s="12" t="s">
        <v>755</v>
      </c>
      <c r="I1696" s="12" t="s">
        <v>756</v>
      </c>
      <c r="J1696" s="84">
        <v>45042</v>
      </c>
      <c r="K1696" s="84">
        <v>56000</v>
      </c>
      <c r="L1696" s="12" t="s">
        <v>1014</v>
      </c>
      <c r="M1696" s="12" t="s">
        <v>3222</v>
      </c>
      <c r="N1696" s="75"/>
    </row>
    <row r="1697" spans="1:14">
      <c r="A1697" s="12">
        <v>1694</v>
      </c>
      <c r="B1697" s="12" t="s">
        <v>5179</v>
      </c>
      <c r="C1697" s="12" t="s">
        <v>212</v>
      </c>
      <c r="D1697" s="12" t="s">
        <v>1956</v>
      </c>
      <c r="E1697" s="85">
        <v>295.70999999999998</v>
      </c>
      <c r="F1697" s="6">
        <v>6206891</v>
      </c>
      <c r="G1697" s="12" t="s">
        <v>5180</v>
      </c>
      <c r="H1697" s="12" t="s">
        <v>755</v>
      </c>
      <c r="I1697" s="12" t="s">
        <v>756</v>
      </c>
      <c r="J1697" s="84">
        <v>45061</v>
      </c>
      <c r="K1697" s="84">
        <v>56019</v>
      </c>
      <c r="L1697" s="12" t="s">
        <v>375</v>
      </c>
      <c r="M1697" s="12" t="s">
        <v>1279</v>
      </c>
      <c r="N1697" s="75"/>
    </row>
    <row r="1698" spans="1:14">
      <c r="A1698" s="12">
        <v>1695</v>
      </c>
      <c r="B1698" s="12" t="s">
        <v>5181</v>
      </c>
      <c r="C1698" s="12" t="s">
        <v>752</v>
      </c>
      <c r="D1698" s="12" t="s">
        <v>5182</v>
      </c>
      <c r="E1698" s="85">
        <v>144.83000000000001</v>
      </c>
      <c r="F1698" s="6">
        <v>2550466</v>
      </c>
      <c r="G1698" s="12" t="s">
        <v>801</v>
      </c>
      <c r="H1698" s="12" t="s">
        <v>761</v>
      </c>
      <c r="I1698" s="12" t="s">
        <v>756</v>
      </c>
      <c r="J1698" s="84">
        <v>45079</v>
      </c>
      <c r="K1698" s="84">
        <v>56037</v>
      </c>
      <c r="L1698" s="12" t="s">
        <v>274</v>
      </c>
      <c r="M1698" s="12" t="s">
        <v>275</v>
      </c>
      <c r="N1698" s="75"/>
    </row>
    <row r="1699" spans="1:14">
      <c r="A1699" s="12">
        <v>1696</v>
      </c>
      <c r="B1699" s="12" t="s">
        <v>5183</v>
      </c>
      <c r="C1699" s="12" t="s">
        <v>212</v>
      </c>
      <c r="D1699" s="12" t="s">
        <v>5184</v>
      </c>
      <c r="E1699" s="85">
        <v>31.16</v>
      </c>
      <c r="F1699" s="6">
        <v>4183525</v>
      </c>
      <c r="G1699" s="12" t="s">
        <v>5185</v>
      </c>
      <c r="H1699" s="12" t="s">
        <v>755</v>
      </c>
      <c r="I1699" s="12" t="s">
        <v>756</v>
      </c>
      <c r="J1699" s="84">
        <v>37779</v>
      </c>
      <c r="K1699" s="84">
        <v>48737</v>
      </c>
      <c r="L1699" s="12" t="s">
        <v>138</v>
      </c>
      <c r="M1699" s="12" t="s">
        <v>1591</v>
      </c>
      <c r="N1699" s="75"/>
    </row>
    <row r="1700" spans="1:14">
      <c r="A1700" s="12">
        <v>1697</v>
      </c>
      <c r="B1700" s="12" t="s">
        <v>5186</v>
      </c>
      <c r="C1700" s="12" t="s">
        <v>221</v>
      </c>
      <c r="D1700" s="12" t="s">
        <v>5187</v>
      </c>
      <c r="E1700" s="85">
        <v>2048.73</v>
      </c>
      <c r="F1700" s="6">
        <v>6730582</v>
      </c>
      <c r="G1700" s="12" t="s">
        <v>5188</v>
      </c>
      <c r="H1700" s="12" t="s">
        <v>755</v>
      </c>
      <c r="I1700" s="12" t="s">
        <v>756</v>
      </c>
      <c r="J1700" s="84">
        <v>45103</v>
      </c>
      <c r="K1700" s="84">
        <v>56061</v>
      </c>
      <c r="L1700" s="12" t="s">
        <v>274</v>
      </c>
      <c r="M1700" s="12" t="s">
        <v>944</v>
      </c>
      <c r="N1700" s="75"/>
    </row>
    <row r="1701" spans="1:14">
      <c r="A1701" s="12">
        <v>1698</v>
      </c>
      <c r="B1701" s="12" t="s">
        <v>5189</v>
      </c>
      <c r="C1701" s="12" t="s">
        <v>979</v>
      </c>
      <c r="D1701" s="12" t="s">
        <v>5190</v>
      </c>
      <c r="E1701" s="85">
        <v>1356.39</v>
      </c>
      <c r="F1701" s="6">
        <v>2112868</v>
      </c>
      <c r="G1701" s="12" t="s">
        <v>1335</v>
      </c>
      <c r="H1701" s="12" t="s">
        <v>848</v>
      </c>
      <c r="I1701" s="12" t="s">
        <v>849</v>
      </c>
      <c r="J1701" s="84">
        <v>45113</v>
      </c>
      <c r="K1701" s="84">
        <v>56071</v>
      </c>
      <c r="L1701" s="12" t="s">
        <v>1102</v>
      </c>
      <c r="M1701" s="12" t="s">
        <v>1103</v>
      </c>
      <c r="N1701" s="75"/>
    </row>
    <row r="1702" spans="1:14">
      <c r="A1702" s="12">
        <v>1699</v>
      </c>
      <c r="B1702" s="12" t="s">
        <v>5191</v>
      </c>
      <c r="C1702" s="12" t="s">
        <v>979</v>
      </c>
      <c r="D1702" s="12" t="s">
        <v>5192</v>
      </c>
      <c r="E1702" s="85">
        <v>1593.7</v>
      </c>
      <c r="F1702" s="6">
        <v>2112868</v>
      </c>
      <c r="G1702" s="12" t="s">
        <v>1335</v>
      </c>
      <c r="H1702" s="12" t="s">
        <v>848</v>
      </c>
      <c r="I1702" s="12" t="s">
        <v>849</v>
      </c>
      <c r="J1702" s="84">
        <v>45113</v>
      </c>
      <c r="K1702" s="84">
        <v>56071</v>
      </c>
      <c r="L1702" s="12" t="s">
        <v>1102</v>
      </c>
      <c r="M1702" s="12" t="s">
        <v>1103</v>
      </c>
      <c r="N1702" s="75"/>
    </row>
    <row r="1703" spans="1:14">
      <c r="A1703" s="12">
        <v>1700</v>
      </c>
      <c r="B1703" s="12" t="s">
        <v>5193</v>
      </c>
      <c r="C1703" s="12" t="s">
        <v>132</v>
      </c>
      <c r="D1703" s="12" t="s">
        <v>4759</v>
      </c>
      <c r="E1703" s="85">
        <v>964.42</v>
      </c>
      <c r="F1703" s="6">
        <v>6128963</v>
      </c>
      <c r="G1703" s="12" t="s">
        <v>4760</v>
      </c>
      <c r="H1703" s="12" t="s">
        <v>848</v>
      </c>
      <c r="I1703" s="12" t="s">
        <v>849</v>
      </c>
      <c r="J1703" s="84">
        <v>45114</v>
      </c>
      <c r="K1703" s="84">
        <v>56072</v>
      </c>
      <c r="L1703" s="12" t="s">
        <v>304</v>
      </c>
      <c r="M1703" s="12" t="s">
        <v>1634</v>
      </c>
      <c r="N1703" s="75"/>
    </row>
    <row r="1704" spans="1:14">
      <c r="A1704" s="12">
        <v>1701</v>
      </c>
      <c r="B1704" s="12" t="s">
        <v>5194</v>
      </c>
      <c r="C1704" s="12" t="s">
        <v>886</v>
      </c>
      <c r="D1704" s="12" t="s">
        <v>5195</v>
      </c>
      <c r="E1704" s="85">
        <v>146.86000000000001</v>
      </c>
      <c r="F1704" s="6">
        <v>5136512</v>
      </c>
      <c r="G1704" s="12" t="s">
        <v>5196</v>
      </c>
      <c r="H1704" s="12" t="s">
        <v>755</v>
      </c>
      <c r="I1704" s="12" t="s">
        <v>756</v>
      </c>
      <c r="J1704" s="84">
        <v>45125</v>
      </c>
      <c r="K1704" s="84">
        <v>56083</v>
      </c>
      <c r="L1704" s="12" t="s">
        <v>123</v>
      </c>
      <c r="M1704" s="12" t="s">
        <v>836</v>
      </c>
      <c r="N1704" s="75"/>
    </row>
    <row r="1705" spans="1:14">
      <c r="A1705" s="12">
        <v>1702</v>
      </c>
      <c r="B1705" s="12" t="s">
        <v>5197</v>
      </c>
      <c r="C1705" s="12" t="s">
        <v>1203</v>
      </c>
      <c r="D1705" s="12" t="s">
        <v>5198</v>
      </c>
      <c r="E1705" s="85">
        <v>265.94</v>
      </c>
      <c r="F1705" s="6">
        <v>2766213</v>
      </c>
      <c r="G1705" s="12" t="s">
        <v>5199</v>
      </c>
      <c r="H1705" s="12" t="s">
        <v>755</v>
      </c>
      <c r="I1705" s="12" t="s">
        <v>756</v>
      </c>
      <c r="J1705" s="84">
        <v>39372</v>
      </c>
      <c r="K1705" s="84">
        <v>50330</v>
      </c>
      <c r="L1705" s="12" t="s">
        <v>293</v>
      </c>
      <c r="M1705" s="12" t="s">
        <v>1206</v>
      </c>
      <c r="N1705" s="75"/>
    </row>
    <row r="1706" spans="1:14">
      <c r="A1706" s="12">
        <v>1703</v>
      </c>
      <c r="B1706" s="12" t="s">
        <v>5200</v>
      </c>
      <c r="C1706" s="12" t="s">
        <v>212</v>
      </c>
      <c r="D1706" s="12" t="s">
        <v>4426</v>
      </c>
      <c r="E1706" s="85">
        <v>26.49</v>
      </c>
      <c r="F1706" s="6">
        <v>6169317</v>
      </c>
      <c r="G1706" s="12" t="s">
        <v>5201</v>
      </c>
      <c r="H1706" s="12" t="s">
        <v>755</v>
      </c>
      <c r="I1706" s="12" t="s">
        <v>756</v>
      </c>
      <c r="J1706" s="84">
        <v>45148</v>
      </c>
      <c r="K1706" s="84">
        <v>56106</v>
      </c>
      <c r="L1706" s="12" t="s">
        <v>293</v>
      </c>
      <c r="M1706" s="12" t="s">
        <v>294</v>
      </c>
      <c r="N1706" s="75"/>
    </row>
    <row r="1707" spans="1:14">
      <c r="A1707" s="12">
        <v>1704</v>
      </c>
      <c r="B1707" s="12" t="s">
        <v>5202</v>
      </c>
      <c r="C1707" s="12" t="s">
        <v>212</v>
      </c>
      <c r="D1707" s="12" t="s">
        <v>3004</v>
      </c>
      <c r="E1707" s="85">
        <v>498.69</v>
      </c>
      <c r="F1707" s="6">
        <v>6169317</v>
      </c>
      <c r="G1707" s="12" t="s">
        <v>5201</v>
      </c>
      <c r="H1707" s="12" t="s">
        <v>755</v>
      </c>
      <c r="I1707" s="12" t="s">
        <v>756</v>
      </c>
      <c r="J1707" s="84">
        <v>45148</v>
      </c>
      <c r="K1707" s="84">
        <v>56106</v>
      </c>
      <c r="L1707" s="12" t="s">
        <v>293</v>
      </c>
      <c r="M1707" s="12" t="s">
        <v>294</v>
      </c>
      <c r="N1707" s="75"/>
    </row>
    <row r="1708" spans="1:14">
      <c r="A1708" s="12">
        <v>1705</v>
      </c>
      <c r="B1708" s="12" t="s">
        <v>5203</v>
      </c>
      <c r="C1708" s="12" t="s">
        <v>752</v>
      </c>
      <c r="D1708" s="12" t="s">
        <v>4117</v>
      </c>
      <c r="E1708" s="85">
        <v>543.27</v>
      </c>
      <c r="F1708" s="6">
        <v>6085571</v>
      </c>
      <c r="G1708" s="12" t="s">
        <v>5204</v>
      </c>
      <c r="H1708" s="12" t="s">
        <v>755</v>
      </c>
      <c r="I1708" s="12" t="s">
        <v>756</v>
      </c>
      <c r="J1708" s="84">
        <v>45159</v>
      </c>
      <c r="K1708" s="84">
        <v>56117</v>
      </c>
      <c r="L1708" s="12" t="s">
        <v>293</v>
      </c>
      <c r="M1708" s="12" t="s">
        <v>3681</v>
      </c>
      <c r="N1708" s="75"/>
    </row>
    <row r="1709" spans="1:14">
      <c r="A1709" s="12">
        <v>1706</v>
      </c>
      <c r="B1709" s="12" t="s">
        <v>5205</v>
      </c>
      <c r="C1709" s="12" t="s">
        <v>212</v>
      </c>
      <c r="D1709" s="12" t="s">
        <v>5206</v>
      </c>
      <c r="E1709" s="85">
        <v>26.79</v>
      </c>
      <c r="F1709" s="6">
        <v>5259673</v>
      </c>
      <c r="G1709" s="12" t="s">
        <v>5207</v>
      </c>
      <c r="H1709" s="12" t="s">
        <v>755</v>
      </c>
      <c r="I1709" s="12" t="s">
        <v>756</v>
      </c>
      <c r="J1709" s="84">
        <v>39948</v>
      </c>
      <c r="K1709" s="84">
        <v>50905</v>
      </c>
      <c r="L1709" s="12" t="s">
        <v>170</v>
      </c>
      <c r="M1709" s="12" t="s">
        <v>807</v>
      </c>
      <c r="N1709" s="75"/>
    </row>
    <row r="1710" spans="1:14">
      <c r="A1710" s="12">
        <v>1707</v>
      </c>
      <c r="B1710" s="12" t="s">
        <v>5208</v>
      </c>
      <c r="C1710" s="12" t="s">
        <v>752</v>
      </c>
      <c r="D1710" s="12" t="s">
        <v>4266</v>
      </c>
      <c r="E1710" s="85">
        <v>2315.14</v>
      </c>
      <c r="F1710" s="6">
        <v>5403316</v>
      </c>
      <c r="G1710" s="12" t="s">
        <v>5209</v>
      </c>
      <c r="H1710" s="12" t="s">
        <v>755</v>
      </c>
      <c r="I1710" s="12" t="s">
        <v>756</v>
      </c>
      <c r="J1710" s="84">
        <v>45173</v>
      </c>
      <c r="K1710" s="84">
        <v>56131</v>
      </c>
      <c r="L1710" s="12" t="s">
        <v>274</v>
      </c>
      <c r="M1710" s="12" t="s">
        <v>3914</v>
      </c>
      <c r="N1710" s="75"/>
    </row>
    <row r="1711" spans="1:14">
      <c r="A1711" s="12">
        <v>1708</v>
      </c>
      <c r="B1711" s="12" t="s">
        <v>5210</v>
      </c>
      <c r="C1711" s="12" t="s">
        <v>137</v>
      </c>
      <c r="D1711" s="12" t="s">
        <v>5211</v>
      </c>
      <c r="E1711" s="85">
        <v>4065.97</v>
      </c>
      <c r="F1711" s="6">
        <v>6528732</v>
      </c>
      <c r="G1711" s="12" t="s">
        <v>5212</v>
      </c>
      <c r="H1711" s="12" t="s">
        <v>755</v>
      </c>
      <c r="I1711" s="12" t="s">
        <v>756</v>
      </c>
      <c r="J1711" s="84">
        <v>45195</v>
      </c>
      <c r="K1711" s="84">
        <v>56153</v>
      </c>
      <c r="L1711" s="12" t="s">
        <v>163</v>
      </c>
      <c r="M1711" s="12" t="s">
        <v>5213</v>
      </c>
      <c r="N1711" s="75"/>
    </row>
    <row r="1712" spans="1:14">
      <c r="A1712" s="12">
        <v>1709</v>
      </c>
      <c r="B1712" s="12" t="s">
        <v>5214</v>
      </c>
      <c r="C1712" s="12" t="s">
        <v>752</v>
      </c>
      <c r="D1712" s="12" t="s">
        <v>5215</v>
      </c>
      <c r="E1712" s="85">
        <v>465.49</v>
      </c>
      <c r="F1712" s="6">
        <v>6637833</v>
      </c>
      <c r="G1712" s="12" t="s">
        <v>5216</v>
      </c>
      <c r="H1712" s="12" t="s">
        <v>755</v>
      </c>
      <c r="I1712" s="12" t="s">
        <v>756</v>
      </c>
      <c r="J1712" s="84">
        <v>45211</v>
      </c>
      <c r="K1712" s="84">
        <v>56169</v>
      </c>
      <c r="L1712" s="12" t="s">
        <v>180</v>
      </c>
      <c r="M1712" s="12" t="s">
        <v>927</v>
      </c>
      <c r="N1712" s="75"/>
    </row>
    <row r="1713" spans="1:14">
      <c r="A1713" s="12">
        <v>1710</v>
      </c>
      <c r="B1713" s="12" t="s">
        <v>5217</v>
      </c>
      <c r="C1713" s="12" t="s">
        <v>752</v>
      </c>
      <c r="D1713" s="12" t="s">
        <v>5218</v>
      </c>
      <c r="E1713" s="85">
        <v>738.42</v>
      </c>
      <c r="F1713" s="6">
        <v>6792898</v>
      </c>
      <c r="G1713" s="12" t="s">
        <v>5219</v>
      </c>
      <c r="H1713" s="12" t="s">
        <v>755</v>
      </c>
      <c r="I1713" s="12" t="s">
        <v>756</v>
      </c>
      <c r="J1713" s="84">
        <v>45218</v>
      </c>
      <c r="K1713" s="84">
        <v>56176</v>
      </c>
      <c r="L1713" s="12" t="s">
        <v>123</v>
      </c>
      <c r="M1713" s="12" t="s">
        <v>272</v>
      </c>
      <c r="N1713" s="75"/>
    </row>
    <row r="1714" spans="1:14">
      <c r="A1714" s="12">
        <v>1711</v>
      </c>
      <c r="B1714" s="12" t="s">
        <v>5220</v>
      </c>
      <c r="C1714" s="12" t="s">
        <v>122</v>
      </c>
      <c r="D1714" s="12" t="s">
        <v>4106</v>
      </c>
      <c r="E1714" s="85">
        <v>1200.58</v>
      </c>
      <c r="F1714" s="6">
        <v>5324998</v>
      </c>
      <c r="G1714" s="12" t="s">
        <v>4081</v>
      </c>
      <c r="H1714" s="12" t="s">
        <v>755</v>
      </c>
      <c r="I1714" s="12" t="s">
        <v>756</v>
      </c>
      <c r="J1714" s="84">
        <v>42580</v>
      </c>
      <c r="K1714" s="84">
        <v>53537</v>
      </c>
      <c r="L1714" s="12" t="s">
        <v>1014</v>
      </c>
      <c r="M1714" s="12" t="s">
        <v>1132</v>
      </c>
      <c r="N1714" s="75"/>
    </row>
    <row r="1715" spans="1:14">
      <c r="A1715" s="12">
        <v>1712</v>
      </c>
      <c r="B1715" s="12" t="s">
        <v>5221</v>
      </c>
      <c r="C1715" s="12" t="s">
        <v>122</v>
      </c>
      <c r="D1715" s="12" t="s">
        <v>4106</v>
      </c>
      <c r="E1715" s="85">
        <v>499.97</v>
      </c>
      <c r="F1715" s="6">
        <v>5324998</v>
      </c>
      <c r="G1715" s="12" t="s">
        <v>4081</v>
      </c>
      <c r="H1715" s="12" t="s">
        <v>755</v>
      </c>
      <c r="I1715" s="12" t="s">
        <v>756</v>
      </c>
      <c r="J1715" s="84">
        <v>42580</v>
      </c>
      <c r="K1715" s="84">
        <v>53537</v>
      </c>
      <c r="L1715" s="12" t="s">
        <v>1014</v>
      </c>
      <c r="M1715" s="12" t="s">
        <v>5222</v>
      </c>
      <c r="N1715" s="75"/>
    </row>
    <row r="1716" spans="1:14">
      <c r="A1716" s="12">
        <v>1713</v>
      </c>
      <c r="B1716" s="12" t="s">
        <v>5223</v>
      </c>
      <c r="C1716" s="12" t="s">
        <v>212</v>
      </c>
      <c r="D1716" s="12" t="s">
        <v>1389</v>
      </c>
      <c r="E1716" s="85">
        <v>2293.36</v>
      </c>
      <c r="F1716" s="6">
        <v>5120365</v>
      </c>
      <c r="G1716" s="12" t="s">
        <v>5224</v>
      </c>
      <c r="H1716" s="12" t="s">
        <v>848</v>
      </c>
      <c r="I1716" s="12" t="s">
        <v>849</v>
      </c>
      <c r="J1716" s="84">
        <v>45233</v>
      </c>
      <c r="K1716" s="84">
        <v>56191</v>
      </c>
      <c r="L1716" s="12" t="s">
        <v>170</v>
      </c>
      <c r="M1716" s="12" t="s">
        <v>205</v>
      </c>
      <c r="N1716" s="75"/>
    </row>
    <row r="1717" spans="1:14">
      <c r="A1717" s="12">
        <v>1714</v>
      </c>
      <c r="B1717" s="12" t="s">
        <v>5225</v>
      </c>
      <c r="C1717" s="12" t="s">
        <v>200</v>
      </c>
      <c r="D1717" s="12" t="s">
        <v>2869</v>
      </c>
      <c r="E1717" s="85">
        <v>38.31</v>
      </c>
      <c r="F1717" s="6">
        <v>5547938</v>
      </c>
      <c r="G1717" s="12" t="s">
        <v>3491</v>
      </c>
      <c r="H1717" s="12" t="s">
        <v>766</v>
      </c>
      <c r="I1717" s="12" t="s">
        <v>767</v>
      </c>
      <c r="J1717" s="84">
        <v>37651</v>
      </c>
      <c r="K1717" s="84">
        <v>48609</v>
      </c>
      <c r="L1717" s="12" t="s">
        <v>375</v>
      </c>
      <c r="M1717" s="12" t="s">
        <v>893</v>
      </c>
      <c r="N1717" s="75"/>
    </row>
    <row r="1718" spans="1:14">
      <c r="A1718" s="12">
        <v>1715</v>
      </c>
      <c r="B1718" s="12" t="s">
        <v>5226</v>
      </c>
      <c r="C1718" s="12" t="s">
        <v>221</v>
      </c>
      <c r="D1718" s="12" t="s">
        <v>1979</v>
      </c>
      <c r="E1718" s="85">
        <v>193.16</v>
      </c>
      <c r="F1718" s="6">
        <v>6651089</v>
      </c>
      <c r="G1718" s="12" t="s">
        <v>5227</v>
      </c>
      <c r="H1718" s="12" t="s">
        <v>755</v>
      </c>
      <c r="I1718" s="12" t="s">
        <v>756</v>
      </c>
      <c r="J1718" s="84">
        <v>45257</v>
      </c>
      <c r="K1718" s="84">
        <v>56215</v>
      </c>
      <c r="L1718" s="12" t="s">
        <v>375</v>
      </c>
      <c r="M1718" s="12" t="s">
        <v>944</v>
      </c>
      <c r="N1718" s="75"/>
    </row>
    <row r="1719" spans="1:14">
      <c r="A1719" s="12">
        <v>1716</v>
      </c>
      <c r="B1719" s="12" t="s">
        <v>5228</v>
      </c>
      <c r="C1719" s="12" t="s">
        <v>212</v>
      </c>
      <c r="D1719" s="12" t="s">
        <v>2296</v>
      </c>
      <c r="E1719" s="85">
        <v>5029.7</v>
      </c>
      <c r="F1719" s="6">
        <v>8369933</v>
      </c>
      <c r="G1719" s="12" t="s">
        <v>5229</v>
      </c>
      <c r="H1719" s="12" t="s">
        <v>848</v>
      </c>
      <c r="I1719" s="12" t="s">
        <v>849</v>
      </c>
      <c r="J1719" s="84">
        <v>45180</v>
      </c>
      <c r="K1719" s="84">
        <v>56138</v>
      </c>
      <c r="L1719" s="12" t="s">
        <v>375</v>
      </c>
      <c r="M1719" s="12" t="s">
        <v>2550</v>
      </c>
      <c r="N1719" s="75"/>
    </row>
    <row r="1720" spans="1:14">
      <c r="A1720" s="12">
        <v>1717</v>
      </c>
      <c r="B1720" s="12" t="s">
        <v>5230</v>
      </c>
      <c r="C1720" s="12" t="s">
        <v>979</v>
      </c>
      <c r="D1720" s="12" t="s">
        <v>1323</v>
      </c>
      <c r="E1720" s="85">
        <v>974.53</v>
      </c>
      <c r="F1720" s="6">
        <v>5407761</v>
      </c>
      <c r="G1720" s="12" t="s">
        <v>1197</v>
      </c>
      <c r="H1720" s="12" t="s">
        <v>755</v>
      </c>
      <c r="I1720" s="12" t="s">
        <v>756</v>
      </c>
      <c r="J1720" s="84">
        <v>45229</v>
      </c>
      <c r="K1720" s="84">
        <v>56187</v>
      </c>
      <c r="L1720" s="12" t="s">
        <v>768</v>
      </c>
      <c r="M1720" s="12" t="s">
        <v>1198</v>
      </c>
      <c r="N1720" s="75"/>
    </row>
    <row r="1721" spans="1:14">
      <c r="A1721" s="12">
        <v>1718</v>
      </c>
      <c r="B1721" s="12" t="s">
        <v>5231</v>
      </c>
      <c r="C1721" s="12" t="s">
        <v>752</v>
      </c>
      <c r="D1721" s="12" t="s">
        <v>2302</v>
      </c>
      <c r="E1721" s="85">
        <v>91.45</v>
      </c>
      <c r="F1721" s="6">
        <v>2784165</v>
      </c>
      <c r="G1721" s="12" t="s">
        <v>1678</v>
      </c>
      <c r="H1721" s="12" t="s">
        <v>755</v>
      </c>
      <c r="I1721" s="12" t="s">
        <v>756</v>
      </c>
      <c r="J1721" s="84">
        <v>45273</v>
      </c>
      <c r="K1721" s="84">
        <v>56231</v>
      </c>
      <c r="L1721" s="12" t="s">
        <v>836</v>
      </c>
      <c r="M1721" s="12" t="s">
        <v>837</v>
      </c>
      <c r="N1721" s="75"/>
    </row>
    <row r="1722" spans="1:14">
      <c r="A1722" s="12">
        <v>1719</v>
      </c>
      <c r="B1722" s="12" t="s">
        <v>5232</v>
      </c>
      <c r="C1722" s="12" t="s">
        <v>3840</v>
      </c>
      <c r="D1722" s="12" t="s">
        <v>5233</v>
      </c>
      <c r="E1722" s="85">
        <v>963.4</v>
      </c>
      <c r="F1722" s="6">
        <v>5194997</v>
      </c>
      <c r="G1722" s="12" t="s">
        <v>5234</v>
      </c>
      <c r="H1722" s="12" t="s">
        <v>755</v>
      </c>
      <c r="I1722" s="12" t="s">
        <v>756</v>
      </c>
      <c r="J1722" s="84">
        <v>45278</v>
      </c>
      <c r="K1722" s="84">
        <v>56236</v>
      </c>
      <c r="L1722" s="12" t="s">
        <v>170</v>
      </c>
      <c r="M1722" s="12" t="s">
        <v>1023</v>
      </c>
      <c r="N1722" s="75"/>
    </row>
    <row r="1723" spans="1:14">
      <c r="A1723" s="12">
        <v>1720</v>
      </c>
      <c r="B1723" s="12" t="s">
        <v>5235</v>
      </c>
      <c r="C1723" s="12" t="s">
        <v>752</v>
      </c>
      <c r="D1723" s="12" t="s">
        <v>5236</v>
      </c>
      <c r="E1723" s="85">
        <v>227.59</v>
      </c>
      <c r="F1723" s="6">
        <v>6408923</v>
      </c>
      <c r="G1723" s="12" t="s">
        <v>5237</v>
      </c>
      <c r="H1723" s="12" t="s">
        <v>755</v>
      </c>
      <c r="I1723" s="12" t="s">
        <v>756</v>
      </c>
      <c r="J1723" s="84">
        <v>45279</v>
      </c>
      <c r="K1723" s="84">
        <v>56237</v>
      </c>
      <c r="L1723" s="12" t="s">
        <v>304</v>
      </c>
      <c r="M1723" s="12" t="s">
        <v>1634</v>
      </c>
      <c r="N1723" s="75"/>
    </row>
    <row r="1724" spans="1:14">
      <c r="A1724" s="12">
        <v>1721</v>
      </c>
      <c r="B1724" s="12" t="s">
        <v>5238</v>
      </c>
      <c r="C1724" s="12" t="s">
        <v>752</v>
      </c>
      <c r="D1724" s="12" t="s">
        <v>4117</v>
      </c>
      <c r="E1724" s="85">
        <v>706.09</v>
      </c>
      <c r="F1724" s="6">
        <v>5874823</v>
      </c>
      <c r="G1724" s="12" t="s">
        <v>5239</v>
      </c>
      <c r="H1724" s="12" t="s">
        <v>755</v>
      </c>
      <c r="I1724" s="12" t="s">
        <v>756</v>
      </c>
      <c r="J1724" s="84">
        <v>45280</v>
      </c>
      <c r="K1724" s="84">
        <v>56238</v>
      </c>
      <c r="L1724" s="12" t="s">
        <v>836</v>
      </c>
      <c r="M1724" s="12" t="s">
        <v>837</v>
      </c>
      <c r="N1724" s="75"/>
    </row>
  </sheetData>
  <mergeCells count="1">
    <mergeCell ref="A1: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7EB6-AF31-4EBC-B8E3-BD0BBA1E72CF}">
  <sheetPr>
    <tabColor rgb="FF006432"/>
  </sheetPr>
  <dimension ref="A1:M1007"/>
  <sheetViews>
    <sheetView workbookViewId="0">
      <pane ySplit="2" topLeftCell="A3" activePane="bottomLeft" state="frozen"/>
      <selection pane="bottomLeft" sqref="A1:M1"/>
    </sheetView>
  </sheetViews>
  <sheetFormatPr defaultRowHeight="15"/>
  <cols>
    <col min="1" max="1" width="4.7109375" style="11" customWidth="1"/>
    <col min="2" max="2" width="11.5703125" customWidth="1"/>
    <col min="3" max="3" width="19" customWidth="1"/>
    <col min="4" max="4" width="11.140625" customWidth="1"/>
    <col min="5" max="5" width="9.7109375" style="8" customWidth="1"/>
    <col min="6" max="6" width="26.85546875" customWidth="1"/>
    <col min="7" max="7" width="18" style="211" customWidth="1"/>
    <col min="8" max="8" width="12.42578125" customWidth="1"/>
    <col min="9" max="9" width="11.5703125" customWidth="1"/>
    <col min="10" max="10" width="11.7109375" customWidth="1"/>
    <col min="11" max="11" width="14.85546875" customWidth="1"/>
    <col min="12" max="12" width="23.85546875" customWidth="1"/>
  </cols>
  <sheetData>
    <row r="1" spans="1:13" ht="16.5" thickBot="1">
      <c r="A1" s="641" t="s">
        <v>5240</v>
      </c>
      <c r="B1" s="641"/>
      <c r="C1" s="641"/>
      <c r="D1" s="641"/>
      <c r="E1" s="641"/>
      <c r="F1" s="641"/>
      <c r="G1" s="641"/>
      <c r="H1" s="641"/>
      <c r="I1" s="641"/>
      <c r="J1" s="641"/>
      <c r="K1" s="641"/>
      <c r="L1" s="641"/>
      <c r="M1" s="641"/>
    </row>
    <row r="2" spans="1:13" ht="39" thickTop="1">
      <c r="A2" s="411" t="s">
        <v>739</v>
      </c>
      <c r="B2" s="411" t="s">
        <v>740</v>
      </c>
      <c r="C2" s="411" t="s">
        <v>742</v>
      </c>
      <c r="D2" s="411" t="s">
        <v>743</v>
      </c>
      <c r="E2" s="411" t="s">
        <v>5241</v>
      </c>
      <c r="F2" s="411" t="s">
        <v>745</v>
      </c>
      <c r="G2" s="411" t="s">
        <v>746</v>
      </c>
      <c r="H2" s="411" t="s">
        <v>747</v>
      </c>
      <c r="I2" s="411" t="s">
        <v>748</v>
      </c>
      <c r="J2" s="411" t="s">
        <v>749</v>
      </c>
      <c r="K2" s="411" t="s">
        <v>371</v>
      </c>
      <c r="L2" s="411" t="s">
        <v>750</v>
      </c>
    </row>
    <row r="3" spans="1:13" ht="25.5" customHeight="1">
      <c r="A3" s="12">
        <v>1</v>
      </c>
      <c r="B3" s="12" t="s">
        <v>5242</v>
      </c>
      <c r="C3" s="12" t="s">
        <v>5243</v>
      </c>
      <c r="D3" s="85">
        <v>39694.339999999997</v>
      </c>
      <c r="E3" s="6">
        <v>2672146</v>
      </c>
      <c r="F3" s="12" t="s">
        <v>3931</v>
      </c>
      <c r="G3" s="2" t="s">
        <v>766</v>
      </c>
      <c r="H3" s="12" t="s">
        <v>767</v>
      </c>
      <c r="I3" s="86">
        <v>37049</v>
      </c>
      <c r="J3" s="86">
        <v>41700</v>
      </c>
      <c r="K3" s="12" t="s">
        <v>123</v>
      </c>
      <c r="L3" s="12" t="s">
        <v>5244</v>
      </c>
    </row>
    <row r="4" spans="1:13">
      <c r="A4" s="12">
        <f>A3+1</f>
        <v>2</v>
      </c>
      <c r="B4" s="12" t="s">
        <v>5245</v>
      </c>
      <c r="C4" s="12" t="s">
        <v>5246</v>
      </c>
      <c r="D4" s="85">
        <v>1063.94</v>
      </c>
      <c r="E4" s="6">
        <v>5423767</v>
      </c>
      <c r="F4" s="12" t="s">
        <v>5247</v>
      </c>
      <c r="G4" s="2" t="s">
        <v>755</v>
      </c>
      <c r="H4" s="12" t="s">
        <v>756</v>
      </c>
      <c r="I4" s="86">
        <v>37502</v>
      </c>
      <c r="J4" s="86">
        <v>45198</v>
      </c>
      <c r="K4" s="12" t="s">
        <v>170</v>
      </c>
      <c r="L4" s="12" t="s">
        <v>171</v>
      </c>
    </row>
    <row r="5" spans="1:13">
      <c r="A5" s="12">
        <f t="shared" ref="A5:A68" si="0">A4+1</f>
        <v>3</v>
      </c>
      <c r="B5" s="12" t="s">
        <v>5248</v>
      </c>
      <c r="C5" s="12" t="s">
        <v>5249</v>
      </c>
      <c r="D5" s="85">
        <v>225.7</v>
      </c>
      <c r="E5" s="6">
        <v>2701065</v>
      </c>
      <c r="F5" s="12" t="s">
        <v>5250</v>
      </c>
      <c r="G5" s="2" t="s">
        <v>755</v>
      </c>
      <c r="H5" s="12" t="s">
        <v>756</v>
      </c>
      <c r="I5" s="86">
        <v>36333</v>
      </c>
      <c r="J5" s="86">
        <v>44178</v>
      </c>
      <c r="K5" s="12" t="s">
        <v>123</v>
      </c>
      <c r="L5" s="12" t="s">
        <v>889</v>
      </c>
    </row>
    <row r="6" spans="1:13">
      <c r="A6" s="12">
        <f t="shared" si="0"/>
        <v>4</v>
      </c>
      <c r="B6" s="12" t="s">
        <v>5251</v>
      </c>
      <c r="C6" s="12" t="s">
        <v>5252</v>
      </c>
      <c r="D6" s="85">
        <v>9229.56</v>
      </c>
      <c r="E6" s="6">
        <v>5439574</v>
      </c>
      <c r="F6" s="12" t="s">
        <v>4500</v>
      </c>
      <c r="G6" s="2" t="s">
        <v>755</v>
      </c>
      <c r="H6" s="12" t="s">
        <v>756</v>
      </c>
      <c r="I6" s="86">
        <v>38168</v>
      </c>
      <c r="J6" s="86">
        <v>42551</v>
      </c>
      <c r="K6" s="12" t="s">
        <v>233</v>
      </c>
      <c r="L6" s="12" t="s">
        <v>2563</v>
      </c>
    </row>
    <row r="7" spans="1:13">
      <c r="A7" s="12">
        <f t="shared" si="0"/>
        <v>5</v>
      </c>
      <c r="B7" s="12" t="s">
        <v>5253</v>
      </c>
      <c r="C7" s="12" t="s">
        <v>856</v>
      </c>
      <c r="D7" s="85">
        <v>1538.7</v>
      </c>
      <c r="E7" s="6">
        <v>5082137</v>
      </c>
      <c r="F7" s="12" t="s">
        <v>2848</v>
      </c>
      <c r="G7" s="2" t="s">
        <v>755</v>
      </c>
      <c r="H7" s="12" t="s">
        <v>756</v>
      </c>
      <c r="I7" s="86">
        <v>38572</v>
      </c>
      <c r="J7" s="86">
        <v>42955</v>
      </c>
      <c r="K7" s="12" t="s">
        <v>293</v>
      </c>
      <c r="L7" s="12" t="s">
        <v>5254</v>
      </c>
    </row>
    <row r="8" spans="1:13">
      <c r="A8" s="12">
        <f t="shared" si="0"/>
        <v>6</v>
      </c>
      <c r="B8" s="12" t="s">
        <v>5255</v>
      </c>
      <c r="C8" s="12" t="s">
        <v>5256</v>
      </c>
      <c r="D8" s="85">
        <v>1399.18</v>
      </c>
      <c r="E8" s="6">
        <v>5056853</v>
      </c>
      <c r="F8" s="12" t="s">
        <v>5257</v>
      </c>
      <c r="G8" s="2" t="s">
        <v>755</v>
      </c>
      <c r="H8" s="12" t="s">
        <v>756</v>
      </c>
      <c r="I8" s="86">
        <v>38741</v>
      </c>
      <c r="J8" s="86">
        <v>43124</v>
      </c>
      <c r="K8" s="12" t="s">
        <v>1242</v>
      </c>
      <c r="L8" s="12" t="s">
        <v>5258</v>
      </c>
    </row>
    <row r="9" spans="1:13">
      <c r="A9" s="12">
        <f t="shared" si="0"/>
        <v>7</v>
      </c>
      <c r="B9" s="12" t="s">
        <v>5259</v>
      </c>
      <c r="C9" s="12" t="s">
        <v>5260</v>
      </c>
      <c r="D9" s="85">
        <v>1953.65</v>
      </c>
      <c r="E9" s="6">
        <v>6338895</v>
      </c>
      <c r="F9" s="12" t="s">
        <v>5261</v>
      </c>
      <c r="G9" s="2" t="s">
        <v>755</v>
      </c>
      <c r="H9" s="12" t="s">
        <v>756</v>
      </c>
      <c r="I9" s="86">
        <v>38772</v>
      </c>
      <c r="J9" s="86">
        <v>45346</v>
      </c>
      <c r="K9" s="12" t="s">
        <v>123</v>
      </c>
      <c r="L9" s="12" t="s">
        <v>1472</v>
      </c>
    </row>
    <row r="10" spans="1:13">
      <c r="A10" s="12">
        <f t="shared" si="0"/>
        <v>8</v>
      </c>
      <c r="B10" s="12" t="s">
        <v>5262</v>
      </c>
      <c r="C10" s="12" t="s">
        <v>5263</v>
      </c>
      <c r="D10" s="85">
        <v>1169.45</v>
      </c>
      <c r="E10" s="6">
        <v>2773589</v>
      </c>
      <c r="F10" s="12" t="s">
        <v>5264</v>
      </c>
      <c r="G10" s="2" t="s">
        <v>755</v>
      </c>
      <c r="H10" s="12" t="s">
        <v>756</v>
      </c>
      <c r="I10" s="86">
        <v>39090</v>
      </c>
      <c r="J10" s="86">
        <v>43473</v>
      </c>
      <c r="K10" s="12" t="s">
        <v>782</v>
      </c>
      <c r="L10" s="12" t="s">
        <v>1242</v>
      </c>
    </row>
    <row r="11" spans="1:13">
      <c r="A11" s="12">
        <f t="shared" si="0"/>
        <v>9</v>
      </c>
      <c r="B11" s="12" t="s">
        <v>5265</v>
      </c>
      <c r="C11" s="12" t="s">
        <v>5266</v>
      </c>
      <c r="D11" s="85">
        <v>644.87</v>
      </c>
      <c r="E11" s="6">
        <v>2003732</v>
      </c>
      <c r="F11" s="12" t="s">
        <v>1462</v>
      </c>
      <c r="G11" s="2" t="s">
        <v>755</v>
      </c>
      <c r="H11" s="12" t="s">
        <v>756</v>
      </c>
      <c r="I11" s="86">
        <v>39294</v>
      </c>
      <c r="J11" s="86">
        <v>43677</v>
      </c>
      <c r="K11" s="12" t="s">
        <v>288</v>
      </c>
      <c r="L11" s="12" t="s">
        <v>836</v>
      </c>
    </row>
    <row r="12" spans="1:13">
      <c r="A12" s="12">
        <f t="shared" si="0"/>
        <v>10</v>
      </c>
      <c r="B12" s="12" t="s">
        <v>5267</v>
      </c>
      <c r="C12" s="12" t="s">
        <v>2090</v>
      </c>
      <c r="D12" s="85">
        <v>12410.94</v>
      </c>
      <c r="E12" s="6">
        <v>5530725</v>
      </c>
      <c r="F12" s="12" t="s">
        <v>3375</v>
      </c>
      <c r="G12" s="2" t="s">
        <v>755</v>
      </c>
      <c r="H12" s="12" t="s">
        <v>756</v>
      </c>
      <c r="I12" s="86">
        <v>39331</v>
      </c>
      <c r="J12" s="86">
        <v>44445</v>
      </c>
      <c r="K12" s="12" t="s">
        <v>375</v>
      </c>
      <c r="L12" s="12" t="s">
        <v>1476</v>
      </c>
    </row>
    <row r="13" spans="1:13">
      <c r="A13" s="12">
        <f t="shared" si="0"/>
        <v>11</v>
      </c>
      <c r="B13" s="12" t="s">
        <v>5268</v>
      </c>
      <c r="C13" s="12" t="s">
        <v>1755</v>
      </c>
      <c r="D13" s="85">
        <v>1532.48</v>
      </c>
      <c r="E13" s="6">
        <v>6630618</v>
      </c>
      <c r="F13" s="12" t="s">
        <v>5269</v>
      </c>
      <c r="G13" s="2" t="s">
        <v>755</v>
      </c>
      <c r="H13" s="12" t="s">
        <v>756</v>
      </c>
      <c r="I13" s="86">
        <v>39351</v>
      </c>
      <c r="J13" s="86">
        <v>45959</v>
      </c>
      <c r="K13" s="12" t="s">
        <v>836</v>
      </c>
      <c r="L13" s="12" t="s">
        <v>305</v>
      </c>
    </row>
    <row r="14" spans="1:13">
      <c r="A14" s="12">
        <f t="shared" si="0"/>
        <v>12</v>
      </c>
      <c r="B14" s="12" t="s">
        <v>5270</v>
      </c>
      <c r="C14" s="12" t="s">
        <v>1455</v>
      </c>
      <c r="D14" s="85">
        <v>1390.52</v>
      </c>
      <c r="E14" s="6">
        <v>6631665</v>
      </c>
      <c r="F14" s="12" t="s">
        <v>5271</v>
      </c>
      <c r="G14" s="2" t="s">
        <v>755</v>
      </c>
      <c r="H14" s="12" t="s">
        <v>756</v>
      </c>
      <c r="I14" s="86">
        <v>39351</v>
      </c>
      <c r="J14" s="86">
        <v>45959</v>
      </c>
      <c r="K14" s="12" t="s">
        <v>123</v>
      </c>
      <c r="L14" s="12" t="s">
        <v>5272</v>
      </c>
    </row>
    <row r="15" spans="1:13" ht="18" customHeight="1">
      <c r="A15" s="12">
        <f t="shared" si="0"/>
        <v>13</v>
      </c>
      <c r="B15" s="12" t="s">
        <v>5273</v>
      </c>
      <c r="C15" s="12" t="s">
        <v>792</v>
      </c>
      <c r="D15" s="85">
        <v>3740.5</v>
      </c>
      <c r="E15" s="6">
        <v>5083265</v>
      </c>
      <c r="F15" s="12" t="s">
        <v>3481</v>
      </c>
      <c r="G15" s="2" t="s">
        <v>766</v>
      </c>
      <c r="H15" s="12" t="s">
        <v>767</v>
      </c>
      <c r="I15" s="86">
        <v>39435</v>
      </c>
      <c r="J15" s="86">
        <v>43818</v>
      </c>
      <c r="K15" s="12" t="s">
        <v>768</v>
      </c>
      <c r="L15" s="12" t="s">
        <v>4369</v>
      </c>
    </row>
    <row r="16" spans="1:13">
      <c r="A16" s="12">
        <f t="shared" si="0"/>
        <v>14</v>
      </c>
      <c r="B16" s="12" t="s">
        <v>5274</v>
      </c>
      <c r="C16" s="12" t="s">
        <v>5275</v>
      </c>
      <c r="D16" s="85">
        <v>3113.86</v>
      </c>
      <c r="E16" s="6">
        <v>5082137</v>
      </c>
      <c r="F16" s="12" t="s">
        <v>2848</v>
      </c>
      <c r="G16" s="2" t="s">
        <v>755</v>
      </c>
      <c r="H16" s="12" t="s">
        <v>756</v>
      </c>
      <c r="I16" s="86">
        <v>39435</v>
      </c>
      <c r="J16" s="86">
        <v>43818</v>
      </c>
      <c r="K16" s="12" t="s">
        <v>293</v>
      </c>
      <c r="L16" s="12" t="s">
        <v>5276</v>
      </c>
    </row>
    <row r="17" spans="1:12">
      <c r="A17" s="12">
        <f t="shared" si="0"/>
        <v>15</v>
      </c>
      <c r="B17" s="12" t="s">
        <v>5277</v>
      </c>
      <c r="C17" s="12" t="s">
        <v>5278</v>
      </c>
      <c r="D17" s="85">
        <v>2394.79</v>
      </c>
      <c r="E17" s="6">
        <v>5469821</v>
      </c>
      <c r="F17" s="12" t="s">
        <v>5279</v>
      </c>
      <c r="G17" s="2" t="s">
        <v>755</v>
      </c>
      <c r="H17" s="12" t="s">
        <v>756</v>
      </c>
      <c r="I17" s="86">
        <v>39589</v>
      </c>
      <c r="J17" s="86">
        <v>45433</v>
      </c>
      <c r="K17" s="12" t="s">
        <v>1242</v>
      </c>
      <c r="L17" s="12" t="s">
        <v>2715</v>
      </c>
    </row>
    <row r="18" spans="1:12">
      <c r="A18" s="12">
        <f t="shared" si="0"/>
        <v>16</v>
      </c>
      <c r="B18" s="12" t="s">
        <v>5280</v>
      </c>
      <c r="C18" s="12" t="s">
        <v>5281</v>
      </c>
      <c r="D18" s="85">
        <v>39.549999999999997</v>
      </c>
      <c r="E18" s="6">
        <v>5495369</v>
      </c>
      <c r="F18" s="12" t="s">
        <v>5282</v>
      </c>
      <c r="G18" s="2" t="s">
        <v>755</v>
      </c>
      <c r="H18" s="12" t="s">
        <v>756</v>
      </c>
      <c r="I18" s="86">
        <v>39702</v>
      </c>
      <c r="J18" s="86">
        <v>44085</v>
      </c>
      <c r="K18" s="12" t="s">
        <v>138</v>
      </c>
      <c r="L18" s="12" t="s">
        <v>1216</v>
      </c>
    </row>
    <row r="19" spans="1:12">
      <c r="A19" s="12">
        <f t="shared" si="0"/>
        <v>17</v>
      </c>
      <c r="B19" s="12" t="s">
        <v>5283</v>
      </c>
      <c r="C19" s="12" t="s">
        <v>1005</v>
      </c>
      <c r="D19" s="85">
        <v>32.94</v>
      </c>
      <c r="E19" s="6">
        <v>5197414</v>
      </c>
      <c r="F19" s="12" t="s">
        <v>5284</v>
      </c>
      <c r="G19" s="2" t="s">
        <v>755</v>
      </c>
      <c r="H19" s="12" t="s">
        <v>756</v>
      </c>
      <c r="I19" s="86">
        <v>39738</v>
      </c>
      <c r="J19" s="86">
        <v>44121</v>
      </c>
      <c r="K19" s="12" t="s">
        <v>128</v>
      </c>
      <c r="L19" s="12" t="s">
        <v>862</v>
      </c>
    </row>
    <row r="20" spans="1:12" ht="23.25" customHeight="1">
      <c r="A20" s="12">
        <f t="shared" si="0"/>
        <v>18</v>
      </c>
      <c r="B20" s="12" t="s">
        <v>5285</v>
      </c>
      <c r="C20" s="12" t="s">
        <v>5286</v>
      </c>
      <c r="D20" s="85">
        <v>5468.27</v>
      </c>
      <c r="E20" s="6">
        <v>5239079</v>
      </c>
      <c r="F20" s="12" t="s">
        <v>5287</v>
      </c>
      <c r="G20" s="2" t="s">
        <v>848</v>
      </c>
      <c r="H20" s="12" t="s">
        <v>849</v>
      </c>
      <c r="I20" s="86">
        <v>39771</v>
      </c>
      <c r="J20" s="86">
        <v>45627</v>
      </c>
      <c r="K20" s="12" t="s">
        <v>170</v>
      </c>
      <c r="L20" s="12" t="s">
        <v>2450</v>
      </c>
    </row>
    <row r="21" spans="1:12">
      <c r="A21" s="12">
        <f t="shared" si="0"/>
        <v>19</v>
      </c>
      <c r="B21" s="12" t="s">
        <v>5288</v>
      </c>
      <c r="C21" s="12" t="s">
        <v>1632</v>
      </c>
      <c r="D21" s="85">
        <v>1558</v>
      </c>
      <c r="E21" s="6">
        <v>2019086</v>
      </c>
      <c r="F21" s="12" t="s">
        <v>5289</v>
      </c>
      <c r="G21" s="2" t="s">
        <v>755</v>
      </c>
      <c r="H21" s="12" t="s">
        <v>756</v>
      </c>
      <c r="I21" s="86">
        <v>39783</v>
      </c>
      <c r="J21" s="86">
        <v>45535</v>
      </c>
      <c r="K21" s="12" t="s">
        <v>304</v>
      </c>
      <c r="L21" s="12" t="s">
        <v>1634</v>
      </c>
    </row>
    <row r="22" spans="1:12">
      <c r="A22" s="12">
        <f t="shared" si="0"/>
        <v>20</v>
      </c>
      <c r="B22" s="12" t="s">
        <v>5290</v>
      </c>
      <c r="C22" s="12" t="s">
        <v>2957</v>
      </c>
      <c r="D22" s="85">
        <v>55.81</v>
      </c>
      <c r="E22" s="6">
        <v>2112663</v>
      </c>
      <c r="F22" s="12" t="s">
        <v>2524</v>
      </c>
      <c r="G22" s="2" t="s">
        <v>755</v>
      </c>
      <c r="H22" s="12" t="s">
        <v>756</v>
      </c>
      <c r="I22" s="86">
        <v>39790</v>
      </c>
      <c r="J22" s="86">
        <v>44173</v>
      </c>
      <c r="K22" s="12" t="s">
        <v>128</v>
      </c>
      <c r="L22" s="12" t="s">
        <v>291</v>
      </c>
    </row>
    <row r="23" spans="1:12">
      <c r="A23" s="12">
        <f t="shared" si="0"/>
        <v>21</v>
      </c>
      <c r="B23" s="12" t="s">
        <v>5291</v>
      </c>
      <c r="C23" s="12" t="s">
        <v>3600</v>
      </c>
      <c r="D23" s="85">
        <v>3745.85</v>
      </c>
      <c r="E23" s="6">
        <v>5224993</v>
      </c>
      <c r="F23" s="12" t="s">
        <v>5292</v>
      </c>
      <c r="G23" s="2" t="s">
        <v>755</v>
      </c>
      <c r="H23" s="12" t="s">
        <v>756</v>
      </c>
      <c r="I23" s="86">
        <v>39791</v>
      </c>
      <c r="J23" s="86">
        <v>44618</v>
      </c>
      <c r="K23" s="12" t="s">
        <v>304</v>
      </c>
      <c r="L23" s="12" t="s">
        <v>5278</v>
      </c>
    </row>
    <row r="24" spans="1:12">
      <c r="A24" s="12">
        <f t="shared" si="0"/>
        <v>22</v>
      </c>
      <c r="B24" s="12" t="s">
        <v>5293</v>
      </c>
      <c r="C24" s="12" t="s">
        <v>5294</v>
      </c>
      <c r="D24" s="85">
        <v>5199.99</v>
      </c>
      <c r="E24" s="6">
        <v>2027194</v>
      </c>
      <c r="F24" s="12" t="s">
        <v>923</v>
      </c>
      <c r="G24" s="2" t="s">
        <v>755</v>
      </c>
      <c r="H24" s="12" t="s">
        <v>756</v>
      </c>
      <c r="I24" s="86">
        <v>39913</v>
      </c>
      <c r="J24" s="86">
        <v>45781</v>
      </c>
      <c r="K24" s="12" t="s">
        <v>1102</v>
      </c>
      <c r="L24" s="12" t="s">
        <v>836</v>
      </c>
    </row>
    <row r="25" spans="1:12">
      <c r="A25" s="12">
        <f t="shared" si="0"/>
        <v>23</v>
      </c>
      <c r="B25" s="12" t="s">
        <v>5295</v>
      </c>
      <c r="C25" s="12" t="s">
        <v>5296</v>
      </c>
      <c r="D25" s="85">
        <v>11371.77</v>
      </c>
      <c r="E25" s="6">
        <v>5057043</v>
      </c>
      <c r="F25" s="12" t="s">
        <v>5056</v>
      </c>
      <c r="G25" s="2" t="s">
        <v>755</v>
      </c>
      <c r="H25" s="12" t="s">
        <v>756</v>
      </c>
      <c r="I25" s="86">
        <v>40028</v>
      </c>
      <c r="J25" s="86">
        <v>45674</v>
      </c>
      <c r="K25" s="12" t="s">
        <v>170</v>
      </c>
      <c r="L25" s="12" t="s">
        <v>205</v>
      </c>
    </row>
    <row r="26" spans="1:12">
      <c r="A26" s="12">
        <f t="shared" si="0"/>
        <v>24</v>
      </c>
      <c r="B26" s="12" t="s">
        <v>5297</v>
      </c>
      <c r="C26" s="12" t="s">
        <v>2448</v>
      </c>
      <c r="D26" s="85">
        <v>123.83</v>
      </c>
      <c r="E26" s="6">
        <v>2771799</v>
      </c>
      <c r="F26" s="12" t="s">
        <v>4315</v>
      </c>
      <c r="G26" s="2" t="s">
        <v>755</v>
      </c>
      <c r="H26" s="12" t="s">
        <v>756</v>
      </c>
      <c r="I26" s="86">
        <v>40035</v>
      </c>
      <c r="J26" s="86">
        <v>44418</v>
      </c>
      <c r="K26" s="12" t="s">
        <v>128</v>
      </c>
      <c r="L26" s="12" t="s">
        <v>862</v>
      </c>
    </row>
    <row r="27" spans="1:12">
      <c r="A27" s="12">
        <f t="shared" si="0"/>
        <v>25</v>
      </c>
      <c r="B27" s="12" t="s">
        <v>5298</v>
      </c>
      <c r="C27" s="12" t="s">
        <v>856</v>
      </c>
      <c r="D27" s="85">
        <v>541.20000000000005</v>
      </c>
      <c r="E27" s="6">
        <v>5545366</v>
      </c>
      <c r="F27" s="12" t="s">
        <v>2811</v>
      </c>
      <c r="G27" s="2" t="s">
        <v>755</v>
      </c>
      <c r="H27" s="12" t="s">
        <v>756</v>
      </c>
      <c r="I27" s="86">
        <v>40037</v>
      </c>
      <c r="J27" s="86">
        <v>46116</v>
      </c>
      <c r="K27" s="12" t="s">
        <v>123</v>
      </c>
      <c r="L27" s="12" t="s">
        <v>272</v>
      </c>
    </row>
    <row r="28" spans="1:12">
      <c r="A28" s="12">
        <f t="shared" si="0"/>
        <v>26</v>
      </c>
      <c r="B28" s="12" t="s">
        <v>5299</v>
      </c>
      <c r="C28" s="12" t="s">
        <v>2391</v>
      </c>
      <c r="D28" s="85">
        <v>4424.74</v>
      </c>
      <c r="E28" s="6">
        <v>5200334</v>
      </c>
      <c r="F28" s="12" t="s">
        <v>5300</v>
      </c>
      <c r="G28" s="2" t="s">
        <v>755</v>
      </c>
      <c r="H28" s="12" t="s">
        <v>756</v>
      </c>
      <c r="I28" s="86">
        <v>40175</v>
      </c>
      <c r="J28" s="86">
        <v>44558</v>
      </c>
      <c r="K28" s="12" t="s">
        <v>1014</v>
      </c>
      <c r="L28" s="12" t="s">
        <v>1023</v>
      </c>
    </row>
    <row r="29" spans="1:12">
      <c r="A29" s="12">
        <f t="shared" si="0"/>
        <v>27</v>
      </c>
      <c r="B29" s="12" t="s">
        <v>5301</v>
      </c>
      <c r="C29" s="12" t="s">
        <v>5302</v>
      </c>
      <c r="D29" s="85">
        <v>4490.03</v>
      </c>
      <c r="E29" s="6">
        <v>5200334</v>
      </c>
      <c r="F29" s="12" t="s">
        <v>5300</v>
      </c>
      <c r="G29" s="2" t="s">
        <v>755</v>
      </c>
      <c r="H29" s="12" t="s">
        <v>756</v>
      </c>
      <c r="I29" s="86">
        <v>40175</v>
      </c>
      <c r="J29" s="86">
        <v>44558</v>
      </c>
      <c r="K29" s="12" t="s">
        <v>1014</v>
      </c>
      <c r="L29" s="12" t="s">
        <v>1023</v>
      </c>
    </row>
    <row r="30" spans="1:12">
      <c r="A30" s="12">
        <f t="shared" si="0"/>
        <v>28</v>
      </c>
      <c r="B30" s="12" t="s">
        <v>5303</v>
      </c>
      <c r="C30" s="12" t="s">
        <v>5304</v>
      </c>
      <c r="D30" s="85">
        <v>897.61</v>
      </c>
      <c r="E30" s="6">
        <v>5326834</v>
      </c>
      <c r="F30" s="12" t="s">
        <v>5305</v>
      </c>
      <c r="G30" s="2" t="s">
        <v>755</v>
      </c>
      <c r="H30" s="12" t="s">
        <v>756</v>
      </c>
      <c r="I30" s="86">
        <v>40175</v>
      </c>
      <c r="J30" s="86">
        <v>44558</v>
      </c>
      <c r="K30" s="12" t="s">
        <v>304</v>
      </c>
      <c r="L30" s="12" t="s">
        <v>1634</v>
      </c>
    </row>
    <row r="31" spans="1:12">
      <c r="A31" s="12">
        <f t="shared" si="0"/>
        <v>29</v>
      </c>
      <c r="B31" s="12" t="s">
        <v>5306</v>
      </c>
      <c r="C31" s="12" t="s">
        <v>1476</v>
      </c>
      <c r="D31" s="85">
        <v>2073.4</v>
      </c>
      <c r="E31" s="6">
        <v>5330874</v>
      </c>
      <c r="F31" s="12" t="s">
        <v>5307</v>
      </c>
      <c r="G31" s="2" t="s">
        <v>755</v>
      </c>
      <c r="H31" s="12" t="s">
        <v>756</v>
      </c>
      <c r="I31" s="86">
        <v>40198</v>
      </c>
      <c r="J31" s="86">
        <v>45612</v>
      </c>
      <c r="K31" s="12" t="s">
        <v>375</v>
      </c>
      <c r="L31" s="12" t="s">
        <v>1476</v>
      </c>
    </row>
    <row r="32" spans="1:12">
      <c r="A32" s="12">
        <f t="shared" si="0"/>
        <v>30</v>
      </c>
      <c r="B32" s="12" t="s">
        <v>5308</v>
      </c>
      <c r="C32" s="12" t="s">
        <v>874</v>
      </c>
      <c r="D32" s="85">
        <v>8770.2999999999993</v>
      </c>
      <c r="E32" s="6">
        <v>5316316</v>
      </c>
      <c r="F32" s="12" t="s">
        <v>5309</v>
      </c>
      <c r="G32" s="2" t="s">
        <v>755</v>
      </c>
      <c r="H32" s="12" t="s">
        <v>756</v>
      </c>
      <c r="I32" s="86">
        <v>42989</v>
      </c>
      <c r="J32" s="86">
        <v>45641</v>
      </c>
      <c r="K32" s="12" t="s">
        <v>233</v>
      </c>
      <c r="L32" s="12" t="s">
        <v>3019</v>
      </c>
    </row>
    <row r="33" spans="1:12">
      <c r="A33" s="12">
        <f t="shared" si="0"/>
        <v>31</v>
      </c>
      <c r="B33" s="12" t="s">
        <v>5310</v>
      </c>
      <c r="C33" s="12" t="s">
        <v>5311</v>
      </c>
      <c r="D33" s="85">
        <v>534.74</v>
      </c>
      <c r="E33" s="6">
        <v>3308456</v>
      </c>
      <c r="F33" s="12" t="s">
        <v>5312</v>
      </c>
      <c r="G33" s="2" t="s">
        <v>755</v>
      </c>
      <c r="H33" s="12" t="s">
        <v>756</v>
      </c>
      <c r="I33" s="86">
        <v>42227</v>
      </c>
      <c r="J33" s="86">
        <v>45515</v>
      </c>
      <c r="K33" s="12" t="s">
        <v>170</v>
      </c>
      <c r="L33" s="12" t="s">
        <v>807</v>
      </c>
    </row>
    <row r="34" spans="1:12">
      <c r="A34" s="12">
        <f t="shared" si="0"/>
        <v>32</v>
      </c>
      <c r="B34" s="12" t="s">
        <v>5313</v>
      </c>
      <c r="C34" s="12" t="s">
        <v>887</v>
      </c>
      <c r="D34" s="85">
        <v>1780.2</v>
      </c>
      <c r="E34" s="6">
        <v>6183077</v>
      </c>
      <c r="F34" s="12" t="s">
        <v>5314</v>
      </c>
      <c r="G34" s="2" t="s">
        <v>755</v>
      </c>
      <c r="H34" s="12" t="s">
        <v>756</v>
      </c>
      <c r="I34" s="86">
        <v>42051</v>
      </c>
      <c r="J34" s="86">
        <v>45338</v>
      </c>
      <c r="K34" s="12" t="s">
        <v>768</v>
      </c>
      <c r="L34" s="12" t="s">
        <v>4588</v>
      </c>
    </row>
    <row r="35" spans="1:12">
      <c r="A35" s="12">
        <f t="shared" si="0"/>
        <v>33</v>
      </c>
      <c r="B35" s="12" t="s">
        <v>5315</v>
      </c>
      <c r="C35" s="12" t="s">
        <v>5316</v>
      </c>
      <c r="D35" s="85">
        <v>3557.43</v>
      </c>
      <c r="E35" s="6">
        <v>5347548</v>
      </c>
      <c r="F35" s="12" t="s">
        <v>5317</v>
      </c>
      <c r="G35" s="2" t="s">
        <v>755</v>
      </c>
      <c r="H35" s="12" t="s">
        <v>756</v>
      </c>
      <c r="I35" s="86">
        <v>42497</v>
      </c>
      <c r="J35" s="86">
        <v>45784</v>
      </c>
      <c r="K35" s="12" t="s">
        <v>1014</v>
      </c>
      <c r="L35" s="12" t="s">
        <v>3262</v>
      </c>
    </row>
    <row r="36" spans="1:12">
      <c r="A36" s="12">
        <f t="shared" si="0"/>
        <v>34</v>
      </c>
      <c r="B36" s="12" t="s">
        <v>5318</v>
      </c>
      <c r="C36" s="12" t="s">
        <v>5319</v>
      </c>
      <c r="D36" s="85">
        <v>8366.2099999999991</v>
      </c>
      <c r="E36" s="6">
        <v>5347548</v>
      </c>
      <c r="F36" s="12" t="s">
        <v>5317</v>
      </c>
      <c r="G36" s="2" t="s">
        <v>755</v>
      </c>
      <c r="H36" s="12" t="s">
        <v>756</v>
      </c>
      <c r="I36" s="86">
        <v>42497</v>
      </c>
      <c r="J36" s="86">
        <v>45784</v>
      </c>
      <c r="K36" s="12" t="s">
        <v>1014</v>
      </c>
      <c r="L36" s="12" t="s">
        <v>3262</v>
      </c>
    </row>
    <row r="37" spans="1:12">
      <c r="A37" s="12">
        <f t="shared" si="0"/>
        <v>35</v>
      </c>
      <c r="B37" s="12" t="s">
        <v>5320</v>
      </c>
      <c r="C37" s="12" t="s">
        <v>2856</v>
      </c>
      <c r="D37" s="85">
        <v>141.4</v>
      </c>
      <c r="E37" s="6">
        <v>5320259</v>
      </c>
      <c r="F37" s="12" t="s">
        <v>2857</v>
      </c>
      <c r="G37" s="2" t="s">
        <v>755</v>
      </c>
      <c r="H37" s="12" t="s">
        <v>756</v>
      </c>
      <c r="I37" s="86">
        <v>40227</v>
      </c>
      <c r="J37" s="86">
        <v>44610</v>
      </c>
      <c r="K37" s="12" t="s">
        <v>1077</v>
      </c>
      <c r="L37" s="12" t="s">
        <v>2058</v>
      </c>
    </row>
    <row r="38" spans="1:12">
      <c r="A38" s="12">
        <f t="shared" si="0"/>
        <v>36</v>
      </c>
      <c r="B38" s="12" t="s">
        <v>5321</v>
      </c>
      <c r="C38" s="12" t="s">
        <v>3262</v>
      </c>
      <c r="D38" s="85">
        <v>267.37</v>
      </c>
      <c r="E38" s="6">
        <v>5753597</v>
      </c>
      <c r="F38" s="12" t="s">
        <v>5322</v>
      </c>
      <c r="G38" s="2" t="s">
        <v>755</v>
      </c>
      <c r="H38" s="12" t="s">
        <v>756</v>
      </c>
      <c r="I38" s="86">
        <v>40219</v>
      </c>
      <c r="J38" s="86">
        <v>44602</v>
      </c>
      <c r="K38" s="12" t="s">
        <v>375</v>
      </c>
      <c r="L38" s="12" t="s">
        <v>1892</v>
      </c>
    </row>
    <row r="39" spans="1:12">
      <c r="A39" s="12">
        <f t="shared" si="0"/>
        <v>37</v>
      </c>
      <c r="B39" s="12" t="s">
        <v>5323</v>
      </c>
      <c r="C39" s="12" t="s">
        <v>1018</v>
      </c>
      <c r="D39" s="85">
        <v>4405.6499999999996</v>
      </c>
      <c r="E39" s="6">
        <v>5613086</v>
      </c>
      <c r="F39" s="12" t="s">
        <v>5324</v>
      </c>
      <c r="G39" s="2" t="s">
        <v>755</v>
      </c>
      <c r="H39" s="12" t="s">
        <v>756</v>
      </c>
      <c r="I39" s="86">
        <v>38803</v>
      </c>
      <c r="J39" s="86">
        <v>43869</v>
      </c>
      <c r="K39" s="12" t="s">
        <v>782</v>
      </c>
      <c r="L39" s="12" t="s">
        <v>1109</v>
      </c>
    </row>
    <row r="40" spans="1:12">
      <c r="A40" s="12">
        <f t="shared" si="0"/>
        <v>38</v>
      </c>
      <c r="B40" s="12" t="s">
        <v>5325</v>
      </c>
      <c r="C40" s="12" t="s">
        <v>3384</v>
      </c>
      <c r="D40" s="85">
        <v>34.270000000000003</v>
      </c>
      <c r="E40" s="6">
        <v>5167256</v>
      </c>
      <c r="F40" s="12" t="s">
        <v>2546</v>
      </c>
      <c r="G40" s="2" t="s">
        <v>755</v>
      </c>
      <c r="H40" s="12" t="s">
        <v>756</v>
      </c>
      <c r="I40" s="86">
        <v>39476</v>
      </c>
      <c r="J40" s="86">
        <v>43859</v>
      </c>
      <c r="K40" s="12" t="s">
        <v>274</v>
      </c>
      <c r="L40" s="12" t="s">
        <v>1267</v>
      </c>
    </row>
    <row r="41" spans="1:12">
      <c r="A41" s="12">
        <f t="shared" si="0"/>
        <v>39</v>
      </c>
      <c r="B41" s="12" t="s">
        <v>5326</v>
      </c>
      <c r="C41" s="12" t="s">
        <v>1095</v>
      </c>
      <c r="D41" s="85">
        <v>1576.98</v>
      </c>
      <c r="E41" s="6">
        <v>4376927</v>
      </c>
      <c r="F41" s="12" t="s">
        <v>5327</v>
      </c>
      <c r="G41" s="2" t="s">
        <v>755</v>
      </c>
      <c r="H41" s="12" t="s">
        <v>756</v>
      </c>
      <c r="I41" s="86">
        <v>37854</v>
      </c>
      <c r="J41" s="86">
        <v>46225</v>
      </c>
      <c r="K41" s="12" t="s">
        <v>1097</v>
      </c>
      <c r="L41" s="12" t="s">
        <v>1098</v>
      </c>
    </row>
    <row r="42" spans="1:12">
      <c r="A42" s="12">
        <f t="shared" si="0"/>
        <v>40</v>
      </c>
      <c r="B42" s="12" t="s">
        <v>5328</v>
      </c>
      <c r="C42" s="12" t="s">
        <v>5329</v>
      </c>
      <c r="D42" s="85">
        <v>3882.49</v>
      </c>
      <c r="E42" s="6">
        <v>3565831</v>
      </c>
      <c r="F42" s="12" t="s">
        <v>5330</v>
      </c>
      <c r="G42" s="2" t="s">
        <v>755</v>
      </c>
      <c r="H42" s="12" t="s">
        <v>756</v>
      </c>
      <c r="I42" s="86">
        <v>38026</v>
      </c>
      <c r="J42" s="86">
        <v>45786</v>
      </c>
      <c r="K42" s="12" t="s">
        <v>163</v>
      </c>
      <c r="L42" s="12" t="s">
        <v>1417</v>
      </c>
    </row>
    <row r="43" spans="1:12">
      <c r="A43" s="12">
        <f t="shared" si="0"/>
        <v>41</v>
      </c>
      <c r="B43" s="12" t="s">
        <v>5331</v>
      </c>
      <c r="C43" s="12" t="s">
        <v>5332</v>
      </c>
      <c r="D43" s="85">
        <v>2753.68</v>
      </c>
      <c r="E43" s="6">
        <v>6424031</v>
      </c>
      <c r="F43" s="12" t="s">
        <v>5333</v>
      </c>
      <c r="G43" s="2" t="s">
        <v>755</v>
      </c>
      <c r="H43" s="12" t="s">
        <v>756</v>
      </c>
      <c r="I43" s="86">
        <v>39266</v>
      </c>
      <c r="J43" s="86">
        <v>45786</v>
      </c>
      <c r="K43" s="12" t="s">
        <v>768</v>
      </c>
      <c r="L43" s="12" t="s">
        <v>5334</v>
      </c>
    </row>
    <row r="44" spans="1:12">
      <c r="A44" s="12">
        <f t="shared" si="0"/>
        <v>42</v>
      </c>
      <c r="B44" s="12" t="s">
        <v>5335</v>
      </c>
      <c r="C44" s="12" t="s">
        <v>5336</v>
      </c>
      <c r="D44" s="85">
        <v>4187.59</v>
      </c>
      <c r="E44" s="6">
        <v>2048221</v>
      </c>
      <c r="F44" s="12" t="s">
        <v>5337</v>
      </c>
      <c r="G44" s="2" t="s">
        <v>755</v>
      </c>
      <c r="H44" s="12" t="s">
        <v>756</v>
      </c>
      <c r="I44" s="86">
        <v>39297</v>
      </c>
      <c r="J44" s="86">
        <v>45786</v>
      </c>
      <c r="K44" s="12" t="s">
        <v>768</v>
      </c>
      <c r="L44" s="12" t="s">
        <v>3229</v>
      </c>
    </row>
    <row r="45" spans="1:12">
      <c r="A45" s="12">
        <f t="shared" si="0"/>
        <v>43</v>
      </c>
      <c r="B45" s="12" t="s">
        <v>5338</v>
      </c>
      <c r="C45" s="12" t="s">
        <v>4974</v>
      </c>
      <c r="D45" s="85">
        <v>3129.08</v>
      </c>
      <c r="E45" s="6">
        <v>6423922</v>
      </c>
      <c r="F45" s="12" t="s">
        <v>4975</v>
      </c>
      <c r="G45" s="2" t="s">
        <v>755</v>
      </c>
      <c r="H45" s="12" t="s">
        <v>756</v>
      </c>
      <c r="I45" s="86">
        <v>39266</v>
      </c>
      <c r="J45" s="86">
        <v>45786</v>
      </c>
      <c r="K45" s="12" t="s">
        <v>768</v>
      </c>
      <c r="L45" s="12" t="s">
        <v>933</v>
      </c>
    </row>
    <row r="46" spans="1:12">
      <c r="A46" s="12">
        <f t="shared" si="0"/>
        <v>44</v>
      </c>
      <c r="B46" s="12" t="s">
        <v>5339</v>
      </c>
      <c r="C46" s="12" t="s">
        <v>5340</v>
      </c>
      <c r="D46" s="85">
        <v>1800.41</v>
      </c>
      <c r="E46" s="6">
        <v>5189128</v>
      </c>
      <c r="F46" s="12" t="s">
        <v>5341</v>
      </c>
      <c r="G46" s="2" t="s">
        <v>755</v>
      </c>
      <c r="H46" s="12" t="s">
        <v>756</v>
      </c>
      <c r="I46" s="86">
        <v>41942</v>
      </c>
      <c r="J46" s="86">
        <v>46325</v>
      </c>
      <c r="K46" s="12" t="s">
        <v>782</v>
      </c>
      <c r="L46" s="12" t="s">
        <v>1005</v>
      </c>
    </row>
    <row r="47" spans="1:12">
      <c r="A47" s="12">
        <f t="shared" si="0"/>
        <v>45</v>
      </c>
      <c r="B47" s="12" t="s">
        <v>5342</v>
      </c>
      <c r="C47" s="12" t="s">
        <v>4762</v>
      </c>
      <c r="D47" s="85">
        <v>36253.589999999997</v>
      </c>
      <c r="E47" s="6">
        <v>5874963</v>
      </c>
      <c r="F47" s="12" t="s">
        <v>4763</v>
      </c>
      <c r="G47" s="2" t="s">
        <v>755</v>
      </c>
      <c r="H47" s="12" t="s">
        <v>756</v>
      </c>
      <c r="I47" s="86">
        <v>41919</v>
      </c>
      <c r="J47" s="86">
        <v>46302</v>
      </c>
      <c r="K47" s="12" t="s">
        <v>170</v>
      </c>
      <c r="L47" s="12" t="s">
        <v>1738</v>
      </c>
    </row>
    <row r="48" spans="1:12">
      <c r="A48" s="12">
        <f t="shared" si="0"/>
        <v>46</v>
      </c>
      <c r="B48" s="12" t="s">
        <v>5343</v>
      </c>
      <c r="C48" s="12" t="s">
        <v>5344</v>
      </c>
      <c r="D48" s="85">
        <v>13388.43</v>
      </c>
      <c r="E48" s="6">
        <v>5874963</v>
      </c>
      <c r="F48" s="12" t="s">
        <v>4763</v>
      </c>
      <c r="G48" s="2" t="s">
        <v>755</v>
      </c>
      <c r="H48" s="12" t="s">
        <v>756</v>
      </c>
      <c r="I48" s="86">
        <v>41919</v>
      </c>
      <c r="J48" s="86">
        <v>46302</v>
      </c>
      <c r="K48" s="12" t="s">
        <v>170</v>
      </c>
      <c r="L48" s="12" t="s">
        <v>1738</v>
      </c>
    </row>
    <row r="49" spans="1:12" ht="21.75" customHeight="1">
      <c r="A49" s="12">
        <f t="shared" si="0"/>
        <v>47</v>
      </c>
      <c r="B49" s="12" t="s">
        <v>5345</v>
      </c>
      <c r="C49" s="12" t="s">
        <v>5346</v>
      </c>
      <c r="D49" s="85">
        <v>9546.52</v>
      </c>
      <c r="E49" s="6">
        <v>5838266</v>
      </c>
      <c r="F49" s="12" t="s">
        <v>5347</v>
      </c>
      <c r="G49" s="2" t="s">
        <v>848</v>
      </c>
      <c r="H49" s="12" t="s">
        <v>849</v>
      </c>
      <c r="I49" s="86">
        <v>41946</v>
      </c>
      <c r="J49" s="86">
        <v>46329</v>
      </c>
      <c r="K49" s="12" t="s">
        <v>768</v>
      </c>
      <c r="L49" s="12" t="s">
        <v>5334</v>
      </c>
    </row>
    <row r="50" spans="1:12" ht="23.25" customHeight="1">
      <c r="A50" s="12">
        <f t="shared" si="0"/>
        <v>48</v>
      </c>
      <c r="B50" s="12" t="s">
        <v>5348</v>
      </c>
      <c r="C50" s="12" t="s">
        <v>5349</v>
      </c>
      <c r="D50" s="85">
        <v>102.02</v>
      </c>
      <c r="E50" s="6">
        <v>2862468</v>
      </c>
      <c r="F50" s="12" t="s">
        <v>1013</v>
      </c>
      <c r="G50" s="2" t="s">
        <v>766</v>
      </c>
      <c r="H50" s="12" t="s">
        <v>767</v>
      </c>
      <c r="I50" s="86">
        <v>41941</v>
      </c>
      <c r="J50" s="86">
        <v>46324</v>
      </c>
      <c r="K50" s="12" t="s">
        <v>768</v>
      </c>
      <c r="L50" s="12" t="s">
        <v>1198</v>
      </c>
    </row>
    <row r="51" spans="1:12">
      <c r="A51" s="12">
        <f t="shared" si="0"/>
        <v>49</v>
      </c>
      <c r="B51" s="12" t="s">
        <v>5350</v>
      </c>
      <c r="C51" s="12" t="s">
        <v>5351</v>
      </c>
      <c r="D51" s="85">
        <v>1706.32</v>
      </c>
      <c r="E51" s="6">
        <v>5258014</v>
      </c>
      <c r="F51" s="12" t="s">
        <v>5352</v>
      </c>
      <c r="G51" s="2" t="s">
        <v>755</v>
      </c>
      <c r="H51" s="12" t="s">
        <v>756</v>
      </c>
      <c r="I51" s="86">
        <v>41991</v>
      </c>
      <c r="J51" s="86">
        <v>46374</v>
      </c>
      <c r="K51" s="12" t="s">
        <v>233</v>
      </c>
      <c r="L51" s="12" t="s">
        <v>234</v>
      </c>
    </row>
    <row r="52" spans="1:12">
      <c r="A52" s="12">
        <f t="shared" si="0"/>
        <v>50</v>
      </c>
      <c r="B52" s="12" t="s">
        <v>5353</v>
      </c>
      <c r="C52" s="12" t="s">
        <v>5354</v>
      </c>
      <c r="D52" s="85">
        <v>7014.15</v>
      </c>
      <c r="E52" s="6">
        <v>5142636</v>
      </c>
      <c r="F52" s="12" t="s">
        <v>5355</v>
      </c>
      <c r="G52" s="2" t="s">
        <v>755</v>
      </c>
      <c r="H52" s="12" t="s">
        <v>756</v>
      </c>
      <c r="I52" s="86">
        <v>41991</v>
      </c>
      <c r="J52" s="86">
        <v>46374</v>
      </c>
      <c r="K52" s="12" t="s">
        <v>233</v>
      </c>
      <c r="L52" s="12" t="s">
        <v>234</v>
      </c>
    </row>
    <row r="53" spans="1:12" ht="20.25" customHeight="1">
      <c r="A53" s="12">
        <f t="shared" si="0"/>
        <v>51</v>
      </c>
      <c r="B53" s="12" t="s">
        <v>5356</v>
      </c>
      <c r="C53" s="12" t="s">
        <v>4628</v>
      </c>
      <c r="D53" s="85">
        <v>1367.52</v>
      </c>
      <c r="E53" s="6">
        <v>5489601</v>
      </c>
      <c r="F53" s="12" t="s">
        <v>4913</v>
      </c>
      <c r="G53" s="2" t="s">
        <v>848</v>
      </c>
      <c r="H53" s="12" t="s">
        <v>849</v>
      </c>
      <c r="I53" s="86">
        <v>41991</v>
      </c>
      <c r="J53" s="86">
        <v>46374</v>
      </c>
      <c r="K53" s="12" t="s">
        <v>375</v>
      </c>
      <c r="L53" s="12" t="s">
        <v>1000</v>
      </c>
    </row>
    <row r="54" spans="1:12">
      <c r="A54" s="12">
        <f t="shared" si="0"/>
        <v>52</v>
      </c>
      <c r="B54" s="12" t="s">
        <v>5357</v>
      </c>
      <c r="C54" s="12" t="s">
        <v>5012</v>
      </c>
      <c r="D54" s="85">
        <v>532.83000000000004</v>
      </c>
      <c r="E54" s="6">
        <v>5273366</v>
      </c>
      <c r="F54" s="12" t="s">
        <v>5358</v>
      </c>
      <c r="G54" s="2" t="s">
        <v>755</v>
      </c>
      <c r="H54" s="12" t="s">
        <v>756</v>
      </c>
      <c r="I54" s="86">
        <v>42032</v>
      </c>
      <c r="J54" s="86">
        <v>45319</v>
      </c>
      <c r="K54" s="12" t="s">
        <v>170</v>
      </c>
      <c r="L54" s="12" t="s">
        <v>280</v>
      </c>
    </row>
    <row r="55" spans="1:12" ht="19.5" customHeight="1">
      <c r="A55" s="12">
        <f t="shared" si="0"/>
        <v>53</v>
      </c>
      <c r="B55" s="12" t="s">
        <v>5359</v>
      </c>
      <c r="C55" s="12" t="s">
        <v>5360</v>
      </c>
      <c r="D55" s="85">
        <v>170.24</v>
      </c>
      <c r="E55" s="6">
        <v>2737221</v>
      </c>
      <c r="F55" s="12" t="s">
        <v>3062</v>
      </c>
      <c r="G55" s="2" t="s">
        <v>848</v>
      </c>
      <c r="H55" s="12" t="s">
        <v>849</v>
      </c>
      <c r="I55" s="86">
        <v>42032</v>
      </c>
      <c r="J55" s="86">
        <v>45319</v>
      </c>
      <c r="K55" s="12" t="s">
        <v>304</v>
      </c>
      <c r="L55" s="12" t="s">
        <v>1634</v>
      </c>
    </row>
    <row r="56" spans="1:12" ht="20.25" customHeight="1">
      <c r="A56" s="12">
        <f t="shared" si="0"/>
        <v>54</v>
      </c>
      <c r="B56" s="12" t="s">
        <v>5361</v>
      </c>
      <c r="C56" s="12" t="s">
        <v>2526</v>
      </c>
      <c r="D56" s="85">
        <v>2793.91</v>
      </c>
      <c r="E56" s="6">
        <v>5645794</v>
      </c>
      <c r="F56" s="12" t="s">
        <v>2824</v>
      </c>
      <c r="G56" s="2" t="s">
        <v>766</v>
      </c>
      <c r="H56" s="12" t="s">
        <v>767</v>
      </c>
      <c r="I56" s="86">
        <v>42153</v>
      </c>
      <c r="J56" s="86">
        <v>45441</v>
      </c>
      <c r="K56" s="12" t="s">
        <v>1014</v>
      </c>
      <c r="L56" s="12" t="s">
        <v>2825</v>
      </c>
    </row>
    <row r="57" spans="1:12">
      <c r="A57" s="12">
        <f t="shared" si="0"/>
        <v>55</v>
      </c>
      <c r="B57" s="12" t="s">
        <v>5362</v>
      </c>
      <c r="C57" s="12" t="s">
        <v>2090</v>
      </c>
      <c r="D57" s="85">
        <v>9362.75</v>
      </c>
      <c r="E57" s="6">
        <v>6610897</v>
      </c>
      <c r="F57" s="12" t="s">
        <v>5363</v>
      </c>
      <c r="G57" s="2" t="s">
        <v>755</v>
      </c>
      <c r="H57" s="12" t="s">
        <v>756</v>
      </c>
      <c r="I57" s="86">
        <v>42192</v>
      </c>
      <c r="J57" s="86">
        <v>45480</v>
      </c>
      <c r="K57" s="12" t="s">
        <v>1014</v>
      </c>
      <c r="L57" s="12" t="s">
        <v>5364</v>
      </c>
    </row>
    <row r="58" spans="1:12">
      <c r="A58" s="12">
        <f t="shared" si="0"/>
        <v>56</v>
      </c>
      <c r="B58" s="12" t="s">
        <v>5365</v>
      </c>
      <c r="C58" s="12" t="s">
        <v>4117</v>
      </c>
      <c r="D58" s="85">
        <v>4141.3599999999997</v>
      </c>
      <c r="E58" s="6">
        <v>6088759</v>
      </c>
      <c r="F58" s="12" t="s">
        <v>4118</v>
      </c>
      <c r="G58" s="2" t="s">
        <v>755</v>
      </c>
      <c r="H58" s="12" t="s">
        <v>756</v>
      </c>
      <c r="I58" s="86">
        <v>42142</v>
      </c>
      <c r="J58" s="86">
        <v>45430</v>
      </c>
      <c r="K58" s="12" t="s">
        <v>1242</v>
      </c>
      <c r="L58" s="12" t="s">
        <v>4119</v>
      </c>
    </row>
    <row r="59" spans="1:12">
      <c r="A59" s="12">
        <f t="shared" si="0"/>
        <v>57</v>
      </c>
      <c r="B59" s="12" t="s">
        <v>5366</v>
      </c>
      <c r="C59" s="12" t="s">
        <v>769</v>
      </c>
      <c r="D59" s="85">
        <v>600.77</v>
      </c>
      <c r="E59" s="6">
        <v>5596165</v>
      </c>
      <c r="F59" s="12" t="s">
        <v>5367</v>
      </c>
      <c r="G59" s="2" t="s">
        <v>755</v>
      </c>
      <c r="H59" s="12" t="s">
        <v>756</v>
      </c>
      <c r="I59" s="86">
        <v>42109</v>
      </c>
      <c r="J59" s="86">
        <v>45397</v>
      </c>
      <c r="K59" s="12" t="s">
        <v>768</v>
      </c>
      <c r="L59" s="12" t="s">
        <v>769</v>
      </c>
    </row>
    <row r="60" spans="1:12">
      <c r="A60" s="12">
        <f t="shared" si="0"/>
        <v>58</v>
      </c>
      <c r="B60" s="12" t="s">
        <v>5368</v>
      </c>
      <c r="C60" s="12" t="s">
        <v>5369</v>
      </c>
      <c r="D60" s="85">
        <v>2539.4699999999998</v>
      </c>
      <c r="E60" s="6">
        <v>5694604</v>
      </c>
      <c r="F60" s="12" t="s">
        <v>5370</v>
      </c>
      <c r="G60" s="2" t="s">
        <v>755</v>
      </c>
      <c r="H60" s="12" t="s">
        <v>756</v>
      </c>
      <c r="I60" s="86">
        <v>42110</v>
      </c>
      <c r="J60" s="86">
        <v>45398</v>
      </c>
      <c r="K60" s="12" t="s">
        <v>768</v>
      </c>
      <c r="L60" s="12" t="s">
        <v>5371</v>
      </c>
    </row>
    <row r="61" spans="1:12" ht="20.25" customHeight="1">
      <c r="A61" s="12">
        <f t="shared" si="0"/>
        <v>59</v>
      </c>
      <c r="B61" s="12" t="s">
        <v>5372</v>
      </c>
      <c r="C61" s="12" t="s">
        <v>4142</v>
      </c>
      <c r="D61" s="85">
        <v>12495.76</v>
      </c>
      <c r="E61" s="6">
        <v>5455219</v>
      </c>
      <c r="F61" s="12" t="s">
        <v>4143</v>
      </c>
      <c r="G61" s="2" t="s">
        <v>766</v>
      </c>
      <c r="H61" s="12" t="s">
        <v>767</v>
      </c>
      <c r="I61" s="86">
        <v>42087</v>
      </c>
      <c r="J61" s="86">
        <v>45375</v>
      </c>
      <c r="K61" s="12" t="s">
        <v>5373</v>
      </c>
      <c r="L61" s="12" t="s">
        <v>5374</v>
      </c>
    </row>
    <row r="62" spans="1:12" ht="19.5" customHeight="1">
      <c r="A62" s="12">
        <f t="shared" si="0"/>
        <v>60</v>
      </c>
      <c r="B62" s="12" t="s">
        <v>5375</v>
      </c>
      <c r="C62" s="12" t="s">
        <v>5376</v>
      </c>
      <c r="D62" s="85">
        <v>6877.32</v>
      </c>
      <c r="E62" s="6">
        <v>6492584</v>
      </c>
      <c r="F62" s="12" t="s">
        <v>5377</v>
      </c>
      <c r="G62" s="2" t="s">
        <v>848</v>
      </c>
      <c r="H62" s="12" t="s">
        <v>849</v>
      </c>
      <c r="I62" s="86">
        <v>42271</v>
      </c>
      <c r="J62" s="86">
        <v>45559</v>
      </c>
      <c r="K62" s="12" t="s">
        <v>782</v>
      </c>
      <c r="L62" s="12" t="s">
        <v>5378</v>
      </c>
    </row>
    <row r="63" spans="1:12">
      <c r="A63" s="12">
        <f t="shared" si="0"/>
        <v>61</v>
      </c>
      <c r="B63" s="12" t="s">
        <v>5379</v>
      </c>
      <c r="C63" s="12" t="s">
        <v>5380</v>
      </c>
      <c r="D63" s="85">
        <v>3096.29</v>
      </c>
      <c r="E63" s="6">
        <v>5861519</v>
      </c>
      <c r="F63" s="12" t="s">
        <v>5381</v>
      </c>
      <c r="G63" s="2" t="s">
        <v>755</v>
      </c>
      <c r="H63" s="12" t="s">
        <v>756</v>
      </c>
      <c r="I63" s="86">
        <v>42073</v>
      </c>
      <c r="J63" s="86">
        <v>45361</v>
      </c>
      <c r="K63" s="12" t="s">
        <v>782</v>
      </c>
      <c r="L63" s="12" t="s">
        <v>1913</v>
      </c>
    </row>
    <row r="64" spans="1:12">
      <c r="A64" s="12">
        <f t="shared" si="0"/>
        <v>62</v>
      </c>
      <c r="B64" s="12" t="s">
        <v>5382</v>
      </c>
      <c r="C64" s="12" t="s">
        <v>1048</v>
      </c>
      <c r="D64" s="85">
        <v>4311.55</v>
      </c>
      <c r="E64" s="6">
        <v>6161669</v>
      </c>
      <c r="F64" s="12" t="s">
        <v>5383</v>
      </c>
      <c r="G64" s="2" t="s">
        <v>755</v>
      </c>
      <c r="H64" s="12" t="s">
        <v>756</v>
      </c>
      <c r="I64" s="86">
        <v>42115</v>
      </c>
      <c r="J64" s="86">
        <v>45403</v>
      </c>
      <c r="K64" s="12" t="s">
        <v>1242</v>
      </c>
      <c r="L64" s="12" t="s">
        <v>5384</v>
      </c>
    </row>
    <row r="65" spans="1:12">
      <c r="A65" s="12">
        <f t="shared" si="0"/>
        <v>63</v>
      </c>
      <c r="B65" s="12" t="s">
        <v>5385</v>
      </c>
      <c r="C65" s="12" t="s">
        <v>5386</v>
      </c>
      <c r="D65" s="85">
        <v>167.86</v>
      </c>
      <c r="E65" s="6">
        <v>5945119</v>
      </c>
      <c r="F65" s="12" t="s">
        <v>5387</v>
      </c>
      <c r="G65" s="2" t="s">
        <v>755</v>
      </c>
      <c r="H65" s="12" t="s">
        <v>756</v>
      </c>
      <c r="I65" s="86">
        <v>42298</v>
      </c>
      <c r="J65" s="86">
        <v>45586</v>
      </c>
      <c r="K65" s="12" t="s">
        <v>1242</v>
      </c>
      <c r="L65" s="12" t="s">
        <v>4561</v>
      </c>
    </row>
    <row r="66" spans="1:12">
      <c r="A66" s="12">
        <f t="shared" si="0"/>
        <v>64</v>
      </c>
      <c r="B66" s="12" t="s">
        <v>5388</v>
      </c>
      <c r="C66" s="12" t="s">
        <v>5389</v>
      </c>
      <c r="D66" s="85">
        <v>4447.97</v>
      </c>
      <c r="E66" s="6">
        <v>5581435</v>
      </c>
      <c r="F66" s="12" t="s">
        <v>5390</v>
      </c>
      <c r="G66" s="2" t="s">
        <v>755</v>
      </c>
      <c r="H66" s="12" t="s">
        <v>756</v>
      </c>
      <c r="I66" s="86">
        <v>42121</v>
      </c>
      <c r="J66" s="86">
        <v>45409</v>
      </c>
      <c r="K66" s="12" t="s">
        <v>1242</v>
      </c>
      <c r="L66" s="12" t="s">
        <v>5391</v>
      </c>
    </row>
    <row r="67" spans="1:12">
      <c r="A67" s="12">
        <f t="shared" si="0"/>
        <v>65</v>
      </c>
      <c r="B67" s="12" t="s">
        <v>5392</v>
      </c>
      <c r="C67" s="12" t="s">
        <v>5393</v>
      </c>
      <c r="D67" s="85">
        <v>2834.9</v>
      </c>
      <c r="E67" s="6">
        <v>5800323</v>
      </c>
      <c r="F67" s="12" t="s">
        <v>5394</v>
      </c>
      <c r="G67" s="2" t="s">
        <v>755</v>
      </c>
      <c r="H67" s="12" t="s">
        <v>756</v>
      </c>
      <c r="I67" s="86">
        <v>42116</v>
      </c>
      <c r="J67" s="86">
        <v>45577</v>
      </c>
      <c r="K67" s="12" t="s">
        <v>768</v>
      </c>
      <c r="L67" s="12" t="s">
        <v>4251</v>
      </c>
    </row>
    <row r="68" spans="1:12">
      <c r="A68" s="12">
        <f t="shared" si="0"/>
        <v>66</v>
      </c>
      <c r="B68" s="12" t="s">
        <v>5395</v>
      </c>
      <c r="C68" s="12" t="s">
        <v>5396</v>
      </c>
      <c r="D68" s="85">
        <v>19247.03</v>
      </c>
      <c r="E68" s="6">
        <v>5624487</v>
      </c>
      <c r="F68" s="12" t="s">
        <v>5397</v>
      </c>
      <c r="G68" s="2" t="s">
        <v>755</v>
      </c>
      <c r="H68" s="12" t="s">
        <v>756</v>
      </c>
      <c r="I68" s="86">
        <v>42850</v>
      </c>
      <c r="J68" s="86">
        <v>46137</v>
      </c>
      <c r="K68" s="12" t="s">
        <v>1014</v>
      </c>
      <c r="L68" s="12" t="s">
        <v>2825</v>
      </c>
    </row>
    <row r="69" spans="1:12">
      <c r="A69" s="12">
        <f t="shared" ref="A69:A132" si="1">A68+1</f>
        <v>67</v>
      </c>
      <c r="B69" s="12" t="s">
        <v>5398</v>
      </c>
      <c r="C69" s="12" t="s">
        <v>4398</v>
      </c>
      <c r="D69" s="85">
        <v>813.21</v>
      </c>
      <c r="E69" s="6">
        <v>5979374</v>
      </c>
      <c r="F69" s="12" t="s">
        <v>4399</v>
      </c>
      <c r="G69" s="2" t="s">
        <v>755</v>
      </c>
      <c r="H69" s="12" t="s">
        <v>756</v>
      </c>
      <c r="I69" s="86">
        <v>42109</v>
      </c>
      <c r="J69" s="86">
        <v>45397</v>
      </c>
      <c r="K69" s="12" t="s">
        <v>768</v>
      </c>
      <c r="L69" s="12" t="s">
        <v>769</v>
      </c>
    </row>
    <row r="70" spans="1:12">
      <c r="A70" s="12">
        <f t="shared" si="1"/>
        <v>68</v>
      </c>
      <c r="B70" s="12" t="s">
        <v>5399</v>
      </c>
      <c r="C70" s="12" t="s">
        <v>4117</v>
      </c>
      <c r="D70" s="85">
        <v>3989.2</v>
      </c>
      <c r="E70" s="6">
        <v>2580462</v>
      </c>
      <c r="F70" s="12" t="s">
        <v>5400</v>
      </c>
      <c r="G70" s="2" t="s">
        <v>755</v>
      </c>
      <c r="H70" s="12" t="s">
        <v>756</v>
      </c>
      <c r="I70" s="86">
        <v>42111</v>
      </c>
      <c r="J70" s="86">
        <v>45399</v>
      </c>
      <c r="K70" s="12" t="s">
        <v>1242</v>
      </c>
      <c r="L70" s="12" t="s">
        <v>4119</v>
      </c>
    </row>
    <row r="71" spans="1:12">
      <c r="A71" s="12">
        <f t="shared" si="1"/>
        <v>69</v>
      </c>
      <c r="B71" s="12" t="s">
        <v>5401</v>
      </c>
      <c r="C71" s="12" t="s">
        <v>4389</v>
      </c>
      <c r="D71" s="85">
        <v>4677.68</v>
      </c>
      <c r="E71" s="6">
        <v>5941822</v>
      </c>
      <c r="F71" s="12" t="s">
        <v>5402</v>
      </c>
      <c r="G71" s="2" t="s">
        <v>755</v>
      </c>
      <c r="H71" s="12" t="s">
        <v>756</v>
      </c>
      <c r="I71" s="86">
        <v>42102</v>
      </c>
      <c r="J71" s="86">
        <v>45390</v>
      </c>
      <c r="K71" s="12" t="s">
        <v>768</v>
      </c>
      <c r="L71" s="12" t="s">
        <v>1042</v>
      </c>
    </row>
    <row r="72" spans="1:12">
      <c r="A72" s="12">
        <f t="shared" si="1"/>
        <v>70</v>
      </c>
      <c r="B72" s="12" t="s">
        <v>5403</v>
      </c>
      <c r="C72" s="12" t="s">
        <v>4117</v>
      </c>
      <c r="D72" s="85">
        <v>5419.68</v>
      </c>
      <c r="E72" s="6">
        <v>5801079</v>
      </c>
      <c r="F72" s="12" t="s">
        <v>5404</v>
      </c>
      <c r="G72" s="2" t="s">
        <v>755</v>
      </c>
      <c r="H72" s="12" t="s">
        <v>756</v>
      </c>
      <c r="I72" s="86">
        <v>42177</v>
      </c>
      <c r="J72" s="86">
        <v>45465</v>
      </c>
      <c r="K72" s="12" t="s">
        <v>1014</v>
      </c>
      <c r="L72" s="12" t="s">
        <v>1023</v>
      </c>
    </row>
    <row r="73" spans="1:12">
      <c r="A73" s="12">
        <f t="shared" si="1"/>
        <v>71</v>
      </c>
      <c r="B73" s="12" t="s">
        <v>5405</v>
      </c>
      <c r="C73" s="12" t="s">
        <v>5406</v>
      </c>
      <c r="D73" s="85">
        <v>8059.45</v>
      </c>
      <c r="E73" s="6">
        <v>6610897</v>
      </c>
      <c r="F73" s="12" t="s">
        <v>5363</v>
      </c>
      <c r="G73" s="2" t="s">
        <v>755</v>
      </c>
      <c r="H73" s="12" t="s">
        <v>756</v>
      </c>
      <c r="I73" s="86">
        <v>42192</v>
      </c>
      <c r="J73" s="86">
        <v>45480</v>
      </c>
      <c r="K73" s="12" t="s">
        <v>1014</v>
      </c>
      <c r="L73" s="12" t="s">
        <v>2568</v>
      </c>
    </row>
    <row r="74" spans="1:12">
      <c r="A74" s="12">
        <f t="shared" si="1"/>
        <v>72</v>
      </c>
      <c r="B74" s="12" t="s">
        <v>5407</v>
      </c>
      <c r="C74" s="12" t="s">
        <v>5408</v>
      </c>
      <c r="D74" s="85">
        <v>7201.78</v>
      </c>
      <c r="E74" s="6">
        <v>5168945</v>
      </c>
      <c r="F74" s="12" t="s">
        <v>5409</v>
      </c>
      <c r="G74" s="2" t="s">
        <v>755</v>
      </c>
      <c r="H74" s="12" t="s">
        <v>756</v>
      </c>
      <c r="I74" s="86">
        <v>42093</v>
      </c>
      <c r="J74" s="86">
        <v>45381</v>
      </c>
      <c r="K74" s="12" t="s">
        <v>782</v>
      </c>
      <c r="L74" s="12" t="s">
        <v>5378</v>
      </c>
    </row>
    <row r="75" spans="1:12">
      <c r="A75" s="12">
        <f t="shared" si="1"/>
        <v>73</v>
      </c>
      <c r="B75" s="12" t="s">
        <v>5410</v>
      </c>
      <c r="C75" s="12" t="s">
        <v>5411</v>
      </c>
      <c r="D75" s="85">
        <v>7045.66</v>
      </c>
      <c r="E75" s="6">
        <v>6155278</v>
      </c>
      <c r="F75" s="12" t="s">
        <v>5412</v>
      </c>
      <c r="G75" s="2" t="s">
        <v>755</v>
      </c>
      <c r="H75" s="12" t="s">
        <v>756</v>
      </c>
      <c r="I75" s="86">
        <v>42466</v>
      </c>
      <c r="J75" s="86">
        <v>45753</v>
      </c>
      <c r="K75" s="12" t="s">
        <v>1242</v>
      </c>
      <c r="L75" s="12" t="s">
        <v>899</v>
      </c>
    </row>
    <row r="76" spans="1:12">
      <c r="A76" s="12">
        <f t="shared" si="1"/>
        <v>74</v>
      </c>
      <c r="B76" s="12" t="s">
        <v>5413</v>
      </c>
      <c r="C76" s="12" t="s">
        <v>982</v>
      </c>
      <c r="D76" s="85">
        <v>9137.81</v>
      </c>
      <c r="E76" s="6">
        <v>5893496</v>
      </c>
      <c r="F76" s="12" t="s">
        <v>5414</v>
      </c>
      <c r="G76" s="2" t="s">
        <v>755</v>
      </c>
      <c r="H76" s="12" t="s">
        <v>756</v>
      </c>
      <c r="I76" s="86">
        <v>42144</v>
      </c>
      <c r="J76" s="86">
        <v>45432</v>
      </c>
      <c r="K76" s="12" t="s">
        <v>782</v>
      </c>
      <c r="L76" s="12" t="s">
        <v>5415</v>
      </c>
    </row>
    <row r="77" spans="1:12">
      <c r="A77" s="12">
        <f t="shared" si="1"/>
        <v>75</v>
      </c>
      <c r="B77" s="12" t="s">
        <v>5416</v>
      </c>
      <c r="C77" s="12" t="s">
        <v>5417</v>
      </c>
      <c r="D77" s="85">
        <v>8865.19</v>
      </c>
      <c r="E77" s="6">
        <v>5958075</v>
      </c>
      <c r="F77" s="12" t="s">
        <v>5418</v>
      </c>
      <c r="G77" s="2" t="s">
        <v>755</v>
      </c>
      <c r="H77" s="12" t="s">
        <v>756</v>
      </c>
      <c r="I77" s="86">
        <v>42570</v>
      </c>
      <c r="J77" s="86">
        <v>45857</v>
      </c>
      <c r="K77" s="12" t="s">
        <v>1014</v>
      </c>
      <c r="L77" s="12" t="s">
        <v>5419</v>
      </c>
    </row>
    <row r="78" spans="1:12">
      <c r="A78" s="12">
        <f t="shared" si="1"/>
        <v>76</v>
      </c>
      <c r="B78" s="12" t="s">
        <v>5420</v>
      </c>
      <c r="C78" s="12" t="s">
        <v>5421</v>
      </c>
      <c r="D78" s="85">
        <v>1798.08</v>
      </c>
      <c r="E78" s="6">
        <v>5556554</v>
      </c>
      <c r="F78" s="12" t="s">
        <v>4806</v>
      </c>
      <c r="G78" s="2" t="s">
        <v>755</v>
      </c>
      <c r="H78" s="12" t="s">
        <v>756</v>
      </c>
      <c r="I78" s="86">
        <v>42250</v>
      </c>
      <c r="J78" s="86">
        <v>45538</v>
      </c>
      <c r="K78" s="12" t="s">
        <v>1014</v>
      </c>
      <c r="L78" s="12" t="s">
        <v>2568</v>
      </c>
    </row>
    <row r="79" spans="1:12">
      <c r="A79" s="12">
        <f t="shared" si="1"/>
        <v>77</v>
      </c>
      <c r="B79" s="12" t="s">
        <v>5422</v>
      </c>
      <c r="C79" s="12" t="s">
        <v>5423</v>
      </c>
      <c r="D79" s="85">
        <v>1391.87</v>
      </c>
      <c r="E79" s="6">
        <v>5921112</v>
      </c>
      <c r="F79" s="12" t="s">
        <v>5424</v>
      </c>
      <c r="G79" s="2" t="s">
        <v>755</v>
      </c>
      <c r="H79" s="12" t="s">
        <v>756</v>
      </c>
      <c r="I79" s="86">
        <v>42394</v>
      </c>
      <c r="J79" s="86">
        <v>45682</v>
      </c>
      <c r="K79" s="12" t="s">
        <v>5425</v>
      </c>
      <c r="L79" s="12" t="s">
        <v>5426</v>
      </c>
    </row>
    <row r="80" spans="1:12">
      <c r="A80" s="12">
        <f t="shared" si="1"/>
        <v>78</v>
      </c>
      <c r="B80" s="12" t="s">
        <v>5427</v>
      </c>
      <c r="C80" s="12" t="s">
        <v>3222</v>
      </c>
      <c r="D80" s="85">
        <v>11292.25</v>
      </c>
      <c r="E80" s="6">
        <v>5416914</v>
      </c>
      <c r="F80" s="12" t="s">
        <v>5428</v>
      </c>
      <c r="G80" s="2" t="s">
        <v>755</v>
      </c>
      <c r="H80" s="12" t="s">
        <v>756</v>
      </c>
      <c r="I80" s="86">
        <v>43032</v>
      </c>
      <c r="J80" s="86">
        <v>46319</v>
      </c>
      <c r="K80" s="12" t="s">
        <v>1014</v>
      </c>
      <c r="L80" s="12" t="s">
        <v>3222</v>
      </c>
    </row>
    <row r="81" spans="1:12">
      <c r="A81" s="12">
        <f t="shared" si="1"/>
        <v>79</v>
      </c>
      <c r="B81" s="12" t="s">
        <v>5429</v>
      </c>
      <c r="C81" s="12" t="s">
        <v>1108</v>
      </c>
      <c r="D81" s="85">
        <v>13357.62</v>
      </c>
      <c r="E81" s="6">
        <v>5362385</v>
      </c>
      <c r="F81" s="12" t="s">
        <v>5430</v>
      </c>
      <c r="G81" s="2" t="s">
        <v>755</v>
      </c>
      <c r="H81" s="12" t="s">
        <v>756</v>
      </c>
      <c r="I81" s="86">
        <v>42107</v>
      </c>
      <c r="J81" s="86">
        <v>45395</v>
      </c>
      <c r="K81" s="12" t="s">
        <v>1102</v>
      </c>
      <c r="L81" s="12" t="s">
        <v>3357</v>
      </c>
    </row>
    <row r="82" spans="1:12" ht="21.75" customHeight="1">
      <c r="A82" s="12">
        <f t="shared" si="1"/>
        <v>80</v>
      </c>
      <c r="B82" s="12" t="s">
        <v>5431</v>
      </c>
      <c r="C82" s="12" t="s">
        <v>3320</v>
      </c>
      <c r="D82" s="85">
        <v>11437.1</v>
      </c>
      <c r="E82" s="6">
        <v>5927382</v>
      </c>
      <c r="F82" s="12" t="s">
        <v>5432</v>
      </c>
      <c r="G82" s="2" t="s">
        <v>848</v>
      </c>
      <c r="H82" s="12" t="s">
        <v>849</v>
      </c>
      <c r="I82" s="86">
        <v>42171</v>
      </c>
      <c r="J82" s="86">
        <v>45459</v>
      </c>
      <c r="K82" s="12" t="s">
        <v>288</v>
      </c>
      <c r="L82" s="12" t="s">
        <v>5433</v>
      </c>
    </row>
    <row r="83" spans="1:12">
      <c r="A83" s="12">
        <f t="shared" si="1"/>
        <v>81</v>
      </c>
      <c r="B83" s="12" t="s">
        <v>5434</v>
      </c>
      <c r="C83" s="12" t="s">
        <v>4426</v>
      </c>
      <c r="D83" s="85">
        <v>2501.6799999999998</v>
      </c>
      <c r="E83" s="6">
        <v>6461107</v>
      </c>
      <c r="F83" s="12" t="s">
        <v>5435</v>
      </c>
      <c r="G83" s="2" t="s">
        <v>755</v>
      </c>
      <c r="H83" s="12" t="s">
        <v>756</v>
      </c>
      <c r="I83" s="86">
        <v>42097</v>
      </c>
      <c r="J83" s="86">
        <v>45385</v>
      </c>
      <c r="K83" s="12" t="s">
        <v>782</v>
      </c>
      <c r="L83" s="12" t="s">
        <v>2889</v>
      </c>
    </row>
    <row r="84" spans="1:12">
      <c r="A84" s="12">
        <f t="shared" si="1"/>
        <v>82</v>
      </c>
      <c r="B84" s="12" t="s">
        <v>5436</v>
      </c>
      <c r="C84" s="12" t="s">
        <v>5437</v>
      </c>
      <c r="D84" s="85">
        <v>6132.27</v>
      </c>
      <c r="E84" s="6">
        <v>6563635</v>
      </c>
      <c r="F84" s="12" t="s">
        <v>5438</v>
      </c>
      <c r="G84" s="2" t="s">
        <v>755</v>
      </c>
      <c r="H84" s="12" t="s">
        <v>756</v>
      </c>
      <c r="I84" s="86">
        <v>42173</v>
      </c>
      <c r="J84" s="86">
        <v>45461</v>
      </c>
      <c r="K84" s="12" t="s">
        <v>1014</v>
      </c>
      <c r="L84" s="12" t="s">
        <v>3357</v>
      </c>
    </row>
    <row r="85" spans="1:12">
      <c r="A85" s="12">
        <f t="shared" si="1"/>
        <v>83</v>
      </c>
      <c r="B85" s="12" t="s">
        <v>5439</v>
      </c>
      <c r="C85" s="12" t="s">
        <v>2825</v>
      </c>
      <c r="D85" s="85">
        <v>4257.2700000000004</v>
      </c>
      <c r="E85" s="6">
        <v>5874157</v>
      </c>
      <c r="F85" s="12" t="s">
        <v>5440</v>
      </c>
      <c r="G85" s="2" t="s">
        <v>755</v>
      </c>
      <c r="H85" s="12" t="s">
        <v>756</v>
      </c>
      <c r="I85" s="86">
        <v>42150</v>
      </c>
      <c r="J85" s="86">
        <v>45438</v>
      </c>
      <c r="K85" s="12" t="s">
        <v>782</v>
      </c>
      <c r="L85" s="12" t="s">
        <v>289</v>
      </c>
    </row>
    <row r="86" spans="1:12">
      <c r="A86" s="12">
        <f t="shared" si="1"/>
        <v>84</v>
      </c>
      <c r="B86" s="12" t="s">
        <v>5441</v>
      </c>
      <c r="C86" s="12" t="s">
        <v>5442</v>
      </c>
      <c r="D86" s="85">
        <v>3724.77</v>
      </c>
      <c r="E86" s="6">
        <v>2893401</v>
      </c>
      <c r="F86" s="12" t="s">
        <v>5443</v>
      </c>
      <c r="G86" s="2" t="s">
        <v>755</v>
      </c>
      <c r="H86" s="12" t="s">
        <v>756</v>
      </c>
      <c r="I86" s="86">
        <v>42121</v>
      </c>
      <c r="J86" s="86">
        <v>45409</v>
      </c>
      <c r="K86" s="12" t="s">
        <v>1242</v>
      </c>
      <c r="L86" s="12" t="s">
        <v>5444</v>
      </c>
    </row>
    <row r="87" spans="1:12">
      <c r="A87" s="12">
        <f t="shared" si="1"/>
        <v>85</v>
      </c>
      <c r="B87" s="12" t="s">
        <v>5445</v>
      </c>
      <c r="C87" s="12" t="s">
        <v>4287</v>
      </c>
      <c r="D87" s="85">
        <v>9854.93</v>
      </c>
      <c r="E87" s="6">
        <v>5644011</v>
      </c>
      <c r="F87" s="12" t="s">
        <v>5446</v>
      </c>
      <c r="G87" s="2" t="s">
        <v>755</v>
      </c>
      <c r="H87" s="12" t="s">
        <v>756</v>
      </c>
      <c r="I87" s="86">
        <v>42123</v>
      </c>
      <c r="J87" s="86">
        <v>45411</v>
      </c>
      <c r="K87" s="12" t="s">
        <v>163</v>
      </c>
      <c r="L87" s="12" t="s">
        <v>5447</v>
      </c>
    </row>
    <row r="88" spans="1:12">
      <c r="A88" s="12">
        <f t="shared" si="1"/>
        <v>86</v>
      </c>
      <c r="B88" s="12" t="s">
        <v>5448</v>
      </c>
      <c r="C88" s="12" t="s">
        <v>1218</v>
      </c>
      <c r="D88" s="85">
        <v>677.35</v>
      </c>
      <c r="E88" s="6">
        <v>5736609</v>
      </c>
      <c r="F88" s="12" t="s">
        <v>5449</v>
      </c>
      <c r="G88" s="2" t="s">
        <v>755</v>
      </c>
      <c r="H88" s="12" t="s">
        <v>756</v>
      </c>
      <c r="I88" s="86">
        <v>42129</v>
      </c>
      <c r="J88" s="86">
        <v>45417</v>
      </c>
      <c r="K88" s="12" t="s">
        <v>782</v>
      </c>
      <c r="L88" s="12" t="s">
        <v>2842</v>
      </c>
    </row>
    <row r="89" spans="1:12">
      <c r="A89" s="12">
        <f t="shared" si="1"/>
        <v>87</v>
      </c>
      <c r="B89" s="12" t="s">
        <v>5450</v>
      </c>
      <c r="C89" s="12" t="s">
        <v>5451</v>
      </c>
      <c r="D89" s="85">
        <v>14834.82</v>
      </c>
      <c r="E89" s="6">
        <v>5984173</v>
      </c>
      <c r="F89" s="12" t="s">
        <v>5452</v>
      </c>
      <c r="G89" s="2" t="s">
        <v>755</v>
      </c>
      <c r="H89" s="12" t="s">
        <v>756</v>
      </c>
      <c r="I89" s="86">
        <v>42227</v>
      </c>
      <c r="J89" s="86">
        <v>46066</v>
      </c>
      <c r="K89" s="12" t="s">
        <v>1014</v>
      </c>
      <c r="L89" s="12" t="s">
        <v>3643</v>
      </c>
    </row>
    <row r="90" spans="1:12">
      <c r="A90" s="12">
        <f t="shared" si="1"/>
        <v>88</v>
      </c>
      <c r="B90" s="12" t="s">
        <v>5453</v>
      </c>
      <c r="C90" s="12" t="s">
        <v>5454</v>
      </c>
      <c r="D90" s="85">
        <v>4344.29</v>
      </c>
      <c r="E90" s="6">
        <v>5380391</v>
      </c>
      <c r="F90" s="12" t="s">
        <v>5455</v>
      </c>
      <c r="G90" s="2" t="s">
        <v>755</v>
      </c>
      <c r="H90" s="12" t="s">
        <v>756</v>
      </c>
      <c r="I90" s="86">
        <v>42171</v>
      </c>
      <c r="J90" s="86">
        <v>45459</v>
      </c>
      <c r="K90" s="12" t="s">
        <v>1014</v>
      </c>
      <c r="L90" s="12" t="s">
        <v>3262</v>
      </c>
    </row>
    <row r="91" spans="1:12">
      <c r="A91" s="12">
        <f t="shared" si="1"/>
        <v>89</v>
      </c>
      <c r="B91" s="12" t="s">
        <v>5456</v>
      </c>
      <c r="C91" s="12" t="s">
        <v>2090</v>
      </c>
      <c r="D91" s="85">
        <v>3686.12</v>
      </c>
      <c r="E91" s="6">
        <v>5325412</v>
      </c>
      <c r="F91" s="12" t="s">
        <v>5457</v>
      </c>
      <c r="G91" s="2" t="s">
        <v>755</v>
      </c>
      <c r="H91" s="12" t="s">
        <v>756</v>
      </c>
      <c r="I91" s="86">
        <v>42173</v>
      </c>
      <c r="J91" s="86">
        <v>45461</v>
      </c>
      <c r="K91" s="12" t="s">
        <v>1014</v>
      </c>
      <c r="L91" s="12" t="s">
        <v>2568</v>
      </c>
    </row>
    <row r="92" spans="1:12">
      <c r="A92" s="12">
        <f t="shared" si="1"/>
        <v>90</v>
      </c>
      <c r="B92" s="12" t="s">
        <v>5458</v>
      </c>
      <c r="C92" s="12" t="s">
        <v>1194</v>
      </c>
      <c r="D92" s="85">
        <v>18789.669999999998</v>
      </c>
      <c r="E92" s="6">
        <v>5920345</v>
      </c>
      <c r="F92" s="12" t="s">
        <v>5459</v>
      </c>
      <c r="G92" s="2" t="s">
        <v>755</v>
      </c>
      <c r="H92" s="12" t="s">
        <v>756</v>
      </c>
      <c r="I92" s="86">
        <v>42109</v>
      </c>
      <c r="J92" s="86">
        <v>45397</v>
      </c>
      <c r="K92" s="12" t="s">
        <v>1102</v>
      </c>
      <c r="L92" s="12" t="s">
        <v>5460</v>
      </c>
    </row>
    <row r="93" spans="1:12" ht="18.75" customHeight="1">
      <c r="A93" s="12">
        <f t="shared" si="1"/>
        <v>91</v>
      </c>
      <c r="B93" s="12" t="s">
        <v>5461</v>
      </c>
      <c r="C93" s="12" t="s">
        <v>2965</v>
      </c>
      <c r="D93" s="85">
        <v>24649.26</v>
      </c>
      <c r="E93" s="6">
        <v>5310598</v>
      </c>
      <c r="F93" s="12" t="s">
        <v>5462</v>
      </c>
      <c r="G93" s="2" t="s">
        <v>848</v>
      </c>
      <c r="H93" s="12" t="s">
        <v>849</v>
      </c>
      <c r="I93" s="86">
        <v>42062</v>
      </c>
      <c r="J93" s="86">
        <v>45349</v>
      </c>
      <c r="K93" s="12" t="s">
        <v>5463</v>
      </c>
      <c r="L93" s="12" t="s">
        <v>5464</v>
      </c>
    </row>
    <row r="94" spans="1:12">
      <c r="A94" s="12">
        <f t="shared" si="1"/>
        <v>92</v>
      </c>
      <c r="B94" s="12" t="s">
        <v>5465</v>
      </c>
      <c r="C94" s="12" t="s">
        <v>5466</v>
      </c>
      <c r="D94" s="85">
        <v>5695.48</v>
      </c>
      <c r="E94" s="6">
        <v>5056853</v>
      </c>
      <c r="F94" s="12" t="s">
        <v>5257</v>
      </c>
      <c r="G94" s="2" t="s">
        <v>755</v>
      </c>
      <c r="H94" s="12" t="s">
        <v>756</v>
      </c>
      <c r="I94" s="86">
        <v>42062</v>
      </c>
      <c r="J94" s="86">
        <v>45696</v>
      </c>
      <c r="K94" s="12" t="s">
        <v>1242</v>
      </c>
      <c r="L94" s="12" t="s">
        <v>5258</v>
      </c>
    </row>
    <row r="95" spans="1:12">
      <c r="A95" s="12">
        <f t="shared" si="1"/>
        <v>93</v>
      </c>
      <c r="B95" s="12" t="s">
        <v>5467</v>
      </c>
      <c r="C95" s="12" t="s">
        <v>1755</v>
      </c>
      <c r="D95" s="85">
        <v>8609.51</v>
      </c>
      <c r="E95" s="6">
        <v>5303265</v>
      </c>
      <c r="F95" s="12" t="s">
        <v>5468</v>
      </c>
      <c r="G95" s="2" t="s">
        <v>755</v>
      </c>
      <c r="H95" s="12" t="s">
        <v>756</v>
      </c>
      <c r="I95" s="86">
        <v>42068</v>
      </c>
      <c r="J95" s="86">
        <v>45356</v>
      </c>
      <c r="K95" s="12" t="s">
        <v>233</v>
      </c>
      <c r="L95" s="12" t="s">
        <v>1755</v>
      </c>
    </row>
    <row r="96" spans="1:12" ht="22.5" customHeight="1">
      <c r="A96" s="12">
        <f t="shared" si="1"/>
        <v>94</v>
      </c>
      <c r="B96" s="12" t="s">
        <v>5469</v>
      </c>
      <c r="C96" s="12" t="s">
        <v>2573</v>
      </c>
      <c r="D96" s="85">
        <v>912.18</v>
      </c>
      <c r="E96" s="6">
        <v>5288703</v>
      </c>
      <c r="F96" s="12" t="s">
        <v>1259</v>
      </c>
      <c r="G96" s="2" t="s">
        <v>766</v>
      </c>
      <c r="H96" s="12" t="s">
        <v>767</v>
      </c>
      <c r="I96" s="86">
        <v>42062</v>
      </c>
      <c r="J96" s="86">
        <v>45349</v>
      </c>
      <c r="K96" s="12" t="s">
        <v>233</v>
      </c>
      <c r="L96" s="12" t="s">
        <v>234</v>
      </c>
    </row>
    <row r="97" spans="1:12">
      <c r="A97" s="12">
        <f t="shared" si="1"/>
        <v>95</v>
      </c>
      <c r="B97" s="12" t="s">
        <v>5470</v>
      </c>
      <c r="C97" s="12" t="s">
        <v>5471</v>
      </c>
      <c r="D97" s="85">
        <v>5274.95</v>
      </c>
      <c r="E97" s="6">
        <v>5380391</v>
      </c>
      <c r="F97" s="12" t="s">
        <v>5455</v>
      </c>
      <c r="G97" s="2" t="s">
        <v>755</v>
      </c>
      <c r="H97" s="12" t="s">
        <v>756</v>
      </c>
      <c r="I97" s="86">
        <v>42394</v>
      </c>
      <c r="J97" s="86">
        <v>45682</v>
      </c>
      <c r="K97" s="12" t="s">
        <v>1014</v>
      </c>
      <c r="L97" s="12" t="s">
        <v>3262</v>
      </c>
    </row>
    <row r="98" spans="1:12" ht="19.5" customHeight="1">
      <c r="A98" s="12">
        <f t="shared" si="1"/>
        <v>96</v>
      </c>
      <c r="B98" s="12" t="s">
        <v>5472</v>
      </c>
      <c r="C98" s="12" t="s">
        <v>5473</v>
      </c>
      <c r="D98" s="85">
        <v>679.25</v>
      </c>
      <c r="E98" s="6">
        <v>5295858</v>
      </c>
      <c r="F98" s="12" t="s">
        <v>1534</v>
      </c>
      <c r="G98" s="2" t="s">
        <v>848</v>
      </c>
      <c r="H98" s="12" t="s">
        <v>849</v>
      </c>
      <c r="I98" s="86">
        <v>42177</v>
      </c>
      <c r="J98" s="86">
        <v>45465</v>
      </c>
      <c r="K98" s="12" t="s">
        <v>163</v>
      </c>
      <c r="L98" s="12" t="s">
        <v>164</v>
      </c>
    </row>
    <row r="99" spans="1:12">
      <c r="A99" s="12">
        <f t="shared" si="1"/>
        <v>97</v>
      </c>
      <c r="B99" s="12" t="s">
        <v>5474</v>
      </c>
      <c r="C99" s="12" t="s">
        <v>2825</v>
      </c>
      <c r="D99" s="85">
        <v>1130.51</v>
      </c>
      <c r="E99" s="6">
        <v>5874157</v>
      </c>
      <c r="F99" s="12" t="s">
        <v>5440</v>
      </c>
      <c r="G99" s="2" t="s">
        <v>755</v>
      </c>
      <c r="H99" s="12" t="s">
        <v>756</v>
      </c>
      <c r="I99" s="86">
        <v>42150</v>
      </c>
      <c r="J99" s="86">
        <v>45438</v>
      </c>
      <c r="K99" s="12" t="s">
        <v>782</v>
      </c>
      <c r="L99" s="12" t="s">
        <v>289</v>
      </c>
    </row>
    <row r="100" spans="1:12">
      <c r="A100" s="12">
        <f t="shared" si="1"/>
        <v>98</v>
      </c>
      <c r="B100" s="12" t="s">
        <v>5475</v>
      </c>
      <c r="C100" s="12" t="s">
        <v>4284</v>
      </c>
      <c r="D100" s="85">
        <v>1610.57</v>
      </c>
      <c r="E100" s="6">
        <v>5550505</v>
      </c>
      <c r="F100" s="12" t="s">
        <v>4285</v>
      </c>
      <c r="G100" s="2" t="s">
        <v>755</v>
      </c>
      <c r="H100" s="12" t="s">
        <v>756</v>
      </c>
      <c r="I100" s="86">
        <v>42173</v>
      </c>
      <c r="J100" s="86">
        <v>45461</v>
      </c>
      <c r="K100" s="12" t="s">
        <v>1014</v>
      </c>
      <c r="L100" s="12" t="s">
        <v>3222</v>
      </c>
    </row>
    <row r="101" spans="1:12" ht="23.25" customHeight="1">
      <c r="A101" s="12">
        <f t="shared" si="1"/>
        <v>99</v>
      </c>
      <c r="B101" s="12" t="s">
        <v>5476</v>
      </c>
      <c r="C101" s="12" t="s">
        <v>132</v>
      </c>
      <c r="D101" s="85">
        <v>2595.88</v>
      </c>
      <c r="E101" s="6">
        <v>5226775</v>
      </c>
      <c r="F101" s="12" t="s">
        <v>5477</v>
      </c>
      <c r="G101" s="2" t="s">
        <v>848</v>
      </c>
      <c r="H101" s="12" t="s">
        <v>849</v>
      </c>
      <c r="I101" s="86">
        <v>42125</v>
      </c>
      <c r="J101" s="86">
        <v>45413</v>
      </c>
      <c r="K101" s="12" t="s">
        <v>1102</v>
      </c>
      <c r="L101" s="12" t="s">
        <v>1194</v>
      </c>
    </row>
    <row r="102" spans="1:12" ht="20.25" customHeight="1">
      <c r="A102" s="12">
        <f t="shared" si="1"/>
        <v>100</v>
      </c>
      <c r="B102" s="12" t="s">
        <v>5478</v>
      </c>
      <c r="C102" s="12" t="s">
        <v>4389</v>
      </c>
      <c r="D102" s="85">
        <v>1645.83</v>
      </c>
      <c r="E102" s="6">
        <v>6221459</v>
      </c>
      <c r="F102" s="12" t="s">
        <v>5479</v>
      </c>
      <c r="G102" s="2" t="s">
        <v>848</v>
      </c>
      <c r="H102" s="12" t="s">
        <v>849</v>
      </c>
      <c r="I102" s="86">
        <v>42121</v>
      </c>
      <c r="J102" s="86">
        <v>45409</v>
      </c>
      <c r="K102" s="12" t="s">
        <v>163</v>
      </c>
      <c r="L102" s="12" t="s">
        <v>2891</v>
      </c>
    </row>
    <row r="103" spans="1:12">
      <c r="A103" s="12">
        <f t="shared" si="1"/>
        <v>101</v>
      </c>
      <c r="B103" s="12" t="s">
        <v>5480</v>
      </c>
      <c r="C103" s="12" t="s">
        <v>5481</v>
      </c>
      <c r="D103" s="85">
        <v>886.56</v>
      </c>
      <c r="E103" s="6">
        <v>5548284</v>
      </c>
      <c r="F103" s="12" t="s">
        <v>5482</v>
      </c>
      <c r="G103" s="2" t="s">
        <v>755</v>
      </c>
      <c r="H103" s="12" t="s">
        <v>756</v>
      </c>
      <c r="I103" s="86">
        <v>42123</v>
      </c>
      <c r="J103" s="86">
        <v>45411</v>
      </c>
      <c r="K103" s="12" t="s">
        <v>768</v>
      </c>
      <c r="L103" s="12" t="s">
        <v>1042</v>
      </c>
    </row>
    <row r="104" spans="1:12">
      <c r="A104" s="12">
        <f t="shared" si="1"/>
        <v>102</v>
      </c>
      <c r="B104" s="12" t="s">
        <v>5483</v>
      </c>
      <c r="C104" s="12" t="s">
        <v>5484</v>
      </c>
      <c r="D104" s="85">
        <v>571.55999999999995</v>
      </c>
      <c r="E104" s="6">
        <v>5736609</v>
      </c>
      <c r="F104" s="12" t="s">
        <v>5449</v>
      </c>
      <c r="G104" s="2" t="s">
        <v>755</v>
      </c>
      <c r="H104" s="12" t="s">
        <v>756</v>
      </c>
      <c r="I104" s="86">
        <v>42143</v>
      </c>
      <c r="J104" s="86">
        <v>45431</v>
      </c>
      <c r="K104" s="12" t="s">
        <v>782</v>
      </c>
      <c r="L104" s="12" t="s">
        <v>2822</v>
      </c>
    </row>
    <row r="105" spans="1:12">
      <c r="A105" s="12">
        <f t="shared" si="1"/>
        <v>103</v>
      </c>
      <c r="B105" s="12" t="s">
        <v>5485</v>
      </c>
      <c r="C105" s="12" t="s">
        <v>5486</v>
      </c>
      <c r="D105" s="85">
        <v>4664.82</v>
      </c>
      <c r="E105" s="6">
        <v>5627788</v>
      </c>
      <c r="F105" s="12" t="s">
        <v>5487</v>
      </c>
      <c r="G105" s="2" t="s">
        <v>755</v>
      </c>
      <c r="H105" s="12" t="s">
        <v>756</v>
      </c>
      <c r="I105" s="86">
        <v>42135</v>
      </c>
      <c r="J105" s="86">
        <v>45423</v>
      </c>
      <c r="K105" s="12" t="s">
        <v>1102</v>
      </c>
      <c r="L105" s="12" t="s">
        <v>1194</v>
      </c>
    </row>
    <row r="106" spans="1:12">
      <c r="A106" s="12">
        <f t="shared" si="1"/>
        <v>104</v>
      </c>
      <c r="B106" s="12" t="s">
        <v>5488</v>
      </c>
      <c r="C106" s="12" t="s">
        <v>3222</v>
      </c>
      <c r="D106" s="85">
        <v>1083.6199999999999</v>
      </c>
      <c r="E106" s="6">
        <v>5921627</v>
      </c>
      <c r="F106" s="12" t="s">
        <v>5489</v>
      </c>
      <c r="G106" s="2" t="s">
        <v>755</v>
      </c>
      <c r="H106" s="12" t="s">
        <v>756</v>
      </c>
      <c r="I106" s="86">
        <v>42394</v>
      </c>
      <c r="J106" s="86">
        <v>45682</v>
      </c>
      <c r="K106" s="12" t="s">
        <v>1014</v>
      </c>
      <c r="L106" s="12" t="s">
        <v>5490</v>
      </c>
    </row>
    <row r="107" spans="1:12">
      <c r="A107" s="12">
        <f t="shared" si="1"/>
        <v>105</v>
      </c>
      <c r="B107" s="12" t="s">
        <v>5491</v>
      </c>
      <c r="C107" s="12" t="s">
        <v>5492</v>
      </c>
      <c r="D107" s="85">
        <v>2184.44</v>
      </c>
      <c r="E107" s="6">
        <v>5076285</v>
      </c>
      <c r="F107" s="12" t="s">
        <v>835</v>
      </c>
      <c r="G107" s="2" t="s">
        <v>755</v>
      </c>
      <c r="H107" s="12" t="s">
        <v>756</v>
      </c>
      <c r="I107" s="86">
        <v>42255</v>
      </c>
      <c r="J107" s="86">
        <v>45543</v>
      </c>
      <c r="K107" s="12" t="s">
        <v>1014</v>
      </c>
      <c r="L107" s="12" t="s">
        <v>1023</v>
      </c>
    </row>
    <row r="108" spans="1:12" ht="38.25">
      <c r="A108" s="12">
        <f t="shared" si="1"/>
        <v>106</v>
      </c>
      <c r="B108" s="12" t="s">
        <v>5493</v>
      </c>
      <c r="C108" s="12" t="s">
        <v>5494</v>
      </c>
      <c r="D108" s="85">
        <v>3508.57</v>
      </c>
      <c r="E108" s="6">
        <v>5226775</v>
      </c>
      <c r="F108" s="12" t="s">
        <v>5477</v>
      </c>
      <c r="G108" s="2" t="s">
        <v>848</v>
      </c>
      <c r="H108" s="12" t="s">
        <v>849</v>
      </c>
      <c r="I108" s="86">
        <v>42125</v>
      </c>
      <c r="J108" s="86">
        <v>45413</v>
      </c>
      <c r="K108" s="12" t="s">
        <v>1102</v>
      </c>
      <c r="L108" s="12" t="s">
        <v>3357</v>
      </c>
    </row>
    <row r="109" spans="1:12">
      <c r="A109" s="12">
        <f t="shared" si="1"/>
        <v>107</v>
      </c>
      <c r="B109" s="12" t="s">
        <v>5495</v>
      </c>
      <c r="C109" s="12" t="s">
        <v>3112</v>
      </c>
      <c r="D109" s="85">
        <v>7679.8</v>
      </c>
      <c r="E109" s="6">
        <v>5857066</v>
      </c>
      <c r="F109" s="12" t="s">
        <v>5496</v>
      </c>
      <c r="G109" s="2" t="s">
        <v>755</v>
      </c>
      <c r="H109" s="12" t="s">
        <v>756</v>
      </c>
      <c r="I109" s="86">
        <v>42212</v>
      </c>
      <c r="J109" s="86">
        <v>45500</v>
      </c>
      <c r="K109" s="12" t="s">
        <v>768</v>
      </c>
      <c r="L109" s="12" t="s">
        <v>5497</v>
      </c>
    </row>
    <row r="110" spans="1:12">
      <c r="A110" s="12">
        <f t="shared" si="1"/>
        <v>108</v>
      </c>
      <c r="B110" s="12" t="s">
        <v>5498</v>
      </c>
      <c r="C110" s="12" t="s">
        <v>5499</v>
      </c>
      <c r="D110" s="85">
        <v>4120.53</v>
      </c>
      <c r="E110" s="6">
        <v>5224993</v>
      </c>
      <c r="F110" s="12" t="s">
        <v>5292</v>
      </c>
      <c r="G110" s="2" t="s">
        <v>755</v>
      </c>
      <c r="H110" s="12" t="s">
        <v>756</v>
      </c>
      <c r="I110" s="86">
        <v>42143</v>
      </c>
      <c r="J110" s="86">
        <v>45457</v>
      </c>
      <c r="K110" s="12" t="s">
        <v>288</v>
      </c>
      <c r="L110" s="12" t="s">
        <v>5500</v>
      </c>
    </row>
    <row r="111" spans="1:12">
      <c r="A111" s="12">
        <f t="shared" si="1"/>
        <v>109</v>
      </c>
      <c r="B111" s="12" t="s">
        <v>5501</v>
      </c>
      <c r="C111" s="12" t="s">
        <v>5502</v>
      </c>
      <c r="D111" s="85">
        <v>825.07</v>
      </c>
      <c r="E111" s="6">
        <v>5103193</v>
      </c>
      <c r="F111" s="12" t="s">
        <v>4160</v>
      </c>
      <c r="G111" s="2" t="s">
        <v>755</v>
      </c>
      <c r="H111" s="12" t="s">
        <v>756</v>
      </c>
      <c r="I111" s="86">
        <v>42152</v>
      </c>
      <c r="J111" s="86">
        <v>45440</v>
      </c>
      <c r="K111" s="12" t="s">
        <v>163</v>
      </c>
      <c r="L111" s="12" t="s">
        <v>164</v>
      </c>
    </row>
    <row r="112" spans="1:12">
      <c r="A112" s="12">
        <f t="shared" si="1"/>
        <v>110</v>
      </c>
      <c r="B112" s="12" t="s">
        <v>5503</v>
      </c>
      <c r="C112" s="12" t="s">
        <v>1516</v>
      </c>
      <c r="D112" s="85">
        <v>2287.8000000000002</v>
      </c>
      <c r="E112" s="6">
        <v>5479045</v>
      </c>
      <c r="F112" s="12" t="s">
        <v>5504</v>
      </c>
      <c r="G112" s="2" t="s">
        <v>755</v>
      </c>
      <c r="H112" s="12" t="s">
        <v>756</v>
      </c>
      <c r="I112" s="86">
        <v>42136</v>
      </c>
      <c r="J112" s="86">
        <v>45424</v>
      </c>
      <c r="K112" s="12" t="s">
        <v>1242</v>
      </c>
      <c r="L112" s="12" t="s">
        <v>1516</v>
      </c>
    </row>
    <row r="113" spans="1:12">
      <c r="A113" s="12">
        <f t="shared" si="1"/>
        <v>111</v>
      </c>
      <c r="B113" s="12" t="s">
        <v>5505</v>
      </c>
      <c r="C113" s="12" t="s">
        <v>2874</v>
      </c>
      <c r="D113" s="85">
        <v>2163.4699999999998</v>
      </c>
      <c r="E113" s="6">
        <v>2681692</v>
      </c>
      <c r="F113" s="12" t="s">
        <v>5506</v>
      </c>
      <c r="G113" s="2" t="s">
        <v>755</v>
      </c>
      <c r="H113" s="12" t="s">
        <v>756</v>
      </c>
      <c r="I113" s="86">
        <v>42152</v>
      </c>
      <c r="J113" s="86">
        <v>45440</v>
      </c>
      <c r="K113" s="12" t="s">
        <v>1102</v>
      </c>
      <c r="L113" s="12" t="s">
        <v>1194</v>
      </c>
    </row>
    <row r="114" spans="1:12">
      <c r="A114" s="12">
        <f t="shared" si="1"/>
        <v>112</v>
      </c>
      <c r="B114" s="12" t="s">
        <v>5507</v>
      </c>
      <c r="C114" s="12" t="s">
        <v>5508</v>
      </c>
      <c r="D114" s="85">
        <v>4129.7299999999996</v>
      </c>
      <c r="E114" s="6">
        <v>2881136</v>
      </c>
      <c r="F114" s="12" t="s">
        <v>5509</v>
      </c>
      <c r="G114" s="2" t="s">
        <v>755</v>
      </c>
      <c r="H114" s="12" t="s">
        <v>756</v>
      </c>
      <c r="I114" s="86">
        <v>42135</v>
      </c>
      <c r="J114" s="86">
        <v>45423</v>
      </c>
      <c r="K114" s="12" t="s">
        <v>782</v>
      </c>
      <c r="L114" s="12" t="s">
        <v>5510</v>
      </c>
    </row>
    <row r="115" spans="1:12" ht="38.25">
      <c r="A115" s="12">
        <f t="shared" si="1"/>
        <v>113</v>
      </c>
      <c r="B115" s="12" t="s">
        <v>5511</v>
      </c>
      <c r="C115" s="12" t="s">
        <v>5512</v>
      </c>
      <c r="D115" s="85">
        <v>1318.79</v>
      </c>
      <c r="E115" s="6">
        <v>5295858</v>
      </c>
      <c r="F115" s="12" t="s">
        <v>1534</v>
      </c>
      <c r="G115" s="2" t="s">
        <v>848</v>
      </c>
      <c r="H115" s="12" t="s">
        <v>849</v>
      </c>
      <c r="I115" s="86">
        <v>42144</v>
      </c>
      <c r="J115" s="86">
        <v>45432</v>
      </c>
      <c r="K115" s="12" t="s">
        <v>1102</v>
      </c>
      <c r="L115" s="12" t="s">
        <v>5513</v>
      </c>
    </row>
    <row r="116" spans="1:12">
      <c r="A116" s="12">
        <f t="shared" si="1"/>
        <v>114</v>
      </c>
      <c r="B116" s="12" t="s">
        <v>5514</v>
      </c>
      <c r="C116" s="12" t="s">
        <v>3125</v>
      </c>
      <c r="D116" s="85">
        <v>1758.41</v>
      </c>
      <c r="E116" s="6">
        <v>5353203</v>
      </c>
      <c r="F116" s="12" t="s">
        <v>5515</v>
      </c>
      <c r="G116" s="2" t="s">
        <v>755</v>
      </c>
      <c r="H116" s="12" t="s">
        <v>756</v>
      </c>
      <c r="I116" s="86">
        <v>42137</v>
      </c>
      <c r="J116" s="86">
        <v>45425</v>
      </c>
      <c r="K116" s="12" t="s">
        <v>782</v>
      </c>
      <c r="L116" s="12" t="s">
        <v>233</v>
      </c>
    </row>
    <row r="117" spans="1:12">
      <c r="A117" s="12">
        <f t="shared" si="1"/>
        <v>115</v>
      </c>
      <c r="B117" s="12" t="s">
        <v>5516</v>
      </c>
      <c r="C117" s="12" t="s">
        <v>4765</v>
      </c>
      <c r="D117" s="85">
        <v>397.61</v>
      </c>
      <c r="E117" s="6">
        <v>5929474</v>
      </c>
      <c r="F117" s="12" t="s">
        <v>5517</v>
      </c>
      <c r="G117" s="2" t="s">
        <v>755</v>
      </c>
      <c r="H117" s="12" t="s">
        <v>756</v>
      </c>
      <c r="I117" s="86">
        <v>42149</v>
      </c>
      <c r="J117" s="86">
        <v>45437</v>
      </c>
      <c r="K117" s="12" t="s">
        <v>782</v>
      </c>
      <c r="L117" s="12" t="s">
        <v>1913</v>
      </c>
    </row>
    <row r="118" spans="1:12">
      <c r="A118" s="12">
        <f t="shared" si="1"/>
        <v>116</v>
      </c>
      <c r="B118" s="12" t="s">
        <v>5518</v>
      </c>
      <c r="C118" s="12" t="s">
        <v>874</v>
      </c>
      <c r="D118" s="85">
        <v>245.46</v>
      </c>
      <c r="E118" s="6">
        <v>5586526</v>
      </c>
      <c r="F118" s="12" t="s">
        <v>5519</v>
      </c>
      <c r="G118" s="2" t="s">
        <v>755</v>
      </c>
      <c r="H118" s="12" t="s">
        <v>756</v>
      </c>
      <c r="I118" s="86">
        <v>42146</v>
      </c>
      <c r="J118" s="86">
        <v>45434</v>
      </c>
      <c r="K118" s="12" t="s">
        <v>163</v>
      </c>
      <c r="L118" s="12" t="s">
        <v>164</v>
      </c>
    </row>
    <row r="119" spans="1:12">
      <c r="A119" s="12">
        <f t="shared" si="1"/>
        <v>117</v>
      </c>
      <c r="B119" s="12" t="s">
        <v>5520</v>
      </c>
      <c r="C119" s="12" t="s">
        <v>5521</v>
      </c>
      <c r="D119" s="85">
        <v>4781.17</v>
      </c>
      <c r="E119" s="6">
        <v>5921627</v>
      </c>
      <c r="F119" s="12" t="s">
        <v>5489</v>
      </c>
      <c r="G119" s="2" t="s">
        <v>755</v>
      </c>
      <c r="H119" s="12" t="s">
        <v>756</v>
      </c>
      <c r="I119" s="86">
        <v>42138</v>
      </c>
      <c r="J119" s="86">
        <v>45426</v>
      </c>
      <c r="K119" s="12" t="s">
        <v>782</v>
      </c>
      <c r="L119" s="12" t="s">
        <v>5522</v>
      </c>
    </row>
    <row r="120" spans="1:12">
      <c r="A120" s="12">
        <f t="shared" si="1"/>
        <v>118</v>
      </c>
      <c r="B120" s="12" t="s">
        <v>5523</v>
      </c>
      <c r="C120" s="12" t="s">
        <v>5524</v>
      </c>
      <c r="D120" s="85">
        <v>5252.28</v>
      </c>
      <c r="E120" s="6">
        <v>5921112</v>
      </c>
      <c r="F120" s="12" t="s">
        <v>5424</v>
      </c>
      <c r="G120" s="2" t="s">
        <v>755</v>
      </c>
      <c r="H120" s="12" t="s">
        <v>756</v>
      </c>
      <c r="I120" s="86">
        <v>42116</v>
      </c>
      <c r="J120" s="86">
        <v>45404</v>
      </c>
      <c r="K120" s="12" t="s">
        <v>836</v>
      </c>
      <c r="L120" s="12" t="s">
        <v>5525</v>
      </c>
    </row>
    <row r="121" spans="1:12">
      <c r="A121" s="12">
        <f t="shared" si="1"/>
        <v>119</v>
      </c>
      <c r="B121" s="12" t="s">
        <v>5526</v>
      </c>
      <c r="C121" s="12" t="s">
        <v>3600</v>
      </c>
      <c r="D121" s="85">
        <v>2354.08</v>
      </c>
      <c r="E121" s="6">
        <v>5930537</v>
      </c>
      <c r="F121" s="12" t="s">
        <v>5527</v>
      </c>
      <c r="G121" s="2" t="s">
        <v>755</v>
      </c>
      <c r="H121" s="12" t="s">
        <v>756</v>
      </c>
      <c r="I121" s="86">
        <v>42137</v>
      </c>
      <c r="J121" s="86">
        <v>45425</v>
      </c>
      <c r="K121" s="12" t="s">
        <v>782</v>
      </c>
      <c r="L121" s="12" t="s">
        <v>2429</v>
      </c>
    </row>
    <row r="122" spans="1:12">
      <c r="A122" s="12">
        <f t="shared" si="1"/>
        <v>120</v>
      </c>
      <c r="B122" s="12" t="s">
        <v>5528</v>
      </c>
      <c r="C122" s="12" t="s">
        <v>5529</v>
      </c>
      <c r="D122" s="85">
        <v>2495.42</v>
      </c>
      <c r="E122" s="6">
        <v>5921244</v>
      </c>
      <c r="F122" s="12" t="s">
        <v>5530</v>
      </c>
      <c r="G122" s="2" t="s">
        <v>755</v>
      </c>
      <c r="H122" s="12" t="s">
        <v>756</v>
      </c>
      <c r="I122" s="86">
        <v>42227</v>
      </c>
      <c r="J122" s="86">
        <v>45515</v>
      </c>
      <c r="K122" s="12" t="s">
        <v>1014</v>
      </c>
      <c r="L122" s="12" t="s">
        <v>2568</v>
      </c>
    </row>
    <row r="123" spans="1:12">
      <c r="A123" s="12">
        <f t="shared" si="1"/>
        <v>121</v>
      </c>
      <c r="B123" s="12" t="s">
        <v>5531</v>
      </c>
      <c r="C123" s="12" t="s">
        <v>4676</v>
      </c>
      <c r="D123" s="85">
        <v>13038.72</v>
      </c>
      <c r="E123" s="6">
        <v>5150884</v>
      </c>
      <c r="F123" s="12" t="s">
        <v>5532</v>
      </c>
      <c r="G123" s="2" t="s">
        <v>755</v>
      </c>
      <c r="H123" s="12" t="s">
        <v>756</v>
      </c>
      <c r="I123" s="86">
        <v>40542</v>
      </c>
      <c r="J123" s="86">
        <v>46021</v>
      </c>
      <c r="K123" s="12" t="s">
        <v>138</v>
      </c>
      <c r="L123" s="12" t="s">
        <v>1806</v>
      </c>
    </row>
    <row r="124" spans="1:12">
      <c r="A124" s="12">
        <f t="shared" si="1"/>
        <v>122</v>
      </c>
      <c r="B124" s="12" t="s">
        <v>5533</v>
      </c>
      <c r="C124" s="12" t="s">
        <v>5534</v>
      </c>
      <c r="D124" s="85">
        <v>1295.8699999999999</v>
      </c>
      <c r="E124" s="6">
        <v>5208513</v>
      </c>
      <c r="F124" s="12" t="s">
        <v>5535</v>
      </c>
      <c r="G124" s="2" t="s">
        <v>755</v>
      </c>
      <c r="H124" s="12" t="s">
        <v>756</v>
      </c>
      <c r="I124" s="86">
        <v>42313</v>
      </c>
      <c r="J124" s="86">
        <v>45601</v>
      </c>
      <c r="K124" s="12" t="s">
        <v>1242</v>
      </c>
      <c r="L124" s="12" t="s">
        <v>5536</v>
      </c>
    </row>
    <row r="125" spans="1:12">
      <c r="A125" s="12">
        <f t="shared" si="1"/>
        <v>123</v>
      </c>
      <c r="B125" s="12" t="s">
        <v>5537</v>
      </c>
      <c r="C125" s="12" t="s">
        <v>5471</v>
      </c>
      <c r="D125" s="85">
        <v>3979.03</v>
      </c>
      <c r="E125" s="6">
        <v>6821464</v>
      </c>
      <c r="F125" s="12" t="s">
        <v>5538</v>
      </c>
      <c r="G125" s="2" t="s">
        <v>755</v>
      </c>
      <c r="H125" s="12" t="s">
        <v>756</v>
      </c>
      <c r="I125" s="86">
        <v>42597</v>
      </c>
      <c r="J125" s="86">
        <v>45884</v>
      </c>
      <c r="K125" s="12" t="s">
        <v>1014</v>
      </c>
      <c r="L125" s="12" t="s">
        <v>2056</v>
      </c>
    </row>
    <row r="126" spans="1:12">
      <c r="A126" s="12">
        <f t="shared" si="1"/>
        <v>124</v>
      </c>
      <c r="B126" s="12" t="s">
        <v>5539</v>
      </c>
      <c r="C126" s="12" t="s">
        <v>5437</v>
      </c>
      <c r="D126" s="85">
        <v>526.99</v>
      </c>
      <c r="E126" s="6">
        <v>5584345</v>
      </c>
      <c r="F126" s="12" t="s">
        <v>5540</v>
      </c>
      <c r="G126" s="2" t="s">
        <v>755</v>
      </c>
      <c r="H126" s="12" t="s">
        <v>756</v>
      </c>
      <c r="I126" s="86">
        <v>42118</v>
      </c>
      <c r="J126" s="86">
        <v>45406</v>
      </c>
      <c r="K126" s="12" t="s">
        <v>288</v>
      </c>
      <c r="L126" s="12" t="s">
        <v>2761</v>
      </c>
    </row>
    <row r="127" spans="1:12">
      <c r="A127" s="12">
        <f t="shared" si="1"/>
        <v>125</v>
      </c>
      <c r="B127" s="12" t="s">
        <v>5541</v>
      </c>
      <c r="C127" s="12" t="s">
        <v>5408</v>
      </c>
      <c r="D127" s="85">
        <v>2251.0500000000002</v>
      </c>
      <c r="E127" s="6">
        <v>5600499</v>
      </c>
      <c r="F127" s="12" t="s">
        <v>5542</v>
      </c>
      <c r="G127" s="2" t="s">
        <v>755</v>
      </c>
      <c r="H127" s="12" t="s">
        <v>756</v>
      </c>
      <c r="I127" s="86">
        <v>42138</v>
      </c>
      <c r="J127" s="86">
        <v>45426</v>
      </c>
      <c r="K127" s="12" t="s">
        <v>782</v>
      </c>
      <c r="L127" s="12" t="s">
        <v>289</v>
      </c>
    </row>
    <row r="128" spans="1:12">
      <c r="A128" s="12">
        <f t="shared" si="1"/>
        <v>126</v>
      </c>
      <c r="B128" s="12" t="s">
        <v>5543</v>
      </c>
      <c r="C128" s="12" t="s">
        <v>5090</v>
      </c>
      <c r="D128" s="85">
        <v>179.27</v>
      </c>
      <c r="E128" s="6">
        <v>6559085</v>
      </c>
      <c r="F128" s="12" t="s">
        <v>5544</v>
      </c>
      <c r="G128" s="2" t="s">
        <v>755</v>
      </c>
      <c r="H128" s="12" t="s">
        <v>756</v>
      </c>
      <c r="I128" s="86">
        <v>42152</v>
      </c>
      <c r="J128" s="86">
        <v>45440</v>
      </c>
      <c r="K128" s="12" t="s">
        <v>163</v>
      </c>
      <c r="L128" s="12" t="s">
        <v>5545</v>
      </c>
    </row>
    <row r="129" spans="1:12">
      <c r="A129" s="12">
        <f t="shared" si="1"/>
        <v>127</v>
      </c>
      <c r="B129" s="12" t="s">
        <v>5546</v>
      </c>
      <c r="C129" s="12" t="s">
        <v>5547</v>
      </c>
      <c r="D129" s="85">
        <v>4889.68</v>
      </c>
      <c r="E129" s="6">
        <v>2085976</v>
      </c>
      <c r="F129" s="12" t="s">
        <v>4927</v>
      </c>
      <c r="G129" s="2" t="s">
        <v>755</v>
      </c>
      <c r="H129" s="12" t="s">
        <v>756</v>
      </c>
      <c r="I129" s="86">
        <v>42570</v>
      </c>
      <c r="J129" s="86">
        <v>45857</v>
      </c>
      <c r="K129" s="12" t="s">
        <v>5425</v>
      </c>
      <c r="L129" s="12" t="s">
        <v>5548</v>
      </c>
    </row>
    <row r="130" spans="1:12">
      <c r="A130" s="12">
        <f t="shared" si="1"/>
        <v>128</v>
      </c>
      <c r="B130" s="12" t="s">
        <v>5549</v>
      </c>
      <c r="C130" s="12" t="s">
        <v>5550</v>
      </c>
      <c r="D130" s="85">
        <v>783.95</v>
      </c>
      <c r="E130" s="6">
        <v>5994349</v>
      </c>
      <c r="F130" s="12" t="s">
        <v>5551</v>
      </c>
      <c r="G130" s="2" t="s">
        <v>755</v>
      </c>
      <c r="H130" s="12" t="s">
        <v>756</v>
      </c>
      <c r="I130" s="86">
        <v>42129</v>
      </c>
      <c r="J130" s="86">
        <v>45417</v>
      </c>
      <c r="K130" s="12" t="s">
        <v>288</v>
      </c>
      <c r="L130" s="12" t="s">
        <v>1038</v>
      </c>
    </row>
    <row r="131" spans="1:12" ht="38.25">
      <c r="A131" s="12">
        <f t="shared" si="1"/>
        <v>129</v>
      </c>
      <c r="B131" s="12" t="s">
        <v>5552</v>
      </c>
      <c r="C131" s="12" t="s">
        <v>5553</v>
      </c>
      <c r="D131" s="85">
        <v>7178.31</v>
      </c>
      <c r="E131" s="6">
        <v>5838266</v>
      </c>
      <c r="F131" s="12" t="s">
        <v>5347</v>
      </c>
      <c r="G131" s="2" t="s">
        <v>848</v>
      </c>
      <c r="H131" s="12" t="s">
        <v>849</v>
      </c>
      <c r="I131" s="86">
        <v>41919</v>
      </c>
      <c r="J131" s="86">
        <v>46302</v>
      </c>
      <c r="K131" s="12" t="s">
        <v>768</v>
      </c>
      <c r="L131" s="12" t="s">
        <v>769</v>
      </c>
    </row>
    <row r="132" spans="1:12">
      <c r="A132" s="12">
        <f t="shared" si="1"/>
        <v>130</v>
      </c>
      <c r="B132" s="12" t="s">
        <v>5554</v>
      </c>
      <c r="C132" s="12" t="s">
        <v>5555</v>
      </c>
      <c r="D132" s="85">
        <v>1295.54</v>
      </c>
      <c r="E132" s="6">
        <v>6650384</v>
      </c>
      <c r="F132" s="12" t="s">
        <v>5556</v>
      </c>
      <c r="G132" s="2" t="s">
        <v>755</v>
      </c>
      <c r="H132" s="12" t="s">
        <v>756</v>
      </c>
      <c r="I132" s="86">
        <v>42145</v>
      </c>
      <c r="J132" s="86">
        <v>45433</v>
      </c>
      <c r="K132" s="12" t="s">
        <v>1102</v>
      </c>
      <c r="L132" s="12" t="s">
        <v>3357</v>
      </c>
    </row>
    <row r="133" spans="1:12">
      <c r="A133" s="12">
        <f t="shared" ref="A133:A196" si="2">A132+1</f>
        <v>131</v>
      </c>
      <c r="B133" s="12" t="s">
        <v>5557</v>
      </c>
      <c r="C133" s="12" t="s">
        <v>5558</v>
      </c>
      <c r="D133" s="85">
        <v>1742.65</v>
      </c>
      <c r="E133" s="6">
        <v>5921627</v>
      </c>
      <c r="F133" s="12" t="s">
        <v>5489</v>
      </c>
      <c r="G133" s="2" t="s">
        <v>755</v>
      </c>
      <c r="H133" s="12" t="s">
        <v>756</v>
      </c>
      <c r="I133" s="86">
        <v>42138</v>
      </c>
      <c r="J133" s="86">
        <v>45696</v>
      </c>
      <c r="K133" s="12" t="s">
        <v>782</v>
      </c>
      <c r="L133" s="12" t="s">
        <v>5559</v>
      </c>
    </row>
    <row r="134" spans="1:12">
      <c r="A134" s="12">
        <f t="shared" si="2"/>
        <v>132</v>
      </c>
      <c r="B134" s="12" t="s">
        <v>5560</v>
      </c>
      <c r="C134" s="12" t="s">
        <v>1561</v>
      </c>
      <c r="D134" s="85">
        <v>2086.2199999999998</v>
      </c>
      <c r="E134" s="6">
        <v>5955297</v>
      </c>
      <c r="F134" s="12" t="s">
        <v>5561</v>
      </c>
      <c r="G134" s="2" t="s">
        <v>755</v>
      </c>
      <c r="H134" s="12" t="s">
        <v>756</v>
      </c>
      <c r="I134" s="86">
        <v>42166</v>
      </c>
      <c r="J134" s="86">
        <v>45454</v>
      </c>
      <c r="K134" s="12" t="s">
        <v>1014</v>
      </c>
      <c r="L134" s="12" t="s">
        <v>1023</v>
      </c>
    </row>
    <row r="135" spans="1:12">
      <c r="A135" s="12">
        <f t="shared" si="2"/>
        <v>133</v>
      </c>
      <c r="B135" s="12" t="s">
        <v>5562</v>
      </c>
      <c r="C135" s="12" t="s">
        <v>1102</v>
      </c>
      <c r="D135" s="85">
        <v>740.52</v>
      </c>
      <c r="E135" s="6">
        <v>2881136</v>
      </c>
      <c r="F135" s="12" t="s">
        <v>5509</v>
      </c>
      <c r="G135" s="2" t="s">
        <v>755</v>
      </c>
      <c r="H135" s="12" t="s">
        <v>756</v>
      </c>
      <c r="I135" s="86">
        <v>42265</v>
      </c>
      <c r="J135" s="86">
        <v>45553</v>
      </c>
      <c r="K135" s="12" t="s">
        <v>1102</v>
      </c>
      <c r="L135" s="12" t="s">
        <v>1550</v>
      </c>
    </row>
    <row r="136" spans="1:12">
      <c r="A136" s="12">
        <f t="shared" si="2"/>
        <v>134</v>
      </c>
      <c r="B136" s="12" t="s">
        <v>5563</v>
      </c>
      <c r="C136" s="12" t="s">
        <v>5564</v>
      </c>
      <c r="D136" s="85">
        <v>10361.17</v>
      </c>
      <c r="E136" s="6">
        <v>5429617</v>
      </c>
      <c r="F136" s="12" t="s">
        <v>5565</v>
      </c>
      <c r="G136" s="2" t="s">
        <v>755</v>
      </c>
      <c r="H136" s="12" t="s">
        <v>756</v>
      </c>
      <c r="I136" s="86">
        <v>42170</v>
      </c>
      <c r="J136" s="86">
        <v>45458</v>
      </c>
      <c r="K136" s="12" t="s">
        <v>1014</v>
      </c>
      <c r="L136" s="12" t="s">
        <v>1023</v>
      </c>
    </row>
    <row r="137" spans="1:12">
      <c r="A137" s="12">
        <f t="shared" si="2"/>
        <v>135</v>
      </c>
      <c r="B137" s="12" t="s">
        <v>5566</v>
      </c>
      <c r="C137" s="12" t="s">
        <v>5567</v>
      </c>
      <c r="D137" s="85">
        <v>1308.45</v>
      </c>
      <c r="E137" s="6">
        <v>5106893</v>
      </c>
      <c r="F137" s="12" t="s">
        <v>5568</v>
      </c>
      <c r="G137" s="2" t="s">
        <v>755</v>
      </c>
      <c r="H137" s="12" t="s">
        <v>756</v>
      </c>
      <c r="I137" s="86">
        <v>42150</v>
      </c>
      <c r="J137" s="86">
        <v>45438</v>
      </c>
      <c r="K137" s="12" t="s">
        <v>288</v>
      </c>
      <c r="L137" s="12" t="s">
        <v>902</v>
      </c>
    </row>
    <row r="138" spans="1:12">
      <c r="A138" s="12">
        <f t="shared" si="2"/>
        <v>136</v>
      </c>
      <c r="B138" s="12" t="s">
        <v>5569</v>
      </c>
      <c r="C138" s="12" t="s">
        <v>5570</v>
      </c>
      <c r="D138" s="85">
        <v>2187.71</v>
      </c>
      <c r="E138" s="6">
        <v>5415438</v>
      </c>
      <c r="F138" s="12" t="s">
        <v>5571</v>
      </c>
      <c r="G138" s="2" t="s">
        <v>755</v>
      </c>
      <c r="H138" s="12" t="s">
        <v>756</v>
      </c>
      <c r="I138" s="86">
        <v>42164</v>
      </c>
      <c r="J138" s="86">
        <v>45452</v>
      </c>
      <c r="K138" s="12" t="s">
        <v>782</v>
      </c>
      <c r="L138" s="12" t="s">
        <v>1242</v>
      </c>
    </row>
    <row r="139" spans="1:12">
      <c r="A139" s="12">
        <f t="shared" si="2"/>
        <v>137</v>
      </c>
      <c r="B139" s="12" t="s">
        <v>5572</v>
      </c>
      <c r="C139" s="12" t="s">
        <v>5573</v>
      </c>
      <c r="D139" s="85">
        <v>5829.02</v>
      </c>
      <c r="E139" s="6">
        <v>6318592</v>
      </c>
      <c r="F139" s="12" t="s">
        <v>5574</v>
      </c>
      <c r="G139" s="2" t="s">
        <v>755</v>
      </c>
      <c r="H139" s="12" t="s">
        <v>756</v>
      </c>
      <c r="I139" s="86">
        <v>42313</v>
      </c>
      <c r="J139" s="86">
        <v>45601</v>
      </c>
      <c r="K139" s="12" t="s">
        <v>1242</v>
      </c>
      <c r="L139" s="12" t="s">
        <v>5575</v>
      </c>
    </row>
    <row r="140" spans="1:12">
      <c r="A140" s="12">
        <f t="shared" si="2"/>
        <v>138</v>
      </c>
      <c r="B140" s="12" t="s">
        <v>5576</v>
      </c>
      <c r="C140" s="12" t="s">
        <v>2943</v>
      </c>
      <c r="D140" s="85">
        <v>1963.95</v>
      </c>
      <c r="E140" s="6">
        <v>5908027</v>
      </c>
      <c r="F140" s="12" t="s">
        <v>5577</v>
      </c>
      <c r="G140" s="2" t="s">
        <v>755</v>
      </c>
      <c r="H140" s="12" t="s">
        <v>756</v>
      </c>
      <c r="I140" s="86">
        <v>42173</v>
      </c>
      <c r="J140" s="86">
        <v>45461</v>
      </c>
      <c r="K140" s="12" t="s">
        <v>782</v>
      </c>
      <c r="L140" s="12" t="s">
        <v>233</v>
      </c>
    </row>
    <row r="141" spans="1:12">
      <c r="A141" s="12">
        <f t="shared" si="2"/>
        <v>139</v>
      </c>
      <c r="B141" s="12" t="s">
        <v>5578</v>
      </c>
      <c r="C141" s="12" t="s">
        <v>5579</v>
      </c>
      <c r="D141" s="85">
        <v>5488.36</v>
      </c>
      <c r="E141" s="6">
        <v>5950562</v>
      </c>
      <c r="F141" s="12" t="s">
        <v>5580</v>
      </c>
      <c r="G141" s="2" t="s">
        <v>755</v>
      </c>
      <c r="H141" s="12" t="s">
        <v>756</v>
      </c>
      <c r="I141" s="86">
        <v>42249</v>
      </c>
      <c r="J141" s="86">
        <v>45537</v>
      </c>
      <c r="K141" s="12" t="s">
        <v>836</v>
      </c>
      <c r="L141" s="12" t="s">
        <v>3048</v>
      </c>
    </row>
    <row r="142" spans="1:12">
      <c r="A142" s="12">
        <f t="shared" si="2"/>
        <v>140</v>
      </c>
      <c r="B142" s="12" t="s">
        <v>5581</v>
      </c>
      <c r="C142" s="12" t="s">
        <v>3319</v>
      </c>
      <c r="D142" s="85">
        <v>1119.8900000000001</v>
      </c>
      <c r="E142" s="6">
        <v>6135536</v>
      </c>
      <c r="F142" s="12" t="s">
        <v>5582</v>
      </c>
      <c r="G142" s="2" t="s">
        <v>755</v>
      </c>
      <c r="H142" s="12" t="s">
        <v>756</v>
      </c>
      <c r="I142" s="86">
        <v>42152</v>
      </c>
      <c r="J142" s="86">
        <v>45440</v>
      </c>
      <c r="K142" s="12" t="s">
        <v>782</v>
      </c>
      <c r="L142" s="12" t="s">
        <v>783</v>
      </c>
    </row>
    <row r="143" spans="1:12" ht="38.25">
      <c r="A143" s="12">
        <f t="shared" si="2"/>
        <v>141</v>
      </c>
      <c r="B143" s="12" t="s">
        <v>5583</v>
      </c>
      <c r="C143" s="12" t="s">
        <v>5584</v>
      </c>
      <c r="D143" s="85">
        <v>4566.8100000000004</v>
      </c>
      <c r="E143" s="6">
        <v>5455219</v>
      </c>
      <c r="F143" s="12" t="s">
        <v>4143</v>
      </c>
      <c r="G143" s="2" t="s">
        <v>766</v>
      </c>
      <c r="H143" s="12" t="s">
        <v>767</v>
      </c>
      <c r="I143" s="86">
        <v>42121</v>
      </c>
      <c r="J143" s="86">
        <v>45409</v>
      </c>
      <c r="K143" s="12" t="s">
        <v>5373</v>
      </c>
      <c r="L143" s="12" t="s">
        <v>5585</v>
      </c>
    </row>
    <row r="144" spans="1:12">
      <c r="A144" s="12">
        <f t="shared" si="2"/>
        <v>142</v>
      </c>
      <c r="B144" s="12" t="s">
        <v>5586</v>
      </c>
      <c r="C144" s="12" t="s">
        <v>5587</v>
      </c>
      <c r="D144" s="85">
        <v>8914.65</v>
      </c>
      <c r="E144" s="6">
        <v>6165478</v>
      </c>
      <c r="F144" s="12" t="s">
        <v>5588</v>
      </c>
      <c r="G144" s="2" t="s">
        <v>755</v>
      </c>
      <c r="H144" s="12" t="s">
        <v>756</v>
      </c>
      <c r="I144" s="86">
        <v>42180</v>
      </c>
      <c r="J144" s="86">
        <v>45468</v>
      </c>
      <c r="K144" s="12" t="s">
        <v>1102</v>
      </c>
      <c r="L144" s="12" t="s">
        <v>5589</v>
      </c>
    </row>
    <row r="145" spans="1:12">
      <c r="A145" s="12">
        <f t="shared" si="2"/>
        <v>143</v>
      </c>
      <c r="B145" s="12" t="s">
        <v>5590</v>
      </c>
      <c r="C145" s="12" t="s">
        <v>2103</v>
      </c>
      <c r="D145" s="85">
        <v>6568.75</v>
      </c>
      <c r="E145" s="6">
        <v>5294487</v>
      </c>
      <c r="F145" s="12" t="s">
        <v>5591</v>
      </c>
      <c r="G145" s="2" t="s">
        <v>755</v>
      </c>
      <c r="H145" s="12" t="s">
        <v>756</v>
      </c>
      <c r="I145" s="86">
        <v>42153</v>
      </c>
      <c r="J145" s="86">
        <v>45441</v>
      </c>
      <c r="K145" s="12" t="s">
        <v>1102</v>
      </c>
      <c r="L145" s="12" t="s">
        <v>3357</v>
      </c>
    </row>
    <row r="146" spans="1:12">
      <c r="A146" s="12">
        <f t="shared" si="2"/>
        <v>144</v>
      </c>
      <c r="B146" s="12" t="s">
        <v>5592</v>
      </c>
      <c r="C146" s="12" t="s">
        <v>5499</v>
      </c>
      <c r="D146" s="85">
        <v>2841.69</v>
      </c>
      <c r="E146" s="6">
        <v>6943446</v>
      </c>
      <c r="F146" s="12" t="s">
        <v>5593</v>
      </c>
      <c r="G146" s="2" t="s">
        <v>755</v>
      </c>
      <c r="H146" s="12" t="s">
        <v>756</v>
      </c>
      <c r="I146" s="86">
        <v>42122</v>
      </c>
      <c r="J146" s="86">
        <v>45410</v>
      </c>
      <c r="K146" s="12" t="s">
        <v>123</v>
      </c>
      <c r="L146" s="12" t="s">
        <v>1058</v>
      </c>
    </row>
    <row r="147" spans="1:12">
      <c r="A147" s="12">
        <f t="shared" si="2"/>
        <v>145</v>
      </c>
      <c r="B147" s="12" t="s">
        <v>5594</v>
      </c>
      <c r="C147" s="12" t="s">
        <v>4389</v>
      </c>
      <c r="D147" s="85">
        <v>4594.83</v>
      </c>
      <c r="E147" s="6">
        <v>6318606</v>
      </c>
      <c r="F147" s="12" t="s">
        <v>5595</v>
      </c>
      <c r="G147" s="2" t="s">
        <v>755</v>
      </c>
      <c r="H147" s="12" t="s">
        <v>756</v>
      </c>
      <c r="I147" s="86">
        <v>42187</v>
      </c>
      <c r="J147" s="86">
        <v>45475</v>
      </c>
      <c r="K147" s="12" t="s">
        <v>782</v>
      </c>
      <c r="L147" s="12" t="s">
        <v>5596</v>
      </c>
    </row>
    <row r="148" spans="1:12">
      <c r="A148" s="12">
        <f t="shared" si="2"/>
        <v>146</v>
      </c>
      <c r="B148" s="12" t="s">
        <v>5597</v>
      </c>
      <c r="C148" s="12" t="s">
        <v>5104</v>
      </c>
      <c r="D148" s="85">
        <v>766.29</v>
      </c>
      <c r="E148" s="6">
        <v>5036577</v>
      </c>
      <c r="F148" s="12" t="s">
        <v>5598</v>
      </c>
      <c r="G148" s="2" t="s">
        <v>755</v>
      </c>
      <c r="H148" s="12" t="s">
        <v>756</v>
      </c>
      <c r="I148" s="86">
        <v>42195</v>
      </c>
      <c r="J148" s="86">
        <v>45483</v>
      </c>
      <c r="K148" s="12" t="s">
        <v>1014</v>
      </c>
      <c r="L148" s="12" t="s">
        <v>1699</v>
      </c>
    </row>
    <row r="149" spans="1:12">
      <c r="A149" s="12">
        <f t="shared" si="2"/>
        <v>147</v>
      </c>
      <c r="B149" s="12" t="s">
        <v>5599</v>
      </c>
      <c r="C149" s="12" t="s">
        <v>5600</v>
      </c>
      <c r="D149" s="85">
        <v>3957.72</v>
      </c>
      <c r="E149" s="6">
        <v>2589184</v>
      </c>
      <c r="F149" s="12" t="s">
        <v>5601</v>
      </c>
      <c r="G149" s="2" t="s">
        <v>755</v>
      </c>
      <c r="H149" s="12" t="s">
        <v>756</v>
      </c>
      <c r="I149" s="86">
        <v>42136</v>
      </c>
      <c r="J149" s="86">
        <v>45424</v>
      </c>
      <c r="K149" s="12" t="s">
        <v>288</v>
      </c>
      <c r="L149" s="12" t="s">
        <v>2467</v>
      </c>
    </row>
    <row r="150" spans="1:12" ht="38.25">
      <c r="A150" s="12">
        <f t="shared" si="2"/>
        <v>148</v>
      </c>
      <c r="B150" s="12" t="s">
        <v>5602</v>
      </c>
      <c r="C150" s="12" t="s">
        <v>5603</v>
      </c>
      <c r="D150" s="85">
        <v>4779.58</v>
      </c>
      <c r="E150" s="6">
        <v>5328772</v>
      </c>
      <c r="F150" s="12" t="s">
        <v>4023</v>
      </c>
      <c r="G150" s="2" t="s">
        <v>848</v>
      </c>
      <c r="H150" s="12" t="s">
        <v>849</v>
      </c>
      <c r="I150" s="86">
        <v>42136</v>
      </c>
      <c r="J150" s="86">
        <v>45424</v>
      </c>
      <c r="K150" s="12" t="s">
        <v>170</v>
      </c>
      <c r="L150" s="12" t="s">
        <v>1426</v>
      </c>
    </row>
    <row r="151" spans="1:12">
      <c r="A151" s="12">
        <f t="shared" si="2"/>
        <v>149</v>
      </c>
      <c r="B151" s="12" t="s">
        <v>5604</v>
      </c>
      <c r="C151" s="12" t="s">
        <v>5605</v>
      </c>
      <c r="D151" s="85">
        <v>11618.3</v>
      </c>
      <c r="E151" s="6">
        <v>5720087</v>
      </c>
      <c r="F151" s="12" t="s">
        <v>5606</v>
      </c>
      <c r="G151" s="2" t="s">
        <v>755</v>
      </c>
      <c r="H151" s="12" t="s">
        <v>756</v>
      </c>
      <c r="I151" s="86">
        <v>42159</v>
      </c>
      <c r="J151" s="86">
        <v>45447</v>
      </c>
      <c r="K151" s="12" t="s">
        <v>782</v>
      </c>
      <c r="L151" s="12" t="s">
        <v>289</v>
      </c>
    </row>
    <row r="152" spans="1:12">
      <c r="A152" s="12">
        <f t="shared" si="2"/>
        <v>150</v>
      </c>
      <c r="B152" s="12" t="s">
        <v>5607</v>
      </c>
      <c r="C152" s="12" t="s">
        <v>3106</v>
      </c>
      <c r="D152" s="85">
        <v>11248.06</v>
      </c>
      <c r="E152" s="6">
        <v>5930499</v>
      </c>
      <c r="F152" s="12" t="s">
        <v>5608</v>
      </c>
      <c r="G152" s="2" t="s">
        <v>755</v>
      </c>
      <c r="H152" s="12" t="s">
        <v>756</v>
      </c>
      <c r="I152" s="86">
        <v>42170</v>
      </c>
      <c r="J152" s="86">
        <v>45458</v>
      </c>
      <c r="K152" s="12" t="s">
        <v>1014</v>
      </c>
      <c r="L152" s="12" t="s">
        <v>2825</v>
      </c>
    </row>
    <row r="153" spans="1:12">
      <c r="A153" s="12">
        <f t="shared" si="2"/>
        <v>151</v>
      </c>
      <c r="B153" s="12" t="s">
        <v>5609</v>
      </c>
      <c r="C153" s="12" t="s">
        <v>1023</v>
      </c>
      <c r="D153" s="85">
        <v>2576.21</v>
      </c>
      <c r="E153" s="6">
        <v>6550371</v>
      </c>
      <c r="F153" s="12" t="s">
        <v>5610</v>
      </c>
      <c r="G153" s="2" t="s">
        <v>755</v>
      </c>
      <c r="H153" s="12" t="s">
        <v>756</v>
      </c>
      <c r="I153" s="86">
        <v>42692</v>
      </c>
      <c r="J153" s="86">
        <v>45979</v>
      </c>
      <c r="K153" s="12" t="s">
        <v>1014</v>
      </c>
      <c r="L153" s="12" t="s">
        <v>1023</v>
      </c>
    </row>
    <row r="154" spans="1:12">
      <c r="A154" s="12">
        <f t="shared" si="2"/>
        <v>152</v>
      </c>
      <c r="B154" s="12" t="s">
        <v>5611</v>
      </c>
      <c r="C154" s="12" t="s">
        <v>5612</v>
      </c>
      <c r="D154" s="85">
        <v>2284.4699999999998</v>
      </c>
      <c r="E154" s="6">
        <v>5921627</v>
      </c>
      <c r="F154" s="12" t="s">
        <v>5489</v>
      </c>
      <c r="G154" s="2" t="s">
        <v>755</v>
      </c>
      <c r="H154" s="12" t="s">
        <v>756</v>
      </c>
      <c r="I154" s="86">
        <v>42192</v>
      </c>
      <c r="J154" s="86">
        <v>45696</v>
      </c>
      <c r="K154" s="12" t="s">
        <v>782</v>
      </c>
      <c r="L154" s="12" t="s">
        <v>5510</v>
      </c>
    </row>
    <row r="155" spans="1:12">
      <c r="A155" s="12">
        <f t="shared" si="2"/>
        <v>153</v>
      </c>
      <c r="B155" s="12" t="s">
        <v>5613</v>
      </c>
      <c r="C155" s="12" t="s">
        <v>132</v>
      </c>
      <c r="D155" s="85">
        <v>460.96</v>
      </c>
      <c r="E155" s="6">
        <v>5921627</v>
      </c>
      <c r="F155" s="12" t="s">
        <v>5489</v>
      </c>
      <c r="G155" s="2" t="s">
        <v>755</v>
      </c>
      <c r="H155" s="12" t="s">
        <v>756</v>
      </c>
      <c r="I155" s="86">
        <v>42403</v>
      </c>
      <c r="J155" s="86">
        <v>45691</v>
      </c>
      <c r="K155" s="12" t="s">
        <v>288</v>
      </c>
      <c r="L155" s="12" t="s">
        <v>5614</v>
      </c>
    </row>
    <row r="156" spans="1:12">
      <c r="A156" s="12">
        <f t="shared" si="2"/>
        <v>154</v>
      </c>
      <c r="B156" s="12" t="s">
        <v>5615</v>
      </c>
      <c r="C156" s="12" t="s">
        <v>2984</v>
      </c>
      <c r="D156" s="85">
        <v>1547.8</v>
      </c>
      <c r="E156" s="6">
        <v>5340284</v>
      </c>
      <c r="F156" s="12" t="s">
        <v>5616</v>
      </c>
      <c r="G156" s="2" t="s">
        <v>755</v>
      </c>
      <c r="H156" s="12" t="s">
        <v>756</v>
      </c>
      <c r="I156" s="86">
        <v>42206</v>
      </c>
      <c r="J156" s="86">
        <v>45494</v>
      </c>
      <c r="K156" s="12" t="s">
        <v>1102</v>
      </c>
      <c r="L156" s="12" t="s">
        <v>1550</v>
      </c>
    </row>
    <row r="157" spans="1:12">
      <c r="A157" s="12">
        <f t="shared" si="2"/>
        <v>155</v>
      </c>
      <c r="B157" s="12" t="s">
        <v>5617</v>
      </c>
      <c r="C157" s="12" t="s">
        <v>5618</v>
      </c>
      <c r="D157" s="85">
        <v>3565.72</v>
      </c>
      <c r="E157" s="6">
        <v>5921627</v>
      </c>
      <c r="F157" s="12" t="s">
        <v>5489</v>
      </c>
      <c r="G157" s="2" t="s">
        <v>755</v>
      </c>
      <c r="H157" s="12" t="s">
        <v>756</v>
      </c>
      <c r="I157" s="86">
        <v>42395</v>
      </c>
      <c r="J157" s="86">
        <v>45683</v>
      </c>
      <c r="K157" s="12" t="s">
        <v>1014</v>
      </c>
      <c r="L157" s="12" t="s">
        <v>3262</v>
      </c>
    </row>
    <row r="158" spans="1:12">
      <c r="A158" s="12">
        <f t="shared" si="2"/>
        <v>156</v>
      </c>
      <c r="B158" s="12" t="s">
        <v>5619</v>
      </c>
      <c r="C158" s="12" t="s">
        <v>5620</v>
      </c>
      <c r="D158" s="85">
        <v>29723</v>
      </c>
      <c r="E158" s="6">
        <v>5921627</v>
      </c>
      <c r="F158" s="12" t="s">
        <v>5489</v>
      </c>
      <c r="G158" s="2" t="s">
        <v>755</v>
      </c>
      <c r="H158" s="12" t="s">
        <v>756</v>
      </c>
      <c r="I158" s="86">
        <v>42597</v>
      </c>
      <c r="J158" s="86">
        <v>45884</v>
      </c>
      <c r="K158" s="12" t="s">
        <v>1014</v>
      </c>
      <c r="L158" s="12" t="s">
        <v>3262</v>
      </c>
    </row>
    <row r="159" spans="1:12">
      <c r="A159" s="12">
        <f t="shared" si="2"/>
        <v>157</v>
      </c>
      <c r="B159" s="12" t="s">
        <v>5621</v>
      </c>
      <c r="C159" s="12" t="s">
        <v>1194</v>
      </c>
      <c r="D159" s="85">
        <v>1947.48</v>
      </c>
      <c r="E159" s="6">
        <v>8413851</v>
      </c>
      <c r="F159" s="12" t="s">
        <v>5622</v>
      </c>
      <c r="G159" s="2" t="s">
        <v>755</v>
      </c>
      <c r="H159" s="12" t="s">
        <v>756</v>
      </c>
      <c r="I159" s="86">
        <v>42234</v>
      </c>
      <c r="J159" s="86">
        <v>45522</v>
      </c>
      <c r="K159" s="12" t="s">
        <v>1102</v>
      </c>
      <c r="L159" s="12" t="s">
        <v>1194</v>
      </c>
    </row>
    <row r="160" spans="1:12">
      <c r="A160" s="12">
        <f t="shared" si="2"/>
        <v>158</v>
      </c>
      <c r="B160" s="12" t="s">
        <v>5623</v>
      </c>
      <c r="C160" s="12" t="s">
        <v>1194</v>
      </c>
      <c r="D160" s="85">
        <v>282.06</v>
      </c>
      <c r="E160" s="6">
        <v>8413894</v>
      </c>
      <c r="F160" s="12" t="s">
        <v>5624</v>
      </c>
      <c r="G160" s="2" t="s">
        <v>755</v>
      </c>
      <c r="H160" s="12" t="s">
        <v>756</v>
      </c>
      <c r="I160" s="86">
        <v>42242</v>
      </c>
      <c r="J160" s="86">
        <v>45530</v>
      </c>
      <c r="K160" s="12" t="s">
        <v>1102</v>
      </c>
      <c r="L160" s="12" t="s">
        <v>1194</v>
      </c>
    </row>
    <row r="161" spans="1:12">
      <c r="A161" s="12">
        <f t="shared" si="2"/>
        <v>159</v>
      </c>
      <c r="B161" s="12" t="s">
        <v>5625</v>
      </c>
      <c r="C161" s="12" t="s">
        <v>5626</v>
      </c>
      <c r="D161" s="85">
        <v>1362.03</v>
      </c>
      <c r="E161" s="6">
        <v>5584345</v>
      </c>
      <c r="F161" s="12" t="s">
        <v>5540</v>
      </c>
      <c r="G161" s="2" t="s">
        <v>755</v>
      </c>
      <c r="H161" s="12" t="s">
        <v>756</v>
      </c>
      <c r="I161" s="86">
        <v>42177</v>
      </c>
      <c r="J161" s="86">
        <v>45465</v>
      </c>
      <c r="K161" s="12" t="s">
        <v>288</v>
      </c>
      <c r="L161" s="12" t="s">
        <v>5627</v>
      </c>
    </row>
    <row r="162" spans="1:12">
      <c r="A162" s="12">
        <f t="shared" si="2"/>
        <v>160</v>
      </c>
      <c r="B162" s="12" t="s">
        <v>5628</v>
      </c>
      <c r="C162" s="12" t="s">
        <v>5629</v>
      </c>
      <c r="D162" s="85">
        <v>1149.79</v>
      </c>
      <c r="E162" s="6">
        <v>4369548</v>
      </c>
      <c r="F162" s="12" t="s">
        <v>5630</v>
      </c>
      <c r="G162" s="2" t="s">
        <v>755</v>
      </c>
      <c r="H162" s="12" t="s">
        <v>756</v>
      </c>
      <c r="I162" s="86">
        <v>42527</v>
      </c>
      <c r="J162" s="86">
        <v>45814</v>
      </c>
      <c r="K162" s="12" t="s">
        <v>1102</v>
      </c>
      <c r="L162" s="12" t="s">
        <v>1550</v>
      </c>
    </row>
    <row r="163" spans="1:12">
      <c r="A163" s="12">
        <f t="shared" si="2"/>
        <v>161</v>
      </c>
      <c r="B163" s="12" t="s">
        <v>5631</v>
      </c>
      <c r="C163" s="12" t="s">
        <v>4389</v>
      </c>
      <c r="D163" s="85">
        <v>5048.3900000000003</v>
      </c>
      <c r="E163" s="6">
        <v>5932483</v>
      </c>
      <c r="F163" s="12" t="s">
        <v>5632</v>
      </c>
      <c r="G163" s="2" t="s">
        <v>755</v>
      </c>
      <c r="H163" s="12" t="s">
        <v>756</v>
      </c>
      <c r="I163" s="86">
        <v>42279</v>
      </c>
      <c r="J163" s="86">
        <v>45567</v>
      </c>
      <c r="K163" s="12" t="s">
        <v>782</v>
      </c>
      <c r="L163" s="12" t="s">
        <v>2889</v>
      </c>
    </row>
    <row r="164" spans="1:12" ht="38.25">
      <c r="A164" s="12">
        <f t="shared" si="2"/>
        <v>162</v>
      </c>
      <c r="B164" s="12" t="s">
        <v>5633</v>
      </c>
      <c r="C164" s="12" t="s">
        <v>1753</v>
      </c>
      <c r="D164" s="85">
        <v>5762.49</v>
      </c>
      <c r="E164" s="6">
        <v>8391556</v>
      </c>
      <c r="F164" s="12" t="s">
        <v>5634</v>
      </c>
      <c r="G164" s="2" t="s">
        <v>848</v>
      </c>
      <c r="H164" s="12" t="s">
        <v>849</v>
      </c>
      <c r="I164" s="86">
        <v>42310</v>
      </c>
      <c r="J164" s="86">
        <v>45598</v>
      </c>
      <c r="K164" s="12" t="s">
        <v>233</v>
      </c>
      <c r="L164" s="12" t="s">
        <v>1845</v>
      </c>
    </row>
    <row r="165" spans="1:12">
      <c r="A165" s="12">
        <f t="shared" si="2"/>
        <v>163</v>
      </c>
      <c r="B165" s="12" t="s">
        <v>5635</v>
      </c>
      <c r="C165" s="12" t="s">
        <v>1315</v>
      </c>
      <c r="D165" s="85">
        <v>9579.4500000000007</v>
      </c>
      <c r="E165" s="6">
        <v>6733948</v>
      </c>
      <c r="F165" s="12" t="s">
        <v>5636</v>
      </c>
      <c r="G165" s="2" t="s">
        <v>755</v>
      </c>
      <c r="H165" s="12" t="s">
        <v>756</v>
      </c>
      <c r="I165" s="86">
        <v>42279</v>
      </c>
      <c r="J165" s="86">
        <v>45567</v>
      </c>
      <c r="K165" s="12" t="s">
        <v>782</v>
      </c>
      <c r="L165" s="12" t="s">
        <v>1109</v>
      </c>
    </row>
    <row r="166" spans="1:12">
      <c r="A166" s="12">
        <f t="shared" si="2"/>
        <v>164</v>
      </c>
      <c r="B166" s="12" t="s">
        <v>5637</v>
      </c>
      <c r="C166" s="12" t="s">
        <v>5638</v>
      </c>
      <c r="D166" s="85">
        <v>2394.4699999999998</v>
      </c>
      <c r="E166" s="6">
        <v>5153271</v>
      </c>
      <c r="F166" s="12" t="s">
        <v>5639</v>
      </c>
      <c r="G166" s="2" t="s">
        <v>755</v>
      </c>
      <c r="H166" s="12" t="s">
        <v>756</v>
      </c>
      <c r="I166" s="86">
        <v>42275</v>
      </c>
      <c r="J166" s="86">
        <v>45563</v>
      </c>
      <c r="K166" s="12" t="s">
        <v>1102</v>
      </c>
      <c r="L166" s="12" t="s">
        <v>5640</v>
      </c>
    </row>
    <row r="167" spans="1:12">
      <c r="A167" s="12">
        <f t="shared" si="2"/>
        <v>165</v>
      </c>
      <c r="B167" s="12" t="s">
        <v>5641</v>
      </c>
      <c r="C167" s="12" t="s">
        <v>5553</v>
      </c>
      <c r="D167" s="85">
        <v>2746.61</v>
      </c>
      <c r="E167" s="6">
        <v>6995071</v>
      </c>
      <c r="F167" s="12" t="s">
        <v>3907</v>
      </c>
      <c r="G167" s="2" t="s">
        <v>755</v>
      </c>
      <c r="H167" s="12" t="s">
        <v>756</v>
      </c>
      <c r="I167" s="86">
        <v>41919</v>
      </c>
      <c r="J167" s="86">
        <v>46302</v>
      </c>
      <c r="K167" s="12" t="s">
        <v>768</v>
      </c>
      <c r="L167" s="12" t="s">
        <v>769</v>
      </c>
    </row>
    <row r="168" spans="1:12">
      <c r="A168" s="12">
        <f t="shared" si="2"/>
        <v>166</v>
      </c>
      <c r="B168" s="12" t="s">
        <v>5642</v>
      </c>
      <c r="C168" s="12" t="s">
        <v>4117</v>
      </c>
      <c r="D168" s="85">
        <v>929.45</v>
      </c>
      <c r="E168" s="6">
        <v>6088759</v>
      </c>
      <c r="F168" s="12" t="s">
        <v>4118</v>
      </c>
      <c r="G168" s="2" t="s">
        <v>755</v>
      </c>
      <c r="H168" s="12" t="s">
        <v>756</v>
      </c>
      <c r="I168" s="86">
        <v>42142</v>
      </c>
      <c r="J168" s="86">
        <v>45430</v>
      </c>
      <c r="K168" s="12" t="s">
        <v>1242</v>
      </c>
      <c r="L168" s="12" t="s">
        <v>4119</v>
      </c>
    </row>
    <row r="169" spans="1:12">
      <c r="A169" s="12">
        <f t="shared" si="2"/>
        <v>167</v>
      </c>
      <c r="B169" s="12" t="s">
        <v>5643</v>
      </c>
      <c r="C169" s="12" t="s">
        <v>4117</v>
      </c>
      <c r="D169" s="85">
        <v>1378.11</v>
      </c>
      <c r="E169" s="6">
        <v>6088759</v>
      </c>
      <c r="F169" s="12" t="s">
        <v>4118</v>
      </c>
      <c r="G169" s="2" t="s">
        <v>755</v>
      </c>
      <c r="H169" s="12" t="s">
        <v>756</v>
      </c>
      <c r="I169" s="86">
        <v>42142</v>
      </c>
      <c r="J169" s="86">
        <v>45430</v>
      </c>
      <c r="K169" s="12" t="s">
        <v>1242</v>
      </c>
      <c r="L169" s="12" t="s">
        <v>4119</v>
      </c>
    </row>
    <row r="170" spans="1:12">
      <c r="A170" s="12">
        <f t="shared" si="2"/>
        <v>168</v>
      </c>
      <c r="B170" s="12" t="s">
        <v>5644</v>
      </c>
      <c r="C170" s="12" t="s">
        <v>4650</v>
      </c>
      <c r="D170" s="85">
        <v>1051.1099999999999</v>
      </c>
      <c r="E170" s="6">
        <v>5931193</v>
      </c>
      <c r="F170" s="12" t="s">
        <v>5025</v>
      </c>
      <c r="G170" s="2" t="s">
        <v>755</v>
      </c>
      <c r="H170" s="12" t="s">
        <v>756</v>
      </c>
      <c r="I170" s="86">
        <v>42318</v>
      </c>
      <c r="J170" s="86">
        <v>45606</v>
      </c>
      <c r="K170" s="12" t="s">
        <v>293</v>
      </c>
      <c r="L170" s="12" t="s">
        <v>815</v>
      </c>
    </row>
    <row r="171" spans="1:12" ht="38.25">
      <c r="A171" s="12">
        <f t="shared" si="2"/>
        <v>169</v>
      </c>
      <c r="B171" s="12" t="s">
        <v>5645</v>
      </c>
      <c r="C171" s="12" t="s">
        <v>5646</v>
      </c>
      <c r="D171" s="85">
        <v>5107.96</v>
      </c>
      <c r="E171" s="6">
        <v>5980356</v>
      </c>
      <c r="F171" s="12" t="s">
        <v>5647</v>
      </c>
      <c r="G171" s="2" t="s">
        <v>766</v>
      </c>
      <c r="H171" s="12" t="s">
        <v>767</v>
      </c>
      <c r="I171" s="86">
        <v>42284</v>
      </c>
      <c r="J171" s="86">
        <v>45572</v>
      </c>
      <c r="K171" s="12" t="s">
        <v>233</v>
      </c>
      <c r="L171" s="12" t="s">
        <v>933</v>
      </c>
    </row>
    <row r="172" spans="1:12" ht="38.25">
      <c r="A172" s="12">
        <f t="shared" si="2"/>
        <v>170</v>
      </c>
      <c r="B172" s="12" t="s">
        <v>5648</v>
      </c>
      <c r="C172" s="12" t="s">
        <v>5649</v>
      </c>
      <c r="D172" s="85">
        <v>3677.93</v>
      </c>
      <c r="E172" s="6">
        <v>6169325</v>
      </c>
      <c r="F172" s="12" t="s">
        <v>5650</v>
      </c>
      <c r="G172" s="2" t="s">
        <v>848</v>
      </c>
      <c r="H172" s="12" t="s">
        <v>849</v>
      </c>
      <c r="I172" s="86">
        <v>42488</v>
      </c>
      <c r="J172" s="86">
        <v>45775</v>
      </c>
      <c r="K172" s="12" t="s">
        <v>274</v>
      </c>
      <c r="L172" s="12" t="s">
        <v>874</v>
      </c>
    </row>
    <row r="173" spans="1:12">
      <c r="A173" s="12">
        <f t="shared" si="2"/>
        <v>171</v>
      </c>
      <c r="B173" s="12" t="s">
        <v>5651</v>
      </c>
      <c r="C173" s="12" t="s">
        <v>5652</v>
      </c>
      <c r="D173" s="85">
        <v>48.83</v>
      </c>
      <c r="E173" s="6">
        <v>6470416</v>
      </c>
      <c r="F173" s="12" t="s">
        <v>5653</v>
      </c>
      <c r="G173" s="2" t="s">
        <v>755</v>
      </c>
      <c r="H173" s="12" t="s">
        <v>756</v>
      </c>
      <c r="I173" s="86">
        <v>42464</v>
      </c>
      <c r="J173" s="86">
        <v>45751</v>
      </c>
      <c r="K173" s="12" t="s">
        <v>304</v>
      </c>
      <c r="L173" s="12" t="s">
        <v>1634</v>
      </c>
    </row>
    <row r="174" spans="1:12">
      <c r="A174" s="12">
        <f t="shared" si="2"/>
        <v>172</v>
      </c>
      <c r="B174" s="12" t="s">
        <v>5654</v>
      </c>
      <c r="C174" s="12" t="s">
        <v>5655</v>
      </c>
      <c r="D174" s="85">
        <v>2544.7199999999998</v>
      </c>
      <c r="E174" s="6">
        <v>5882346</v>
      </c>
      <c r="F174" s="12" t="s">
        <v>5656</v>
      </c>
      <c r="G174" s="2" t="s">
        <v>755</v>
      </c>
      <c r="H174" s="12" t="s">
        <v>756</v>
      </c>
      <c r="I174" s="86">
        <v>42340</v>
      </c>
      <c r="J174" s="86">
        <v>45628</v>
      </c>
      <c r="K174" s="12" t="s">
        <v>170</v>
      </c>
      <c r="L174" s="12" t="s">
        <v>5657</v>
      </c>
    </row>
    <row r="175" spans="1:12" ht="38.25">
      <c r="A175" s="12">
        <f t="shared" si="2"/>
        <v>173</v>
      </c>
      <c r="B175" s="12" t="s">
        <v>5658</v>
      </c>
      <c r="C175" s="12" t="s">
        <v>1833</v>
      </c>
      <c r="D175" s="85">
        <v>718.13</v>
      </c>
      <c r="E175" s="6">
        <v>5248809</v>
      </c>
      <c r="F175" s="12" t="s">
        <v>1318</v>
      </c>
      <c r="G175" s="2" t="s">
        <v>848</v>
      </c>
      <c r="H175" s="12" t="s">
        <v>849</v>
      </c>
      <c r="I175" s="86">
        <v>42305</v>
      </c>
      <c r="J175" s="86">
        <v>45593</v>
      </c>
      <c r="K175" s="12" t="s">
        <v>293</v>
      </c>
      <c r="L175" s="12" t="s">
        <v>815</v>
      </c>
    </row>
    <row r="176" spans="1:12" ht="38.25">
      <c r="A176" s="12">
        <f t="shared" si="2"/>
        <v>174</v>
      </c>
      <c r="B176" s="12" t="s">
        <v>5659</v>
      </c>
      <c r="C176" s="12" t="s">
        <v>5660</v>
      </c>
      <c r="D176" s="85">
        <v>15116.41</v>
      </c>
      <c r="E176" s="6">
        <v>5495296</v>
      </c>
      <c r="F176" s="12" t="s">
        <v>5661</v>
      </c>
      <c r="G176" s="2" t="s">
        <v>848</v>
      </c>
      <c r="H176" s="12" t="s">
        <v>849</v>
      </c>
      <c r="I176" s="86">
        <v>42684</v>
      </c>
      <c r="J176" s="86">
        <v>45971</v>
      </c>
      <c r="K176" s="12" t="s">
        <v>293</v>
      </c>
      <c r="L176" s="12" t="s">
        <v>815</v>
      </c>
    </row>
    <row r="177" spans="1:12">
      <c r="A177" s="12">
        <f t="shared" si="2"/>
        <v>175</v>
      </c>
      <c r="B177" s="12" t="s">
        <v>5662</v>
      </c>
      <c r="C177" s="12" t="s">
        <v>5663</v>
      </c>
      <c r="D177" s="85">
        <v>954.85</v>
      </c>
      <c r="E177" s="6">
        <v>5981182</v>
      </c>
      <c r="F177" s="12" t="s">
        <v>5664</v>
      </c>
      <c r="G177" s="2" t="s">
        <v>755</v>
      </c>
      <c r="H177" s="12" t="s">
        <v>756</v>
      </c>
      <c r="I177" s="86">
        <v>42305</v>
      </c>
      <c r="J177" s="86">
        <v>45593</v>
      </c>
      <c r="K177" s="12" t="s">
        <v>170</v>
      </c>
      <c r="L177" s="12" t="s">
        <v>1023</v>
      </c>
    </row>
    <row r="178" spans="1:12">
      <c r="A178" s="12">
        <f t="shared" si="2"/>
        <v>176</v>
      </c>
      <c r="B178" s="12" t="s">
        <v>5665</v>
      </c>
      <c r="C178" s="12" t="s">
        <v>874</v>
      </c>
      <c r="D178" s="85">
        <v>662.14</v>
      </c>
      <c r="E178" s="6">
        <v>5466679</v>
      </c>
      <c r="F178" s="12" t="s">
        <v>4670</v>
      </c>
      <c r="G178" s="2" t="s">
        <v>755</v>
      </c>
      <c r="H178" s="12" t="s">
        <v>756</v>
      </c>
      <c r="I178" s="86">
        <v>42524</v>
      </c>
      <c r="J178" s="86">
        <v>45811</v>
      </c>
      <c r="K178" s="12" t="s">
        <v>274</v>
      </c>
      <c r="L178" s="12" t="s">
        <v>874</v>
      </c>
    </row>
    <row r="179" spans="1:12">
      <c r="A179" s="12">
        <f t="shared" si="2"/>
        <v>177</v>
      </c>
      <c r="B179" s="12" t="s">
        <v>5666</v>
      </c>
      <c r="C179" s="12" t="s">
        <v>2302</v>
      </c>
      <c r="D179" s="85">
        <v>270.48</v>
      </c>
      <c r="E179" s="6">
        <v>5582342</v>
      </c>
      <c r="F179" s="12" t="s">
        <v>5667</v>
      </c>
      <c r="G179" s="2" t="s">
        <v>755</v>
      </c>
      <c r="H179" s="12" t="s">
        <v>756</v>
      </c>
      <c r="I179" s="86">
        <v>42501</v>
      </c>
      <c r="J179" s="86">
        <v>45788</v>
      </c>
      <c r="K179" s="12" t="s">
        <v>375</v>
      </c>
      <c r="L179" s="12" t="s">
        <v>1476</v>
      </c>
    </row>
    <row r="180" spans="1:12">
      <c r="A180" s="12">
        <f t="shared" si="2"/>
        <v>178</v>
      </c>
      <c r="B180" s="12" t="s">
        <v>5668</v>
      </c>
      <c r="C180" s="12" t="s">
        <v>1023</v>
      </c>
      <c r="D180" s="85">
        <v>1777.16</v>
      </c>
      <c r="E180" s="6">
        <v>5932483</v>
      </c>
      <c r="F180" s="12" t="s">
        <v>5632</v>
      </c>
      <c r="G180" s="2" t="s">
        <v>755</v>
      </c>
      <c r="H180" s="12" t="s">
        <v>756</v>
      </c>
      <c r="I180" s="86">
        <v>42275</v>
      </c>
      <c r="J180" s="86">
        <v>45563</v>
      </c>
      <c r="K180" s="12" t="s">
        <v>1102</v>
      </c>
      <c r="L180" s="12" t="s">
        <v>5669</v>
      </c>
    </row>
    <row r="181" spans="1:12">
      <c r="A181" s="12">
        <f t="shared" si="2"/>
        <v>179</v>
      </c>
      <c r="B181" s="12" t="s">
        <v>5670</v>
      </c>
      <c r="C181" s="12" t="s">
        <v>2309</v>
      </c>
      <c r="D181" s="85">
        <v>5864.79</v>
      </c>
      <c r="E181" s="6">
        <v>5030986</v>
      </c>
      <c r="F181" s="12" t="s">
        <v>5671</v>
      </c>
      <c r="G181" s="2" t="s">
        <v>755</v>
      </c>
      <c r="H181" s="12" t="s">
        <v>756</v>
      </c>
      <c r="I181" s="86">
        <v>42303</v>
      </c>
      <c r="J181" s="86">
        <v>45591</v>
      </c>
      <c r="K181" s="12" t="s">
        <v>123</v>
      </c>
      <c r="L181" s="12" t="s">
        <v>272</v>
      </c>
    </row>
    <row r="182" spans="1:12">
      <c r="A182" s="12">
        <f t="shared" si="2"/>
        <v>180</v>
      </c>
      <c r="B182" s="12" t="s">
        <v>5672</v>
      </c>
      <c r="C182" s="12" t="s">
        <v>5673</v>
      </c>
      <c r="D182" s="85">
        <v>24349.21</v>
      </c>
      <c r="E182" s="6">
        <v>5984696</v>
      </c>
      <c r="F182" s="12" t="s">
        <v>5674</v>
      </c>
      <c r="G182" s="2" t="s">
        <v>755</v>
      </c>
      <c r="H182" s="12" t="s">
        <v>756</v>
      </c>
      <c r="I182" s="86">
        <v>42557</v>
      </c>
      <c r="J182" s="86">
        <v>45844</v>
      </c>
      <c r="K182" s="12" t="s">
        <v>233</v>
      </c>
      <c r="L182" s="12" t="s">
        <v>234</v>
      </c>
    </row>
    <row r="183" spans="1:12">
      <c r="A183" s="12">
        <f t="shared" si="2"/>
        <v>181</v>
      </c>
      <c r="B183" s="12" t="s">
        <v>5675</v>
      </c>
      <c r="C183" s="12" t="s">
        <v>5676</v>
      </c>
      <c r="D183" s="85">
        <v>385.89</v>
      </c>
      <c r="E183" s="6">
        <v>5955297</v>
      </c>
      <c r="F183" s="12" t="s">
        <v>5561</v>
      </c>
      <c r="G183" s="2" t="s">
        <v>755</v>
      </c>
      <c r="H183" s="12" t="s">
        <v>756</v>
      </c>
      <c r="I183" s="86">
        <v>42373</v>
      </c>
      <c r="J183" s="86">
        <v>45661</v>
      </c>
      <c r="K183" s="12" t="s">
        <v>304</v>
      </c>
      <c r="L183" s="12" t="s">
        <v>850</v>
      </c>
    </row>
    <row r="184" spans="1:12">
      <c r="A184" s="12">
        <f t="shared" si="2"/>
        <v>182</v>
      </c>
      <c r="B184" s="12" t="s">
        <v>5677</v>
      </c>
      <c r="C184" s="12" t="s">
        <v>5678</v>
      </c>
      <c r="D184" s="85">
        <v>1884.75</v>
      </c>
      <c r="E184" s="6">
        <v>5324238</v>
      </c>
      <c r="F184" s="12" t="s">
        <v>5679</v>
      </c>
      <c r="G184" s="2" t="s">
        <v>755</v>
      </c>
      <c r="H184" s="12" t="s">
        <v>756</v>
      </c>
      <c r="I184" s="86">
        <v>42570</v>
      </c>
      <c r="J184" s="86">
        <v>45857</v>
      </c>
      <c r="K184" s="12" t="s">
        <v>274</v>
      </c>
      <c r="L184" s="12" t="s">
        <v>874</v>
      </c>
    </row>
    <row r="185" spans="1:12">
      <c r="A185" s="12">
        <f t="shared" si="2"/>
        <v>183</v>
      </c>
      <c r="B185" s="12" t="s">
        <v>5680</v>
      </c>
      <c r="C185" s="12" t="s">
        <v>5681</v>
      </c>
      <c r="D185" s="85">
        <v>60.66</v>
      </c>
      <c r="E185" s="6">
        <v>5961807</v>
      </c>
      <c r="F185" s="12" t="s">
        <v>5682</v>
      </c>
      <c r="G185" s="2" t="s">
        <v>755</v>
      </c>
      <c r="H185" s="12" t="s">
        <v>756</v>
      </c>
      <c r="I185" s="86">
        <v>42466</v>
      </c>
      <c r="J185" s="86">
        <v>45753</v>
      </c>
      <c r="K185" s="12" t="s">
        <v>836</v>
      </c>
      <c r="L185" s="12" t="s">
        <v>837</v>
      </c>
    </row>
    <row r="186" spans="1:12">
      <c r="A186" s="12">
        <f t="shared" si="2"/>
        <v>184</v>
      </c>
      <c r="B186" s="12" t="s">
        <v>5683</v>
      </c>
      <c r="C186" s="12" t="s">
        <v>5684</v>
      </c>
      <c r="D186" s="85">
        <v>399.42</v>
      </c>
      <c r="E186" s="6">
        <v>5967791</v>
      </c>
      <c r="F186" s="12" t="s">
        <v>5685</v>
      </c>
      <c r="G186" s="2" t="s">
        <v>755</v>
      </c>
      <c r="H186" s="12" t="s">
        <v>756</v>
      </c>
      <c r="I186" s="86">
        <v>42482</v>
      </c>
      <c r="J186" s="86">
        <v>45769</v>
      </c>
      <c r="K186" s="12" t="s">
        <v>123</v>
      </c>
      <c r="L186" s="12" t="s">
        <v>1508</v>
      </c>
    </row>
    <row r="187" spans="1:12" ht="38.25">
      <c r="A187" s="12">
        <f t="shared" si="2"/>
        <v>185</v>
      </c>
      <c r="B187" s="12" t="s">
        <v>5686</v>
      </c>
      <c r="C187" s="12" t="s">
        <v>5386</v>
      </c>
      <c r="D187" s="85">
        <v>937.41</v>
      </c>
      <c r="E187" s="6">
        <v>5980356</v>
      </c>
      <c r="F187" s="12" t="s">
        <v>5647</v>
      </c>
      <c r="G187" s="2" t="s">
        <v>766</v>
      </c>
      <c r="H187" s="12" t="s">
        <v>767</v>
      </c>
      <c r="I187" s="86">
        <v>42284</v>
      </c>
      <c r="J187" s="86">
        <v>45572</v>
      </c>
      <c r="K187" s="12" t="s">
        <v>233</v>
      </c>
      <c r="L187" s="12" t="s">
        <v>933</v>
      </c>
    </row>
    <row r="188" spans="1:12">
      <c r="A188" s="12">
        <f t="shared" si="2"/>
        <v>186</v>
      </c>
      <c r="B188" s="12" t="s">
        <v>5687</v>
      </c>
      <c r="C188" s="12" t="s">
        <v>2321</v>
      </c>
      <c r="D188" s="85">
        <v>8335.4</v>
      </c>
      <c r="E188" s="6">
        <v>5980364</v>
      </c>
      <c r="F188" s="12" t="s">
        <v>5688</v>
      </c>
      <c r="G188" s="2" t="s">
        <v>755</v>
      </c>
      <c r="H188" s="12" t="s">
        <v>756</v>
      </c>
      <c r="I188" s="86">
        <v>42312</v>
      </c>
      <c r="J188" s="86">
        <v>45600</v>
      </c>
      <c r="K188" s="12" t="s">
        <v>123</v>
      </c>
      <c r="L188" s="12" t="s">
        <v>1508</v>
      </c>
    </row>
    <row r="189" spans="1:12" ht="38.25">
      <c r="A189" s="12">
        <f t="shared" si="2"/>
        <v>187</v>
      </c>
      <c r="B189" s="12" t="s">
        <v>5689</v>
      </c>
      <c r="C189" s="12" t="s">
        <v>5442</v>
      </c>
      <c r="D189" s="85">
        <v>1627.02</v>
      </c>
      <c r="E189" s="6">
        <v>5946239</v>
      </c>
      <c r="F189" s="12" t="s">
        <v>5690</v>
      </c>
      <c r="G189" s="2" t="s">
        <v>766</v>
      </c>
      <c r="H189" s="12" t="s">
        <v>767</v>
      </c>
      <c r="I189" s="86">
        <v>42578</v>
      </c>
      <c r="J189" s="86">
        <v>45865</v>
      </c>
      <c r="K189" s="12" t="s">
        <v>274</v>
      </c>
      <c r="L189" s="12" t="s">
        <v>4003</v>
      </c>
    </row>
    <row r="190" spans="1:12">
      <c r="A190" s="12">
        <f t="shared" si="2"/>
        <v>188</v>
      </c>
      <c r="B190" s="12" t="s">
        <v>5691</v>
      </c>
      <c r="C190" s="12" t="s">
        <v>5692</v>
      </c>
      <c r="D190" s="85">
        <v>4802.5200000000004</v>
      </c>
      <c r="E190" s="6">
        <v>5407958</v>
      </c>
      <c r="F190" s="12" t="s">
        <v>5693</v>
      </c>
      <c r="G190" s="2" t="s">
        <v>755</v>
      </c>
      <c r="H190" s="12" t="s">
        <v>756</v>
      </c>
      <c r="I190" s="86">
        <v>42396</v>
      </c>
      <c r="J190" s="86">
        <v>45684</v>
      </c>
      <c r="K190" s="12" t="s">
        <v>375</v>
      </c>
      <c r="L190" s="12" t="s">
        <v>1476</v>
      </c>
    </row>
    <row r="191" spans="1:12">
      <c r="A191" s="12">
        <f t="shared" si="2"/>
        <v>189</v>
      </c>
      <c r="B191" s="12" t="s">
        <v>5694</v>
      </c>
      <c r="C191" s="12" t="s">
        <v>5695</v>
      </c>
      <c r="D191" s="85">
        <v>18265</v>
      </c>
      <c r="E191" s="6">
        <v>5908027</v>
      </c>
      <c r="F191" s="12" t="s">
        <v>5577</v>
      </c>
      <c r="G191" s="2" t="s">
        <v>755</v>
      </c>
      <c r="H191" s="12" t="s">
        <v>756</v>
      </c>
      <c r="I191" s="86">
        <v>42403</v>
      </c>
      <c r="J191" s="86">
        <v>45691</v>
      </c>
      <c r="K191" s="12" t="s">
        <v>375</v>
      </c>
      <c r="L191" s="12" t="s">
        <v>2649</v>
      </c>
    </row>
    <row r="192" spans="1:12">
      <c r="A192" s="12">
        <f t="shared" si="2"/>
        <v>190</v>
      </c>
      <c r="B192" s="12" t="s">
        <v>5696</v>
      </c>
      <c r="C192" s="12" t="s">
        <v>1476</v>
      </c>
      <c r="D192" s="85">
        <v>3117.3</v>
      </c>
      <c r="E192" s="6">
        <v>5945313</v>
      </c>
      <c r="F192" s="12" t="s">
        <v>5697</v>
      </c>
      <c r="G192" s="2" t="s">
        <v>755</v>
      </c>
      <c r="H192" s="12" t="s">
        <v>756</v>
      </c>
      <c r="I192" s="86">
        <v>42305</v>
      </c>
      <c r="J192" s="86">
        <v>46194</v>
      </c>
      <c r="K192" s="12" t="s">
        <v>123</v>
      </c>
      <c r="L192" s="12" t="s">
        <v>1508</v>
      </c>
    </row>
    <row r="193" spans="1:12" ht="38.25">
      <c r="A193" s="12">
        <f t="shared" si="2"/>
        <v>191</v>
      </c>
      <c r="B193" s="12" t="s">
        <v>5698</v>
      </c>
      <c r="C193" s="12" t="s">
        <v>5699</v>
      </c>
      <c r="D193" s="85">
        <v>367.84</v>
      </c>
      <c r="E193" s="6">
        <v>5248809</v>
      </c>
      <c r="F193" s="12" t="s">
        <v>1318</v>
      </c>
      <c r="G193" s="2" t="s">
        <v>848</v>
      </c>
      <c r="H193" s="12" t="s">
        <v>849</v>
      </c>
      <c r="I193" s="86">
        <v>42298</v>
      </c>
      <c r="J193" s="86">
        <v>45586</v>
      </c>
      <c r="K193" s="12" t="s">
        <v>293</v>
      </c>
      <c r="L193" s="12" t="s">
        <v>815</v>
      </c>
    </row>
    <row r="194" spans="1:12">
      <c r="A194" s="12">
        <f t="shared" si="2"/>
        <v>192</v>
      </c>
      <c r="B194" s="12" t="s">
        <v>5700</v>
      </c>
      <c r="C194" s="12" t="s">
        <v>5701</v>
      </c>
      <c r="D194" s="85">
        <v>9944.4</v>
      </c>
      <c r="E194" s="6">
        <v>5980364</v>
      </c>
      <c r="F194" s="12" t="s">
        <v>5688</v>
      </c>
      <c r="G194" s="2" t="s">
        <v>755</v>
      </c>
      <c r="H194" s="12" t="s">
        <v>756</v>
      </c>
      <c r="I194" s="86">
        <v>42312</v>
      </c>
      <c r="J194" s="86">
        <v>45600</v>
      </c>
      <c r="K194" s="12" t="s">
        <v>123</v>
      </c>
      <c r="L194" s="12" t="s">
        <v>1508</v>
      </c>
    </row>
    <row r="195" spans="1:12">
      <c r="A195" s="12">
        <f t="shared" si="2"/>
        <v>193</v>
      </c>
      <c r="B195" s="12" t="s">
        <v>5702</v>
      </c>
      <c r="C195" s="12" t="s">
        <v>5703</v>
      </c>
      <c r="D195" s="85">
        <v>724.33</v>
      </c>
      <c r="E195" s="6">
        <v>5211816</v>
      </c>
      <c r="F195" s="12" t="s">
        <v>5704</v>
      </c>
      <c r="G195" s="2" t="s">
        <v>755</v>
      </c>
      <c r="H195" s="12" t="s">
        <v>756</v>
      </c>
      <c r="I195" s="86">
        <v>42313</v>
      </c>
      <c r="J195" s="86">
        <v>45601</v>
      </c>
      <c r="K195" s="12" t="s">
        <v>293</v>
      </c>
      <c r="L195" s="12" t="s">
        <v>1315</v>
      </c>
    </row>
    <row r="196" spans="1:12">
      <c r="A196" s="12">
        <f t="shared" si="2"/>
        <v>194</v>
      </c>
      <c r="B196" s="12" t="s">
        <v>5705</v>
      </c>
      <c r="C196" s="12" t="s">
        <v>294</v>
      </c>
      <c r="D196" s="85">
        <v>4145.53</v>
      </c>
      <c r="E196" s="6">
        <v>6670504</v>
      </c>
      <c r="F196" s="12" t="s">
        <v>5706</v>
      </c>
      <c r="G196" s="2" t="s">
        <v>755</v>
      </c>
      <c r="H196" s="12" t="s">
        <v>756</v>
      </c>
      <c r="I196" s="86">
        <v>42493</v>
      </c>
      <c r="J196" s="86">
        <v>45780</v>
      </c>
      <c r="K196" s="12" t="s">
        <v>293</v>
      </c>
      <c r="L196" s="12" t="s">
        <v>1206</v>
      </c>
    </row>
    <row r="197" spans="1:12">
      <c r="A197" s="12">
        <f t="shared" ref="A197:A260" si="3">A196+1</f>
        <v>195</v>
      </c>
      <c r="B197" s="12" t="s">
        <v>5707</v>
      </c>
      <c r="C197" s="12" t="s">
        <v>5708</v>
      </c>
      <c r="D197" s="85">
        <v>9768.08</v>
      </c>
      <c r="E197" s="6">
        <v>5980232</v>
      </c>
      <c r="F197" s="12" t="s">
        <v>5709</v>
      </c>
      <c r="G197" s="2" t="s">
        <v>755</v>
      </c>
      <c r="H197" s="12" t="s">
        <v>756</v>
      </c>
      <c r="I197" s="86">
        <v>42312</v>
      </c>
      <c r="J197" s="86">
        <v>45600</v>
      </c>
      <c r="K197" s="12" t="s">
        <v>123</v>
      </c>
      <c r="L197" s="12" t="s">
        <v>5710</v>
      </c>
    </row>
    <row r="198" spans="1:12" ht="38.25">
      <c r="A198" s="12">
        <f t="shared" si="3"/>
        <v>196</v>
      </c>
      <c r="B198" s="12" t="s">
        <v>5711</v>
      </c>
      <c r="C198" s="12" t="s">
        <v>874</v>
      </c>
      <c r="D198" s="85">
        <v>1245.57</v>
      </c>
      <c r="E198" s="6">
        <v>5980356</v>
      </c>
      <c r="F198" s="12" t="s">
        <v>5647</v>
      </c>
      <c r="G198" s="2" t="s">
        <v>766</v>
      </c>
      <c r="H198" s="12" t="s">
        <v>767</v>
      </c>
      <c r="I198" s="86">
        <v>42284</v>
      </c>
      <c r="J198" s="86">
        <v>45572</v>
      </c>
      <c r="K198" s="12" t="s">
        <v>233</v>
      </c>
      <c r="L198" s="12" t="s">
        <v>2644</v>
      </c>
    </row>
    <row r="199" spans="1:12">
      <c r="A199" s="12">
        <f t="shared" si="3"/>
        <v>197</v>
      </c>
      <c r="B199" s="12" t="s">
        <v>5712</v>
      </c>
      <c r="C199" s="12" t="s">
        <v>5713</v>
      </c>
      <c r="D199" s="85">
        <v>9156.4599999999991</v>
      </c>
      <c r="E199" s="6">
        <v>5980178</v>
      </c>
      <c r="F199" s="12" t="s">
        <v>5714</v>
      </c>
      <c r="G199" s="2" t="s">
        <v>755</v>
      </c>
      <c r="H199" s="12" t="s">
        <v>756</v>
      </c>
      <c r="I199" s="86">
        <v>42373</v>
      </c>
      <c r="J199" s="86">
        <v>45661</v>
      </c>
      <c r="K199" s="12" t="s">
        <v>170</v>
      </c>
      <c r="L199" s="12" t="s">
        <v>4672</v>
      </c>
    </row>
    <row r="200" spans="1:12">
      <c r="A200" s="12">
        <f t="shared" si="3"/>
        <v>198</v>
      </c>
      <c r="B200" s="12" t="s">
        <v>5715</v>
      </c>
      <c r="C200" s="12" t="s">
        <v>5716</v>
      </c>
      <c r="D200" s="85">
        <v>527.55999999999995</v>
      </c>
      <c r="E200" s="6">
        <v>5251907</v>
      </c>
      <c r="F200" s="12" t="s">
        <v>5717</v>
      </c>
      <c r="G200" s="2" t="s">
        <v>755</v>
      </c>
      <c r="H200" s="12" t="s">
        <v>756</v>
      </c>
      <c r="I200" s="86">
        <v>42318</v>
      </c>
      <c r="J200" s="86">
        <v>45606</v>
      </c>
      <c r="K200" s="12" t="s">
        <v>170</v>
      </c>
      <c r="L200" s="12" t="s">
        <v>171</v>
      </c>
    </row>
    <row r="201" spans="1:12">
      <c r="A201" s="12">
        <f t="shared" si="3"/>
        <v>199</v>
      </c>
      <c r="B201" s="12" t="s">
        <v>5718</v>
      </c>
      <c r="C201" s="12" t="s">
        <v>5719</v>
      </c>
      <c r="D201" s="85">
        <v>332.02</v>
      </c>
      <c r="E201" s="6">
        <v>5745721</v>
      </c>
      <c r="F201" s="12" t="s">
        <v>5720</v>
      </c>
      <c r="G201" s="2" t="s">
        <v>755</v>
      </c>
      <c r="H201" s="12" t="s">
        <v>756</v>
      </c>
      <c r="I201" s="86">
        <v>42475</v>
      </c>
      <c r="J201" s="86">
        <v>45762</v>
      </c>
      <c r="K201" s="12" t="s">
        <v>274</v>
      </c>
      <c r="L201" s="12" t="s">
        <v>1023</v>
      </c>
    </row>
    <row r="202" spans="1:12">
      <c r="A202" s="12">
        <f t="shared" si="3"/>
        <v>200</v>
      </c>
      <c r="B202" s="12" t="s">
        <v>5721</v>
      </c>
      <c r="C202" s="12" t="s">
        <v>5118</v>
      </c>
      <c r="D202" s="85">
        <v>4923.54</v>
      </c>
      <c r="E202" s="6">
        <v>5948126</v>
      </c>
      <c r="F202" s="12" t="s">
        <v>5722</v>
      </c>
      <c r="G202" s="2" t="s">
        <v>755</v>
      </c>
      <c r="H202" s="12" t="s">
        <v>756</v>
      </c>
      <c r="I202" s="86">
        <v>42360</v>
      </c>
      <c r="J202" s="86">
        <v>45648</v>
      </c>
      <c r="K202" s="12" t="s">
        <v>170</v>
      </c>
      <c r="L202" s="12" t="s">
        <v>2444</v>
      </c>
    </row>
    <row r="203" spans="1:12">
      <c r="A203" s="12">
        <f t="shared" si="3"/>
        <v>201</v>
      </c>
      <c r="B203" s="12" t="s">
        <v>5723</v>
      </c>
      <c r="C203" s="12" t="s">
        <v>4426</v>
      </c>
      <c r="D203" s="85">
        <v>1046.3900000000001</v>
      </c>
      <c r="E203" s="6">
        <v>5991676</v>
      </c>
      <c r="F203" s="12" t="s">
        <v>5724</v>
      </c>
      <c r="G203" s="2" t="s">
        <v>755</v>
      </c>
      <c r="H203" s="12" t="s">
        <v>756</v>
      </c>
      <c r="I203" s="86">
        <v>42586</v>
      </c>
      <c r="J203" s="86">
        <v>45873</v>
      </c>
      <c r="K203" s="12" t="s">
        <v>274</v>
      </c>
      <c r="L203" s="12" t="s">
        <v>874</v>
      </c>
    </row>
    <row r="204" spans="1:12">
      <c r="A204" s="12">
        <f t="shared" si="3"/>
        <v>202</v>
      </c>
      <c r="B204" s="12" t="s">
        <v>5725</v>
      </c>
      <c r="C204" s="12" t="s">
        <v>1759</v>
      </c>
      <c r="D204" s="85">
        <v>332.38</v>
      </c>
      <c r="E204" s="6">
        <v>5994993</v>
      </c>
      <c r="F204" s="12" t="s">
        <v>5726</v>
      </c>
      <c r="G204" s="2" t="s">
        <v>755</v>
      </c>
      <c r="H204" s="12" t="s">
        <v>756</v>
      </c>
      <c r="I204" s="86">
        <v>42305</v>
      </c>
      <c r="J204" s="86">
        <v>45593</v>
      </c>
      <c r="K204" s="12" t="s">
        <v>293</v>
      </c>
      <c r="L204" s="12" t="s">
        <v>4817</v>
      </c>
    </row>
    <row r="205" spans="1:12">
      <c r="A205" s="12">
        <f t="shared" si="3"/>
        <v>203</v>
      </c>
      <c r="B205" s="12" t="s">
        <v>5727</v>
      </c>
      <c r="C205" s="12" t="s">
        <v>4650</v>
      </c>
      <c r="D205" s="85">
        <v>2590.7399999999998</v>
      </c>
      <c r="E205" s="6">
        <v>6169317</v>
      </c>
      <c r="F205" s="12" t="s">
        <v>5201</v>
      </c>
      <c r="G205" s="2" t="s">
        <v>755</v>
      </c>
      <c r="H205" s="12" t="s">
        <v>756</v>
      </c>
      <c r="I205" s="86">
        <v>42284</v>
      </c>
      <c r="J205" s="86">
        <v>45572</v>
      </c>
      <c r="K205" s="12" t="s">
        <v>293</v>
      </c>
      <c r="L205" s="12" t="s">
        <v>827</v>
      </c>
    </row>
    <row r="206" spans="1:12">
      <c r="A206" s="12">
        <f t="shared" si="3"/>
        <v>204</v>
      </c>
      <c r="B206" s="12" t="s">
        <v>5728</v>
      </c>
      <c r="C206" s="12" t="s">
        <v>5729</v>
      </c>
      <c r="D206" s="85">
        <v>3927.01</v>
      </c>
      <c r="E206" s="6">
        <v>5309085</v>
      </c>
      <c r="F206" s="12" t="s">
        <v>5730</v>
      </c>
      <c r="G206" s="2" t="s">
        <v>755</v>
      </c>
      <c r="H206" s="12" t="s">
        <v>756</v>
      </c>
      <c r="I206" s="86">
        <v>42404</v>
      </c>
      <c r="J206" s="86">
        <v>45692</v>
      </c>
      <c r="K206" s="12" t="s">
        <v>312</v>
      </c>
      <c r="L206" s="12" t="s">
        <v>4102</v>
      </c>
    </row>
    <row r="207" spans="1:12">
      <c r="A207" s="12">
        <f t="shared" si="3"/>
        <v>205</v>
      </c>
      <c r="B207" s="12" t="s">
        <v>5731</v>
      </c>
      <c r="C207" s="12" t="s">
        <v>5732</v>
      </c>
      <c r="D207" s="85">
        <v>3371.98</v>
      </c>
      <c r="E207" s="6">
        <v>5990637</v>
      </c>
      <c r="F207" s="12" t="s">
        <v>5733</v>
      </c>
      <c r="G207" s="2" t="s">
        <v>755</v>
      </c>
      <c r="H207" s="12" t="s">
        <v>756</v>
      </c>
      <c r="I207" s="86">
        <v>42453</v>
      </c>
      <c r="J207" s="86">
        <v>45740</v>
      </c>
      <c r="K207" s="12" t="s">
        <v>293</v>
      </c>
      <c r="L207" s="12" t="s">
        <v>815</v>
      </c>
    </row>
    <row r="208" spans="1:12">
      <c r="A208" s="12">
        <f t="shared" si="3"/>
        <v>206</v>
      </c>
      <c r="B208" s="12" t="s">
        <v>5734</v>
      </c>
      <c r="C208" s="12" t="s">
        <v>5735</v>
      </c>
      <c r="D208" s="85">
        <v>1115.98</v>
      </c>
      <c r="E208" s="6">
        <v>5980178</v>
      </c>
      <c r="F208" s="12" t="s">
        <v>5714</v>
      </c>
      <c r="G208" s="2" t="s">
        <v>755</v>
      </c>
      <c r="H208" s="12" t="s">
        <v>756</v>
      </c>
      <c r="I208" s="86">
        <v>42312</v>
      </c>
      <c r="J208" s="86">
        <v>46194</v>
      </c>
      <c r="K208" s="12" t="s">
        <v>170</v>
      </c>
      <c r="L208" s="12" t="s">
        <v>811</v>
      </c>
    </row>
    <row r="209" spans="1:12" ht="38.25">
      <c r="A209" s="12">
        <f t="shared" si="3"/>
        <v>207</v>
      </c>
      <c r="B209" s="12" t="s">
        <v>5736</v>
      </c>
      <c r="C209" s="12" t="s">
        <v>2302</v>
      </c>
      <c r="D209" s="85">
        <v>7055.6</v>
      </c>
      <c r="E209" s="6">
        <v>6470092</v>
      </c>
      <c r="F209" s="12" t="s">
        <v>5737</v>
      </c>
      <c r="G209" s="2" t="s">
        <v>848</v>
      </c>
      <c r="H209" s="12" t="s">
        <v>849</v>
      </c>
      <c r="I209" s="86">
        <v>42360</v>
      </c>
      <c r="J209" s="86">
        <v>45648</v>
      </c>
      <c r="K209" s="12" t="s">
        <v>293</v>
      </c>
      <c r="L209" s="12" t="s">
        <v>933</v>
      </c>
    </row>
    <row r="210" spans="1:12">
      <c r="A210" s="12">
        <f t="shared" si="3"/>
        <v>208</v>
      </c>
      <c r="B210" s="12" t="s">
        <v>5738</v>
      </c>
      <c r="C210" s="12" t="s">
        <v>1476</v>
      </c>
      <c r="D210" s="85">
        <v>8288.7800000000007</v>
      </c>
      <c r="E210" s="6">
        <v>5734037</v>
      </c>
      <c r="F210" s="12" t="s">
        <v>5739</v>
      </c>
      <c r="G210" s="2" t="s">
        <v>755</v>
      </c>
      <c r="H210" s="12" t="s">
        <v>756</v>
      </c>
      <c r="I210" s="86">
        <v>42376</v>
      </c>
      <c r="J210" s="86">
        <v>45664</v>
      </c>
      <c r="K210" s="12" t="s">
        <v>170</v>
      </c>
      <c r="L210" s="12" t="s">
        <v>2786</v>
      </c>
    </row>
    <row r="211" spans="1:12">
      <c r="A211" s="12">
        <f t="shared" si="3"/>
        <v>209</v>
      </c>
      <c r="B211" s="12" t="s">
        <v>5740</v>
      </c>
      <c r="C211" s="12" t="s">
        <v>2296</v>
      </c>
      <c r="D211" s="85">
        <v>903.74</v>
      </c>
      <c r="E211" s="6">
        <v>5497272</v>
      </c>
      <c r="F211" s="12" t="s">
        <v>4871</v>
      </c>
      <c r="G211" s="2" t="s">
        <v>755</v>
      </c>
      <c r="H211" s="12" t="s">
        <v>756</v>
      </c>
      <c r="I211" s="86">
        <v>42318</v>
      </c>
      <c r="J211" s="86">
        <v>46264</v>
      </c>
      <c r="K211" s="12" t="s">
        <v>170</v>
      </c>
      <c r="L211" s="12" t="s">
        <v>1426</v>
      </c>
    </row>
    <row r="212" spans="1:12">
      <c r="A212" s="12">
        <f t="shared" si="3"/>
        <v>210</v>
      </c>
      <c r="B212" s="12" t="s">
        <v>5741</v>
      </c>
      <c r="C212" s="12" t="s">
        <v>4117</v>
      </c>
      <c r="D212" s="85">
        <v>1055.08</v>
      </c>
      <c r="E212" s="6">
        <v>5688604</v>
      </c>
      <c r="F212" s="12" t="s">
        <v>5742</v>
      </c>
      <c r="G212" s="2" t="s">
        <v>755</v>
      </c>
      <c r="H212" s="12" t="s">
        <v>756</v>
      </c>
      <c r="I212" s="86">
        <v>42487</v>
      </c>
      <c r="J212" s="86">
        <v>45774</v>
      </c>
      <c r="K212" s="12" t="s">
        <v>293</v>
      </c>
      <c r="L212" s="12" t="s">
        <v>1206</v>
      </c>
    </row>
    <row r="213" spans="1:12">
      <c r="A213" s="12">
        <f t="shared" si="3"/>
        <v>211</v>
      </c>
      <c r="B213" s="12" t="s">
        <v>5743</v>
      </c>
      <c r="C213" s="12" t="s">
        <v>4125</v>
      </c>
      <c r="D213" s="85">
        <v>4967.5</v>
      </c>
      <c r="E213" s="6">
        <v>5921694</v>
      </c>
      <c r="F213" s="12" t="s">
        <v>5744</v>
      </c>
      <c r="G213" s="2" t="s">
        <v>755</v>
      </c>
      <c r="H213" s="12" t="s">
        <v>756</v>
      </c>
      <c r="I213" s="86">
        <v>42312</v>
      </c>
      <c r="J213" s="86">
        <v>45600</v>
      </c>
      <c r="K213" s="12" t="s">
        <v>170</v>
      </c>
      <c r="L213" s="12" t="s">
        <v>1738</v>
      </c>
    </row>
    <row r="214" spans="1:12">
      <c r="A214" s="12">
        <f t="shared" si="3"/>
        <v>212</v>
      </c>
      <c r="B214" s="12" t="s">
        <v>5745</v>
      </c>
      <c r="C214" s="12" t="s">
        <v>5746</v>
      </c>
      <c r="D214" s="85">
        <v>3473.34</v>
      </c>
      <c r="E214" s="6">
        <v>5876834</v>
      </c>
      <c r="F214" s="12" t="s">
        <v>5747</v>
      </c>
      <c r="G214" s="2" t="s">
        <v>755</v>
      </c>
      <c r="H214" s="12" t="s">
        <v>756</v>
      </c>
      <c r="I214" s="86">
        <v>42433</v>
      </c>
      <c r="J214" s="86">
        <v>45720</v>
      </c>
      <c r="K214" s="12" t="s">
        <v>274</v>
      </c>
      <c r="L214" s="12" t="s">
        <v>2184</v>
      </c>
    </row>
    <row r="215" spans="1:12">
      <c r="A215" s="12">
        <f t="shared" si="3"/>
        <v>213</v>
      </c>
      <c r="B215" s="12" t="s">
        <v>5748</v>
      </c>
      <c r="C215" s="12" t="s">
        <v>4117</v>
      </c>
      <c r="D215" s="85">
        <v>2312.96</v>
      </c>
      <c r="E215" s="6">
        <v>6085571</v>
      </c>
      <c r="F215" s="12" t="s">
        <v>5204</v>
      </c>
      <c r="G215" s="2" t="s">
        <v>755</v>
      </c>
      <c r="H215" s="12" t="s">
        <v>756</v>
      </c>
      <c r="I215" s="86">
        <v>42487</v>
      </c>
      <c r="J215" s="86">
        <v>45774</v>
      </c>
      <c r="K215" s="12" t="s">
        <v>293</v>
      </c>
      <c r="L215" s="12" t="s">
        <v>3681</v>
      </c>
    </row>
    <row r="216" spans="1:12">
      <c r="A216" s="12">
        <f t="shared" si="3"/>
        <v>214</v>
      </c>
      <c r="B216" s="12" t="s">
        <v>5749</v>
      </c>
      <c r="C216" s="12" t="s">
        <v>1833</v>
      </c>
      <c r="D216" s="85">
        <v>2182.6</v>
      </c>
      <c r="E216" s="6">
        <v>5945038</v>
      </c>
      <c r="F216" s="12" t="s">
        <v>5750</v>
      </c>
      <c r="G216" s="2" t="s">
        <v>755</v>
      </c>
      <c r="H216" s="12" t="s">
        <v>756</v>
      </c>
      <c r="I216" s="86">
        <v>42457</v>
      </c>
      <c r="J216" s="86">
        <v>45744</v>
      </c>
      <c r="K216" s="12" t="s">
        <v>293</v>
      </c>
      <c r="L216" s="12" t="s">
        <v>815</v>
      </c>
    </row>
    <row r="217" spans="1:12" ht="38.25">
      <c r="A217" s="12">
        <f t="shared" si="3"/>
        <v>215</v>
      </c>
      <c r="B217" s="12" t="s">
        <v>5751</v>
      </c>
      <c r="C217" s="12" t="s">
        <v>1342</v>
      </c>
      <c r="D217" s="85">
        <v>3661.17</v>
      </c>
      <c r="E217" s="6">
        <v>5455219</v>
      </c>
      <c r="F217" s="12" t="s">
        <v>4143</v>
      </c>
      <c r="G217" s="2" t="s">
        <v>766</v>
      </c>
      <c r="H217" s="12" t="s">
        <v>767</v>
      </c>
      <c r="I217" s="86">
        <v>42487</v>
      </c>
      <c r="J217" s="86">
        <v>45774</v>
      </c>
      <c r="K217" s="12" t="s">
        <v>293</v>
      </c>
      <c r="L217" s="12" t="s">
        <v>1342</v>
      </c>
    </row>
    <row r="218" spans="1:12">
      <c r="A218" s="12">
        <f t="shared" si="3"/>
        <v>216</v>
      </c>
      <c r="B218" s="12" t="s">
        <v>5752</v>
      </c>
      <c r="C218" s="12" t="s">
        <v>5753</v>
      </c>
      <c r="D218" s="85">
        <v>469.56</v>
      </c>
      <c r="E218" s="6">
        <v>6621376</v>
      </c>
      <c r="F218" s="12" t="s">
        <v>5754</v>
      </c>
      <c r="G218" s="2" t="s">
        <v>755</v>
      </c>
      <c r="H218" s="12" t="s">
        <v>756</v>
      </c>
      <c r="I218" s="86">
        <v>42404</v>
      </c>
      <c r="J218" s="86">
        <v>45692</v>
      </c>
      <c r="K218" s="12" t="s">
        <v>274</v>
      </c>
      <c r="L218" s="12" t="s">
        <v>1023</v>
      </c>
    </row>
    <row r="219" spans="1:12">
      <c r="A219" s="12">
        <f t="shared" si="3"/>
        <v>217</v>
      </c>
      <c r="B219" s="12" t="s">
        <v>5755</v>
      </c>
      <c r="C219" s="12" t="s">
        <v>5756</v>
      </c>
      <c r="D219" s="85">
        <v>441.06</v>
      </c>
      <c r="E219" s="6">
        <v>5574161</v>
      </c>
      <c r="F219" s="12" t="s">
        <v>5757</v>
      </c>
      <c r="G219" s="2" t="s">
        <v>755</v>
      </c>
      <c r="H219" s="12" t="s">
        <v>756</v>
      </c>
      <c r="I219" s="86">
        <v>42272</v>
      </c>
      <c r="J219" s="86">
        <v>45560</v>
      </c>
      <c r="K219" s="12" t="s">
        <v>163</v>
      </c>
      <c r="L219" s="12" t="s">
        <v>164</v>
      </c>
    </row>
    <row r="220" spans="1:12">
      <c r="A220" s="12">
        <f t="shared" si="3"/>
        <v>218</v>
      </c>
      <c r="B220" s="12" t="s">
        <v>5758</v>
      </c>
      <c r="C220" s="12" t="s">
        <v>3751</v>
      </c>
      <c r="D220" s="85">
        <v>7867.89</v>
      </c>
      <c r="E220" s="6">
        <v>5878705</v>
      </c>
      <c r="F220" s="12" t="s">
        <v>5759</v>
      </c>
      <c r="G220" s="2" t="s">
        <v>755</v>
      </c>
      <c r="H220" s="12" t="s">
        <v>756</v>
      </c>
      <c r="I220" s="86">
        <v>42311</v>
      </c>
      <c r="J220" s="86">
        <v>45599</v>
      </c>
      <c r="K220" s="12" t="s">
        <v>170</v>
      </c>
      <c r="L220" s="12" t="s">
        <v>1738</v>
      </c>
    </row>
    <row r="221" spans="1:12" ht="38.25">
      <c r="A221" s="12">
        <f t="shared" si="3"/>
        <v>219</v>
      </c>
      <c r="B221" s="12" t="s">
        <v>5760</v>
      </c>
      <c r="C221" s="12" t="s">
        <v>2573</v>
      </c>
      <c r="D221" s="85">
        <v>1363.07</v>
      </c>
      <c r="E221" s="6">
        <v>5328772</v>
      </c>
      <c r="F221" s="12" t="s">
        <v>4023</v>
      </c>
      <c r="G221" s="2" t="s">
        <v>848</v>
      </c>
      <c r="H221" s="12" t="s">
        <v>849</v>
      </c>
      <c r="I221" s="86">
        <v>42271</v>
      </c>
      <c r="J221" s="86">
        <v>45559</v>
      </c>
      <c r="K221" s="12" t="s">
        <v>274</v>
      </c>
      <c r="L221" s="12" t="s">
        <v>813</v>
      </c>
    </row>
    <row r="222" spans="1:12">
      <c r="A222" s="12">
        <f t="shared" si="3"/>
        <v>220</v>
      </c>
      <c r="B222" s="12" t="s">
        <v>5761</v>
      </c>
      <c r="C222" s="12" t="s">
        <v>5762</v>
      </c>
      <c r="D222" s="85">
        <v>3980.09</v>
      </c>
      <c r="E222" s="6">
        <v>5990572</v>
      </c>
      <c r="F222" s="12" t="s">
        <v>5763</v>
      </c>
      <c r="G222" s="2" t="s">
        <v>755</v>
      </c>
      <c r="H222" s="12" t="s">
        <v>756</v>
      </c>
      <c r="I222" s="86">
        <v>42578</v>
      </c>
      <c r="J222" s="86">
        <v>45865</v>
      </c>
      <c r="K222" s="12" t="s">
        <v>1518</v>
      </c>
      <c r="L222" s="12" t="s">
        <v>5764</v>
      </c>
    </row>
    <row r="223" spans="1:12">
      <c r="A223" s="12">
        <f t="shared" si="3"/>
        <v>221</v>
      </c>
      <c r="B223" s="12" t="s">
        <v>5765</v>
      </c>
      <c r="C223" s="12" t="s">
        <v>2654</v>
      </c>
      <c r="D223" s="85">
        <v>1318.74</v>
      </c>
      <c r="E223" s="6">
        <v>6444911</v>
      </c>
      <c r="F223" s="12" t="s">
        <v>5766</v>
      </c>
      <c r="G223" s="2" t="s">
        <v>755</v>
      </c>
      <c r="H223" s="12" t="s">
        <v>756</v>
      </c>
      <c r="I223" s="86">
        <v>42318</v>
      </c>
      <c r="J223" s="86">
        <v>45606</v>
      </c>
      <c r="K223" s="12" t="s">
        <v>123</v>
      </c>
      <c r="L223" s="12" t="s">
        <v>272</v>
      </c>
    </row>
    <row r="224" spans="1:12">
      <c r="A224" s="12">
        <f t="shared" si="3"/>
        <v>222</v>
      </c>
      <c r="B224" s="12" t="s">
        <v>5767</v>
      </c>
      <c r="C224" s="12" t="s">
        <v>5038</v>
      </c>
      <c r="D224" s="85">
        <v>1105.9000000000001</v>
      </c>
      <c r="E224" s="6">
        <v>5849314</v>
      </c>
      <c r="F224" s="12" t="s">
        <v>5039</v>
      </c>
      <c r="G224" s="2" t="s">
        <v>755</v>
      </c>
      <c r="H224" s="12" t="s">
        <v>756</v>
      </c>
      <c r="I224" s="86">
        <v>42417</v>
      </c>
      <c r="J224" s="86">
        <v>45705</v>
      </c>
      <c r="K224" s="12" t="s">
        <v>123</v>
      </c>
      <c r="L224" s="12" t="s">
        <v>272</v>
      </c>
    </row>
    <row r="225" spans="1:12">
      <c r="A225" s="12">
        <f t="shared" si="3"/>
        <v>223</v>
      </c>
      <c r="B225" s="12" t="s">
        <v>5768</v>
      </c>
      <c r="C225" s="12" t="s">
        <v>4117</v>
      </c>
      <c r="D225" s="85">
        <v>827.46</v>
      </c>
      <c r="E225" s="6">
        <v>5874823</v>
      </c>
      <c r="F225" s="12" t="s">
        <v>5239</v>
      </c>
      <c r="G225" s="2" t="s">
        <v>755</v>
      </c>
      <c r="H225" s="12" t="s">
        <v>756</v>
      </c>
      <c r="I225" s="86">
        <v>42373</v>
      </c>
      <c r="J225" s="86">
        <v>45459</v>
      </c>
      <c r="K225" s="12" t="s">
        <v>836</v>
      </c>
      <c r="L225" s="12" t="s">
        <v>837</v>
      </c>
    </row>
    <row r="226" spans="1:12">
      <c r="A226" s="12">
        <f t="shared" si="3"/>
        <v>224</v>
      </c>
      <c r="B226" s="12" t="s">
        <v>5769</v>
      </c>
      <c r="C226" s="12" t="s">
        <v>1403</v>
      </c>
      <c r="D226" s="85">
        <v>1276.2</v>
      </c>
      <c r="E226" s="6">
        <v>5640113</v>
      </c>
      <c r="F226" s="12" t="s">
        <v>5770</v>
      </c>
      <c r="G226" s="2" t="s">
        <v>755</v>
      </c>
      <c r="H226" s="12" t="s">
        <v>756</v>
      </c>
      <c r="I226" s="86">
        <v>42493</v>
      </c>
      <c r="J226" s="86">
        <v>45780</v>
      </c>
      <c r="K226" s="12" t="s">
        <v>123</v>
      </c>
      <c r="L226" s="12" t="s">
        <v>272</v>
      </c>
    </row>
    <row r="227" spans="1:12">
      <c r="A227" s="12">
        <f t="shared" si="3"/>
        <v>225</v>
      </c>
      <c r="B227" s="12" t="s">
        <v>5771</v>
      </c>
      <c r="C227" s="12" t="s">
        <v>5772</v>
      </c>
      <c r="D227" s="85">
        <v>3579.58</v>
      </c>
      <c r="E227" s="6">
        <v>5980178</v>
      </c>
      <c r="F227" s="12" t="s">
        <v>5714</v>
      </c>
      <c r="G227" s="2" t="s">
        <v>755</v>
      </c>
      <c r="H227" s="12" t="s">
        <v>756</v>
      </c>
      <c r="I227" s="86">
        <v>42310</v>
      </c>
      <c r="J227" s="86">
        <v>46194</v>
      </c>
      <c r="K227" s="12" t="s">
        <v>123</v>
      </c>
      <c r="L227" s="12" t="s">
        <v>1472</v>
      </c>
    </row>
    <row r="228" spans="1:12">
      <c r="A228" s="12">
        <f t="shared" si="3"/>
        <v>226</v>
      </c>
      <c r="B228" s="12" t="s">
        <v>5773</v>
      </c>
      <c r="C228" s="12" t="s">
        <v>5774</v>
      </c>
      <c r="D228" s="85">
        <v>8266.67</v>
      </c>
      <c r="E228" s="6">
        <v>5961866</v>
      </c>
      <c r="F228" s="12" t="s">
        <v>5775</v>
      </c>
      <c r="G228" s="2" t="s">
        <v>755</v>
      </c>
      <c r="H228" s="12" t="s">
        <v>756</v>
      </c>
      <c r="I228" s="86">
        <v>42313</v>
      </c>
      <c r="J228" s="86">
        <v>45601</v>
      </c>
      <c r="K228" s="12" t="s">
        <v>375</v>
      </c>
      <c r="L228" s="12" t="s">
        <v>893</v>
      </c>
    </row>
    <row r="229" spans="1:12">
      <c r="A229" s="12">
        <f t="shared" si="3"/>
        <v>227</v>
      </c>
      <c r="B229" s="12" t="s">
        <v>5776</v>
      </c>
      <c r="C229" s="12" t="s">
        <v>3064</v>
      </c>
      <c r="D229" s="85">
        <v>1199.21</v>
      </c>
      <c r="E229" s="6">
        <v>5406145</v>
      </c>
      <c r="F229" s="12" t="s">
        <v>5777</v>
      </c>
      <c r="G229" s="2" t="s">
        <v>755</v>
      </c>
      <c r="H229" s="12" t="s">
        <v>756</v>
      </c>
      <c r="I229" s="86">
        <v>42321</v>
      </c>
      <c r="J229" s="86">
        <v>45274</v>
      </c>
      <c r="K229" s="12" t="s">
        <v>375</v>
      </c>
      <c r="L229" s="12" t="s">
        <v>893</v>
      </c>
    </row>
    <row r="230" spans="1:12">
      <c r="A230" s="12">
        <f t="shared" si="3"/>
        <v>228</v>
      </c>
      <c r="B230" s="12" t="s">
        <v>5778</v>
      </c>
      <c r="C230" s="12" t="s">
        <v>5779</v>
      </c>
      <c r="D230" s="85">
        <v>20102.419999999998</v>
      </c>
      <c r="E230" s="6">
        <v>5935288</v>
      </c>
      <c r="F230" s="12" t="s">
        <v>5780</v>
      </c>
      <c r="G230" s="2" t="s">
        <v>755</v>
      </c>
      <c r="H230" s="12" t="s">
        <v>756</v>
      </c>
      <c r="I230" s="86">
        <v>42313</v>
      </c>
      <c r="J230" s="86">
        <v>45601</v>
      </c>
      <c r="K230" s="12" t="s">
        <v>170</v>
      </c>
      <c r="L230" s="12" t="s">
        <v>4672</v>
      </c>
    </row>
    <row r="231" spans="1:12">
      <c r="A231" s="12">
        <f t="shared" si="3"/>
        <v>229</v>
      </c>
      <c r="B231" s="12" t="s">
        <v>5781</v>
      </c>
      <c r="C231" s="12" t="s">
        <v>5782</v>
      </c>
      <c r="D231" s="85">
        <v>5591.32</v>
      </c>
      <c r="E231" s="6">
        <v>5961971</v>
      </c>
      <c r="F231" s="12" t="s">
        <v>5783</v>
      </c>
      <c r="G231" s="2" t="s">
        <v>755</v>
      </c>
      <c r="H231" s="12" t="s">
        <v>756</v>
      </c>
      <c r="I231" s="86">
        <v>42429</v>
      </c>
      <c r="J231" s="86">
        <v>45716</v>
      </c>
      <c r="K231" s="12" t="s">
        <v>293</v>
      </c>
      <c r="L231" s="12" t="s">
        <v>124</v>
      </c>
    </row>
    <row r="232" spans="1:12">
      <c r="A232" s="12">
        <f t="shared" si="3"/>
        <v>230</v>
      </c>
      <c r="B232" s="12" t="s">
        <v>5784</v>
      </c>
      <c r="C232" s="12" t="s">
        <v>4607</v>
      </c>
      <c r="D232" s="85">
        <v>1000.2</v>
      </c>
      <c r="E232" s="6">
        <v>5636655</v>
      </c>
      <c r="F232" s="12" t="s">
        <v>5785</v>
      </c>
      <c r="G232" s="2" t="s">
        <v>755</v>
      </c>
      <c r="H232" s="12" t="s">
        <v>756</v>
      </c>
      <c r="I232" s="86">
        <v>42493</v>
      </c>
      <c r="J232" s="86">
        <v>45780</v>
      </c>
      <c r="K232" s="12" t="s">
        <v>836</v>
      </c>
      <c r="L232" s="12" t="s">
        <v>837</v>
      </c>
    </row>
    <row r="233" spans="1:12">
      <c r="A233" s="12">
        <f t="shared" si="3"/>
        <v>231</v>
      </c>
      <c r="B233" s="12" t="s">
        <v>5786</v>
      </c>
      <c r="C233" s="12" t="s">
        <v>5787</v>
      </c>
      <c r="D233" s="85">
        <v>3052.69</v>
      </c>
      <c r="E233" s="6">
        <v>5800323</v>
      </c>
      <c r="F233" s="12" t="s">
        <v>5394</v>
      </c>
      <c r="G233" s="2" t="s">
        <v>755</v>
      </c>
      <c r="H233" s="12" t="s">
        <v>756</v>
      </c>
      <c r="I233" s="86">
        <v>42313</v>
      </c>
      <c r="J233" s="86">
        <v>45601</v>
      </c>
      <c r="K233" s="12" t="s">
        <v>293</v>
      </c>
      <c r="L233" s="12" t="s">
        <v>124</v>
      </c>
    </row>
    <row r="234" spans="1:12">
      <c r="A234" s="12">
        <f t="shared" si="3"/>
        <v>232</v>
      </c>
      <c r="B234" s="12" t="s">
        <v>5788</v>
      </c>
      <c r="C234" s="12" t="s">
        <v>4231</v>
      </c>
      <c r="D234" s="85">
        <v>611.88</v>
      </c>
      <c r="E234" s="6">
        <v>5802075</v>
      </c>
      <c r="F234" s="12" t="s">
        <v>4232</v>
      </c>
      <c r="G234" s="2" t="s">
        <v>755</v>
      </c>
      <c r="H234" s="12" t="s">
        <v>756</v>
      </c>
      <c r="I234" s="86">
        <v>42429</v>
      </c>
      <c r="J234" s="86">
        <v>45716</v>
      </c>
      <c r="K234" s="12" t="s">
        <v>274</v>
      </c>
      <c r="L234" s="12" t="s">
        <v>874</v>
      </c>
    </row>
    <row r="235" spans="1:12">
      <c r="A235" s="12">
        <f t="shared" si="3"/>
        <v>233</v>
      </c>
      <c r="B235" s="12" t="s">
        <v>5789</v>
      </c>
      <c r="C235" s="12" t="s">
        <v>5790</v>
      </c>
      <c r="D235" s="85">
        <v>1399.3</v>
      </c>
      <c r="E235" s="6">
        <v>2567741</v>
      </c>
      <c r="F235" s="12" t="s">
        <v>5791</v>
      </c>
      <c r="G235" s="2" t="s">
        <v>755</v>
      </c>
      <c r="H235" s="12" t="s">
        <v>756</v>
      </c>
      <c r="I235" s="86">
        <v>42992</v>
      </c>
      <c r="J235" s="86">
        <v>46207</v>
      </c>
      <c r="K235" s="12" t="s">
        <v>836</v>
      </c>
      <c r="L235" s="12" t="s">
        <v>837</v>
      </c>
    </row>
    <row r="236" spans="1:12">
      <c r="A236" s="12">
        <f t="shared" si="3"/>
        <v>234</v>
      </c>
      <c r="B236" s="12" t="s">
        <v>5792</v>
      </c>
      <c r="C236" s="12" t="s">
        <v>1023</v>
      </c>
      <c r="D236" s="85">
        <v>2135.4</v>
      </c>
      <c r="E236" s="6">
        <v>5596106</v>
      </c>
      <c r="F236" s="12" t="s">
        <v>5793</v>
      </c>
      <c r="G236" s="2" t="s">
        <v>755</v>
      </c>
      <c r="H236" s="12" t="s">
        <v>756</v>
      </c>
      <c r="I236" s="86">
        <v>42326</v>
      </c>
      <c r="J236" s="86">
        <v>45614</v>
      </c>
      <c r="K236" s="12" t="s">
        <v>123</v>
      </c>
      <c r="L236" s="12" t="s">
        <v>272</v>
      </c>
    </row>
    <row r="237" spans="1:12">
      <c r="A237" s="12">
        <f t="shared" si="3"/>
        <v>235</v>
      </c>
      <c r="B237" s="12" t="s">
        <v>5794</v>
      </c>
      <c r="C237" s="12" t="s">
        <v>3262</v>
      </c>
      <c r="D237" s="85">
        <v>12382.55</v>
      </c>
      <c r="E237" s="6">
        <v>5858828</v>
      </c>
      <c r="F237" s="12" t="s">
        <v>5795</v>
      </c>
      <c r="G237" s="2" t="s">
        <v>755</v>
      </c>
      <c r="H237" s="12" t="s">
        <v>756</v>
      </c>
      <c r="I237" s="86">
        <v>42419</v>
      </c>
      <c r="J237" s="86">
        <v>45707</v>
      </c>
      <c r="K237" s="12" t="s">
        <v>293</v>
      </c>
      <c r="L237" s="12" t="s">
        <v>5796</v>
      </c>
    </row>
    <row r="238" spans="1:12">
      <c r="A238" s="12">
        <f t="shared" si="3"/>
        <v>236</v>
      </c>
      <c r="B238" s="12" t="s">
        <v>5797</v>
      </c>
      <c r="C238" s="12" t="s">
        <v>5798</v>
      </c>
      <c r="D238" s="85">
        <v>746.32</v>
      </c>
      <c r="E238" s="6">
        <v>5087023</v>
      </c>
      <c r="F238" s="12" t="s">
        <v>5799</v>
      </c>
      <c r="G238" s="2" t="s">
        <v>755</v>
      </c>
      <c r="H238" s="12" t="s">
        <v>756</v>
      </c>
      <c r="I238" s="86">
        <v>42586</v>
      </c>
      <c r="J238" s="86">
        <v>45873</v>
      </c>
      <c r="K238" s="12" t="s">
        <v>375</v>
      </c>
      <c r="L238" s="12" t="s">
        <v>1476</v>
      </c>
    </row>
    <row r="239" spans="1:12">
      <c r="A239" s="12">
        <f t="shared" si="3"/>
        <v>237</v>
      </c>
      <c r="B239" s="12" t="s">
        <v>5800</v>
      </c>
      <c r="C239" s="12" t="s">
        <v>5801</v>
      </c>
      <c r="D239" s="85">
        <v>1236.31</v>
      </c>
      <c r="E239" s="6">
        <v>5830974</v>
      </c>
      <c r="F239" s="12" t="s">
        <v>1712</v>
      </c>
      <c r="G239" s="2" t="s">
        <v>755</v>
      </c>
      <c r="H239" s="12" t="s">
        <v>756</v>
      </c>
      <c r="I239" s="86">
        <v>42333</v>
      </c>
      <c r="J239" s="86">
        <v>45621</v>
      </c>
      <c r="K239" s="12" t="s">
        <v>170</v>
      </c>
      <c r="L239" s="12" t="s">
        <v>5657</v>
      </c>
    </row>
    <row r="240" spans="1:12" ht="38.25">
      <c r="A240" s="12">
        <f t="shared" si="3"/>
        <v>238</v>
      </c>
      <c r="B240" s="12" t="s">
        <v>5802</v>
      </c>
      <c r="C240" s="12" t="s">
        <v>5803</v>
      </c>
      <c r="D240" s="85">
        <v>7305.8</v>
      </c>
      <c r="E240" s="6">
        <v>6742599</v>
      </c>
      <c r="F240" s="12" t="s">
        <v>5804</v>
      </c>
      <c r="G240" s="2" t="s">
        <v>848</v>
      </c>
      <c r="H240" s="12" t="s">
        <v>849</v>
      </c>
      <c r="I240" s="86">
        <v>42318</v>
      </c>
      <c r="J240" s="86">
        <v>45606</v>
      </c>
      <c r="K240" s="12" t="s">
        <v>375</v>
      </c>
      <c r="L240" s="12" t="s">
        <v>944</v>
      </c>
    </row>
    <row r="241" spans="1:12">
      <c r="A241" s="12">
        <f t="shared" si="3"/>
        <v>239</v>
      </c>
      <c r="B241" s="12" t="s">
        <v>5805</v>
      </c>
      <c r="C241" s="12" t="s">
        <v>5806</v>
      </c>
      <c r="D241" s="85">
        <v>2640.49</v>
      </c>
      <c r="E241" s="6">
        <v>5946107</v>
      </c>
      <c r="F241" s="12" t="s">
        <v>5807</v>
      </c>
      <c r="G241" s="2" t="s">
        <v>755</v>
      </c>
      <c r="H241" s="12" t="s">
        <v>756</v>
      </c>
      <c r="I241" s="86">
        <v>42326</v>
      </c>
      <c r="J241" s="86">
        <v>45614</v>
      </c>
      <c r="K241" s="12" t="s">
        <v>123</v>
      </c>
      <c r="L241" s="12" t="s">
        <v>1508</v>
      </c>
    </row>
    <row r="242" spans="1:12">
      <c r="A242" s="12">
        <f t="shared" si="3"/>
        <v>240</v>
      </c>
      <c r="B242" s="12" t="s">
        <v>5808</v>
      </c>
      <c r="C242" s="12" t="s">
        <v>4287</v>
      </c>
      <c r="D242" s="85">
        <v>962.01</v>
      </c>
      <c r="E242" s="6">
        <v>6082734</v>
      </c>
      <c r="F242" s="12" t="s">
        <v>5809</v>
      </c>
      <c r="G242" s="2" t="s">
        <v>755</v>
      </c>
      <c r="H242" s="12" t="s">
        <v>756</v>
      </c>
      <c r="I242" s="86">
        <v>42503</v>
      </c>
      <c r="J242" s="86">
        <v>45790</v>
      </c>
      <c r="K242" s="12" t="s">
        <v>274</v>
      </c>
      <c r="L242" s="12" t="s">
        <v>4003</v>
      </c>
    </row>
    <row r="243" spans="1:12">
      <c r="A243" s="12">
        <f t="shared" si="3"/>
        <v>241</v>
      </c>
      <c r="B243" s="12" t="s">
        <v>5810</v>
      </c>
      <c r="C243" s="12" t="s">
        <v>874</v>
      </c>
      <c r="D243" s="85">
        <v>5386.13</v>
      </c>
      <c r="E243" s="6">
        <v>5529123</v>
      </c>
      <c r="F243" s="12" t="s">
        <v>5811</v>
      </c>
      <c r="G243" s="2" t="s">
        <v>755</v>
      </c>
      <c r="H243" s="12" t="s">
        <v>756</v>
      </c>
      <c r="I243" s="86">
        <v>42415</v>
      </c>
      <c r="J243" s="86">
        <v>45703</v>
      </c>
      <c r="K243" s="12" t="s">
        <v>233</v>
      </c>
      <c r="L243" s="12" t="s">
        <v>5031</v>
      </c>
    </row>
    <row r="244" spans="1:12">
      <c r="A244" s="12">
        <f t="shared" si="3"/>
        <v>242</v>
      </c>
      <c r="B244" s="12" t="s">
        <v>5812</v>
      </c>
      <c r="C244" s="12" t="s">
        <v>1200</v>
      </c>
      <c r="D244" s="85">
        <v>6035.06</v>
      </c>
      <c r="E244" s="6">
        <v>5909805</v>
      </c>
      <c r="F244" s="12" t="s">
        <v>5813</v>
      </c>
      <c r="G244" s="2" t="s">
        <v>755</v>
      </c>
      <c r="H244" s="12" t="s">
        <v>756</v>
      </c>
      <c r="I244" s="86">
        <v>42318</v>
      </c>
      <c r="J244" s="86">
        <v>45606</v>
      </c>
      <c r="K244" s="12" t="s">
        <v>170</v>
      </c>
      <c r="L244" s="12" t="s">
        <v>5814</v>
      </c>
    </row>
    <row r="245" spans="1:12">
      <c r="A245" s="12">
        <f t="shared" si="3"/>
        <v>243</v>
      </c>
      <c r="B245" s="12" t="s">
        <v>5815</v>
      </c>
      <c r="C245" s="12" t="s">
        <v>4389</v>
      </c>
      <c r="D245" s="85">
        <v>9575.68</v>
      </c>
      <c r="E245" s="6">
        <v>6099068</v>
      </c>
      <c r="F245" s="12" t="s">
        <v>5816</v>
      </c>
      <c r="G245" s="2" t="s">
        <v>755</v>
      </c>
      <c r="H245" s="12" t="s">
        <v>756</v>
      </c>
      <c r="I245" s="86">
        <v>42327</v>
      </c>
      <c r="J245" s="86">
        <v>45615</v>
      </c>
      <c r="K245" s="12" t="s">
        <v>375</v>
      </c>
      <c r="L245" s="12" t="s">
        <v>3086</v>
      </c>
    </row>
    <row r="246" spans="1:12">
      <c r="A246" s="12">
        <f t="shared" si="3"/>
        <v>244</v>
      </c>
      <c r="B246" s="12" t="s">
        <v>5817</v>
      </c>
      <c r="C246" s="12" t="s">
        <v>5818</v>
      </c>
      <c r="D246" s="85">
        <v>6158.19</v>
      </c>
      <c r="E246" s="6">
        <v>2718391</v>
      </c>
      <c r="F246" s="12" t="s">
        <v>5819</v>
      </c>
      <c r="G246" s="2" t="s">
        <v>755</v>
      </c>
      <c r="H246" s="12" t="s">
        <v>756</v>
      </c>
      <c r="I246" s="86">
        <v>42348</v>
      </c>
      <c r="J246" s="86">
        <v>45636</v>
      </c>
      <c r="K246" s="12" t="s">
        <v>293</v>
      </c>
      <c r="L246" s="12" t="s">
        <v>815</v>
      </c>
    </row>
    <row r="247" spans="1:12" ht="38.25">
      <c r="A247" s="12">
        <f t="shared" si="3"/>
        <v>245</v>
      </c>
      <c r="B247" s="12" t="s">
        <v>5820</v>
      </c>
      <c r="C247" s="12" t="s">
        <v>5821</v>
      </c>
      <c r="D247" s="85">
        <v>14575.13</v>
      </c>
      <c r="E247" s="6">
        <v>5513901</v>
      </c>
      <c r="F247" s="12" t="s">
        <v>5822</v>
      </c>
      <c r="G247" s="2" t="s">
        <v>848</v>
      </c>
      <c r="H247" s="12" t="s">
        <v>849</v>
      </c>
      <c r="I247" s="86">
        <v>42503</v>
      </c>
      <c r="J247" s="86">
        <v>45790</v>
      </c>
      <c r="K247" s="12" t="s">
        <v>233</v>
      </c>
      <c r="L247" s="12" t="s">
        <v>234</v>
      </c>
    </row>
    <row r="248" spans="1:12">
      <c r="A248" s="12">
        <f t="shared" si="3"/>
        <v>246</v>
      </c>
      <c r="B248" s="12" t="s">
        <v>5823</v>
      </c>
      <c r="C248" s="12" t="s">
        <v>4203</v>
      </c>
      <c r="D248" s="85">
        <v>7817.26</v>
      </c>
      <c r="E248" s="6">
        <v>5183154</v>
      </c>
      <c r="F248" s="12" t="s">
        <v>4204</v>
      </c>
      <c r="G248" s="2" t="s">
        <v>755</v>
      </c>
      <c r="H248" s="12" t="s">
        <v>756</v>
      </c>
      <c r="I248" s="86">
        <v>42472</v>
      </c>
      <c r="J248" s="86">
        <v>45759</v>
      </c>
      <c r="K248" s="12" t="s">
        <v>274</v>
      </c>
      <c r="L248" s="12" t="s">
        <v>874</v>
      </c>
    </row>
    <row r="249" spans="1:12">
      <c r="A249" s="12">
        <f t="shared" si="3"/>
        <v>247</v>
      </c>
      <c r="B249" s="12" t="s">
        <v>5824</v>
      </c>
      <c r="C249" s="12" t="s">
        <v>5004</v>
      </c>
      <c r="D249" s="85">
        <v>314.37</v>
      </c>
      <c r="E249" s="6">
        <v>6058132</v>
      </c>
      <c r="F249" s="12" t="s">
        <v>5825</v>
      </c>
      <c r="G249" s="2" t="s">
        <v>755</v>
      </c>
      <c r="H249" s="12" t="s">
        <v>756</v>
      </c>
      <c r="I249" s="86">
        <v>42331</v>
      </c>
      <c r="J249" s="86">
        <v>45619</v>
      </c>
      <c r="K249" s="12" t="s">
        <v>375</v>
      </c>
      <c r="L249" s="12" t="s">
        <v>4135</v>
      </c>
    </row>
    <row r="250" spans="1:12">
      <c r="A250" s="12">
        <f t="shared" si="3"/>
        <v>248</v>
      </c>
      <c r="B250" s="12" t="s">
        <v>5826</v>
      </c>
      <c r="C250" s="12" t="s">
        <v>5827</v>
      </c>
      <c r="D250" s="85">
        <v>931.88</v>
      </c>
      <c r="E250" s="6">
        <v>8332959</v>
      </c>
      <c r="F250" s="12" t="s">
        <v>5828</v>
      </c>
      <c r="G250" s="2" t="s">
        <v>755</v>
      </c>
      <c r="H250" s="12" t="s">
        <v>756</v>
      </c>
      <c r="I250" s="86">
        <v>42403</v>
      </c>
      <c r="J250" s="86">
        <v>45691</v>
      </c>
      <c r="K250" s="12" t="s">
        <v>274</v>
      </c>
      <c r="L250" s="12" t="s">
        <v>4003</v>
      </c>
    </row>
    <row r="251" spans="1:12">
      <c r="A251" s="12">
        <f t="shared" si="3"/>
        <v>249</v>
      </c>
      <c r="B251" s="12" t="s">
        <v>5829</v>
      </c>
      <c r="C251" s="12" t="s">
        <v>5830</v>
      </c>
      <c r="D251" s="85">
        <v>330.43</v>
      </c>
      <c r="E251" s="6">
        <v>5935113</v>
      </c>
      <c r="F251" s="12" t="s">
        <v>5831</v>
      </c>
      <c r="G251" s="2" t="s">
        <v>755</v>
      </c>
      <c r="H251" s="12" t="s">
        <v>756</v>
      </c>
      <c r="I251" s="86">
        <v>42331</v>
      </c>
      <c r="J251" s="86">
        <v>45619</v>
      </c>
      <c r="K251" s="12" t="s">
        <v>170</v>
      </c>
      <c r="L251" s="12" t="s">
        <v>811</v>
      </c>
    </row>
    <row r="252" spans="1:12" ht="38.25">
      <c r="A252" s="12">
        <f t="shared" si="3"/>
        <v>250</v>
      </c>
      <c r="B252" s="12" t="s">
        <v>5832</v>
      </c>
      <c r="C252" s="12" t="s">
        <v>5833</v>
      </c>
      <c r="D252" s="85">
        <v>5597.68</v>
      </c>
      <c r="E252" s="6">
        <v>6309291</v>
      </c>
      <c r="F252" s="12" t="s">
        <v>5834</v>
      </c>
      <c r="G252" s="2" t="s">
        <v>848</v>
      </c>
      <c r="H252" s="12" t="s">
        <v>849</v>
      </c>
      <c r="I252" s="86">
        <v>42318</v>
      </c>
      <c r="J252" s="86">
        <v>45606</v>
      </c>
      <c r="K252" s="12" t="s">
        <v>375</v>
      </c>
      <c r="L252" s="12" t="s">
        <v>944</v>
      </c>
    </row>
    <row r="253" spans="1:12">
      <c r="A253" s="12">
        <f t="shared" si="3"/>
        <v>251</v>
      </c>
      <c r="B253" s="12" t="s">
        <v>5835</v>
      </c>
      <c r="C253" s="12" t="s">
        <v>1682</v>
      </c>
      <c r="D253" s="85">
        <v>1289.18</v>
      </c>
      <c r="E253" s="6">
        <v>6140327</v>
      </c>
      <c r="F253" s="12" t="s">
        <v>5836</v>
      </c>
      <c r="G253" s="2" t="s">
        <v>755</v>
      </c>
      <c r="H253" s="12" t="s">
        <v>756</v>
      </c>
      <c r="I253" s="86">
        <v>42524</v>
      </c>
      <c r="J253" s="86">
        <v>45811</v>
      </c>
      <c r="K253" s="12" t="s">
        <v>274</v>
      </c>
      <c r="L253" s="12" t="s">
        <v>3186</v>
      </c>
    </row>
    <row r="254" spans="1:12">
      <c r="A254" s="12">
        <f t="shared" si="3"/>
        <v>252</v>
      </c>
      <c r="B254" s="12" t="s">
        <v>5837</v>
      </c>
      <c r="C254" s="12" t="s">
        <v>5838</v>
      </c>
      <c r="D254" s="85">
        <v>4092.62</v>
      </c>
      <c r="E254" s="6">
        <v>5961866</v>
      </c>
      <c r="F254" s="12" t="s">
        <v>5775</v>
      </c>
      <c r="G254" s="2" t="s">
        <v>755</v>
      </c>
      <c r="H254" s="12" t="s">
        <v>756</v>
      </c>
      <c r="I254" s="86">
        <v>42429</v>
      </c>
      <c r="J254" s="86">
        <v>45716</v>
      </c>
      <c r="K254" s="12" t="s">
        <v>293</v>
      </c>
      <c r="L254" s="12" t="s">
        <v>1315</v>
      </c>
    </row>
    <row r="255" spans="1:12">
      <c r="A255" s="12">
        <f t="shared" si="3"/>
        <v>253</v>
      </c>
      <c r="B255" s="12" t="s">
        <v>5839</v>
      </c>
      <c r="C255" s="12" t="s">
        <v>5840</v>
      </c>
      <c r="D255" s="85">
        <v>614.61</v>
      </c>
      <c r="E255" s="6">
        <v>5955343</v>
      </c>
      <c r="F255" s="12" t="s">
        <v>5841</v>
      </c>
      <c r="G255" s="2" t="s">
        <v>755</v>
      </c>
      <c r="H255" s="12" t="s">
        <v>756</v>
      </c>
      <c r="I255" s="86">
        <v>42472</v>
      </c>
      <c r="J255" s="86">
        <v>45759</v>
      </c>
      <c r="K255" s="12" t="s">
        <v>274</v>
      </c>
      <c r="L255" s="12" t="s">
        <v>3914</v>
      </c>
    </row>
    <row r="256" spans="1:12">
      <c r="A256" s="12">
        <f t="shared" si="3"/>
        <v>254</v>
      </c>
      <c r="B256" s="12" t="s">
        <v>5842</v>
      </c>
      <c r="C256" s="12" t="s">
        <v>4426</v>
      </c>
      <c r="D256" s="85">
        <v>2503.1799999999998</v>
      </c>
      <c r="E256" s="6">
        <v>6169317</v>
      </c>
      <c r="F256" s="12" t="s">
        <v>5201</v>
      </c>
      <c r="G256" s="2" t="s">
        <v>755</v>
      </c>
      <c r="H256" s="12" t="s">
        <v>756</v>
      </c>
      <c r="I256" s="86">
        <v>42390</v>
      </c>
      <c r="J256" s="86">
        <v>45678</v>
      </c>
      <c r="K256" s="12" t="s">
        <v>293</v>
      </c>
      <c r="L256" s="12" t="s">
        <v>827</v>
      </c>
    </row>
    <row r="257" spans="1:12">
      <c r="A257" s="12">
        <f t="shared" si="3"/>
        <v>255</v>
      </c>
      <c r="B257" s="12" t="s">
        <v>5843</v>
      </c>
      <c r="C257" s="12" t="s">
        <v>5844</v>
      </c>
      <c r="D257" s="85">
        <v>4937.67</v>
      </c>
      <c r="E257" s="6">
        <v>5961254</v>
      </c>
      <c r="F257" s="12" t="s">
        <v>5845</v>
      </c>
      <c r="G257" s="2" t="s">
        <v>755</v>
      </c>
      <c r="H257" s="12" t="s">
        <v>756</v>
      </c>
      <c r="I257" s="86">
        <v>42340</v>
      </c>
      <c r="J257" s="86">
        <v>45628</v>
      </c>
      <c r="K257" s="12" t="s">
        <v>304</v>
      </c>
      <c r="L257" s="12" t="s">
        <v>1634</v>
      </c>
    </row>
    <row r="258" spans="1:12">
      <c r="A258" s="12">
        <f t="shared" si="3"/>
        <v>256</v>
      </c>
      <c r="B258" s="12" t="s">
        <v>5846</v>
      </c>
      <c r="C258" s="12" t="s">
        <v>874</v>
      </c>
      <c r="D258" s="85">
        <v>11987.31</v>
      </c>
      <c r="E258" s="6">
        <v>5980194</v>
      </c>
      <c r="F258" s="12" t="s">
        <v>5847</v>
      </c>
      <c r="G258" s="2" t="s">
        <v>755</v>
      </c>
      <c r="H258" s="12" t="s">
        <v>756</v>
      </c>
      <c r="I258" s="86">
        <v>42318</v>
      </c>
      <c r="J258" s="86">
        <v>45606</v>
      </c>
      <c r="K258" s="12" t="s">
        <v>293</v>
      </c>
      <c r="L258" s="12" t="s">
        <v>5796</v>
      </c>
    </row>
    <row r="259" spans="1:12">
      <c r="A259" s="12">
        <f t="shared" si="3"/>
        <v>257</v>
      </c>
      <c r="B259" s="12" t="s">
        <v>5848</v>
      </c>
      <c r="C259" s="12" t="s">
        <v>2444</v>
      </c>
      <c r="D259" s="85">
        <v>5255.59</v>
      </c>
      <c r="E259" s="6">
        <v>5947413</v>
      </c>
      <c r="F259" s="12" t="s">
        <v>5849</v>
      </c>
      <c r="G259" s="2" t="s">
        <v>755</v>
      </c>
      <c r="H259" s="12" t="s">
        <v>756</v>
      </c>
      <c r="I259" s="86">
        <v>42347</v>
      </c>
      <c r="J259" s="86">
        <v>45635</v>
      </c>
      <c r="K259" s="12" t="s">
        <v>170</v>
      </c>
      <c r="L259" s="12" t="s">
        <v>2444</v>
      </c>
    </row>
    <row r="260" spans="1:12">
      <c r="A260" s="12">
        <f t="shared" si="3"/>
        <v>258</v>
      </c>
      <c r="B260" s="12" t="s">
        <v>5850</v>
      </c>
      <c r="C260" s="12" t="s">
        <v>5851</v>
      </c>
      <c r="D260" s="85">
        <v>2425.4899999999998</v>
      </c>
      <c r="E260" s="6">
        <v>5508762</v>
      </c>
      <c r="F260" s="12" t="s">
        <v>5852</v>
      </c>
      <c r="G260" s="2" t="s">
        <v>755</v>
      </c>
      <c r="H260" s="12" t="s">
        <v>756</v>
      </c>
      <c r="I260" s="86">
        <v>42447</v>
      </c>
      <c r="J260" s="86">
        <v>45734</v>
      </c>
      <c r="K260" s="12" t="s">
        <v>293</v>
      </c>
      <c r="L260" s="12" t="s">
        <v>815</v>
      </c>
    </row>
    <row r="261" spans="1:12">
      <c r="A261" s="12">
        <f t="shared" ref="A261:A324" si="4">A260+1</f>
        <v>259</v>
      </c>
      <c r="B261" s="12" t="s">
        <v>5853</v>
      </c>
      <c r="C261" s="12" t="s">
        <v>2573</v>
      </c>
      <c r="D261" s="85">
        <v>1610.81</v>
      </c>
      <c r="E261" s="6">
        <v>5603455</v>
      </c>
      <c r="F261" s="12" t="s">
        <v>5854</v>
      </c>
      <c r="G261" s="2" t="s">
        <v>755</v>
      </c>
      <c r="H261" s="12" t="s">
        <v>756</v>
      </c>
      <c r="I261" s="86">
        <v>42459</v>
      </c>
      <c r="J261" s="86">
        <v>45746</v>
      </c>
      <c r="K261" s="12" t="s">
        <v>233</v>
      </c>
      <c r="L261" s="12" t="s">
        <v>5031</v>
      </c>
    </row>
    <row r="262" spans="1:12">
      <c r="A262" s="12">
        <f t="shared" si="4"/>
        <v>260</v>
      </c>
      <c r="B262" s="12" t="s">
        <v>5855</v>
      </c>
      <c r="C262" s="12" t="s">
        <v>4342</v>
      </c>
      <c r="D262" s="85">
        <v>5107.97</v>
      </c>
      <c r="E262" s="6">
        <v>6146511</v>
      </c>
      <c r="F262" s="12" t="s">
        <v>5856</v>
      </c>
      <c r="G262" s="2" t="s">
        <v>755</v>
      </c>
      <c r="H262" s="12" t="s">
        <v>756</v>
      </c>
      <c r="I262" s="86">
        <v>42340</v>
      </c>
      <c r="J262" s="86">
        <v>45628</v>
      </c>
      <c r="K262" s="12" t="s">
        <v>123</v>
      </c>
      <c r="L262" s="12" t="s">
        <v>1256</v>
      </c>
    </row>
    <row r="263" spans="1:12">
      <c r="A263" s="12">
        <f t="shared" si="4"/>
        <v>261</v>
      </c>
      <c r="B263" s="12" t="s">
        <v>5857</v>
      </c>
      <c r="C263" s="12" t="s">
        <v>856</v>
      </c>
      <c r="D263" s="85">
        <v>1705.57</v>
      </c>
      <c r="E263" s="6">
        <v>5849314</v>
      </c>
      <c r="F263" s="12" t="s">
        <v>5039</v>
      </c>
      <c r="G263" s="2" t="s">
        <v>755</v>
      </c>
      <c r="H263" s="12" t="s">
        <v>756</v>
      </c>
      <c r="I263" s="86">
        <v>42579</v>
      </c>
      <c r="J263" s="86">
        <v>45866</v>
      </c>
      <c r="K263" s="12" t="s">
        <v>123</v>
      </c>
      <c r="L263" s="12" t="s">
        <v>272</v>
      </c>
    </row>
    <row r="264" spans="1:12">
      <c r="A264" s="12">
        <f t="shared" si="4"/>
        <v>262</v>
      </c>
      <c r="B264" s="12" t="s">
        <v>5858</v>
      </c>
      <c r="C264" s="12" t="s">
        <v>5859</v>
      </c>
      <c r="D264" s="85">
        <v>2290.86</v>
      </c>
      <c r="E264" s="6">
        <v>5857066</v>
      </c>
      <c r="F264" s="12" t="s">
        <v>5496</v>
      </c>
      <c r="G264" s="2" t="s">
        <v>755</v>
      </c>
      <c r="H264" s="12" t="s">
        <v>756</v>
      </c>
      <c r="I264" s="86">
        <v>42345</v>
      </c>
      <c r="J264" s="86">
        <v>45633</v>
      </c>
      <c r="K264" s="12" t="s">
        <v>293</v>
      </c>
      <c r="L264" s="12" t="s">
        <v>181</v>
      </c>
    </row>
    <row r="265" spans="1:12">
      <c r="A265" s="12">
        <f t="shared" si="4"/>
        <v>263</v>
      </c>
      <c r="B265" s="12" t="s">
        <v>5860</v>
      </c>
      <c r="C265" s="12" t="s">
        <v>4003</v>
      </c>
      <c r="D265" s="85">
        <v>1979.43</v>
      </c>
      <c r="E265" s="6">
        <v>5571138</v>
      </c>
      <c r="F265" s="12" t="s">
        <v>5861</v>
      </c>
      <c r="G265" s="2" t="s">
        <v>755</v>
      </c>
      <c r="H265" s="12" t="s">
        <v>756</v>
      </c>
      <c r="I265" s="86">
        <v>42459</v>
      </c>
      <c r="J265" s="86">
        <v>45746</v>
      </c>
      <c r="K265" s="12" t="s">
        <v>274</v>
      </c>
      <c r="L265" s="12" t="s">
        <v>4003</v>
      </c>
    </row>
    <row r="266" spans="1:12">
      <c r="A266" s="12">
        <f t="shared" si="4"/>
        <v>264</v>
      </c>
      <c r="B266" s="12" t="s">
        <v>5862</v>
      </c>
      <c r="C266" s="12" t="s">
        <v>4883</v>
      </c>
      <c r="D266" s="85">
        <v>573.79</v>
      </c>
      <c r="E266" s="6">
        <v>5162696</v>
      </c>
      <c r="F266" s="12" t="s">
        <v>4884</v>
      </c>
      <c r="G266" s="2" t="s">
        <v>755</v>
      </c>
      <c r="H266" s="12" t="s">
        <v>756</v>
      </c>
      <c r="I266" s="86">
        <v>42586</v>
      </c>
      <c r="J266" s="86">
        <v>45873</v>
      </c>
      <c r="K266" s="12" t="s">
        <v>274</v>
      </c>
      <c r="L266" s="12" t="s">
        <v>874</v>
      </c>
    </row>
    <row r="267" spans="1:12">
      <c r="A267" s="12">
        <f t="shared" si="4"/>
        <v>265</v>
      </c>
      <c r="B267" s="12" t="s">
        <v>5863</v>
      </c>
      <c r="C267" s="12" t="s">
        <v>124</v>
      </c>
      <c r="D267" s="85">
        <v>1533.31</v>
      </c>
      <c r="E267" s="6">
        <v>6169252</v>
      </c>
      <c r="F267" s="12" t="s">
        <v>5864</v>
      </c>
      <c r="G267" s="2" t="s">
        <v>755</v>
      </c>
      <c r="H267" s="12" t="s">
        <v>756</v>
      </c>
      <c r="I267" s="86">
        <v>42586</v>
      </c>
      <c r="J267" s="86">
        <v>45873</v>
      </c>
      <c r="K267" s="12" t="s">
        <v>293</v>
      </c>
      <c r="L267" s="12" t="s">
        <v>815</v>
      </c>
    </row>
    <row r="268" spans="1:12">
      <c r="A268" s="12">
        <f t="shared" si="4"/>
        <v>266</v>
      </c>
      <c r="B268" s="12" t="s">
        <v>5865</v>
      </c>
      <c r="C268" s="12" t="s">
        <v>4426</v>
      </c>
      <c r="D268" s="85">
        <v>3761.3</v>
      </c>
      <c r="E268" s="6">
        <v>5233739</v>
      </c>
      <c r="F268" s="12" t="s">
        <v>5866</v>
      </c>
      <c r="G268" s="2" t="s">
        <v>755</v>
      </c>
      <c r="H268" s="12" t="s">
        <v>756</v>
      </c>
      <c r="I268" s="86">
        <v>42348</v>
      </c>
      <c r="J268" s="86">
        <v>45636</v>
      </c>
      <c r="K268" s="12" t="s">
        <v>170</v>
      </c>
      <c r="L268" s="12" t="s">
        <v>2444</v>
      </c>
    </row>
    <row r="269" spans="1:12">
      <c r="A269" s="12">
        <f t="shared" si="4"/>
        <v>267</v>
      </c>
      <c r="B269" s="12" t="s">
        <v>5867</v>
      </c>
      <c r="C269" s="12" t="s">
        <v>1218</v>
      </c>
      <c r="D269" s="85">
        <v>538.04999999999995</v>
      </c>
      <c r="E269" s="6">
        <v>6002129</v>
      </c>
      <c r="F269" s="12" t="s">
        <v>5868</v>
      </c>
      <c r="G269" s="2" t="s">
        <v>755</v>
      </c>
      <c r="H269" s="12" t="s">
        <v>756</v>
      </c>
      <c r="I269" s="86">
        <v>42578</v>
      </c>
      <c r="J269" s="86">
        <v>45865</v>
      </c>
      <c r="K269" s="12" t="s">
        <v>274</v>
      </c>
      <c r="L269" s="12" t="s">
        <v>874</v>
      </c>
    </row>
    <row r="270" spans="1:12">
      <c r="A270" s="12">
        <f t="shared" si="4"/>
        <v>268</v>
      </c>
      <c r="B270" s="12" t="s">
        <v>5869</v>
      </c>
      <c r="C270" s="12" t="s">
        <v>5870</v>
      </c>
      <c r="D270" s="85">
        <v>1026.33</v>
      </c>
      <c r="E270" s="6">
        <v>5996252</v>
      </c>
      <c r="F270" s="12" t="s">
        <v>5871</v>
      </c>
      <c r="G270" s="2" t="s">
        <v>755</v>
      </c>
      <c r="H270" s="12" t="s">
        <v>756</v>
      </c>
      <c r="I270" s="86">
        <v>42571</v>
      </c>
      <c r="J270" s="86">
        <v>45858</v>
      </c>
      <c r="K270" s="12" t="s">
        <v>2670</v>
      </c>
      <c r="L270" s="12" t="s">
        <v>5872</v>
      </c>
    </row>
    <row r="271" spans="1:12">
      <c r="A271" s="12">
        <f t="shared" si="4"/>
        <v>269</v>
      </c>
      <c r="B271" s="12" t="s">
        <v>5873</v>
      </c>
      <c r="C271" s="12" t="s">
        <v>5874</v>
      </c>
      <c r="D271" s="85">
        <v>744.14</v>
      </c>
      <c r="E271" s="6">
        <v>8374007</v>
      </c>
      <c r="F271" s="12" t="s">
        <v>5875</v>
      </c>
      <c r="G271" s="2" t="s">
        <v>755</v>
      </c>
      <c r="H271" s="12" t="s">
        <v>756</v>
      </c>
      <c r="I271" s="86">
        <v>42360</v>
      </c>
      <c r="J271" s="86">
        <v>45648</v>
      </c>
      <c r="K271" s="12" t="s">
        <v>375</v>
      </c>
      <c r="L271" s="12" t="s">
        <v>2649</v>
      </c>
    </row>
    <row r="272" spans="1:12">
      <c r="A272" s="12">
        <f t="shared" si="4"/>
        <v>270</v>
      </c>
      <c r="B272" s="12" t="s">
        <v>5876</v>
      </c>
      <c r="C272" s="12" t="s">
        <v>4426</v>
      </c>
      <c r="D272" s="85">
        <v>9532.85</v>
      </c>
      <c r="E272" s="6">
        <v>5109264</v>
      </c>
      <c r="F272" s="12" t="s">
        <v>5877</v>
      </c>
      <c r="G272" s="2" t="s">
        <v>755</v>
      </c>
      <c r="H272" s="12" t="s">
        <v>756</v>
      </c>
      <c r="I272" s="86">
        <v>42384</v>
      </c>
      <c r="J272" s="86">
        <v>45672</v>
      </c>
      <c r="K272" s="12" t="s">
        <v>170</v>
      </c>
      <c r="L272" s="12" t="s">
        <v>1023</v>
      </c>
    </row>
    <row r="273" spans="1:12" ht="38.25">
      <c r="A273" s="12">
        <f t="shared" si="4"/>
        <v>271</v>
      </c>
      <c r="B273" s="12" t="s">
        <v>5878</v>
      </c>
      <c r="C273" s="12" t="s">
        <v>5879</v>
      </c>
      <c r="D273" s="85">
        <v>17952.23</v>
      </c>
      <c r="E273" s="6">
        <v>5767865</v>
      </c>
      <c r="F273" s="12" t="s">
        <v>5880</v>
      </c>
      <c r="G273" s="2" t="s">
        <v>848</v>
      </c>
      <c r="H273" s="12" t="s">
        <v>849</v>
      </c>
      <c r="I273" s="86">
        <v>42419</v>
      </c>
      <c r="J273" s="86">
        <v>45707</v>
      </c>
      <c r="K273" s="12" t="s">
        <v>375</v>
      </c>
      <c r="L273" s="12" t="s">
        <v>3086</v>
      </c>
    </row>
    <row r="274" spans="1:12">
      <c r="A274" s="12">
        <f t="shared" si="4"/>
        <v>272</v>
      </c>
      <c r="B274" s="12" t="s">
        <v>5881</v>
      </c>
      <c r="C274" s="12" t="s">
        <v>874</v>
      </c>
      <c r="D274" s="85">
        <v>1047.71</v>
      </c>
      <c r="E274" s="6">
        <v>5318904</v>
      </c>
      <c r="F274" s="12" t="s">
        <v>5882</v>
      </c>
      <c r="G274" s="2" t="s">
        <v>755</v>
      </c>
      <c r="H274" s="12" t="s">
        <v>756</v>
      </c>
      <c r="I274" s="86">
        <v>42578</v>
      </c>
      <c r="J274" s="86">
        <v>45865</v>
      </c>
      <c r="K274" s="12" t="s">
        <v>274</v>
      </c>
      <c r="L274" s="12" t="s">
        <v>874</v>
      </c>
    </row>
    <row r="275" spans="1:12">
      <c r="A275" s="12">
        <f t="shared" si="4"/>
        <v>273</v>
      </c>
      <c r="B275" s="12" t="s">
        <v>5883</v>
      </c>
      <c r="C275" s="12" t="s">
        <v>3508</v>
      </c>
      <c r="D275" s="85">
        <v>326.66000000000003</v>
      </c>
      <c r="E275" s="6">
        <v>5194997</v>
      </c>
      <c r="F275" s="12" t="s">
        <v>5234</v>
      </c>
      <c r="G275" s="2" t="s">
        <v>755</v>
      </c>
      <c r="H275" s="12" t="s">
        <v>756</v>
      </c>
      <c r="I275" s="86">
        <v>42348</v>
      </c>
      <c r="J275" s="86">
        <v>45636</v>
      </c>
      <c r="K275" s="12" t="s">
        <v>170</v>
      </c>
      <c r="L275" s="12" t="s">
        <v>205</v>
      </c>
    </row>
    <row r="276" spans="1:12" ht="38.25">
      <c r="A276" s="12">
        <f t="shared" si="4"/>
        <v>274</v>
      </c>
      <c r="B276" s="12" t="s">
        <v>5884</v>
      </c>
      <c r="C276" s="12" t="s">
        <v>5885</v>
      </c>
      <c r="D276" s="85">
        <v>1314.97</v>
      </c>
      <c r="E276" s="6">
        <v>5767865</v>
      </c>
      <c r="F276" s="12" t="s">
        <v>5880</v>
      </c>
      <c r="G276" s="2" t="s">
        <v>848</v>
      </c>
      <c r="H276" s="12" t="s">
        <v>849</v>
      </c>
      <c r="I276" s="86">
        <v>42349</v>
      </c>
      <c r="J276" s="86">
        <v>45637</v>
      </c>
      <c r="K276" s="12" t="s">
        <v>233</v>
      </c>
      <c r="L276" s="12" t="s">
        <v>252</v>
      </c>
    </row>
    <row r="277" spans="1:12">
      <c r="A277" s="12">
        <f t="shared" si="4"/>
        <v>275</v>
      </c>
      <c r="B277" s="12" t="s">
        <v>5886</v>
      </c>
      <c r="C277" s="12" t="s">
        <v>4323</v>
      </c>
      <c r="D277" s="85">
        <v>19454.45</v>
      </c>
      <c r="E277" s="6">
        <v>5255791</v>
      </c>
      <c r="F277" s="12" t="s">
        <v>5887</v>
      </c>
      <c r="G277" s="2" t="s">
        <v>755</v>
      </c>
      <c r="H277" s="12" t="s">
        <v>756</v>
      </c>
      <c r="I277" s="86">
        <v>42353</v>
      </c>
      <c r="J277" s="86">
        <v>45641</v>
      </c>
      <c r="K277" s="12" t="s">
        <v>170</v>
      </c>
      <c r="L277" s="12" t="s">
        <v>5888</v>
      </c>
    </row>
    <row r="278" spans="1:12">
      <c r="A278" s="12">
        <f t="shared" si="4"/>
        <v>276</v>
      </c>
      <c r="B278" s="12" t="s">
        <v>5889</v>
      </c>
      <c r="C278" s="12" t="s">
        <v>5890</v>
      </c>
      <c r="D278" s="85">
        <v>4030.62</v>
      </c>
      <c r="E278" s="6">
        <v>5955963</v>
      </c>
      <c r="F278" s="12" t="s">
        <v>5891</v>
      </c>
      <c r="G278" s="2" t="s">
        <v>755</v>
      </c>
      <c r="H278" s="12" t="s">
        <v>756</v>
      </c>
      <c r="I278" s="86">
        <v>42347</v>
      </c>
      <c r="J278" s="86">
        <v>45635</v>
      </c>
      <c r="K278" s="12" t="s">
        <v>170</v>
      </c>
      <c r="L278" s="12" t="s">
        <v>2444</v>
      </c>
    </row>
    <row r="279" spans="1:12">
      <c r="A279" s="12">
        <f t="shared" si="4"/>
        <v>277</v>
      </c>
      <c r="B279" s="12" t="s">
        <v>5892</v>
      </c>
      <c r="C279" s="12" t="s">
        <v>5893</v>
      </c>
      <c r="D279" s="85">
        <v>2416.17</v>
      </c>
      <c r="E279" s="6">
        <v>8345503</v>
      </c>
      <c r="F279" s="12" t="s">
        <v>5894</v>
      </c>
      <c r="G279" s="2" t="s">
        <v>755</v>
      </c>
      <c r="H279" s="12" t="s">
        <v>756</v>
      </c>
      <c r="I279" s="86">
        <v>42578</v>
      </c>
      <c r="J279" s="86">
        <v>45865</v>
      </c>
      <c r="K279" s="12" t="s">
        <v>274</v>
      </c>
      <c r="L279" s="12" t="s">
        <v>4003</v>
      </c>
    </row>
    <row r="280" spans="1:12" ht="38.25">
      <c r="A280" s="12">
        <f t="shared" si="4"/>
        <v>278</v>
      </c>
      <c r="B280" s="12" t="s">
        <v>5895</v>
      </c>
      <c r="C280" s="12" t="s">
        <v>5896</v>
      </c>
      <c r="D280" s="85">
        <v>10856.64</v>
      </c>
      <c r="E280" s="6">
        <v>5767865</v>
      </c>
      <c r="F280" s="12" t="s">
        <v>5880</v>
      </c>
      <c r="G280" s="2" t="s">
        <v>848</v>
      </c>
      <c r="H280" s="12" t="s">
        <v>849</v>
      </c>
      <c r="I280" s="86">
        <v>42509</v>
      </c>
      <c r="J280" s="86">
        <v>45796</v>
      </c>
      <c r="K280" s="12" t="s">
        <v>375</v>
      </c>
      <c r="L280" s="12" t="s">
        <v>3086</v>
      </c>
    </row>
    <row r="281" spans="1:12">
      <c r="A281" s="12">
        <f t="shared" si="4"/>
        <v>279</v>
      </c>
      <c r="B281" s="12" t="s">
        <v>5897</v>
      </c>
      <c r="C281" s="12" t="s">
        <v>5898</v>
      </c>
      <c r="D281" s="85">
        <v>1174.8900000000001</v>
      </c>
      <c r="E281" s="6">
        <v>5181453</v>
      </c>
      <c r="F281" s="12" t="s">
        <v>5899</v>
      </c>
      <c r="G281" s="2" t="s">
        <v>755</v>
      </c>
      <c r="H281" s="12" t="s">
        <v>756</v>
      </c>
      <c r="I281" s="86">
        <v>42373</v>
      </c>
      <c r="J281" s="86">
        <v>45661</v>
      </c>
      <c r="K281" s="12" t="s">
        <v>123</v>
      </c>
      <c r="L281" s="12" t="s">
        <v>272</v>
      </c>
    </row>
    <row r="282" spans="1:12">
      <c r="A282" s="12">
        <f t="shared" si="4"/>
        <v>280</v>
      </c>
      <c r="B282" s="12" t="s">
        <v>5900</v>
      </c>
      <c r="C282" s="12" t="s">
        <v>777</v>
      </c>
      <c r="D282" s="85">
        <v>1586.93</v>
      </c>
      <c r="E282" s="6">
        <v>5368456</v>
      </c>
      <c r="F282" s="12" t="s">
        <v>5901</v>
      </c>
      <c r="G282" s="2" t="s">
        <v>755</v>
      </c>
      <c r="H282" s="12" t="s">
        <v>756</v>
      </c>
      <c r="I282" s="86">
        <v>42488</v>
      </c>
      <c r="J282" s="86">
        <v>45775</v>
      </c>
      <c r="K282" s="12" t="s">
        <v>123</v>
      </c>
      <c r="L282" s="12" t="s">
        <v>3411</v>
      </c>
    </row>
    <row r="283" spans="1:12">
      <c r="A283" s="12">
        <f t="shared" si="4"/>
        <v>281</v>
      </c>
      <c r="B283" s="12" t="s">
        <v>5902</v>
      </c>
      <c r="C283" s="12" t="s">
        <v>3751</v>
      </c>
      <c r="D283" s="85">
        <v>4236.49</v>
      </c>
      <c r="E283" s="6">
        <v>5957869</v>
      </c>
      <c r="F283" s="12" t="s">
        <v>5903</v>
      </c>
      <c r="G283" s="2" t="s">
        <v>755</v>
      </c>
      <c r="H283" s="12" t="s">
        <v>756</v>
      </c>
      <c r="I283" s="86">
        <v>42353</v>
      </c>
      <c r="J283" s="86">
        <v>45641</v>
      </c>
      <c r="K283" s="12" t="s">
        <v>170</v>
      </c>
      <c r="L283" s="12" t="s">
        <v>1738</v>
      </c>
    </row>
    <row r="284" spans="1:12">
      <c r="A284" s="12">
        <f t="shared" si="4"/>
        <v>282</v>
      </c>
      <c r="B284" s="12" t="s">
        <v>5904</v>
      </c>
      <c r="C284" s="12" t="s">
        <v>1855</v>
      </c>
      <c r="D284" s="85">
        <v>1938.73</v>
      </c>
      <c r="E284" s="6">
        <v>5877539</v>
      </c>
      <c r="F284" s="12" t="s">
        <v>5905</v>
      </c>
      <c r="G284" s="2" t="s">
        <v>755</v>
      </c>
      <c r="H284" s="12" t="s">
        <v>756</v>
      </c>
      <c r="I284" s="86">
        <v>42360</v>
      </c>
      <c r="J284" s="86">
        <v>45648</v>
      </c>
      <c r="K284" s="12" t="s">
        <v>170</v>
      </c>
      <c r="L284" s="12" t="s">
        <v>280</v>
      </c>
    </row>
    <row r="285" spans="1:12">
      <c r="A285" s="12">
        <f t="shared" si="4"/>
        <v>283</v>
      </c>
      <c r="B285" s="12" t="s">
        <v>5906</v>
      </c>
      <c r="C285" s="12" t="s">
        <v>1374</v>
      </c>
      <c r="D285" s="85">
        <v>1914.53</v>
      </c>
      <c r="E285" s="6">
        <v>5678838</v>
      </c>
      <c r="F285" s="12" t="s">
        <v>5907</v>
      </c>
      <c r="G285" s="2" t="s">
        <v>755</v>
      </c>
      <c r="H285" s="12" t="s">
        <v>756</v>
      </c>
      <c r="I285" s="86">
        <v>42482</v>
      </c>
      <c r="J285" s="86">
        <v>45769</v>
      </c>
      <c r="K285" s="12" t="s">
        <v>123</v>
      </c>
      <c r="L285" s="12" t="s">
        <v>1472</v>
      </c>
    </row>
    <row r="286" spans="1:12">
      <c r="A286" s="12">
        <f t="shared" si="4"/>
        <v>284</v>
      </c>
      <c r="B286" s="12" t="s">
        <v>5908</v>
      </c>
      <c r="C286" s="12" t="s">
        <v>5909</v>
      </c>
      <c r="D286" s="85">
        <v>11734.57</v>
      </c>
      <c r="E286" s="6">
        <v>5962242</v>
      </c>
      <c r="F286" s="12" t="s">
        <v>5910</v>
      </c>
      <c r="G286" s="2" t="s">
        <v>755</v>
      </c>
      <c r="H286" s="12" t="s">
        <v>756</v>
      </c>
      <c r="I286" s="86">
        <v>42353</v>
      </c>
      <c r="J286" s="86">
        <v>45641</v>
      </c>
      <c r="K286" s="12" t="s">
        <v>170</v>
      </c>
      <c r="L286" s="12" t="s">
        <v>1426</v>
      </c>
    </row>
    <row r="287" spans="1:12">
      <c r="A287" s="12">
        <f t="shared" si="4"/>
        <v>285</v>
      </c>
      <c r="B287" s="12" t="s">
        <v>5911</v>
      </c>
      <c r="C287" s="12" t="s">
        <v>4426</v>
      </c>
      <c r="D287" s="85">
        <v>6386.64</v>
      </c>
      <c r="E287" s="6">
        <v>5914361</v>
      </c>
      <c r="F287" s="12" t="s">
        <v>5912</v>
      </c>
      <c r="G287" s="2" t="s">
        <v>755</v>
      </c>
      <c r="H287" s="12" t="s">
        <v>756</v>
      </c>
      <c r="I287" s="86">
        <v>42419</v>
      </c>
      <c r="J287" s="86">
        <v>45707</v>
      </c>
      <c r="K287" s="12" t="s">
        <v>375</v>
      </c>
      <c r="L287" s="12" t="s">
        <v>4135</v>
      </c>
    </row>
    <row r="288" spans="1:12" ht="38.25">
      <c r="A288" s="12">
        <f t="shared" si="4"/>
        <v>286</v>
      </c>
      <c r="B288" s="12" t="s">
        <v>5913</v>
      </c>
      <c r="C288" s="12" t="s">
        <v>5914</v>
      </c>
      <c r="D288" s="85">
        <v>5778.83</v>
      </c>
      <c r="E288" s="6">
        <v>5798019</v>
      </c>
      <c r="F288" s="12" t="s">
        <v>5915</v>
      </c>
      <c r="G288" s="2" t="s">
        <v>766</v>
      </c>
      <c r="H288" s="12" t="s">
        <v>767</v>
      </c>
      <c r="I288" s="86">
        <v>42457</v>
      </c>
      <c r="J288" s="86">
        <v>45744</v>
      </c>
      <c r="K288" s="12" t="s">
        <v>375</v>
      </c>
      <c r="L288" s="12" t="s">
        <v>4414</v>
      </c>
    </row>
    <row r="289" spans="1:12">
      <c r="A289" s="12">
        <f t="shared" si="4"/>
        <v>287</v>
      </c>
      <c r="B289" s="12" t="s">
        <v>5916</v>
      </c>
      <c r="C289" s="12" t="s">
        <v>5917</v>
      </c>
      <c r="D289" s="85">
        <v>300.82</v>
      </c>
      <c r="E289" s="6">
        <v>5654769</v>
      </c>
      <c r="F289" s="12" t="s">
        <v>5918</v>
      </c>
      <c r="G289" s="2" t="s">
        <v>755</v>
      </c>
      <c r="H289" s="12" t="s">
        <v>756</v>
      </c>
      <c r="I289" s="86">
        <v>42556</v>
      </c>
      <c r="J289" s="86">
        <v>45843</v>
      </c>
      <c r="K289" s="12" t="s">
        <v>836</v>
      </c>
      <c r="L289" s="12" t="s">
        <v>837</v>
      </c>
    </row>
    <row r="290" spans="1:12">
      <c r="A290" s="12">
        <f t="shared" si="4"/>
        <v>288</v>
      </c>
      <c r="B290" s="12" t="s">
        <v>5919</v>
      </c>
      <c r="C290" s="12" t="s">
        <v>1218</v>
      </c>
      <c r="D290" s="85">
        <v>37.880000000000003</v>
      </c>
      <c r="E290" s="6">
        <v>5971144</v>
      </c>
      <c r="F290" s="12" t="s">
        <v>5920</v>
      </c>
      <c r="G290" s="2" t="s">
        <v>755</v>
      </c>
      <c r="H290" s="12" t="s">
        <v>756</v>
      </c>
      <c r="I290" s="86">
        <v>42989</v>
      </c>
      <c r="J290" s="86">
        <v>46276</v>
      </c>
      <c r="K290" s="12" t="s">
        <v>304</v>
      </c>
      <c r="L290" s="12" t="s">
        <v>329</v>
      </c>
    </row>
    <row r="291" spans="1:12" ht="38.25">
      <c r="A291" s="12">
        <f t="shared" si="4"/>
        <v>289</v>
      </c>
      <c r="B291" s="12" t="s">
        <v>5921</v>
      </c>
      <c r="C291" s="12" t="s">
        <v>3845</v>
      </c>
      <c r="D291" s="85">
        <v>2686.56</v>
      </c>
      <c r="E291" s="6">
        <v>6503217</v>
      </c>
      <c r="F291" s="12" t="s">
        <v>5922</v>
      </c>
      <c r="G291" s="2" t="s">
        <v>848</v>
      </c>
      <c r="H291" s="12" t="s">
        <v>849</v>
      </c>
      <c r="I291" s="86">
        <v>42404</v>
      </c>
      <c r="J291" s="86">
        <v>45692</v>
      </c>
      <c r="K291" s="12" t="s">
        <v>233</v>
      </c>
      <c r="L291" s="12" t="s">
        <v>234</v>
      </c>
    </row>
    <row r="292" spans="1:12">
      <c r="A292" s="12">
        <f t="shared" si="4"/>
        <v>290</v>
      </c>
      <c r="B292" s="12" t="s">
        <v>5923</v>
      </c>
      <c r="C292" s="12" t="s">
        <v>4431</v>
      </c>
      <c r="D292" s="85">
        <v>1202.4100000000001</v>
      </c>
      <c r="E292" s="6">
        <v>5346339</v>
      </c>
      <c r="F292" s="12" t="s">
        <v>5924</v>
      </c>
      <c r="G292" s="2" t="s">
        <v>755</v>
      </c>
      <c r="H292" s="12" t="s">
        <v>756</v>
      </c>
      <c r="I292" s="86">
        <v>42331</v>
      </c>
      <c r="J292" s="86">
        <v>45619</v>
      </c>
      <c r="K292" s="12" t="s">
        <v>293</v>
      </c>
      <c r="L292" s="12" t="s">
        <v>815</v>
      </c>
    </row>
    <row r="293" spans="1:12" ht="38.25">
      <c r="A293" s="12">
        <f t="shared" si="4"/>
        <v>291</v>
      </c>
      <c r="B293" s="12" t="s">
        <v>5925</v>
      </c>
      <c r="C293" s="12" t="s">
        <v>5926</v>
      </c>
      <c r="D293" s="85">
        <v>16328.64</v>
      </c>
      <c r="E293" s="6">
        <v>6290906</v>
      </c>
      <c r="F293" s="12" t="s">
        <v>5927</v>
      </c>
      <c r="G293" s="2" t="s">
        <v>848</v>
      </c>
      <c r="H293" s="12" t="s">
        <v>849</v>
      </c>
      <c r="I293" s="86">
        <v>42390</v>
      </c>
      <c r="J293" s="86">
        <v>45678</v>
      </c>
      <c r="K293" s="12" t="s">
        <v>375</v>
      </c>
      <c r="L293" s="12" t="s">
        <v>3086</v>
      </c>
    </row>
    <row r="294" spans="1:12">
      <c r="A294" s="12">
        <f t="shared" si="4"/>
        <v>292</v>
      </c>
      <c r="B294" s="12" t="s">
        <v>5928</v>
      </c>
      <c r="C294" s="12" t="s">
        <v>5893</v>
      </c>
      <c r="D294" s="85">
        <v>949.91</v>
      </c>
      <c r="E294" s="6">
        <v>5305403</v>
      </c>
      <c r="F294" s="12" t="s">
        <v>5929</v>
      </c>
      <c r="G294" s="2" t="s">
        <v>755</v>
      </c>
      <c r="H294" s="12" t="s">
        <v>756</v>
      </c>
      <c r="I294" s="86">
        <v>42373</v>
      </c>
      <c r="J294" s="86">
        <v>45661</v>
      </c>
      <c r="K294" s="12" t="s">
        <v>170</v>
      </c>
      <c r="L294" s="12" t="s">
        <v>807</v>
      </c>
    </row>
    <row r="295" spans="1:12">
      <c r="A295" s="12">
        <f t="shared" si="4"/>
        <v>293</v>
      </c>
      <c r="B295" s="12" t="s">
        <v>5930</v>
      </c>
      <c r="C295" s="12" t="s">
        <v>777</v>
      </c>
      <c r="D295" s="85">
        <v>1558.59</v>
      </c>
      <c r="E295" s="6">
        <v>5609143</v>
      </c>
      <c r="F295" s="12" t="s">
        <v>5931</v>
      </c>
      <c r="G295" s="2" t="s">
        <v>755</v>
      </c>
      <c r="H295" s="12" t="s">
        <v>756</v>
      </c>
      <c r="I295" s="86">
        <v>42489</v>
      </c>
      <c r="J295" s="86">
        <v>45776</v>
      </c>
      <c r="K295" s="12" t="s">
        <v>293</v>
      </c>
      <c r="L295" s="12" t="s">
        <v>4817</v>
      </c>
    </row>
    <row r="296" spans="1:12">
      <c r="A296" s="12">
        <f t="shared" si="4"/>
        <v>294</v>
      </c>
      <c r="B296" s="12" t="s">
        <v>5932</v>
      </c>
      <c r="C296" s="12" t="s">
        <v>874</v>
      </c>
      <c r="D296" s="85">
        <v>3885.92</v>
      </c>
      <c r="E296" s="6">
        <v>2681692</v>
      </c>
      <c r="F296" s="12" t="s">
        <v>5506</v>
      </c>
      <c r="G296" s="2" t="s">
        <v>755</v>
      </c>
      <c r="H296" s="12" t="s">
        <v>756</v>
      </c>
      <c r="I296" s="86">
        <v>42457</v>
      </c>
      <c r="J296" s="86">
        <v>45744</v>
      </c>
      <c r="K296" s="12" t="s">
        <v>375</v>
      </c>
      <c r="L296" s="12" t="s">
        <v>4135</v>
      </c>
    </row>
    <row r="297" spans="1:12" ht="38.25">
      <c r="A297" s="12">
        <f t="shared" si="4"/>
        <v>295</v>
      </c>
      <c r="B297" s="12" t="s">
        <v>5933</v>
      </c>
      <c r="C297" s="12" t="s">
        <v>5934</v>
      </c>
      <c r="D297" s="85">
        <v>9298.6200000000008</v>
      </c>
      <c r="E297" s="6">
        <v>6301843</v>
      </c>
      <c r="F297" s="12" t="s">
        <v>5015</v>
      </c>
      <c r="G297" s="2" t="s">
        <v>848</v>
      </c>
      <c r="H297" s="12" t="s">
        <v>849</v>
      </c>
      <c r="I297" s="86">
        <v>42404</v>
      </c>
      <c r="J297" s="86">
        <v>45692</v>
      </c>
      <c r="K297" s="12" t="s">
        <v>293</v>
      </c>
      <c r="L297" s="12" t="s">
        <v>181</v>
      </c>
    </row>
    <row r="298" spans="1:12" ht="38.25">
      <c r="A298" s="12">
        <f t="shared" si="4"/>
        <v>296</v>
      </c>
      <c r="B298" s="12" t="s">
        <v>5935</v>
      </c>
      <c r="C298" s="12" t="s">
        <v>124</v>
      </c>
      <c r="D298" s="85">
        <v>1638.94</v>
      </c>
      <c r="E298" s="6">
        <v>5248809</v>
      </c>
      <c r="F298" s="12" t="s">
        <v>1318</v>
      </c>
      <c r="G298" s="2" t="s">
        <v>848</v>
      </c>
      <c r="H298" s="12" t="s">
        <v>849</v>
      </c>
      <c r="I298" s="86">
        <v>42333</v>
      </c>
      <c r="J298" s="86">
        <v>45621</v>
      </c>
      <c r="K298" s="12" t="s">
        <v>293</v>
      </c>
      <c r="L298" s="12" t="s">
        <v>5936</v>
      </c>
    </row>
    <row r="299" spans="1:12">
      <c r="A299" s="12">
        <f t="shared" si="4"/>
        <v>297</v>
      </c>
      <c r="B299" s="12" t="s">
        <v>5937</v>
      </c>
      <c r="C299" s="12" t="s">
        <v>5938</v>
      </c>
      <c r="D299" s="85">
        <v>954.05</v>
      </c>
      <c r="E299" s="6">
        <v>6058132</v>
      </c>
      <c r="F299" s="12" t="s">
        <v>5825</v>
      </c>
      <c r="G299" s="2" t="s">
        <v>755</v>
      </c>
      <c r="H299" s="12" t="s">
        <v>756</v>
      </c>
      <c r="I299" s="86">
        <v>42482</v>
      </c>
      <c r="J299" s="86">
        <v>45769</v>
      </c>
      <c r="K299" s="12" t="s">
        <v>375</v>
      </c>
      <c r="L299" s="12" t="s">
        <v>3086</v>
      </c>
    </row>
    <row r="300" spans="1:12">
      <c r="A300" s="12">
        <f t="shared" si="4"/>
        <v>298</v>
      </c>
      <c r="B300" s="12" t="s">
        <v>5939</v>
      </c>
      <c r="C300" s="12" t="s">
        <v>874</v>
      </c>
      <c r="D300" s="85">
        <v>3252.11</v>
      </c>
      <c r="E300" s="6">
        <v>5065844</v>
      </c>
      <c r="F300" s="12" t="s">
        <v>5940</v>
      </c>
      <c r="G300" s="2" t="s">
        <v>755</v>
      </c>
      <c r="H300" s="12" t="s">
        <v>756</v>
      </c>
      <c r="I300" s="86">
        <v>42353</v>
      </c>
      <c r="J300" s="86">
        <v>45641</v>
      </c>
      <c r="K300" s="12" t="s">
        <v>170</v>
      </c>
      <c r="L300" s="12" t="s">
        <v>2444</v>
      </c>
    </row>
    <row r="301" spans="1:12">
      <c r="A301" s="12">
        <f t="shared" si="4"/>
        <v>299</v>
      </c>
      <c r="B301" s="12" t="s">
        <v>5941</v>
      </c>
      <c r="C301" s="12" t="s">
        <v>5942</v>
      </c>
      <c r="D301" s="85">
        <v>1962.68</v>
      </c>
      <c r="E301" s="6">
        <v>6049931</v>
      </c>
      <c r="F301" s="12" t="s">
        <v>5943</v>
      </c>
      <c r="G301" s="2" t="s">
        <v>755</v>
      </c>
      <c r="H301" s="12" t="s">
        <v>756</v>
      </c>
      <c r="I301" s="86">
        <v>42360</v>
      </c>
      <c r="J301" s="86">
        <v>45816</v>
      </c>
      <c r="K301" s="12" t="s">
        <v>170</v>
      </c>
      <c r="L301" s="12" t="s">
        <v>2444</v>
      </c>
    </row>
    <row r="302" spans="1:12">
      <c r="A302" s="12">
        <f t="shared" si="4"/>
        <v>300</v>
      </c>
      <c r="B302" s="12" t="s">
        <v>5944</v>
      </c>
      <c r="C302" s="12" t="s">
        <v>5945</v>
      </c>
      <c r="D302" s="85">
        <v>853.96</v>
      </c>
      <c r="E302" s="6">
        <v>6007805</v>
      </c>
      <c r="F302" s="12" t="s">
        <v>5946</v>
      </c>
      <c r="G302" s="2" t="s">
        <v>755</v>
      </c>
      <c r="H302" s="12" t="s">
        <v>756</v>
      </c>
      <c r="I302" s="86">
        <v>42544</v>
      </c>
      <c r="J302" s="86">
        <v>45831</v>
      </c>
      <c r="K302" s="12" t="s">
        <v>304</v>
      </c>
      <c r="L302" s="12" t="s">
        <v>1634</v>
      </c>
    </row>
    <row r="303" spans="1:12" ht="38.25">
      <c r="A303" s="12">
        <f t="shared" si="4"/>
        <v>301</v>
      </c>
      <c r="B303" s="12" t="s">
        <v>5947</v>
      </c>
      <c r="C303" s="12" t="s">
        <v>1753</v>
      </c>
      <c r="D303" s="85">
        <v>16416.96</v>
      </c>
      <c r="E303" s="6">
        <v>5767865</v>
      </c>
      <c r="F303" s="12" t="s">
        <v>5880</v>
      </c>
      <c r="G303" s="2" t="s">
        <v>848</v>
      </c>
      <c r="H303" s="12" t="s">
        <v>849</v>
      </c>
      <c r="I303" s="86">
        <v>42360</v>
      </c>
      <c r="J303" s="86">
        <v>45648</v>
      </c>
      <c r="K303" s="12" t="s">
        <v>375</v>
      </c>
      <c r="L303" s="12" t="s">
        <v>3086</v>
      </c>
    </row>
    <row r="304" spans="1:12">
      <c r="A304" s="12">
        <f t="shared" si="4"/>
        <v>302</v>
      </c>
      <c r="B304" s="12" t="s">
        <v>5948</v>
      </c>
      <c r="C304" s="12" t="s">
        <v>5949</v>
      </c>
      <c r="D304" s="85">
        <v>278.82</v>
      </c>
      <c r="E304" s="6">
        <v>2773791</v>
      </c>
      <c r="F304" s="12" t="s">
        <v>4526</v>
      </c>
      <c r="G304" s="2" t="s">
        <v>755</v>
      </c>
      <c r="H304" s="12" t="s">
        <v>756</v>
      </c>
      <c r="I304" s="86">
        <v>42360</v>
      </c>
      <c r="J304" s="86">
        <v>45648</v>
      </c>
      <c r="K304" s="12" t="s">
        <v>123</v>
      </c>
      <c r="L304" s="12" t="s">
        <v>272</v>
      </c>
    </row>
    <row r="305" spans="1:12">
      <c r="A305" s="12">
        <f t="shared" si="4"/>
        <v>303</v>
      </c>
      <c r="B305" s="12" t="s">
        <v>5950</v>
      </c>
      <c r="C305" s="12" t="s">
        <v>5951</v>
      </c>
      <c r="D305" s="85">
        <v>6023.78</v>
      </c>
      <c r="E305" s="6">
        <v>5940338</v>
      </c>
      <c r="F305" s="12" t="s">
        <v>5952</v>
      </c>
      <c r="G305" s="2" t="s">
        <v>755</v>
      </c>
      <c r="H305" s="12" t="s">
        <v>756</v>
      </c>
      <c r="I305" s="86">
        <v>42373</v>
      </c>
      <c r="J305" s="86">
        <v>45661</v>
      </c>
      <c r="K305" s="12" t="s">
        <v>375</v>
      </c>
      <c r="L305" s="12" t="s">
        <v>3086</v>
      </c>
    </row>
    <row r="306" spans="1:12">
      <c r="A306" s="12">
        <f t="shared" si="4"/>
        <v>304</v>
      </c>
      <c r="B306" s="12" t="s">
        <v>5953</v>
      </c>
      <c r="C306" s="12" t="s">
        <v>5954</v>
      </c>
      <c r="D306" s="85">
        <v>2626.55</v>
      </c>
      <c r="E306" s="6">
        <v>2819252</v>
      </c>
      <c r="F306" s="12" t="s">
        <v>5955</v>
      </c>
      <c r="G306" s="2" t="s">
        <v>755</v>
      </c>
      <c r="H306" s="12" t="s">
        <v>756</v>
      </c>
      <c r="I306" s="86">
        <v>42545</v>
      </c>
      <c r="J306" s="86">
        <v>45832</v>
      </c>
      <c r="K306" s="12" t="s">
        <v>274</v>
      </c>
      <c r="L306" s="12" t="s">
        <v>5956</v>
      </c>
    </row>
    <row r="307" spans="1:12">
      <c r="A307" s="12">
        <f t="shared" si="4"/>
        <v>305</v>
      </c>
      <c r="B307" s="12" t="s">
        <v>5957</v>
      </c>
      <c r="C307" s="12" t="s">
        <v>5958</v>
      </c>
      <c r="D307" s="85">
        <v>3627.9</v>
      </c>
      <c r="E307" s="6">
        <v>5305403</v>
      </c>
      <c r="F307" s="12" t="s">
        <v>5929</v>
      </c>
      <c r="G307" s="2" t="s">
        <v>755</v>
      </c>
      <c r="H307" s="12" t="s">
        <v>756</v>
      </c>
      <c r="I307" s="86">
        <v>42298</v>
      </c>
      <c r="J307" s="86">
        <v>45586</v>
      </c>
      <c r="K307" s="12" t="s">
        <v>123</v>
      </c>
      <c r="L307" s="12" t="s">
        <v>1256</v>
      </c>
    </row>
    <row r="308" spans="1:12" ht="38.25">
      <c r="A308" s="12">
        <f t="shared" si="4"/>
        <v>306</v>
      </c>
      <c r="B308" s="12" t="s">
        <v>5959</v>
      </c>
      <c r="C308" s="12" t="s">
        <v>1389</v>
      </c>
      <c r="D308" s="85">
        <v>2941.5</v>
      </c>
      <c r="E308" s="6">
        <v>6996825</v>
      </c>
      <c r="F308" s="12" t="s">
        <v>5960</v>
      </c>
      <c r="G308" s="2" t="s">
        <v>848</v>
      </c>
      <c r="H308" s="12" t="s">
        <v>849</v>
      </c>
      <c r="I308" s="86">
        <v>42360</v>
      </c>
      <c r="J308" s="86">
        <v>45648</v>
      </c>
      <c r="K308" s="12" t="s">
        <v>170</v>
      </c>
      <c r="L308" s="12" t="s">
        <v>2444</v>
      </c>
    </row>
    <row r="309" spans="1:12">
      <c r="A309" s="12">
        <f t="shared" si="4"/>
        <v>307</v>
      </c>
      <c r="B309" s="12" t="s">
        <v>5961</v>
      </c>
      <c r="C309" s="12" t="s">
        <v>5962</v>
      </c>
      <c r="D309" s="85">
        <v>12360.69</v>
      </c>
      <c r="E309" s="6">
        <v>5109264</v>
      </c>
      <c r="F309" s="12" t="s">
        <v>5877</v>
      </c>
      <c r="G309" s="2" t="s">
        <v>755</v>
      </c>
      <c r="H309" s="12" t="s">
        <v>756</v>
      </c>
      <c r="I309" s="86">
        <v>42384</v>
      </c>
      <c r="J309" s="86">
        <v>45672</v>
      </c>
      <c r="K309" s="12" t="s">
        <v>170</v>
      </c>
      <c r="L309" s="12" t="s">
        <v>5963</v>
      </c>
    </row>
    <row r="310" spans="1:12">
      <c r="A310" s="12">
        <f t="shared" si="4"/>
        <v>308</v>
      </c>
      <c r="B310" s="12" t="s">
        <v>5964</v>
      </c>
      <c r="C310" s="12" t="s">
        <v>1426</v>
      </c>
      <c r="D310" s="85">
        <v>1900.41</v>
      </c>
      <c r="E310" s="6">
        <v>6146511</v>
      </c>
      <c r="F310" s="12" t="s">
        <v>5856</v>
      </c>
      <c r="G310" s="2" t="s">
        <v>755</v>
      </c>
      <c r="H310" s="12" t="s">
        <v>756</v>
      </c>
      <c r="I310" s="86">
        <v>42353</v>
      </c>
      <c r="J310" s="86">
        <v>45641</v>
      </c>
      <c r="K310" s="12" t="s">
        <v>170</v>
      </c>
      <c r="L310" s="12" t="s">
        <v>1426</v>
      </c>
    </row>
    <row r="311" spans="1:12">
      <c r="A311" s="12">
        <f t="shared" si="4"/>
        <v>309</v>
      </c>
      <c r="B311" s="12" t="s">
        <v>5965</v>
      </c>
      <c r="C311" s="12" t="s">
        <v>5966</v>
      </c>
      <c r="D311" s="85">
        <v>443.55</v>
      </c>
      <c r="E311" s="6">
        <v>5943329</v>
      </c>
      <c r="F311" s="12" t="s">
        <v>5967</v>
      </c>
      <c r="G311" s="2" t="s">
        <v>755</v>
      </c>
      <c r="H311" s="12" t="s">
        <v>756</v>
      </c>
      <c r="I311" s="86">
        <v>42403</v>
      </c>
      <c r="J311" s="86">
        <v>46013</v>
      </c>
      <c r="K311" s="12" t="s">
        <v>123</v>
      </c>
      <c r="L311" s="12" t="s">
        <v>1508</v>
      </c>
    </row>
    <row r="312" spans="1:12">
      <c r="A312" s="12">
        <f t="shared" si="4"/>
        <v>310</v>
      </c>
      <c r="B312" s="12" t="s">
        <v>5968</v>
      </c>
      <c r="C312" s="12" t="s">
        <v>4135</v>
      </c>
      <c r="D312" s="85">
        <v>109.56</v>
      </c>
      <c r="E312" s="6">
        <v>5481341</v>
      </c>
      <c r="F312" s="12" t="s">
        <v>4413</v>
      </c>
      <c r="G312" s="2" t="s">
        <v>755</v>
      </c>
      <c r="H312" s="12" t="s">
        <v>756</v>
      </c>
      <c r="I312" s="86">
        <v>42349</v>
      </c>
      <c r="J312" s="86">
        <v>45637</v>
      </c>
      <c r="K312" s="12" t="s">
        <v>375</v>
      </c>
      <c r="L312" s="12" t="s">
        <v>4135</v>
      </c>
    </row>
    <row r="313" spans="1:12" ht="38.25">
      <c r="A313" s="12">
        <f t="shared" si="4"/>
        <v>311</v>
      </c>
      <c r="B313" s="12" t="s">
        <v>5969</v>
      </c>
      <c r="C313" s="12" t="s">
        <v>5970</v>
      </c>
      <c r="D313" s="85">
        <v>6459.84</v>
      </c>
      <c r="E313" s="6">
        <v>5898501</v>
      </c>
      <c r="F313" s="12" t="s">
        <v>5971</v>
      </c>
      <c r="G313" s="2" t="s">
        <v>848</v>
      </c>
      <c r="H313" s="12" t="s">
        <v>849</v>
      </c>
      <c r="I313" s="86">
        <v>42373</v>
      </c>
      <c r="J313" s="86">
        <v>45661</v>
      </c>
      <c r="K313" s="12" t="s">
        <v>375</v>
      </c>
      <c r="L313" s="12" t="s">
        <v>2649</v>
      </c>
    </row>
    <row r="314" spans="1:12">
      <c r="A314" s="12">
        <f t="shared" si="4"/>
        <v>312</v>
      </c>
      <c r="B314" s="12" t="s">
        <v>5972</v>
      </c>
      <c r="C314" s="12" t="s">
        <v>5973</v>
      </c>
      <c r="D314" s="85">
        <v>1412.75</v>
      </c>
      <c r="E314" s="6">
        <v>6023576</v>
      </c>
      <c r="F314" s="12" t="s">
        <v>5974</v>
      </c>
      <c r="G314" s="2" t="s">
        <v>755</v>
      </c>
      <c r="H314" s="12" t="s">
        <v>756</v>
      </c>
      <c r="I314" s="86">
        <v>42373</v>
      </c>
      <c r="J314" s="86">
        <v>45661</v>
      </c>
      <c r="K314" s="12" t="s">
        <v>293</v>
      </c>
      <c r="L314" s="12" t="s">
        <v>3681</v>
      </c>
    </row>
    <row r="315" spans="1:12">
      <c r="A315" s="12">
        <f t="shared" si="4"/>
        <v>313</v>
      </c>
      <c r="B315" s="12" t="s">
        <v>5975</v>
      </c>
      <c r="C315" s="12" t="s">
        <v>294</v>
      </c>
      <c r="D315" s="85">
        <v>407.59</v>
      </c>
      <c r="E315" s="6">
        <v>6449344</v>
      </c>
      <c r="F315" s="12" t="s">
        <v>5976</v>
      </c>
      <c r="G315" s="2" t="s">
        <v>755</v>
      </c>
      <c r="H315" s="12" t="s">
        <v>756</v>
      </c>
      <c r="I315" s="86">
        <v>42352</v>
      </c>
      <c r="J315" s="86">
        <v>45640</v>
      </c>
      <c r="K315" s="12" t="s">
        <v>293</v>
      </c>
      <c r="L315" s="12" t="s">
        <v>827</v>
      </c>
    </row>
    <row r="316" spans="1:12" ht="38.25">
      <c r="A316" s="12">
        <f t="shared" si="4"/>
        <v>314</v>
      </c>
      <c r="B316" s="12" t="s">
        <v>5977</v>
      </c>
      <c r="C316" s="12" t="s">
        <v>5978</v>
      </c>
      <c r="D316" s="85">
        <v>24805.61</v>
      </c>
      <c r="E316" s="6">
        <v>5767865</v>
      </c>
      <c r="F316" s="12" t="s">
        <v>5880</v>
      </c>
      <c r="G316" s="2" t="s">
        <v>848</v>
      </c>
      <c r="H316" s="12" t="s">
        <v>849</v>
      </c>
      <c r="I316" s="86">
        <v>42360</v>
      </c>
      <c r="J316" s="86">
        <v>44552</v>
      </c>
      <c r="K316" s="12" t="s">
        <v>163</v>
      </c>
      <c r="L316" s="12" t="s">
        <v>5979</v>
      </c>
    </row>
    <row r="317" spans="1:12">
      <c r="A317" s="12">
        <f t="shared" si="4"/>
        <v>315</v>
      </c>
      <c r="B317" s="12" t="s">
        <v>5980</v>
      </c>
      <c r="C317" s="12" t="s">
        <v>5981</v>
      </c>
      <c r="D317" s="85">
        <v>9167.68</v>
      </c>
      <c r="E317" s="6">
        <v>5111919</v>
      </c>
      <c r="F317" s="12" t="s">
        <v>5982</v>
      </c>
      <c r="G317" s="2" t="s">
        <v>755</v>
      </c>
      <c r="H317" s="12" t="s">
        <v>756</v>
      </c>
      <c r="I317" s="86">
        <v>42446</v>
      </c>
      <c r="J317" s="86">
        <v>45733</v>
      </c>
      <c r="K317" s="12" t="s">
        <v>1014</v>
      </c>
      <c r="L317" s="12" t="s">
        <v>5983</v>
      </c>
    </row>
    <row r="318" spans="1:12">
      <c r="A318" s="12">
        <f t="shared" si="4"/>
        <v>316</v>
      </c>
      <c r="B318" s="12" t="s">
        <v>5984</v>
      </c>
      <c r="C318" s="12" t="s">
        <v>4333</v>
      </c>
      <c r="D318" s="85">
        <v>4667.42</v>
      </c>
      <c r="E318" s="6">
        <v>5774047</v>
      </c>
      <c r="F318" s="12" t="s">
        <v>4334</v>
      </c>
      <c r="G318" s="2" t="s">
        <v>755</v>
      </c>
      <c r="H318" s="12" t="s">
        <v>756</v>
      </c>
      <c r="I318" s="86">
        <v>42298</v>
      </c>
      <c r="J318" s="86">
        <v>45586</v>
      </c>
      <c r="K318" s="12" t="s">
        <v>1102</v>
      </c>
      <c r="L318" s="12" t="s">
        <v>5460</v>
      </c>
    </row>
    <row r="319" spans="1:12">
      <c r="A319" s="12">
        <f t="shared" si="4"/>
        <v>317</v>
      </c>
      <c r="B319" s="12" t="s">
        <v>5985</v>
      </c>
      <c r="C319" s="12" t="s">
        <v>3081</v>
      </c>
      <c r="D319" s="85">
        <v>3004.58</v>
      </c>
      <c r="E319" s="6">
        <v>5233739</v>
      </c>
      <c r="F319" s="12" t="s">
        <v>5866</v>
      </c>
      <c r="G319" s="2" t="s">
        <v>755</v>
      </c>
      <c r="H319" s="12" t="s">
        <v>756</v>
      </c>
      <c r="I319" s="86">
        <v>42464</v>
      </c>
      <c r="J319" s="86">
        <v>45751</v>
      </c>
      <c r="K319" s="12" t="s">
        <v>293</v>
      </c>
      <c r="L319" s="12" t="s">
        <v>124</v>
      </c>
    </row>
    <row r="320" spans="1:12">
      <c r="A320" s="12">
        <f t="shared" si="4"/>
        <v>318</v>
      </c>
      <c r="B320" s="12" t="s">
        <v>5986</v>
      </c>
      <c r="C320" s="12" t="s">
        <v>5987</v>
      </c>
      <c r="D320" s="85">
        <v>840.83</v>
      </c>
      <c r="E320" s="6">
        <v>6677371</v>
      </c>
      <c r="F320" s="12" t="s">
        <v>5988</v>
      </c>
      <c r="G320" s="2" t="s">
        <v>755</v>
      </c>
      <c r="H320" s="12" t="s">
        <v>756</v>
      </c>
      <c r="I320" s="86">
        <v>43130</v>
      </c>
      <c r="J320" s="86">
        <v>45321</v>
      </c>
      <c r="K320" s="12" t="s">
        <v>274</v>
      </c>
      <c r="L320" s="12" t="s">
        <v>944</v>
      </c>
    </row>
    <row r="321" spans="1:12" ht="38.25">
      <c r="A321" s="12">
        <f t="shared" si="4"/>
        <v>319</v>
      </c>
      <c r="B321" s="12" t="s">
        <v>5989</v>
      </c>
      <c r="C321" s="12" t="s">
        <v>874</v>
      </c>
      <c r="D321" s="85">
        <v>19868.66</v>
      </c>
      <c r="E321" s="6">
        <v>5767865</v>
      </c>
      <c r="F321" s="12" t="s">
        <v>5880</v>
      </c>
      <c r="G321" s="2" t="s">
        <v>848</v>
      </c>
      <c r="H321" s="12" t="s">
        <v>849</v>
      </c>
      <c r="I321" s="86">
        <v>42461</v>
      </c>
      <c r="J321" s="86">
        <v>45748</v>
      </c>
      <c r="K321" s="12" t="s">
        <v>233</v>
      </c>
      <c r="L321" s="12" t="s">
        <v>5031</v>
      </c>
    </row>
    <row r="322" spans="1:12">
      <c r="A322" s="12">
        <f t="shared" si="4"/>
        <v>320</v>
      </c>
      <c r="B322" s="12" t="s">
        <v>5990</v>
      </c>
      <c r="C322" s="12" t="s">
        <v>887</v>
      </c>
      <c r="D322" s="85">
        <v>2398.1</v>
      </c>
      <c r="E322" s="6">
        <v>6524877</v>
      </c>
      <c r="F322" s="12" t="s">
        <v>5991</v>
      </c>
      <c r="G322" s="2" t="s">
        <v>755</v>
      </c>
      <c r="H322" s="12" t="s">
        <v>756</v>
      </c>
      <c r="I322" s="86">
        <v>42360</v>
      </c>
      <c r="J322" s="86">
        <v>45648</v>
      </c>
      <c r="K322" s="12" t="s">
        <v>233</v>
      </c>
      <c r="L322" s="12" t="s">
        <v>5031</v>
      </c>
    </row>
    <row r="323" spans="1:12">
      <c r="A323" s="12">
        <f t="shared" si="4"/>
        <v>321</v>
      </c>
      <c r="B323" s="12" t="s">
        <v>5992</v>
      </c>
      <c r="C323" s="12" t="s">
        <v>3262</v>
      </c>
      <c r="D323" s="85">
        <v>1426.97</v>
      </c>
      <c r="E323" s="6">
        <v>5951062</v>
      </c>
      <c r="F323" s="12" t="s">
        <v>5993</v>
      </c>
      <c r="G323" s="2" t="s">
        <v>755</v>
      </c>
      <c r="H323" s="12" t="s">
        <v>756</v>
      </c>
      <c r="I323" s="86">
        <v>42360</v>
      </c>
      <c r="J323" s="86">
        <v>45648</v>
      </c>
      <c r="K323" s="12" t="s">
        <v>375</v>
      </c>
      <c r="L323" s="12" t="s">
        <v>1892</v>
      </c>
    </row>
    <row r="324" spans="1:12">
      <c r="A324" s="12">
        <f t="shared" si="4"/>
        <v>322</v>
      </c>
      <c r="B324" s="12" t="s">
        <v>5994</v>
      </c>
      <c r="C324" s="12" t="s">
        <v>5995</v>
      </c>
      <c r="D324" s="85">
        <v>3977.38</v>
      </c>
      <c r="E324" s="6">
        <v>5942136</v>
      </c>
      <c r="F324" s="12" t="s">
        <v>5996</v>
      </c>
      <c r="G324" s="2" t="s">
        <v>755</v>
      </c>
      <c r="H324" s="12" t="s">
        <v>756</v>
      </c>
      <c r="I324" s="86">
        <v>42590</v>
      </c>
      <c r="J324" s="86">
        <v>45877</v>
      </c>
      <c r="K324" s="12" t="s">
        <v>304</v>
      </c>
      <c r="L324" s="12" t="s">
        <v>1634</v>
      </c>
    </row>
    <row r="325" spans="1:12">
      <c r="A325" s="12">
        <f t="shared" ref="A325:A388" si="5">A324+1</f>
        <v>323</v>
      </c>
      <c r="B325" s="12" t="s">
        <v>5997</v>
      </c>
      <c r="C325" s="12" t="s">
        <v>5998</v>
      </c>
      <c r="D325" s="85">
        <v>17372.91</v>
      </c>
      <c r="E325" s="6">
        <v>5306892</v>
      </c>
      <c r="F325" s="12" t="s">
        <v>5999</v>
      </c>
      <c r="G325" s="2" t="s">
        <v>755</v>
      </c>
      <c r="H325" s="12" t="s">
        <v>756</v>
      </c>
      <c r="I325" s="86">
        <v>42487</v>
      </c>
      <c r="J325" s="86">
        <v>45774</v>
      </c>
      <c r="K325" s="12" t="s">
        <v>375</v>
      </c>
      <c r="L325" s="12" t="s">
        <v>1476</v>
      </c>
    </row>
    <row r="326" spans="1:12" ht="38.25">
      <c r="A326" s="12">
        <f t="shared" si="5"/>
        <v>324</v>
      </c>
      <c r="B326" s="12" t="s">
        <v>6000</v>
      </c>
      <c r="C326" s="12" t="s">
        <v>3845</v>
      </c>
      <c r="D326" s="85">
        <v>10943.1</v>
      </c>
      <c r="E326" s="6">
        <v>5767865</v>
      </c>
      <c r="F326" s="12" t="s">
        <v>5880</v>
      </c>
      <c r="G326" s="2" t="s">
        <v>848</v>
      </c>
      <c r="H326" s="12" t="s">
        <v>849</v>
      </c>
      <c r="I326" s="86">
        <v>42360</v>
      </c>
      <c r="J326" s="86">
        <v>45648</v>
      </c>
      <c r="K326" s="12" t="s">
        <v>233</v>
      </c>
      <c r="L326" s="12" t="s">
        <v>2965</v>
      </c>
    </row>
    <row r="327" spans="1:12">
      <c r="A327" s="12">
        <f t="shared" si="5"/>
        <v>325</v>
      </c>
      <c r="B327" s="12" t="s">
        <v>6001</v>
      </c>
      <c r="C327" s="12" t="s">
        <v>6002</v>
      </c>
      <c r="D327" s="85">
        <v>390.49</v>
      </c>
      <c r="E327" s="6">
        <v>2604221</v>
      </c>
      <c r="F327" s="12" t="s">
        <v>6003</v>
      </c>
      <c r="G327" s="2" t="s">
        <v>755</v>
      </c>
      <c r="H327" s="12" t="s">
        <v>756</v>
      </c>
      <c r="I327" s="86">
        <v>42447</v>
      </c>
      <c r="J327" s="86">
        <v>45734</v>
      </c>
      <c r="K327" s="12" t="s">
        <v>274</v>
      </c>
      <c r="L327" s="12" t="s">
        <v>874</v>
      </c>
    </row>
    <row r="328" spans="1:12">
      <c r="A328" s="12">
        <f t="shared" si="5"/>
        <v>326</v>
      </c>
      <c r="B328" s="12" t="s">
        <v>6004</v>
      </c>
      <c r="C328" s="12" t="s">
        <v>6005</v>
      </c>
      <c r="D328" s="85">
        <v>1777.94</v>
      </c>
      <c r="E328" s="6">
        <v>5305403</v>
      </c>
      <c r="F328" s="12" t="s">
        <v>5929</v>
      </c>
      <c r="G328" s="2" t="s">
        <v>755</v>
      </c>
      <c r="H328" s="12" t="s">
        <v>756</v>
      </c>
      <c r="I328" s="86">
        <v>42384</v>
      </c>
      <c r="J328" s="86">
        <v>45672</v>
      </c>
      <c r="K328" s="12" t="s">
        <v>170</v>
      </c>
      <c r="L328" s="12" t="s">
        <v>811</v>
      </c>
    </row>
    <row r="329" spans="1:12">
      <c r="A329" s="12">
        <f t="shared" si="5"/>
        <v>327</v>
      </c>
      <c r="B329" s="12" t="s">
        <v>6006</v>
      </c>
      <c r="C329" s="12" t="s">
        <v>1426</v>
      </c>
      <c r="D329" s="85">
        <v>4996.33</v>
      </c>
      <c r="E329" s="6">
        <v>5882583</v>
      </c>
      <c r="F329" s="12" t="s">
        <v>6007</v>
      </c>
      <c r="G329" s="2" t="s">
        <v>755</v>
      </c>
      <c r="H329" s="12" t="s">
        <v>756</v>
      </c>
      <c r="I329" s="86">
        <v>42373</v>
      </c>
      <c r="J329" s="86">
        <v>45661</v>
      </c>
      <c r="K329" s="12" t="s">
        <v>170</v>
      </c>
      <c r="L329" s="12" t="s">
        <v>5888</v>
      </c>
    </row>
    <row r="330" spans="1:12">
      <c r="A330" s="12">
        <f t="shared" si="5"/>
        <v>328</v>
      </c>
      <c r="B330" s="12" t="s">
        <v>6008</v>
      </c>
      <c r="C330" s="12" t="s">
        <v>6009</v>
      </c>
      <c r="D330" s="85">
        <v>8057.16</v>
      </c>
      <c r="E330" s="6">
        <v>5921112</v>
      </c>
      <c r="F330" s="12" t="s">
        <v>5424</v>
      </c>
      <c r="G330" s="2" t="s">
        <v>755</v>
      </c>
      <c r="H330" s="12" t="s">
        <v>756</v>
      </c>
      <c r="I330" s="86">
        <v>42352</v>
      </c>
      <c r="J330" s="86">
        <v>45640</v>
      </c>
      <c r="K330" s="12" t="s">
        <v>293</v>
      </c>
      <c r="L330" s="12" t="s">
        <v>2155</v>
      </c>
    </row>
    <row r="331" spans="1:12">
      <c r="A331" s="12">
        <f t="shared" si="5"/>
        <v>329</v>
      </c>
      <c r="B331" s="12" t="s">
        <v>6010</v>
      </c>
      <c r="C331" s="12" t="s">
        <v>6011</v>
      </c>
      <c r="D331" s="85">
        <v>1788.9</v>
      </c>
      <c r="E331" s="6">
        <v>5203678</v>
      </c>
      <c r="F331" s="12" t="s">
        <v>6012</v>
      </c>
      <c r="G331" s="2" t="s">
        <v>755</v>
      </c>
      <c r="H331" s="12" t="s">
        <v>756</v>
      </c>
      <c r="I331" s="86">
        <v>42390</v>
      </c>
      <c r="J331" s="86">
        <v>45678</v>
      </c>
      <c r="K331" s="12" t="s">
        <v>123</v>
      </c>
      <c r="L331" s="12" t="s">
        <v>272</v>
      </c>
    </row>
    <row r="332" spans="1:12">
      <c r="A332" s="12">
        <f t="shared" si="5"/>
        <v>330</v>
      </c>
      <c r="B332" s="12" t="s">
        <v>6013</v>
      </c>
      <c r="C332" s="12" t="s">
        <v>1533</v>
      </c>
      <c r="D332" s="85">
        <v>11043.27</v>
      </c>
      <c r="E332" s="6">
        <v>5359058</v>
      </c>
      <c r="F332" s="12" t="s">
        <v>6014</v>
      </c>
      <c r="G332" s="2" t="s">
        <v>755</v>
      </c>
      <c r="H332" s="12" t="s">
        <v>756</v>
      </c>
      <c r="I332" s="86">
        <v>42373</v>
      </c>
      <c r="J332" s="86">
        <v>45661</v>
      </c>
      <c r="K332" s="12" t="s">
        <v>170</v>
      </c>
      <c r="L332" s="12" t="s">
        <v>1738</v>
      </c>
    </row>
    <row r="333" spans="1:12" ht="38.25">
      <c r="A333" s="12">
        <f t="shared" si="5"/>
        <v>331</v>
      </c>
      <c r="B333" s="12" t="s">
        <v>6015</v>
      </c>
      <c r="C333" s="12" t="s">
        <v>6016</v>
      </c>
      <c r="D333" s="85">
        <v>8128.91</v>
      </c>
      <c r="E333" s="6">
        <v>8451567</v>
      </c>
      <c r="F333" s="12" t="s">
        <v>6017</v>
      </c>
      <c r="G333" s="2" t="s">
        <v>848</v>
      </c>
      <c r="H333" s="12" t="s">
        <v>849</v>
      </c>
      <c r="I333" s="86">
        <v>42373</v>
      </c>
      <c r="J333" s="86">
        <v>45661</v>
      </c>
      <c r="K333" s="12" t="s">
        <v>170</v>
      </c>
      <c r="L333" s="12" t="s">
        <v>2444</v>
      </c>
    </row>
    <row r="334" spans="1:12">
      <c r="A334" s="12">
        <f t="shared" si="5"/>
        <v>332</v>
      </c>
      <c r="B334" s="12" t="s">
        <v>6018</v>
      </c>
      <c r="C334" s="12" t="s">
        <v>1825</v>
      </c>
      <c r="D334" s="85">
        <v>5039.5200000000004</v>
      </c>
      <c r="E334" s="6">
        <v>6209815</v>
      </c>
      <c r="F334" s="12" t="s">
        <v>6019</v>
      </c>
      <c r="G334" s="2" t="s">
        <v>755</v>
      </c>
      <c r="H334" s="12" t="s">
        <v>756</v>
      </c>
      <c r="I334" s="86">
        <v>42360</v>
      </c>
      <c r="J334" s="86">
        <v>45648</v>
      </c>
      <c r="K334" s="12" t="s">
        <v>293</v>
      </c>
      <c r="L334" s="12" t="s">
        <v>1826</v>
      </c>
    </row>
    <row r="335" spans="1:12" ht="38.25">
      <c r="A335" s="12">
        <f t="shared" si="5"/>
        <v>333</v>
      </c>
      <c r="B335" s="12" t="s">
        <v>6020</v>
      </c>
      <c r="C335" s="12" t="s">
        <v>6021</v>
      </c>
      <c r="D335" s="85">
        <v>8188.07</v>
      </c>
      <c r="E335" s="6">
        <v>5767865</v>
      </c>
      <c r="F335" s="12" t="s">
        <v>5880</v>
      </c>
      <c r="G335" s="2" t="s">
        <v>848</v>
      </c>
      <c r="H335" s="12" t="s">
        <v>849</v>
      </c>
      <c r="I335" s="86">
        <v>42360</v>
      </c>
      <c r="J335" s="86">
        <v>45648</v>
      </c>
      <c r="K335" s="12" t="s">
        <v>233</v>
      </c>
      <c r="L335" s="12" t="s">
        <v>1845</v>
      </c>
    </row>
    <row r="336" spans="1:12" ht="38.25">
      <c r="A336" s="12">
        <f t="shared" si="5"/>
        <v>334</v>
      </c>
      <c r="B336" s="12" t="s">
        <v>6022</v>
      </c>
      <c r="C336" s="12" t="s">
        <v>6023</v>
      </c>
      <c r="D336" s="85">
        <v>10149.94</v>
      </c>
      <c r="E336" s="6">
        <v>5455219</v>
      </c>
      <c r="F336" s="12" t="s">
        <v>4143</v>
      </c>
      <c r="G336" s="2" t="s">
        <v>766</v>
      </c>
      <c r="H336" s="12" t="s">
        <v>767</v>
      </c>
      <c r="I336" s="86">
        <v>42377</v>
      </c>
      <c r="J336" s="86">
        <v>45665</v>
      </c>
      <c r="K336" s="12" t="s">
        <v>170</v>
      </c>
      <c r="L336" s="12" t="s">
        <v>2444</v>
      </c>
    </row>
    <row r="337" spans="1:12" ht="38.25">
      <c r="A337" s="12">
        <f t="shared" si="5"/>
        <v>335</v>
      </c>
      <c r="B337" s="12" t="s">
        <v>6024</v>
      </c>
      <c r="C337" s="12" t="s">
        <v>6025</v>
      </c>
      <c r="D337" s="85">
        <v>1269.55</v>
      </c>
      <c r="E337" s="6">
        <v>8376204</v>
      </c>
      <c r="F337" s="12" t="s">
        <v>6026</v>
      </c>
      <c r="G337" s="2" t="s">
        <v>848</v>
      </c>
      <c r="H337" s="12" t="s">
        <v>849</v>
      </c>
      <c r="I337" s="86">
        <v>42373</v>
      </c>
      <c r="J337" s="86">
        <v>45661</v>
      </c>
      <c r="K337" s="12" t="s">
        <v>375</v>
      </c>
      <c r="L337" s="12" t="s">
        <v>3086</v>
      </c>
    </row>
    <row r="338" spans="1:12">
      <c r="A338" s="12">
        <f t="shared" si="5"/>
        <v>336</v>
      </c>
      <c r="B338" s="12" t="s">
        <v>6027</v>
      </c>
      <c r="C338" s="12" t="s">
        <v>1395</v>
      </c>
      <c r="D338" s="85">
        <v>254.56</v>
      </c>
      <c r="E338" s="6">
        <v>5383854</v>
      </c>
      <c r="F338" s="12" t="s">
        <v>4642</v>
      </c>
      <c r="G338" s="2" t="s">
        <v>755</v>
      </c>
      <c r="H338" s="12" t="s">
        <v>756</v>
      </c>
      <c r="I338" s="86">
        <v>42373</v>
      </c>
      <c r="J338" s="86">
        <v>45661</v>
      </c>
      <c r="K338" s="12" t="s">
        <v>170</v>
      </c>
      <c r="L338" s="12" t="s">
        <v>171</v>
      </c>
    </row>
    <row r="339" spans="1:12">
      <c r="A339" s="12">
        <f t="shared" si="5"/>
        <v>337</v>
      </c>
      <c r="B339" s="12" t="s">
        <v>6028</v>
      </c>
      <c r="C339" s="12" t="s">
        <v>6029</v>
      </c>
      <c r="D339" s="85">
        <v>1305.3599999999999</v>
      </c>
      <c r="E339" s="6">
        <v>5096871</v>
      </c>
      <c r="F339" s="12" t="s">
        <v>6030</v>
      </c>
      <c r="G339" s="2" t="s">
        <v>755</v>
      </c>
      <c r="H339" s="12" t="s">
        <v>756</v>
      </c>
      <c r="I339" s="86">
        <v>42877</v>
      </c>
      <c r="J339" s="86">
        <v>46164</v>
      </c>
      <c r="K339" s="12" t="s">
        <v>304</v>
      </c>
      <c r="L339" s="12" t="s">
        <v>141</v>
      </c>
    </row>
    <row r="340" spans="1:12">
      <c r="A340" s="12">
        <f t="shared" si="5"/>
        <v>338</v>
      </c>
      <c r="B340" s="12" t="s">
        <v>6031</v>
      </c>
      <c r="C340" s="12" t="s">
        <v>2526</v>
      </c>
      <c r="D340" s="85">
        <v>75.099999999999994</v>
      </c>
      <c r="E340" s="6">
        <v>2011239</v>
      </c>
      <c r="F340" s="12" t="s">
        <v>1081</v>
      </c>
      <c r="G340" s="2" t="s">
        <v>914</v>
      </c>
      <c r="H340" s="12" t="s">
        <v>756</v>
      </c>
      <c r="I340" s="86">
        <v>42373</v>
      </c>
      <c r="J340" s="86">
        <v>45661</v>
      </c>
      <c r="K340" s="12" t="s">
        <v>123</v>
      </c>
      <c r="L340" s="12" t="s">
        <v>272</v>
      </c>
    </row>
    <row r="341" spans="1:12">
      <c r="A341" s="12">
        <f t="shared" si="5"/>
        <v>339</v>
      </c>
      <c r="B341" s="12" t="s">
        <v>6032</v>
      </c>
      <c r="C341" s="12" t="s">
        <v>6033</v>
      </c>
      <c r="D341" s="85">
        <v>6262.85</v>
      </c>
      <c r="E341" s="6">
        <v>5980194</v>
      </c>
      <c r="F341" s="12" t="s">
        <v>5847</v>
      </c>
      <c r="G341" s="2" t="s">
        <v>755</v>
      </c>
      <c r="H341" s="12" t="s">
        <v>756</v>
      </c>
      <c r="I341" s="86">
        <v>42383</v>
      </c>
      <c r="J341" s="86">
        <v>45671</v>
      </c>
      <c r="K341" s="12" t="s">
        <v>375</v>
      </c>
      <c r="L341" s="12" t="s">
        <v>3086</v>
      </c>
    </row>
    <row r="342" spans="1:12" ht="38.25">
      <c r="A342" s="12">
        <f t="shared" si="5"/>
        <v>340</v>
      </c>
      <c r="B342" s="12" t="s">
        <v>6034</v>
      </c>
      <c r="C342" s="12" t="s">
        <v>6035</v>
      </c>
      <c r="D342" s="85">
        <v>3049.9</v>
      </c>
      <c r="E342" s="6">
        <v>6485839</v>
      </c>
      <c r="F342" s="12" t="s">
        <v>6036</v>
      </c>
      <c r="G342" s="2" t="s">
        <v>766</v>
      </c>
      <c r="H342" s="12" t="s">
        <v>767</v>
      </c>
      <c r="I342" s="86">
        <v>42534</v>
      </c>
      <c r="J342" s="86">
        <v>45821</v>
      </c>
      <c r="K342" s="12" t="s">
        <v>836</v>
      </c>
      <c r="L342" s="12" t="s">
        <v>837</v>
      </c>
    </row>
    <row r="343" spans="1:12">
      <c r="A343" s="12">
        <f t="shared" si="5"/>
        <v>341</v>
      </c>
      <c r="B343" s="12" t="s">
        <v>6037</v>
      </c>
      <c r="C343" s="12" t="s">
        <v>2133</v>
      </c>
      <c r="D343" s="85">
        <v>228.64</v>
      </c>
      <c r="E343" s="6">
        <v>6835481</v>
      </c>
      <c r="F343" s="12" t="s">
        <v>6038</v>
      </c>
      <c r="G343" s="2" t="s">
        <v>755</v>
      </c>
      <c r="H343" s="12" t="s">
        <v>756</v>
      </c>
      <c r="I343" s="86">
        <v>42374</v>
      </c>
      <c r="J343" s="86">
        <v>45662</v>
      </c>
      <c r="K343" s="12" t="s">
        <v>293</v>
      </c>
      <c r="L343" s="12" t="s">
        <v>124</v>
      </c>
    </row>
    <row r="344" spans="1:12">
      <c r="A344" s="12">
        <f t="shared" si="5"/>
        <v>342</v>
      </c>
      <c r="B344" s="12" t="s">
        <v>6039</v>
      </c>
      <c r="C344" s="12" t="s">
        <v>6040</v>
      </c>
      <c r="D344" s="85">
        <v>4814.96</v>
      </c>
      <c r="E344" s="6">
        <v>6209955</v>
      </c>
      <c r="F344" s="12" t="s">
        <v>6041</v>
      </c>
      <c r="G344" s="2" t="s">
        <v>755</v>
      </c>
      <c r="H344" s="12" t="s">
        <v>756</v>
      </c>
      <c r="I344" s="86">
        <v>42373</v>
      </c>
      <c r="J344" s="86">
        <v>45661</v>
      </c>
      <c r="K344" s="12" t="s">
        <v>170</v>
      </c>
      <c r="L344" s="12" t="s">
        <v>1426</v>
      </c>
    </row>
    <row r="345" spans="1:12">
      <c r="A345" s="12">
        <f t="shared" si="5"/>
        <v>343</v>
      </c>
      <c r="B345" s="12" t="s">
        <v>6042</v>
      </c>
      <c r="C345" s="12" t="s">
        <v>5473</v>
      </c>
      <c r="D345" s="85">
        <v>853.91</v>
      </c>
      <c r="E345" s="6">
        <v>5076285</v>
      </c>
      <c r="F345" s="12" t="s">
        <v>835</v>
      </c>
      <c r="G345" s="2" t="s">
        <v>755</v>
      </c>
      <c r="H345" s="12" t="s">
        <v>756</v>
      </c>
      <c r="I345" s="86">
        <v>42570</v>
      </c>
      <c r="J345" s="86">
        <v>45857</v>
      </c>
      <c r="K345" s="12" t="s">
        <v>836</v>
      </c>
      <c r="L345" s="12" t="s">
        <v>837</v>
      </c>
    </row>
    <row r="346" spans="1:12">
      <c r="A346" s="12">
        <f t="shared" si="5"/>
        <v>344</v>
      </c>
      <c r="B346" s="12" t="s">
        <v>6043</v>
      </c>
      <c r="C346" s="12" t="s">
        <v>5870</v>
      </c>
      <c r="D346" s="85">
        <v>501.58</v>
      </c>
      <c r="E346" s="6">
        <v>5368456</v>
      </c>
      <c r="F346" s="12" t="s">
        <v>5901</v>
      </c>
      <c r="G346" s="2" t="s">
        <v>755</v>
      </c>
      <c r="H346" s="12" t="s">
        <v>756</v>
      </c>
      <c r="I346" s="86">
        <v>42457</v>
      </c>
      <c r="J346" s="86">
        <v>45744</v>
      </c>
      <c r="K346" s="12" t="s">
        <v>2670</v>
      </c>
      <c r="L346" s="12" t="s">
        <v>5872</v>
      </c>
    </row>
    <row r="347" spans="1:12">
      <c r="A347" s="12">
        <f t="shared" si="5"/>
        <v>345</v>
      </c>
      <c r="B347" s="12" t="s">
        <v>6044</v>
      </c>
      <c r="C347" s="12" t="s">
        <v>3262</v>
      </c>
      <c r="D347" s="85">
        <v>271.69</v>
      </c>
      <c r="E347" s="6">
        <v>4193245</v>
      </c>
      <c r="F347" s="12" t="s">
        <v>6045</v>
      </c>
      <c r="G347" s="2" t="s">
        <v>755</v>
      </c>
      <c r="H347" s="12" t="s">
        <v>756</v>
      </c>
      <c r="I347" s="86">
        <v>42422</v>
      </c>
      <c r="J347" s="86">
        <v>45710</v>
      </c>
      <c r="K347" s="12" t="s">
        <v>274</v>
      </c>
      <c r="L347" s="12" t="s">
        <v>1379</v>
      </c>
    </row>
    <row r="348" spans="1:12">
      <c r="A348" s="12">
        <f t="shared" si="5"/>
        <v>346</v>
      </c>
      <c r="B348" s="12" t="s">
        <v>6046</v>
      </c>
      <c r="C348" s="12" t="s">
        <v>1426</v>
      </c>
      <c r="D348" s="85">
        <v>2627.36</v>
      </c>
      <c r="E348" s="6">
        <v>5959462</v>
      </c>
      <c r="F348" s="12" t="s">
        <v>6047</v>
      </c>
      <c r="G348" s="2" t="s">
        <v>755</v>
      </c>
      <c r="H348" s="12" t="s">
        <v>756</v>
      </c>
      <c r="I348" s="86">
        <v>44005</v>
      </c>
      <c r="J348" s="86">
        <v>45100</v>
      </c>
      <c r="K348" s="12" t="s">
        <v>170</v>
      </c>
      <c r="L348" s="12" t="s">
        <v>1426</v>
      </c>
    </row>
    <row r="349" spans="1:12">
      <c r="A349" s="12">
        <f t="shared" si="5"/>
        <v>347</v>
      </c>
      <c r="B349" s="12" t="s">
        <v>6048</v>
      </c>
      <c r="C349" s="12" t="s">
        <v>2584</v>
      </c>
      <c r="D349" s="85">
        <v>1558.8</v>
      </c>
      <c r="E349" s="6">
        <v>2026163</v>
      </c>
      <c r="F349" s="12" t="s">
        <v>6049</v>
      </c>
      <c r="G349" s="2" t="s">
        <v>755</v>
      </c>
      <c r="H349" s="12" t="s">
        <v>756</v>
      </c>
      <c r="I349" s="86">
        <v>42447</v>
      </c>
      <c r="J349" s="86">
        <v>45734</v>
      </c>
      <c r="K349" s="12" t="s">
        <v>274</v>
      </c>
      <c r="L349" s="12" t="s">
        <v>874</v>
      </c>
    </row>
    <row r="350" spans="1:12">
      <c r="A350" s="12">
        <f t="shared" si="5"/>
        <v>348</v>
      </c>
      <c r="B350" s="12" t="s">
        <v>6050</v>
      </c>
      <c r="C350" s="12" t="s">
        <v>6051</v>
      </c>
      <c r="D350" s="85">
        <v>1121.92</v>
      </c>
      <c r="E350" s="6">
        <v>2057417</v>
      </c>
      <c r="F350" s="12" t="s">
        <v>2831</v>
      </c>
      <c r="G350" s="2" t="s">
        <v>755</v>
      </c>
      <c r="H350" s="12" t="s">
        <v>756</v>
      </c>
      <c r="I350" s="86">
        <v>42516</v>
      </c>
      <c r="J350" s="86">
        <v>45803</v>
      </c>
      <c r="K350" s="12" t="s">
        <v>293</v>
      </c>
      <c r="L350" s="12" t="s">
        <v>815</v>
      </c>
    </row>
    <row r="351" spans="1:12">
      <c r="A351" s="12">
        <f t="shared" si="5"/>
        <v>349</v>
      </c>
      <c r="B351" s="12" t="s">
        <v>6052</v>
      </c>
      <c r="C351" s="12" t="s">
        <v>305</v>
      </c>
      <c r="D351" s="85">
        <v>2418.08</v>
      </c>
      <c r="E351" s="6">
        <v>5556899</v>
      </c>
      <c r="F351" s="12" t="s">
        <v>6053</v>
      </c>
      <c r="G351" s="2" t="s">
        <v>755</v>
      </c>
      <c r="H351" s="12" t="s">
        <v>756</v>
      </c>
      <c r="I351" s="86">
        <v>42373</v>
      </c>
      <c r="J351" s="86">
        <v>45661</v>
      </c>
      <c r="K351" s="12" t="s">
        <v>123</v>
      </c>
      <c r="L351" s="12" t="s">
        <v>272</v>
      </c>
    </row>
    <row r="352" spans="1:12">
      <c r="A352" s="12">
        <f t="shared" si="5"/>
        <v>350</v>
      </c>
      <c r="B352" s="12" t="s">
        <v>6054</v>
      </c>
      <c r="C352" s="12" t="s">
        <v>6055</v>
      </c>
      <c r="D352" s="85">
        <v>365.04</v>
      </c>
      <c r="E352" s="6">
        <v>6183506</v>
      </c>
      <c r="F352" s="12" t="s">
        <v>3985</v>
      </c>
      <c r="G352" s="2" t="s">
        <v>755</v>
      </c>
      <c r="H352" s="12" t="s">
        <v>756</v>
      </c>
      <c r="I352" s="86">
        <v>42376</v>
      </c>
      <c r="J352" s="86">
        <v>45664</v>
      </c>
      <c r="K352" s="12" t="s">
        <v>274</v>
      </c>
      <c r="L352" s="12" t="s">
        <v>874</v>
      </c>
    </row>
    <row r="353" spans="1:12" ht="38.25">
      <c r="A353" s="12">
        <f t="shared" si="5"/>
        <v>351</v>
      </c>
      <c r="B353" s="12" t="s">
        <v>6056</v>
      </c>
      <c r="C353" s="12" t="s">
        <v>6021</v>
      </c>
      <c r="D353" s="85">
        <v>7428.25</v>
      </c>
      <c r="E353" s="6">
        <v>5767865</v>
      </c>
      <c r="F353" s="12" t="s">
        <v>5880</v>
      </c>
      <c r="G353" s="2" t="s">
        <v>848</v>
      </c>
      <c r="H353" s="12" t="s">
        <v>849</v>
      </c>
      <c r="I353" s="86">
        <v>42373</v>
      </c>
      <c r="J353" s="86">
        <v>45661</v>
      </c>
      <c r="K353" s="12" t="s">
        <v>233</v>
      </c>
      <c r="L353" s="12" t="s">
        <v>5031</v>
      </c>
    </row>
    <row r="354" spans="1:12">
      <c r="A354" s="12">
        <f t="shared" si="5"/>
        <v>352</v>
      </c>
      <c r="B354" s="12" t="s">
        <v>6057</v>
      </c>
      <c r="C354" s="12" t="s">
        <v>6058</v>
      </c>
      <c r="D354" s="85">
        <v>4693.38</v>
      </c>
      <c r="E354" s="6">
        <v>5945127</v>
      </c>
      <c r="F354" s="12" t="s">
        <v>6059</v>
      </c>
      <c r="G354" s="2" t="s">
        <v>755</v>
      </c>
      <c r="H354" s="12" t="s">
        <v>756</v>
      </c>
      <c r="I354" s="86">
        <v>42380</v>
      </c>
      <c r="J354" s="86">
        <v>45668</v>
      </c>
      <c r="K354" s="12" t="s">
        <v>170</v>
      </c>
      <c r="L354" s="12" t="s">
        <v>6060</v>
      </c>
    </row>
    <row r="355" spans="1:12">
      <c r="A355" s="12">
        <f t="shared" si="5"/>
        <v>353</v>
      </c>
      <c r="B355" s="12" t="s">
        <v>6061</v>
      </c>
      <c r="C355" s="12" t="s">
        <v>836</v>
      </c>
      <c r="D355" s="85">
        <v>2281.88</v>
      </c>
      <c r="E355" s="6">
        <v>5993512</v>
      </c>
      <c r="F355" s="12" t="s">
        <v>6062</v>
      </c>
      <c r="G355" s="2" t="s">
        <v>755</v>
      </c>
      <c r="H355" s="12" t="s">
        <v>756</v>
      </c>
      <c r="I355" s="86">
        <v>42373</v>
      </c>
      <c r="J355" s="86">
        <v>46046</v>
      </c>
      <c r="K355" s="12" t="s">
        <v>1102</v>
      </c>
      <c r="L355" s="12" t="s">
        <v>1194</v>
      </c>
    </row>
    <row r="356" spans="1:12">
      <c r="A356" s="12">
        <f t="shared" si="5"/>
        <v>354</v>
      </c>
      <c r="B356" s="12" t="s">
        <v>6063</v>
      </c>
      <c r="C356" s="12" t="s">
        <v>6064</v>
      </c>
      <c r="D356" s="85">
        <v>110.63</v>
      </c>
      <c r="E356" s="6">
        <v>5062306</v>
      </c>
      <c r="F356" s="12" t="s">
        <v>4427</v>
      </c>
      <c r="G356" s="2" t="s">
        <v>755</v>
      </c>
      <c r="H356" s="12" t="s">
        <v>756</v>
      </c>
      <c r="I356" s="86">
        <v>42384</v>
      </c>
      <c r="J356" s="86">
        <v>45672</v>
      </c>
      <c r="K356" s="12" t="s">
        <v>836</v>
      </c>
      <c r="L356" s="12" t="s">
        <v>837</v>
      </c>
    </row>
    <row r="357" spans="1:12">
      <c r="A357" s="12">
        <f t="shared" si="5"/>
        <v>355</v>
      </c>
      <c r="B357" s="12" t="s">
        <v>6065</v>
      </c>
      <c r="C357" s="12" t="s">
        <v>2223</v>
      </c>
      <c r="D357" s="85">
        <v>767.17</v>
      </c>
      <c r="E357" s="6">
        <v>5860318</v>
      </c>
      <c r="F357" s="12" t="s">
        <v>4766</v>
      </c>
      <c r="G357" s="2" t="s">
        <v>755</v>
      </c>
      <c r="H357" s="12" t="s">
        <v>756</v>
      </c>
      <c r="I357" s="86">
        <v>42373</v>
      </c>
      <c r="J357" s="86">
        <v>45661</v>
      </c>
      <c r="K357" s="12" t="s">
        <v>138</v>
      </c>
      <c r="L357" s="12" t="s">
        <v>138</v>
      </c>
    </row>
    <row r="358" spans="1:12" ht="38.25">
      <c r="A358" s="12">
        <f t="shared" si="5"/>
        <v>356</v>
      </c>
      <c r="B358" s="12" t="s">
        <v>6066</v>
      </c>
      <c r="C358" s="12" t="s">
        <v>6067</v>
      </c>
      <c r="D358" s="85">
        <v>18477.48</v>
      </c>
      <c r="E358" s="6">
        <v>5767865</v>
      </c>
      <c r="F358" s="12" t="s">
        <v>5880</v>
      </c>
      <c r="G358" s="2" t="s">
        <v>848</v>
      </c>
      <c r="H358" s="12" t="s">
        <v>849</v>
      </c>
      <c r="I358" s="86">
        <v>42377</v>
      </c>
      <c r="J358" s="86">
        <v>45665</v>
      </c>
      <c r="K358" s="12" t="s">
        <v>375</v>
      </c>
      <c r="L358" s="12" t="s">
        <v>4325</v>
      </c>
    </row>
    <row r="359" spans="1:12">
      <c r="A359" s="12">
        <f t="shared" si="5"/>
        <v>357</v>
      </c>
      <c r="B359" s="12" t="s">
        <v>6068</v>
      </c>
      <c r="C359" s="12" t="s">
        <v>777</v>
      </c>
      <c r="D359" s="85">
        <v>123.47</v>
      </c>
      <c r="E359" s="6">
        <v>5942136</v>
      </c>
      <c r="F359" s="12" t="s">
        <v>5996</v>
      </c>
      <c r="G359" s="2" t="s">
        <v>755</v>
      </c>
      <c r="H359" s="12" t="s">
        <v>756</v>
      </c>
      <c r="I359" s="86">
        <v>42587</v>
      </c>
      <c r="J359" s="86">
        <v>45874</v>
      </c>
      <c r="K359" s="12" t="s">
        <v>293</v>
      </c>
      <c r="L359" s="12" t="s">
        <v>4817</v>
      </c>
    </row>
    <row r="360" spans="1:12">
      <c r="A360" s="12">
        <f t="shared" si="5"/>
        <v>358</v>
      </c>
      <c r="B360" s="12" t="s">
        <v>6069</v>
      </c>
      <c r="C360" s="12" t="s">
        <v>3418</v>
      </c>
      <c r="D360" s="85">
        <v>7897.07</v>
      </c>
      <c r="E360" s="6">
        <v>5941857</v>
      </c>
      <c r="F360" s="12" t="s">
        <v>6070</v>
      </c>
      <c r="G360" s="2" t="s">
        <v>755</v>
      </c>
      <c r="H360" s="12" t="s">
        <v>756</v>
      </c>
      <c r="I360" s="86">
        <v>42394</v>
      </c>
      <c r="J360" s="86">
        <v>45682</v>
      </c>
      <c r="K360" s="12" t="s">
        <v>375</v>
      </c>
      <c r="L360" s="12" t="s">
        <v>893</v>
      </c>
    </row>
    <row r="361" spans="1:12" ht="38.25">
      <c r="A361" s="12">
        <f t="shared" si="5"/>
        <v>359</v>
      </c>
      <c r="B361" s="12" t="s">
        <v>6071</v>
      </c>
      <c r="C361" s="12" t="s">
        <v>3751</v>
      </c>
      <c r="D361" s="85">
        <v>26599.96</v>
      </c>
      <c r="E361" s="6">
        <v>5767865</v>
      </c>
      <c r="F361" s="12" t="s">
        <v>5880</v>
      </c>
      <c r="G361" s="2" t="s">
        <v>848</v>
      </c>
      <c r="H361" s="12" t="s">
        <v>849</v>
      </c>
      <c r="I361" s="86">
        <v>42373</v>
      </c>
      <c r="J361" s="86">
        <v>45661</v>
      </c>
      <c r="K361" s="12" t="s">
        <v>375</v>
      </c>
      <c r="L361" s="12" t="s">
        <v>893</v>
      </c>
    </row>
    <row r="362" spans="1:12" ht="38.25">
      <c r="A362" s="12">
        <f t="shared" si="5"/>
        <v>360</v>
      </c>
      <c r="B362" s="12" t="s">
        <v>6072</v>
      </c>
      <c r="C362" s="12" t="s">
        <v>927</v>
      </c>
      <c r="D362" s="85">
        <v>1752.04</v>
      </c>
      <c r="E362" s="6">
        <v>5066646</v>
      </c>
      <c r="F362" s="12" t="s">
        <v>6073</v>
      </c>
      <c r="G362" s="2" t="s">
        <v>848</v>
      </c>
      <c r="H362" s="12" t="s">
        <v>849</v>
      </c>
      <c r="I362" s="86">
        <v>42376</v>
      </c>
      <c r="J362" s="86">
        <v>45664</v>
      </c>
      <c r="K362" s="12" t="s">
        <v>233</v>
      </c>
      <c r="L362" s="12" t="s">
        <v>2504</v>
      </c>
    </row>
    <row r="363" spans="1:12" ht="38.25">
      <c r="A363" s="12">
        <f t="shared" si="5"/>
        <v>361</v>
      </c>
      <c r="B363" s="12" t="s">
        <v>6074</v>
      </c>
      <c r="C363" s="12" t="s">
        <v>6075</v>
      </c>
      <c r="D363" s="85">
        <v>8435.0400000000009</v>
      </c>
      <c r="E363" s="6">
        <v>5155312</v>
      </c>
      <c r="F363" s="12" t="s">
        <v>6076</v>
      </c>
      <c r="G363" s="2" t="s">
        <v>848</v>
      </c>
      <c r="H363" s="12" t="s">
        <v>849</v>
      </c>
      <c r="I363" s="86">
        <v>42459</v>
      </c>
      <c r="J363" s="86">
        <v>45746</v>
      </c>
      <c r="K363" s="12" t="s">
        <v>170</v>
      </c>
      <c r="L363" s="12" t="s">
        <v>2444</v>
      </c>
    </row>
    <row r="364" spans="1:12">
      <c r="A364" s="12">
        <f t="shared" si="5"/>
        <v>362</v>
      </c>
      <c r="B364" s="12" t="s">
        <v>6077</v>
      </c>
      <c r="C364" s="12" t="s">
        <v>3869</v>
      </c>
      <c r="D364" s="85">
        <v>6111.13</v>
      </c>
      <c r="E364" s="6">
        <v>2773791</v>
      </c>
      <c r="F364" s="12" t="s">
        <v>4526</v>
      </c>
      <c r="G364" s="2" t="s">
        <v>755</v>
      </c>
      <c r="H364" s="12" t="s">
        <v>756</v>
      </c>
      <c r="I364" s="86">
        <v>42584</v>
      </c>
      <c r="J364" s="86">
        <v>45871</v>
      </c>
      <c r="K364" s="12" t="s">
        <v>123</v>
      </c>
      <c r="L364" s="12" t="s">
        <v>1058</v>
      </c>
    </row>
    <row r="365" spans="1:12">
      <c r="A365" s="12">
        <f t="shared" si="5"/>
        <v>363</v>
      </c>
      <c r="B365" s="12" t="s">
        <v>6078</v>
      </c>
      <c r="C365" s="12" t="s">
        <v>6079</v>
      </c>
      <c r="D365" s="85">
        <v>1403.88</v>
      </c>
      <c r="E365" s="6">
        <v>5945674</v>
      </c>
      <c r="F365" s="12" t="s">
        <v>6080</v>
      </c>
      <c r="G365" s="2" t="s">
        <v>755</v>
      </c>
      <c r="H365" s="12" t="s">
        <v>756</v>
      </c>
      <c r="I365" s="86">
        <v>42390</v>
      </c>
      <c r="J365" s="86">
        <v>45678</v>
      </c>
      <c r="K365" s="12" t="s">
        <v>293</v>
      </c>
      <c r="L365" s="12" t="s">
        <v>1206</v>
      </c>
    </row>
    <row r="366" spans="1:12">
      <c r="A366" s="12">
        <f t="shared" si="5"/>
        <v>364</v>
      </c>
      <c r="B366" s="12" t="s">
        <v>6081</v>
      </c>
      <c r="C366" s="12" t="s">
        <v>6082</v>
      </c>
      <c r="D366" s="85">
        <v>4211.62</v>
      </c>
      <c r="E366" s="6">
        <v>5942136</v>
      </c>
      <c r="F366" s="12" t="s">
        <v>5996</v>
      </c>
      <c r="G366" s="2" t="s">
        <v>755</v>
      </c>
      <c r="H366" s="12" t="s">
        <v>756</v>
      </c>
      <c r="I366" s="86">
        <v>42424</v>
      </c>
      <c r="J366" s="86">
        <v>45712</v>
      </c>
      <c r="K366" s="12" t="s">
        <v>1014</v>
      </c>
      <c r="L366" s="12" t="s">
        <v>3357</v>
      </c>
    </row>
    <row r="367" spans="1:12">
      <c r="A367" s="12">
        <f t="shared" si="5"/>
        <v>365</v>
      </c>
      <c r="B367" s="12" t="s">
        <v>6083</v>
      </c>
      <c r="C367" s="12" t="s">
        <v>305</v>
      </c>
      <c r="D367" s="85">
        <v>3260.21</v>
      </c>
      <c r="E367" s="6">
        <v>5893372</v>
      </c>
      <c r="F367" s="12" t="s">
        <v>6084</v>
      </c>
      <c r="G367" s="2" t="s">
        <v>755</v>
      </c>
      <c r="H367" s="12" t="s">
        <v>756</v>
      </c>
      <c r="I367" s="86">
        <v>42383</v>
      </c>
      <c r="J367" s="86">
        <v>45671</v>
      </c>
      <c r="K367" s="12" t="s">
        <v>170</v>
      </c>
      <c r="L367" s="12" t="s">
        <v>2444</v>
      </c>
    </row>
    <row r="368" spans="1:12">
      <c r="A368" s="12">
        <f t="shared" si="5"/>
        <v>366</v>
      </c>
      <c r="B368" s="12" t="s">
        <v>6085</v>
      </c>
      <c r="C368" s="12" t="s">
        <v>1329</v>
      </c>
      <c r="D368" s="85">
        <v>2050.1</v>
      </c>
      <c r="E368" s="6">
        <v>5979021</v>
      </c>
      <c r="F368" s="12" t="s">
        <v>6086</v>
      </c>
      <c r="G368" s="2" t="s">
        <v>755</v>
      </c>
      <c r="H368" s="12" t="s">
        <v>756</v>
      </c>
      <c r="I368" s="86">
        <v>42516</v>
      </c>
      <c r="J368" s="86">
        <v>45803</v>
      </c>
      <c r="K368" s="12" t="s">
        <v>170</v>
      </c>
      <c r="L368" s="12" t="s">
        <v>1426</v>
      </c>
    </row>
    <row r="369" spans="1:12">
      <c r="A369" s="12">
        <f t="shared" si="5"/>
        <v>367</v>
      </c>
      <c r="B369" s="12" t="s">
        <v>6087</v>
      </c>
      <c r="C369" s="12" t="s">
        <v>2876</v>
      </c>
      <c r="D369" s="85">
        <v>4743.58</v>
      </c>
      <c r="E369" s="6">
        <v>5715253</v>
      </c>
      <c r="F369" s="12" t="s">
        <v>6088</v>
      </c>
      <c r="G369" s="2" t="s">
        <v>755</v>
      </c>
      <c r="H369" s="12" t="s">
        <v>756</v>
      </c>
      <c r="I369" s="86">
        <v>42403</v>
      </c>
      <c r="J369" s="86">
        <v>45691</v>
      </c>
      <c r="K369" s="12" t="s">
        <v>293</v>
      </c>
      <c r="L369" s="12" t="s">
        <v>124</v>
      </c>
    </row>
    <row r="370" spans="1:12">
      <c r="A370" s="12">
        <f t="shared" si="5"/>
        <v>368</v>
      </c>
      <c r="B370" s="12" t="s">
        <v>6089</v>
      </c>
      <c r="C370" s="12" t="s">
        <v>982</v>
      </c>
      <c r="D370" s="85">
        <v>541.62</v>
      </c>
      <c r="E370" s="6">
        <v>6023576</v>
      </c>
      <c r="F370" s="12" t="s">
        <v>5974</v>
      </c>
      <c r="G370" s="2" t="s">
        <v>755</v>
      </c>
      <c r="H370" s="12" t="s">
        <v>756</v>
      </c>
      <c r="I370" s="86">
        <v>42373</v>
      </c>
      <c r="J370" s="86">
        <v>45661</v>
      </c>
      <c r="K370" s="12" t="s">
        <v>274</v>
      </c>
      <c r="L370" s="12" t="s">
        <v>944</v>
      </c>
    </row>
    <row r="371" spans="1:12">
      <c r="A371" s="12">
        <f t="shared" si="5"/>
        <v>369</v>
      </c>
      <c r="B371" s="12" t="s">
        <v>6090</v>
      </c>
      <c r="C371" s="12" t="s">
        <v>6091</v>
      </c>
      <c r="D371" s="85">
        <v>2490.2199999999998</v>
      </c>
      <c r="E371" s="6">
        <v>8451109</v>
      </c>
      <c r="F371" s="12" t="s">
        <v>6092</v>
      </c>
      <c r="G371" s="2" t="s">
        <v>755</v>
      </c>
      <c r="H371" s="12" t="s">
        <v>756</v>
      </c>
      <c r="I371" s="86">
        <v>42374</v>
      </c>
      <c r="J371" s="86">
        <v>45662</v>
      </c>
      <c r="K371" s="12" t="s">
        <v>123</v>
      </c>
      <c r="L371" s="12" t="s">
        <v>2876</v>
      </c>
    </row>
    <row r="372" spans="1:12">
      <c r="A372" s="12">
        <f t="shared" si="5"/>
        <v>370</v>
      </c>
      <c r="B372" s="12" t="s">
        <v>6093</v>
      </c>
      <c r="C372" s="12" t="s">
        <v>6094</v>
      </c>
      <c r="D372" s="85">
        <v>683.53</v>
      </c>
      <c r="E372" s="6">
        <v>6010067</v>
      </c>
      <c r="F372" s="12" t="s">
        <v>6095</v>
      </c>
      <c r="G372" s="2" t="s">
        <v>755</v>
      </c>
      <c r="H372" s="12" t="s">
        <v>756</v>
      </c>
      <c r="I372" s="86">
        <v>42394</v>
      </c>
      <c r="J372" s="86">
        <v>45682</v>
      </c>
      <c r="K372" s="12" t="s">
        <v>170</v>
      </c>
      <c r="L372" s="12" t="s">
        <v>2444</v>
      </c>
    </row>
    <row r="373" spans="1:12">
      <c r="A373" s="12">
        <f t="shared" si="5"/>
        <v>371</v>
      </c>
      <c r="B373" s="12" t="s">
        <v>6096</v>
      </c>
      <c r="C373" s="12" t="s">
        <v>1956</v>
      </c>
      <c r="D373" s="85">
        <v>618.20000000000005</v>
      </c>
      <c r="E373" s="6">
        <v>5992567</v>
      </c>
      <c r="F373" s="12" t="s">
        <v>6097</v>
      </c>
      <c r="G373" s="2" t="s">
        <v>755</v>
      </c>
      <c r="H373" s="12" t="s">
        <v>756</v>
      </c>
      <c r="I373" s="86">
        <v>42389</v>
      </c>
      <c r="J373" s="86">
        <v>45677</v>
      </c>
      <c r="K373" s="12" t="s">
        <v>170</v>
      </c>
      <c r="L373" s="12" t="s">
        <v>807</v>
      </c>
    </row>
    <row r="374" spans="1:12">
      <c r="A374" s="12">
        <f t="shared" si="5"/>
        <v>372</v>
      </c>
      <c r="B374" s="12" t="s">
        <v>6098</v>
      </c>
      <c r="C374" s="12" t="s">
        <v>4426</v>
      </c>
      <c r="D374" s="85">
        <v>4750.7299999999996</v>
      </c>
      <c r="E374" s="6">
        <v>5940583</v>
      </c>
      <c r="F374" s="12" t="s">
        <v>6099</v>
      </c>
      <c r="G374" s="2" t="s">
        <v>755</v>
      </c>
      <c r="H374" s="12" t="s">
        <v>756</v>
      </c>
      <c r="I374" s="86">
        <v>42387</v>
      </c>
      <c r="J374" s="86">
        <v>45675</v>
      </c>
      <c r="K374" s="12" t="s">
        <v>375</v>
      </c>
      <c r="L374" s="12" t="s">
        <v>3086</v>
      </c>
    </row>
    <row r="375" spans="1:12">
      <c r="A375" s="12">
        <f t="shared" si="5"/>
        <v>373</v>
      </c>
      <c r="B375" s="12" t="s">
        <v>6100</v>
      </c>
      <c r="C375" s="12" t="s">
        <v>6101</v>
      </c>
      <c r="D375" s="85">
        <v>602.85</v>
      </c>
      <c r="E375" s="6">
        <v>5984041</v>
      </c>
      <c r="F375" s="12" t="s">
        <v>6102</v>
      </c>
      <c r="G375" s="2" t="s">
        <v>755</v>
      </c>
      <c r="H375" s="12" t="s">
        <v>756</v>
      </c>
      <c r="I375" s="86">
        <v>42390</v>
      </c>
      <c r="J375" s="86">
        <v>45678</v>
      </c>
      <c r="K375" s="12" t="s">
        <v>170</v>
      </c>
      <c r="L375" s="12" t="s">
        <v>2444</v>
      </c>
    </row>
    <row r="376" spans="1:12">
      <c r="A376" s="12">
        <f t="shared" si="5"/>
        <v>374</v>
      </c>
      <c r="B376" s="12" t="s">
        <v>6103</v>
      </c>
      <c r="C376" s="12" t="s">
        <v>1395</v>
      </c>
      <c r="D376" s="85">
        <v>251.07</v>
      </c>
      <c r="E376" s="6">
        <v>5961149</v>
      </c>
      <c r="F376" s="12" t="s">
        <v>6104</v>
      </c>
      <c r="G376" s="2" t="s">
        <v>755</v>
      </c>
      <c r="H376" s="12" t="s">
        <v>756</v>
      </c>
      <c r="I376" s="86">
        <v>42408</v>
      </c>
      <c r="J376" s="86">
        <v>45696</v>
      </c>
      <c r="K376" s="12" t="s">
        <v>170</v>
      </c>
      <c r="L376" s="12" t="s">
        <v>171</v>
      </c>
    </row>
    <row r="377" spans="1:12">
      <c r="A377" s="12">
        <f t="shared" si="5"/>
        <v>375</v>
      </c>
      <c r="B377" s="12" t="s">
        <v>6105</v>
      </c>
      <c r="C377" s="12" t="s">
        <v>5798</v>
      </c>
      <c r="D377" s="85">
        <v>2671.32</v>
      </c>
      <c r="E377" s="6">
        <v>2867494</v>
      </c>
      <c r="F377" s="12" t="s">
        <v>6106</v>
      </c>
      <c r="G377" s="2" t="s">
        <v>755</v>
      </c>
      <c r="H377" s="12" t="s">
        <v>756</v>
      </c>
      <c r="I377" s="86">
        <v>42472</v>
      </c>
      <c r="J377" s="86">
        <v>45759</v>
      </c>
      <c r="K377" s="12" t="s">
        <v>375</v>
      </c>
      <c r="L377" s="12" t="s">
        <v>6107</v>
      </c>
    </row>
    <row r="378" spans="1:12">
      <c r="A378" s="12">
        <f t="shared" si="5"/>
        <v>376</v>
      </c>
      <c r="B378" s="12" t="s">
        <v>6108</v>
      </c>
      <c r="C378" s="12" t="s">
        <v>6109</v>
      </c>
      <c r="D378" s="85">
        <v>1675.89</v>
      </c>
      <c r="E378" s="6">
        <v>2732548</v>
      </c>
      <c r="F378" s="12" t="s">
        <v>6110</v>
      </c>
      <c r="G378" s="2" t="s">
        <v>755</v>
      </c>
      <c r="H378" s="12" t="s">
        <v>756</v>
      </c>
      <c r="I378" s="86">
        <v>42479</v>
      </c>
      <c r="J378" s="86">
        <v>45889</v>
      </c>
      <c r="K378" s="12" t="s">
        <v>123</v>
      </c>
      <c r="L378" s="12" t="s">
        <v>5244</v>
      </c>
    </row>
    <row r="379" spans="1:12" ht="38.25">
      <c r="A379" s="12">
        <f t="shared" si="5"/>
        <v>377</v>
      </c>
      <c r="B379" s="12" t="s">
        <v>6111</v>
      </c>
      <c r="C379" s="12" t="s">
        <v>5879</v>
      </c>
      <c r="D379" s="85">
        <v>14920.73</v>
      </c>
      <c r="E379" s="6">
        <v>5767865</v>
      </c>
      <c r="F379" s="12" t="s">
        <v>5880</v>
      </c>
      <c r="G379" s="2" t="s">
        <v>848</v>
      </c>
      <c r="H379" s="12" t="s">
        <v>849</v>
      </c>
      <c r="I379" s="86">
        <v>42395</v>
      </c>
      <c r="J379" s="86">
        <v>45683</v>
      </c>
      <c r="K379" s="12" t="s">
        <v>123</v>
      </c>
      <c r="L379" s="12" t="s">
        <v>1508</v>
      </c>
    </row>
    <row r="380" spans="1:12">
      <c r="A380" s="12">
        <f t="shared" si="5"/>
        <v>378</v>
      </c>
      <c r="B380" s="12" t="s">
        <v>6112</v>
      </c>
      <c r="C380" s="12" t="s">
        <v>6113</v>
      </c>
      <c r="D380" s="85">
        <v>5577.68</v>
      </c>
      <c r="E380" s="6">
        <v>5896746</v>
      </c>
      <c r="F380" s="12" t="s">
        <v>6114</v>
      </c>
      <c r="G380" s="2" t="s">
        <v>755</v>
      </c>
      <c r="H380" s="12" t="s">
        <v>756</v>
      </c>
      <c r="I380" s="86">
        <v>42390</v>
      </c>
      <c r="J380" s="86">
        <v>45678</v>
      </c>
      <c r="K380" s="12" t="s">
        <v>170</v>
      </c>
      <c r="L380" s="12" t="s">
        <v>924</v>
      </c>
    </row>
    <row r="381" spans="1:12">
      <c r="A381" s="12">
        <f t="shared" si="5"/>
        <v>379</v>
      </c>
      <c r="B381" s="12" t="s">
        <v>6115</v>
      </c>
      <c r="C381" s="12" t="s">
        <v>6116</v>
      </c>
      <c r="D381" s="85">
        <v>656.98</v>
      </c>
      <c r="E381" s="6">
        <v>5994993</v>
      </c>
      <c r="F381" s="12" t="s">
        <v>5726</v>
      </c>
      <c r="G381" s="2" t="s">
        <v>755</v>
      </c>
      <c r="H381" s="12" t="s">
        <v>756</v>
      </c>
      <c r="I381" s="86">
        <v>42458</v>
      </c>
      <c r="J381" s="86">
        <v>45745</v>
      </c>
      <c r="K381" s="12" t="s">
        <v>293</v>
      </c>
      <c r="L381" s="12" t="s">
        <v>1206</v>
      </c>
    </row>
    <row r="382" spans="1:12">
      <c r="A382" s="12">
        <f t="shared" si="5"/>
        <v>380</v>
      </c>
      <c r="B382" s="12" t="s">
        <v>6117</v>
      </c>
      <c r="C382" s="12" t="s">
        <v>305</v>
      </c>
      <c r="D382" s="85">
        <v>3933.62</v>
      </c>
      <c r="E382" s="6">
        <v>5893372</v>
      </c>
      <c r="F382" s="12" t="s">
        <v>6084</v>
      </c>
      <c r="G382" s="2" t="s">
        <v>755</v>
      </c>
      <c r="H382" s="12" t="s">
        <v>756</v>
      </c>
      <c r="I382" s="86">
        <v>42395</v>
      </c>
      <c r="J382" s="86">
        <v>45683</v>
      </c>
      <c r="K382" s="12" t="s">
        <v>170</v>
      </c>
      <c r="L382" s="12" t="s">
        <v>2444</v>
      </c>
    </row>
    <row r="383" spans="1:12" ht="38.25">
      <c r="A383" s="12">
        <f t="shared" si="5"/>
        <v>381</v>
      </c>
      <c r="B383" s="12" t="s">
        <v>6118</v>
      </c>
      <c r="C383" s="12" t="s">
        <v>1058</v>
      </c>
      <c r="D383" s="85">
        <v>21296.09</v>
      </c>
      <c r="E383" s="6">
        <v>5975298</v>
      </c>
      <c r="F383" s="12" t="s">
        <v>6119</v>
      </c>
      <c r="G383" s="2" t="s">
        <v>766</v>
      </c>
      <c r="H383" s="12" t="s">
        <v>767</v>
      </c>
      <c r="I383" s="86">
        <v>42489</v>
      </c>
      <c r="J383" s="86">
        <v>45776</v>
      </c>
      <c r="K383" s="12" t="s">
        <v>123</v>
      </c>
      <c r="L383" s="12" t="s">
        <v>1058</v>
      </c>
    </row>
    <row r="384" spans="1:12" ht="38.25">
      <c r="A384" s="12">
        <f t="shared" si="5"/>
        <v>382</v>
      </c>
      <c r="B384" s="12" t="s">
        <v>6120</v>
      </c>
      <c r="C384" s="12" t="s">
        <v>2302</v>
      </c>
      <c r="D384" s="85">
        <v>15979.34</v>
      </c>
      <c r="E384" s="6">
        <v>5767865</v>
      </c>
      <c r="F384" s="12" t="s">
        <v>5880</v>
      </c>
      <c r="G384" s="2" t="s">
        <v>848</v>
      </c>
      <c r="H384" s="12" t="s">
        <v>849</v>
      </c>
      <c r="I384" s="86">
        <v>42419</v>
      </c>
      <c r="J384" s="86">
        <v>45707</v>
      </c>
      <c r="K384" s="12" t="s">
        <v>123</v>
      </c>
      <c r="L384" s="12" t="s">
        <v>2682</v>
      </c>
    </row>
    <row r="385" spans="1:12">
      <c r="A385" s="12">
        <f t="shared" si="5"/>
        <v>383</v>
      </c>
      <c r="B385" s="12" t="s">
        <v>6121</v>
      </c>
      <c r="C385" s="12" t="s">
        <v>6122</v>
      </c>
      <c r="D385" s="85">
        <v>875.24</v>
      </c>
      <c r="E385" s="6">
        <v>6183506</v>
      </c>
      <c r="F385" s="12" t="s">
        <v>3985</v>
      </c>
      <c r="G385" s="2" t="s">
        <v>755</v>
      </c>
      <c r="H385" s="12" t="s">
        <v>756</v>
      </c>
      <c r="I385" s="86">
        <v>42395</v>
      </c>
      <c r="J385" s="86">
        <v>45683</v>
      </c>
      <c r="K385" s="12" t="s">
        <v>274</v>
      </c>
      <c r="L385" s="12" t="s">
        <v>874</v>
      </c>
    </row>
    <row r="386" spans="1:12">
      <c r="A386" s="12">
        <f t="shared" si="5"/>
        <v>384</v>
      </c>
      <c r="B386" s="12" t="s">
        <v>6123</v>
      </c>
      <c r="C386" s="12" t="s">
        <v>2599</v>
      </c>
      <c r="D386" s="85">
        <v>2137.52</v>
      </c>
      <c r="E386" s="6">
        <v>5632358</v>
      </c>
      <c r="F386" s="12" t="s">
        <v>6124</v>
      </c>
      <c r="G386" s="2" t="s">
        <v>755</v>
      </c>
      <c r="H386" s="12" t="s">
        <v>756</v>
      </c>
      <c r="I386" s="86">
        <v>42404</v>
      </c>
      <c r="J386" s="86">
        <v>45692</v>
      </c>
      <c r="K386" s="12" t="s">
        <v>170</v>
      </c>
      <c r="L386" s="12" t="s">
        <v>811</v>
      </c>
    </row>
    <row r="387" spans="1:12">
      <c r="A387" s="12">
        <f t="shared" si="5"/>
        <v>385</v>
      </c>
      <c r="B387" s="12" t="s">
        <v>6125</v>
      </c>
      <c r="C387" s="12" t="s">
        <v>6126</v>
      </c>
      <c r="D387" s="85">
        <v>1065.8900000000001</v>
      </c>
      <c r="E387" s="6">
        <v>6023886</v>
      </c>
      <c r="F387" s="12" t="s">
        <v>6127</v>
      </c>
      <c r="G387" s="2" t="s">
        <v>755</v>
      </c>
      <c r="H387" s="12" t="s">
        <v>756</v>
      </c>
      <c r="I387" s="86">
        <v>42394</v>
      </c>
      <c r="J387" s="86">
        <v>45682</v>
      </c>
      <c r="K387" s="12" t="s">
        <v>375</v>
      </c>
      <c r="L387" s="12" t="s">
        <v>3086</v>
      </c>
    </row>
    <row r="388" spans="1:12">
      <c r="A388" s="12">
        <f t="shared" si="5"/>
        <v>386</v>
      </c>
      <c r="B388" s="12" t="s">
        <v>6128</v>
      </c>
      <c r="C388" s="12" t="s">
        <v>6129</v>
      </c>
      <c r="D388" s="85">
        <v>1802.1</v>
      </c>
      <c r="E388" s="6">
        <v>6729193</v>
      </c>
      <c r="F388" s="12" t="s">
        <v>6130</v>
      </c>
      <c r="G388" s="2" t="s">
        <v>755</v>
      </c>
      <c r="H388" s="12" t="s">
        <v>756</v>
      </c>
      <c r="I388" s="86">
        <v>42422</v>
      </c>
      <c r="J388" s="86">
        <v>45710</v>
      </c>
      <c r="K388" s="12" t="s">
        <v>2623</v>
      </c>
      <c r="L388" s="12" t="s">
        <v>2624</v>
      </c>
    </row>
    <row r="389" spans="1:12">
      <c r="A389" s="12">
        <f t="shared" ref="A389:A452" si="6">A388+1</f>
        <v>387</v>
      </c>
      <c r="B389" s="12" t="s">
        <v>6131</v>
      </c>
      <c r="C389" s="12" t="s">
        <v>6132</v>
      </c>
      <c r="D389" s="85">
        <v>2988.57</v>
      </c>
      <c r="E389" s="6">
        <v>6009565</v>
      </c>
      <c r="F389" s="12" t="s">
        <v>6133</v>
      </c>
      <c r="G389" s="2" t="s">
        <v>755</v>
      </c>
      <c r="H389" s="12" t="s">
        <v>756</v>
      </c>
      <c r="I389" s="86">
        <v>42513</v>
      </c>
      <c r="J389" s="86">
        <v>45800</v>
      </c>
      <c r="K389" s="12" t="s">
        <v>170</v>
      </c>
      <c r="L389" s="12" t="s">
        <v>807</v>
      </c>
    </row>
    <row r="390" spans="1:12" ht="38.25">
      <c r="A390" s="12">
        <f t="shared" si="6"/>
        <v>388</v>
      </c>
      <c r="B390" s="12" t="s">
        <v>6134</v>
      </c>
      <c r="C390" s="12" t="s">
        <v>4668</v>
      </c>
      <c r="D390" s="85">
        <v>2444.8200000000002</v>
      </c>
      <c r="E390" s="6">
        <v>6081169</v>
      </c>
      <c r="F390" s="12" t="s">
        <v>6135</v>
      </c>
      <c r="G390" s="2" t="s">
        <v>848</v>
      </c>
      <c r="H390" s="12" t="s">
        <v>849</v>
      </c>
      <c r="I390" s="86">
        <v>42408</v>
      </c>
      <c r="J390" s="86">
        <v>45696</v>
      </c>
      <c r="K390" s="12" t="s">
        <v>123</v>
      </c>
      <c r="L390" s="12" t="s">
        <v>1472</v>
      </c>
    </row>
    <row r="391" spans="1:12">
      <c r="A391" s="12">
        <f t="shared" si="6"/>
        <v>389</v>
      </c>
      <c r="B391" s="12" t="s">
        <v>6136</v>
      </c>
      <c r="C391" s="12" t="s">
        <v>6137</v>
      </c>
      <c r="D391" s="85">
        <v>88.56</v>
      </c>
      <c r="E391" s="6">
        <v>5101174</v>
      </c>
      <c r="F391" s="12" t="s">
        <v>6138</v>
      </c>
      <c r="G391" s="2" t="s">
        <v>755</v>
      </c>
      <c r="H391" s="12" t="s">
        <v>756</v>
      </c>
      <c r="I391" s="86">
        <v>42408</v>
      </c>
      <c r="J391" s="86">
        <v>45696</v>
      </c>
      <c r="K391" s="12" t="s">
        <v>123</v>
      </c>
      <c r="L391" s="12" t="s">
        <v>272</v>
      </c>
    </row>
    <row r="392" spans="1:12">
      <c r="A392" s="12">
        <f t="shared" si="6"/>
        <v>390</v>
      </c>
      <c r="B392" s="12" t="s">
        <v>6139</v>
      </c>
      <c r="C392" s="12" t="s">
        <v>6140</v>
      </c>
      <c r="D392" s="85">
        <v>2579.16</v>
      </c>
      <c r="E392" s="6">
        <v>5942136</v>
      </c>
      <c r="F392" s="12" t="s">
        <v>5996</v>
      </c>
      <c r="G392" s="2" t="s">
        <v>755</v>
      </c>
      <c r="H392" s="12" t="s">
        <v>756</v>
      </c>
      <c r="I392" s="86">
        <v>42424</v>
      </c>
      <c r="J392" s="86">
        <v>45712</v>
      </c>
      <c r="K392" s="12" t="s">
        <v>1014</v>
      </c>
      <c r="L392" s="12" t="s">
        <v>3357</v>
      </c>
    </row>
    <row r="393" spans="1:12">
      <c r="A393" s="12">
        <f t="shared" si="6"/>
        <v>391</v>
      </c>
      <c r="B393" s="12" t="s">
        <v>6141</v>
      </c>
      <c r="C393" s="12" t="s">
        <v>2012</v>
      </c>
      <c r="D393" s="85">
        <v>1161.44</v>
      </c>
      <c r="E393" s="6">
        <v>6209831</v>
      </c>
      <c r="F393" s="12" t="s">
        <v>6142</v>
      </c>
      <c r="G393" s="2" t="s">
        <v>755</v>
      </c>
      <c r="H393" s="12" t="s">
        <v>756</v>
      </c>
      <c r="I393" s="86">
        <v>42403</v>
      </c>
      <c r="J393" s="86">
        <v>45691</v>
      </c>
      <c r="K393" s="12" t="s">
        <v>293</v>
      </c>
      <c r="L393" s="12" t="s">
        <v>1826</v>
      </c>
    </row>
    <row r="394" spans="1:12">
      <c r="A394" s="12">
        <f t="shared" si="6"/>
        <v>392</v>
      </c>
      <c r="B394" s="12" t="s">
        <v>6143</v>
      </c>
      <c r="C394" s="12" t="s">
        <v>6144</v>
      </c>
      <c r="D394" s="85">
        <v>3962.13</v>
      </c>
      <c r="E394" s="6">
        <v>5893372</v>
      </c>
      <c r="F394" s="12" t="s">
        <v>6084</v>
      </c>
      <c r="G394" s="2" t="s">
        <v>755</v>
      </c>
      <c r="H394" s="12" t="s">
        <v>756</v>
      </c>
      <c r="I394" s="86">
        <v>42395</v>
      </c>
      <c r="J394" s="86">
        <v>45683</v>
      </c>
      <c r="K394" s="12" t="s">
        <v>170</v>
      </c>
      <c r="L394" s="12" t="s">
        <v>2444</v>
      </c>
    </row>
    <row r="395" spans="1:12">
      <c r="A395" s="12">
        <f t="shared" si="6"/>
        <v>393</v>
      </c>
      <c r="B395" s="12" t="s">
        <v>6145</v>
      </c>
      <c r="C395" s="12" t="s">
        <v>329</v>
      </c>
      <c r="D395" s="85">
        <v>2779.62</v>
      </c>
      <c r="E395" s="6">
        <v>6019951</v>
      </c>
      <c r="F395" s="12" t="s">
        <v>6146</v>
      </c>
      <c r="G395" s="2" t="s">
        <v>755</v>
      </c>
      <c r="H395" s="12" t="s">
        <v>756</v>
      </c>
      <c r="I395" s="86">
        <v>42395</v>
      </c>
      <c r="J395" s="86">
        <v>45683</v>
      </c>
      <c r="K395" s="12" t="s">
        <v>304</v>
      </c>
      <c r="L395" s="12" t="s">
        <v>6147</v>
      </c>
    </row>
    <row r="396" spans="1:12">
      <c r="A396" s="12">
        <f t="shared" si="6"/>
        <v>394</v>
      </c>
      <c r="B396" s="12" t="s">
        <v>6148</v>
      </c>
      <c r="C396" s="12" t="s">
        <v>4269</v>
      </c>
      <c r="D396" s="85">
        <v>300.45</v>
      </c>
      <c r="E396" s="6">
        <v>6168108</v>
      </c>
      <c r="F396" s="12" t="s">
        <v>6149</v>
      </c>
      <c r="G396" s="2" t="s">
        <v>755</v>
      </c>
      <c r="H396" s="12" t="s">
        <v>756</v>
      </c>
      <c r="I396" s="86">
        <v>42501</v>
      </c>
      <c r="J396" s="86">
        <v>45562</v>
      </c>
      <c r="K396" s="12" t="s">
        <v>293</v>
      </c>
      <c r="L396" s="12" t="s">
        <v>1206</v>
      </c>
    </row>
    <row r="397" spans="1:12" ht="38.25">
      <c r="A397" s="12">
        <f t="shared" si="6"/>
        <v>395</v>
      </c>
      <c r="B397" s="12" t="s">
        <v>6150</v>
      </c>
      <c r="C397" s="12" t="s">
        <v>6151</v>
      </c>
      <c r="D397" s="85">
        <v>8365.7000000000007</v>
      </c>
      <c r="E397" s="6">
        <v>6014208</v>
      </c>
      <c r="F397" s="12" t="s">
        <v>6152</v>
      </c>
      <c r="G397" s="2" t="s">
        <v>766</v>
      </c>
      <c r="H397" s="12" t="s">
        <v>767</v>
      </c>
      <c r="I397" s="86">
        <v>42395</v>
      </c>
      <c r="J397" s="86">
        <v>45683</v>
      </c>
      <c r="K397" s="12" t="s">
        <v>293</v>
      </c>
      <c r="L397" s="12" t="s">
        <v>933</v>
      </c>
    </row>
    <row r="398" spans="1:12">
      <c r="A398" s="12">
        <f t="shared" si="6"/>
        <v>396</v>
      </c>
      <c r="B398" s="12" t="s">
        <v>6153</v>
      </c>
      <c r="C398" s="12" t="s">
        <v>6154</v>
      </c>
      <c r="D398" s="85">
        <v>128.1</v>
      </c>
      <c r="E398" s="6">
        <v>5153913</v>
      </c>
      <c r="F398" s="12" t="s">
        <v>5094</v>
      </c>
      <c r="G398" s="2" t="s">
        <v>755</v>
      </c>
      <c r="H398" s="12" t="s">
        <v>756</v>
      </c>
      <c r="I398" s="86">
        <v>42524</v>
      </c>
      <c r="J398" s="86">
        <v>45811</v>
      </c>
      <c r="K398" s="12" t="s">
        <v>274</v>
      </c>
      <c r="L398" s="12" t="s">
        <v>874</v>
      </c>
    </row>
    <row r="399" spans="1:12">
      <c r="A399" s="12">
        <f t="shared" si="6"/>
        <v>397</v>
      </c>
      <c r="B399" s="12" t="s">
        <v>6155</v>
      </c>
      <c r="C399" s="12" t="s">
        <v>3751</v>
      </c>
      <c r="D399" s="85">
        <v>1121.44</v>
      </c>
      <c r="E399" s="6">
        <v>5761689</v>
      </c>
      <c r="F399" s="12" t="s">
        <v>6156</v>
      </c>
      <c r="G399" s="2" t="s">
        <v>755</v>
      </c>
      <c r="H399" s="12" t="s">
        <v>756</v>
      </c>
      <c r="I399" s="86">
        <v>42408</v>
      </c>
      <c r="J399" s="86">
        <v>45696</v>
      </c>
      <c r="K399" s="12" t="s">
        <v>293</v>
      </c>
      <c r="L399" s="12" t="s">
        <v>3681</v>
      </c>
    </row>
    <row r="400" spans="1:12">
      <c r="A400" s="12">
        <f t="shared" si="6"/>
        <v>398</v>
      </c>
      <c r="B400" s="12" t="s">
        <v>6157</v>
      </c>
      <c r="C400" s="12" t="s">
        <v>5951</v>
      </c>
      <c r="D400" s="85">
        <v>1187.81</v>
      </c>
      <c r="E400" s="6">
        <v>5921112</v>
      </c>
      <c r="F400" s="12" t="s">
        <v>5424</v>
      </c>
      <c r="G400" s="2" t="s">
        <v>755</v>
      </c>
      <c r="H400" s="12" t="s">
        <v>756</v>
      </c>
      <c r="I400" s="86">
        <v>42403</v>
      </c>
      <c r="J400" s="86">
        <v>45691</v>
      </c>
      <c r="K400" s="12" t="s">
        <v>293</v>
      </c>
      <c r="L400" s="12" t="s">
        <v>815</v>
      </c>
    </row>
    <row r="401" spans="1:12">
      <c r="A401" s="12">
        <f t="shared" si="6"/>
        <v>399</v>
      </c>
      <c r="B401" s="12" t="s">
        <v>6158</v>
      </c>
      <c r="C401" s="12" t="s">
        <v>6159</v>
      </c>
      <c r="D401" s="85">
        <v>60.6</v>
      </c>
      <c r="E401" s="6">
        <v>5305403</v>
      </c>
      <c r="F401" s="12" t="s">
        <v>5929</v>
      </c>
      <c r="G401" s="2" t="s">
        <v>755</v>
      </c>
      <c r="H401" s="12" t="s">
        <v>756</v>
      </c>
      <c r="I401" s="86">
        <v>42429</v>
      </c>
      <c r="J401" s="86">
        <v>45716</v>
      </c>
      <c r="K401" s="12" t="s">
        <v>375</v>
      </c>
      <c r="L401" s="12" t="s">
        <v>944</v>
      </c>
    </row>
    <row r="402" spans="1:12">
      <c r="A402" s="12">
        <f t="shared" si="6"/>
        <v>400</v>
      </c>
      <c r="B402" s="12" t="s">
        <v>6160</v>
      </c>
      <c r="C402" s="12" t="s">
        <v>4389</v>
      </c>
      <c r="D402" s="85">
        <v>5347.79</v>
      </c>
      <c r="E402" s="6">
        <v>5959578</v>
      </c>
      <c r="F402" s="12" t="s">
        <v>6161</v>
      </c>
      <c r="G402" s="2" t="s">
        <v>755</v>
      </c>
      <c r="H402" s="12" t="s">
        <v>756</v>
      </c>
      <c r="I402" s="86">
        <v>42403</v>
      </c>
      <c r="J402" s="86">
        <v>45691</v>
      </c>
      <c r="K402" s="12" t="s">
        <v>170</v>
      </c>
      <c r="L402" s="12" t="s">
        <v>802</v>
      </c>
    </row>
    <row r="403" spans="1:12" ht="38.25">
      <c r="A403" s="12">
        <f t="shared" si="6"/>
        <v>401</v>
      </c>
      <c r="B403" s="12" t="s">
        <v>6162</v>
      </c>
      <c r="C403" s="12" t="s">
        <v>6163</v>
      </c>
      <c r="D403" s="85">
        <v>2282.85</v>
      </c>
      <c r="E403" s="6">
        <v>5455219</v>
      </c>
      <c r="F403" s="12" t="s">
        <v>4143</v>
      </c>
      <c r="G403" s="2" t="s">
        <v>766</v>
      </c>
      <c r="H403" s="12" t="s">
        <v>767</v>
      </c>
      <c r="I403" s="86">
        <v>42453</v>
      </c>
      <c r="J403" s="86">
        <v>45740</v>
      </c>
      <c r="K403" s="12" t="s">
        <v>170</v>
      </c>
      <c r="L403" s="12" t="s">
        <v>1426</v>
      </c>
    </row>
    <row r="404" spans="1:12">
      <c r="A404" s="12">
        <f t="shared" si="6"/>
        <v>402</v>
      </c>
      <c r="B404" s="12" t="s">
        <v>6164</v>
      </c>
      <c r="C404" s="12" t="s">
        <v>5406</v>
      </c>
      <c r="D404" s="85">
        <v>1781.01</v>
      </c>
      <c r="E404" s="6">
        <v>6526381</v>
      </c>
      <c r="F404" s="12" t="s">
        <v>6165</v>
      </c>
      <c r="G404" s="2" t="s">
        <v>755</v>
      </c>
      <c r="H404" s="12" t="s">
        <v>756</v>
      </c>
      <c r="I404" s="86">
        <v>42408</v>
      </c>
      <c r="J404" s="86">
        <v>45696</v>
      </c>
      <c r="K404" s="12" t="s">
        <v>293</v>
      </c>
      <c r="L404" s="12" t="s">
        <v>815</v>
      </c>
    </row>
    <row r="405" spans="1:12">
      <c r="A405" s="12">
        <f t="shared" si="6"/>
        <v>403</v>
      </c>
      <c r="B405" s="12" t="s">
        <v>6166</v>
      </c>
      <c r="C405" s="12" t="s">
        <v>4426</v>
      </c>
      <c r="D405" s="85">
        <v>13140.03</v>
      </c>
      <c r="E405" s="6">
        <v>5940583</v>
      </c>
      <c r="F405" s="12" t="s">
        <v>6099</v>
      </c>
      <c r="G405" s="2" t="s">
        <v>755</v>
      </c>
      <c r="H405" s="12" t="s">
        <v>756</v>
      </c>
      <c r="I405" s="86">
        <v>42445</v>
      </c>
      <c r="J405" s="86">
        <v>45732</v>
      </c>
      <c r="K405" s="12" t="s">
        <v>375</v>
      </c>
      <c r="L405" s="12" t="s">
        <v>3086</v>
      </c>
    </row>
    <row r="406" spans="1:12">
      <c r="A406" s="12">
        <f t="shared" si="6"/>
        <v>404</v>
      </c>
      <c r="B406" s="12" t="s">
        <v>6167</v>
      </c>
      <c r="C406" s="12" t="s">
        <v>4389</v>
      </c>
      <c r="D406" s="85">
        <v>194.69</v>
      </c>
      <c r="E406" s="6">
        <v>2776758</v>
      </c>
      <c r="F406" s="12" t="s">
        <v>6168</v>
      </c>
      <c r="G406" s="2" t="s">
        <v>755</v>
      </c>
      <c r="H406" s="12" t="s">
        <v>756</v>
      </c>
      <c r="I406" s="86">
        <v>42403</v>
      </c>
      <c r="J406" s="86">
        <v>45691</v>
      </c>
      <c r="K406" s="12" t="s">
        <v>123</v>
      </c>
      <c r="L406" s="12" t="s">
        <v>1256</v>
      </c>
    </row>
    <row r="407" spans="1:12">
      <c r="A407" s="12">
        <f t="shared" si="6"/>
        <v>405</v>
      </c>
      <c r="B407" s="12" t="s">
        <v>6169</v>
      </c>
      <c r="C407" s="12" t="s">
        <v>6170</v>
      </c>
      <c r="D407" s="85">
        <v>247.03</v>
      </c>
      <c r="E407" s="6">
        <v>6072348</v>
      </c>
      <c r="F407" s="12" t="s">
        <v>6171</v>
      </c>
      <c r="G407" s="2" t="s">
        <v>755</v>
      </c>
      <c r="H407" s="12" t="s">
        <v>756</v>
      </c>
      <c r="I407" s="86">
        <v>42415</v>
      </c>
      <c r="J407" s="86">
        <v>45703</v>
      </c>
      <c r="K407" s="12" t="s">
        <v>233</v>
      </c>
      <c r="L407" s="12" t="s">
        <v>933</v>
      </c>
    </row>
    <row r="408" spans="1:12">
      <c r="A408" s="12">
        <f t="shared" si="6"/>
        <v>406</v>
      </c>
      <c r="B408" s="12" t="s">
        <v>6172</v>
      </c>
      <c r="C408" s="12" t="s">
        <v>2938</v>
      </c>
      <c r="D408" s="85">
        <v>1053.1300000000001</v>
      </c>
      <c r="E408" s="6">
        <v>5883393</v>
      </c>
      <c r="F408" s="12" t="s">
        <v>6173</v>
      </c>
      <c r="G408" s="2" t="s">
        <v>755</v>
      </c>
      <c r="H408" s="12" t="s">
        <v>756</v>
      </c>
      <c r="I408" s="86">
        <v>42482</v>
      </c>
      <c r="J408" s="86">
        <v>45769</v>
      </c>
      <c r="K408" s="12" t="s">
        <v>304</v>
      </c>
      <c r="L408" s="12" t="s">
        <v>141</v>
      </c>
    </row>
    <row r="409" spans="1:12">
      <c r="A409" s="12">
        <f t="shared" si="6"/>
        <v>407</v>
      </c>
      <c r="B409" s="12" t="s">
        <v>6174</v>
      </c>
      <c r="C409" s="12" t="s">
        <v>6175</v>
      </c>
      <c r="D409" s="85">
        <v>3953.14</v>
      </c>
      <c r="E409" s="6">
        <v>5997062</v>
      </c>
      <c r="F409" s="12" t="s">
        <v>6176</v>
      </c>
      <c r="G409" s="2" t="s">
        <v>755</v>
      </c>
      <c r="H409" s="12" t="s">
        <v>756</v>
      </c>
      <c r="I409" s="86">
        <v>42404</v>
      </c>
      <c r="J409" s="86">
        <v>45692</v>
      </c>
      <c r="K409" s="12" t="s">
        <v>293</v>
      </c>
      <c r="L409" s="12" t="s">
        <v>933</v>
      </c>
    </row>
    <row r="410" spans="1:12">
      <c r="A410" s="12">
        <f t="shared" si="6"/>
        <v>408</v>
      </c>
      <c r="B410" s="12" t="s">
        <v>6177</v>
      </c>
      <c r="C410" s="12" t="s">
        <v>807</v>
      </c>
      <c r="D410" s="85">
        <v>1946.56</v>
      </c>
      <c r="E410" s="6">
        <v>5992567</v>
      </c>
      <c r="F410" s="12" t="s">
        <v>6097</v>
      </c>
      <c r="G410" s="2" t="s">
        <v>755</v>
      </c>
      <c r="H410" s="12" t="s">
        <v>756</v>
      </c>
      <c r="I410" s="86">
        <v>42408</v>
      </c>
      <c r="J410" s="86">
        <v>44600</v>
      </c>
      <c r="K410" s="12" t="s">
        <v>170</v>
      </c>
      <c r="L410" s="12" t="s">
        <v>807</v>
      </c>
    </row>
    <row r="411" spans="1:12" ht="38.25">
      <c r="A411" s="12">
        <f t="shared" si="6"/>
        <v>409</v>
      </c>
      <c r="B411" s="12" t="s">
        <v>6178</v>
      </c>
      <c r="C411" s="12" t="s">
        <v>6126</v>
      </c>
      <c r="D411" s="85">
        <v>2097.1</v>
      </c>
      <c r="E411" s="6">
        <v>6853366</v>
      </c>
      <c r="F411" s="12" t="s">
        <v>6179</v>
      </c>
      <c r="G411" s="2" t="s">
        <v>848</v>
      </c>
      <c r="H411" s="12" t="s">
        <v>849</v>
      </c>
      <c r="I411" s="86">
        <v>42460</v>
      </c>
      <c r="J411" s="86">
        <v>45747</v>
      </c>
      <c r="K411" s="12" t="s">
        <v>170</v>
      </c>
      <c r="L411" s="12" t="s">
        <v>807</v>
      </c>
    </row>
    <row r="412" spans="1:12">
      <c r="A412" s="12">
        <f t="shared" si="6"/>
        <v>410</v>
      </c>
      <c r="B412" s="12" t="s">
        <v>6180</v>
      </c>
      <c r="C412" s="12" t="s">
        <v>6181</v>
      </c>
      <c r="D412" s="85">
        <v>320.66000000000003</v>
      </c>
      <c r="E412" s="6">
        <v>5615097</v>
      </c>
      <c r="F412" s="12" t="s">
        <v>6182</v>
      </c>
      <c r="G412" s="2" t="s">
        <v>755</v>
      </c>
      <c r="H412" s="12" t="s">
        <v>756</v>
      </c>
      <c r="I412" s="86">
        <v>42408</v>
      </c>
      <c r="J412" s="86">
        <v>45696</v>
      </c>
      <c r="K412" s="12" t="s">
        <v>170</v>
      </c>
      <c r="L412" s="12" t="s">
        <v>2444</v>
      </c>
    </row>
    <row r="413" spans="1:12">
      <c r="A413" s="12">
        <f t="shared" si="6"/>
        <v>411</v>
      </c>
      <c r="B413" s="12" t="s">
        <v>6183</v>
      </c>
      <c r="C413" s="12" t="s">
        <v>5195</v>
      </c>
      <c r="D413" s="85">
        <v>14670.98</v>
      </c>
      <c r="E413" s="6">
        <v>5941792</v>
      </c>
      <c r="F413" s="12" t="s">
        <v>6184</v>
      </c>
      <c r="G413" s="2" t="s">
        <v>755</v>
      </c>
      <c r="H413" s="12" t="s">
        <v>756</v>
      </c>
      <c r="I413" s="86">
        <v>42445</v>
      </c>
      <c r="J413" s="86">
        <v>45732</v>
      </c>
      <c r="K413" s="12" t="s">
        <v>293</v>
      </c>
      <c r="L413" s="12" t="s">
        <v>181</v>
      </c>
    </row>
    <row r="414" spans="1:12">
      <c r="A414" s="12">
        <f t="shared" si="6"/>
        <v>412</v>
      </c>
      <c r="B414" s="12" t="s">
        <v>6185</v>
      </c>
      <c r="C414" s="12" t="s">
        <v>4934</v>
      </c>
      <c r="D414" s="85">
        <v>1368.91</v>
      </c>
      <c r="E414" s="6">
        <v>6169309</v>
      </c>
      <c r="F414" s="12" t="s">
        <v>4463</v>
      </c>
      <c r="G414" s="2" t="s">
        <v>755</v>
      </c>
      <c r="H414" s="12" t="s">
        <v>756</v>
      </c>
      <c r="I414" s="86">
        <v>42467</v>
      </c>
      <c r="J414" s="86">
        <v>45754</v>
      </c>
      <c r="K414" s="12" t="s">
        <v>170</v>
      </c>
      <c r="L414" s="12" t="s">
        <v>1738</v>
      </c>
    </row>
    <row r="415" spans="1:12" ht="38.25">
      <c r="A415" s="12">
        <f t="shared" si="6"/>
        <v>413</v>
      </c>
      <c r="B415" s="12" t="s">
        <v>6186</v>
      </c>
      <c r="C415" s="12" t="s">
        <v>6187</v>
      </c>
      <c r="D415" s="85">
        <v>3954.52</v>
      </c>
      <c r="E415" s="6">
        <v>5310598</v>
      </c>
      <c r="F415" s="12" t="s">
        <v>5462</v>
      </c>
      <c r="G415" s="2" t="s">
        <v>848</v>
      </c>
      <c r="H415" s="12" t="s">
        <v>849</v>
      </c>
      <c r="I415" s="86">
        <v>42403</v>
      </c>
      <c r="J415" s="86">
        <v>45691</v>
      </c>
      <c r="K415" s="12" t="s">
        <v>233</v>
      </c>
      <c r="L415" s="12" t="s">
        <v>234</v>
      </c>
    </row>
    <row r="416" spans="1:12">
      <c r="A416" s="12">
        <f t="shared" si="6"/>
        <v>414</v>
      </c>
      <c r="B416" s="12" t="s">
        <v>6188</v>
      </c>
      <c r="C416" s="12" t="s">
        <v>6189</v>
      </c>
      <c r="D416" s="85">
        <v>1670.28</v>
      </c>
      <c r="E416" s="6">
        <v>6874908</v>
      </c>
      <c r="F416" s="12" t="s">
        <v>6190</v>
      </c>
      <c r="G416" s="2" t="s">
        <v>755</v>
      </c>
      <c r="H416" s="12" t="s">
        <v>756</v>
      </c>
      <c r="I416" s="86">
        <v>42408</v>
      </c>
      <c r="J416" s="86">
        <v>45696</v>
      </c>
      <c r="K416" s="12" t="s">
        <v>170</v>
      </c>
      <c r="L416" s="12" t="s">
        <v>2444</v>
      </c>
    </row>
    <row r="417" spans="1:12">
      <c r="A417" s="12">
        <f t="shared" si="6"/>
        <v>415</v>
      </c>
      <c r="B417" s="12" t="s">
        <v>6191</v>
      </c>
      <c r="C417" s="12" t="s">
        <v>6192</v>
      </c>
      <c r="D417" s="85">
        <v>380.82</v>
      </c>
      <c r="E417" s="6">
        <v>5864232</v>
      </c>
      <c r="F417" s="12" t="s">
        <v>6193</v>
      </c>
      <c r="G417" s="2" t="s">
        <v>755</v>
      </c>
      <c r="H417" s="12" t="s">
        <v>756</v>
      </c>
      <c r="I417" s="86">
        <v>42459</v>
      </c>
      <c r="J417" s="86">
        <v>45746</v>
      </c>
      <c r="K417" s="12" t="s">
        <v>233</v>
      </c>
      <c r="L417" s="12" t="s">
        <v>2965</v>
      </c>
    </row>
    <row r="418" spans="1:12">
      <c r="A418" s="12">
        <f t="shared" si="6"/>
        <v>416</v>
      </c>
      <c r="B418" s="12" t="s">
        <v>6194</v>
      </c>
      <c r="C418" s="12" t="s">
        <v>811</v>
      </c>
      <c r="D418" s="85">
        <v>8382.09</v>
      </c>
      <c r="E418" s="6">
        <v>5353564</v>
      </c>
      <c r="F418" s="12" t="s">
        <v>4578</v>
      </c>
      <c r="G418" s="2" t="s">
        <v>755</v>
      </c>
      <c r="H418" s="12" t="s">
        <v>756</v>
      </c>
      <c r="I418" s="86">
        <v>42493</v>
      </c>
      <c r="J418" s="86">
        <v>45780</v>
      </c>
      <c r="K418" s="12" t="s">
        <v>170</v>
      </c>
      <c r="L418" s="12" t="s">
        <v>811</v>
      </c>
    </row>
    <row r="419" spans="1:12">
      <c r="A419" s="12">
        <f t="shared" si="6"/>
        <v>417</v>
      </c>
      <c r="B419" s="12" t="s">
        <v>6195</v>
      </c>
      <c r="C419" s="12" t="s">
        <v>3295</v>
      </c>
      <c r="D419" s="85">
        <v>335.71</v>
      </c>
      <c r="E419" s="6">
        <v>6492592</v>
      </c>
      <c r="F419" s="12" t="s">
        <v>6196</v>
      </c>
      <c r="G419" s="2" t="s">
        <v>755</v>
      </c>
      <c r="H419" s="12" t="s">
        <v>756</v>
      </c>
      <c r="I419" s="86">
        <v>42408</v>
      </c>
      <c r="J419" s="86">
        <v>45696</v>
      </c>
      <c r="K419" s="12" t="s">
        <v>233</v>
      </c>
      <c r="L419" s="12" t="s">
        <v>2644</v>
      </c>
    </row>
    <row r="420" spans="1:12">
      <c r="A420" s="12">
        <f t="shared" si="6"/>
        <v>418</v>
      </c>
      <c r="B420" s="12" t="s">
        <v>6197</v>
      </c>
      <c r="C420" s="12" t="s">
        <v>6192</v>
      </c>
      <c r="D420" s="85">
        <v>149.80000000000001</v>
      </c>
      <c r="E420" s="6">
        <v>5262763</v>
      </c>
      <c r="F420" s="12" t="s">
        <v>6198</v>
      </c>
      <c r="G420" s="2" t="s">
        <v>755</v>
      </c>
      <c r="H420" s="12" t="s">
        <v>756</v>
      </c>
      <c r="I420" s="86">
        <v>42453</v>
      </c>
      <c r="J420" s="86">
        <v>45740</v>
      </c>
      <c r="K420" s="12" t="s">
        <v>170</v>
      </c>
      <c r="L420" s="12" t="s">
        <v>1426</v>
      </c>
    </row>
    <row r="421" spans="1:12">
      <c r="A421" s="12">
        <f t="shared" si="6"/>
        <v>419</v>
      </c>
      <c r="B421" s="12" t="s">
        <v>6199</v>
      </c>
      <c r="C421" s="12" t="s">
        <v>4577</v>
      </c>
      <c r="D421" s="85">
        <v>3072.32</v>
      </c>
      <c r="E421" s="6">
        <v>5353564</v>
      </c>
      <c r="F421" s="12" t="s">
        <v>4578</v>
      </c>
      <c r="G421" s="2" t="s">
        <v>755</v>
      </c>
      <c r="H421" s="12" t="s">
        <v>756</v>
      </c>
      <c r="I421" s="86">
        <v>42424</v>
      </c>
      <c r="J421" s="86">
        <v>45712</v>
      </c>
      <c r="K421" s="12" t="s">
        <v>375</v>
      </c>
      <c r="L421" s="12" t="s">
        <v>893</v>
      </c>
    </row>
    <row r="422" spans="1:12">
      <c r="A422" s="12">
        <f t="shared" si="6"/>
        <v>420</v>
      </c>
      <c r="B422" s="12" t="s">
        <v>6200</v>
      </c>
      <c r="C422" s="12" t="s">
        <v>4762</v>
      </c>
      <c r="D422" s="85">
        <v>6349.83</v>
      </c>
      <c r="E422" s="6">
        <v>2659603</v>
      </c>
      <c r="F422" s="12" t="s">
        <v>2213</v>
      </c>
      <c r="G422" s="2" t="s">
        <v>755</v>
      </c>
      <c r="H422" s="12" t="s">
        <v>756</v>
      </c>
      <c r="I422" s="86">
        <v>42359</v>
      </c>
      <c r="J422" s="86">
        <v>45647</v>
      </c>
      <c r="K422" s="12" t="s">
        <v>170</v>
      </c>
      <c r="L422" s="12" t="s">
        <v>1738</v>
      </c>
    </row>
    <row r="423" spans="1:12" ht="38.25">
      <c r="A423" s="12">
        <f t="shared" si="6"/>
        <v>421</v>
      </c>
      <c r="B423" s="12" t="s">
        <v>6201</v>
      </c>
      <c r="C423" s="12" t="s">
        <v>6202</v>
      </c>
      <c r="D423" s="85">
        <v>28554.42</v>
      </c>
      <c r="E423" s="6">
        <v>6169325</v>
      </c>
      <c r="F423" s="12" t="s">
        <v>5650</v>
      </c>
      <c r="G423" s="2" t="s">
        <v>848</v>
      </c>
      <c r="H423" s="12" t="s">
        <v>849</v>
      </c>
      <c r="I423" s="86">
        <v>42359</v>
      </c>
      <c r="J423" s="86">
        <v>45647</v>
      </c>
      <c r="K423" s="12" t="s">
        <v>1014</v>
      </c>
      <c r="L423" s="12" t="s">
        <v>3357</v>
      </c>
    </row>
    <row r="424" spans="1:12">
      <c r="A424" s="12">
        <f t="shared" si="6"/>
        <v>422</v>
      </c>
      <c r="B424" s="12" t="s">
        <v>6203</v>
      </c>
      <c r="C424" s="12" t="s">
        <v>6204</v>
      </c>
      <c r="D424" s="85">
        <v>20983.31</v>
      </c>
      <c r="E424" s="6">
        <v>5556554</v>
      </c>
      <c r="F424" s="12" t="s">
        <v>4806</v>
      </c>
      <c r="G424" s="2" t="s">
        <v>755</v>
      </c>
      <c r="H424" s="12" t="s">
        <v>756</v>
      </c>
      <c r="I424" s="86">
        <v>42373</v>
      </c>
      <c r="J424" s="86">
        <v>45661</v>
      </c>
      <c r="K424" s="12" t="s">
        <v>1014</v>
      </c>
      <c r="L424" s="12" t="s">
        <v>6205</v>
      </c>
    </row>
    <row r="425" spans="1:12" ht="38.25">
      <c r="A425" s="12">
        <f t="shared" si="6"/>
        <v>423</v>
      </c>
      <c r="B425" s="12" t="s">
        <v>6206</v>
      </c>
      <c r="C425" s="12" t="s">
        <v>4650</v>
      </c>
      <c r="D425" s="85">
        <v>2338.5300000000002</v>
      </c>
      <c r="E425" s="6">
        <v>2787318</v>
      </c>
      <c r="F425" s="12" t="s">
        <v>1278</v>
      </c>
      <c r="G425" s="2" t="s">
        <v>766</v>
      </c>
      <c r="H425" s="12" t="s">
        <v>767</v>
      </c>
      <c r="I425" s="86">
        <v>42389</v>
      </c>
      <c r="J425" s="86">
        <v>45677</v>
      </c>
      <c r="K425" s="12" t="s">
        <v>1518</v>
      </c>
      <c r="L425" s="12" t="s">
        <v>6207</v>
      </c>
    </row>
    <row r="426" spans="1:12" ht="38.25">
      <c r="A426" s="12">
        <f t="shared" si="6"/>
        <v>424</v>
      </c>
      <c r="B426" s="12" t="s">
        <v>6208</v>
      </c>
      <c r="C426" s="12" t="s">
        <v>6209</v>
      </c>
      <c r="D426" s="85">
        <v>3700.94</v>
      </c>
      <c r="E426" s="6">
        <v>5938678</v>
      </c>
      <c r="F426" s="12" t="s">
        <v>6210</v>
      </c>
      <c r="G426" s="2" t="s">
        <v>848</v>
      </c>
      <c r="H426" s="12" t="s">
        <v>849</v>
      </c>
      <c r="I426" s="86">
        <v>42289</v>
      </c>
      <c r="J426" s="86">
        <v>45577</v>
      </c>
      <c r="K426" s="12" t="s">
        <v>288</v>
      </c>
      <c r="L426" s="12" t="s">
        <v>1038</v>
      </c>
    </row>
    <row r="427" spans="1:12">
      <c r="A427" s="12">
        <f t="shared" si="6"/>
        <v>425</v>
      </c>
      <c r="B427" s="12" t="s">
        <v>6211</v>
      </c>
      <c r="C427" s="12" t="s">
        <v>3295</v>
      </c>
      <c r="D427" s="85">
        <v>24096.54</v>
      </c>
      <c r="E427" s="6">
        <v>5644011</v>
      </c>
      <c r="F427" s="12" t="s">
        <v>5446</v>
      </c>
      <c r="G427" s="2" t="s">
        <v>755</v>
      </c>
      <c r="H427" s="12" t="s">
        <v>756</v>
      </c>
      <c r="I427" s="86">
        <v>42387</v>
      </c>
      <c r="J427" s="86">
        <v>45675</v>
      </c>
      <c r="K427" s="12" t="s">
        <v>288</v>
      </c>
      <c r="L427" s="12" t="s">
        <v>5500</v>
      </c>
    </row>
    <row r="428" spans="1:12">
      <c r="A428" s="12">
        <f t="shared" si="6"/>
        <v>426</v>
      </c>
      <c r="B428" s="12" t="s">
        <v>6212</v>
      </c>
      <c r="C428" s="12" t="s">
        <v>6213</v>
      </c>
      <c r="D428" s="85">
        <v>1487.03</v>
      </c>
      <c r="E428" s="6">
        <v>5276187</v>
      </c>
      <c r="F428" s="12" t="s">
        <v>6214</v>
      </c>
      <c r="G428" s="2" t="s">
        <v>755</v>
      </c>
      <c r="H428" s="12" t="s">
        <v>756</v>
      </c>
      <c r="I428" s="86">
        <v>42387</v>
      </c>
      <c r="J428" s="86">
        <v>45675</v>
      </c>
      <c r="K428" s="12" t="s">
        <v>782</v>
      </c>
      <c r="L428" s="12" t="s">
        <v>2889</v>
      </c>
    </row>
    <row r="429" spans="1:12">
      <c r="A429" s="12">
        <f t="shared" si="6"/>
        <v>427</v>
      </c>
      <c r="B429" s="12" t="s">
        <v>6215</v>
      </c>
      <c r="C429" s="12" t="s">
        <v>6216</v>
      </c>
      <c r="D429" s="85">
        <v>131.38</v>
      </c>
      <c r="E429" s="6">
        <v>5236932</v>
      </c>
      <c r="F429" s="12" t="s">
        <v>3716</v>
      </c>
      <c r="G429" s="2" t="s">
        <v>755</v>
      </c>
      <c r="H429" s="12" t="s">
        <v>756</v>
      </c>
      <c r="I429" s="86">
        <v>42405</v>
      </c>
      <c r="J429" s="86">
        <v>45693</v>
      </c>
      <c r="K429" s="12" t="s">
        <v>293</v>
      </c>
      <c r="L429" s="12" t="s">
        <v>1826</v>
      </c>
    </row>
    <row r="430" spans="1:12">
      <c r="A430" s="12">
        <f t="shared" si="6"/>
        <v>428</v>
      </c>
      <c r="B430" s="12" t="s">
        <v>6217</v>
      </c>
      <c r="C430" s="12" t="s">
        <v>4287</v>
      </c>
      <c r="D430" s="85">
        <v>18905.5</v>
      </c>
      <c r="E430" s="6">
        <v>6030343</v>
      </c>
      <c r="F430" s="12" t="s">
        <v>4288</v>
      </c>
      <c r="G430" s="2" t="s">
        <v>755</v>
      </c>
      <c r="H430" s="12" t="s">
        <v>756</v>
      </c>
      <c r="I430" s="86">
        <v>42423</v>
      </c>
      <c r="J430" s="86">
        <v>45711</v>
      </c>
      <c r="K430" s="12" t="s">
        <v>836</v>
      </c>
      <c r="L430" s="12" t="s">
        <v>837</v>
      </c>
    </row>
    <row r="431" spans="1:12">
      <c r="A431" s="12">
        <f t="shared" si="6"/>
        <v>429</v>
      </c>
      <c r="B431" s="12" t="s">
        <v>6218</v>
      </c>
      <c r="C431" s="12" t="s">
        <v>6219</v>
      </c>
      <c r="D431" s="85">
        <v>10606.77</v>
      </c>
      <c r="E431" s="6">
        <v>6717128</v>
      </c>
      <c r="F431" s="12" t="s">
        <v>6220</v>
      </c>
      <c r="G431" s="2" t="s">
        <v>755</v>
      </c>
      <c r="H431" s="12" t="s">
        <v>756</v>
      </c>
      <c r="I431" s="86">
        <v>42485</v>
      </c>
      <c r="J431" s="86">
        <v>45772</v>
      </c>
      <c r="K431" s="12" t="s">
        <v>1014</v>
      </c>
      <c r="L431" s="12" t="s">
        <v>4820</v>
      </c>
    </row>
    <row r="432" spans="1:12">
      <c r="A432" s="12">
        <f t="shared" si="6"/>
        <v>430</v>
      </c>
      <c r="B432" s="12" t="s">
        <v>6221</v>
      </c>
      <c r="C432" s="12" t="s">
        <v>2384</v>
      </c>
      <c r="D432" s="85">
        <v>5775.7</v>
      </c>
      <c r="E432" s="6">
        <v>5138868</v>
      </c>
      <c r="F432" s="12" t="s">
        <v>6222</v>
      </c>
      <c r="G432" s="2" t="s">
        <v>755</v>
      </c>
      <c r="H432" s="12" t="s">
        <v>756</v>
      </c>
      <c r="I432" s="86">
        <v>42486</v>
      </c>
      <c r="J432" s="86">
        <v>45773</v>
      </c>
      <c r="K432" s="12" t="s">
        <v>170</v>
      </c>
      <c r="L432" s="12" t="s">
        <v>1426</v>
      </c>
    </row>
    <row r="433" spans="1:12">
      <c r="A433" s="12">
        <f t="shared" si="6"/>
        <v>431</v>
      </c>
      <c r="B433" s="12" t="s">
        <v>6223</v>
      </c>
      <c r="C433" s="12" t="s">
        <v>6224</v>
      </c>
      <c r="D433" s="85">
        <v>1885.17</v>
      </c>
      <c r="E433" s="6">
        <v>2550466</v>
      </c>
      <c r="F433" s="12" t="s">
        <v>801</v>
      </c>
      <c r="G433" s="2" t="s">
        <v>761</v>
      </c>
      <c r="H433" s="12" t="s">
        <v>756</v>
      </c>
      <c r="I433" s="86">
        <v>42492</v>
      </c>
      <c r="J433" s="86">
        <v>45779</v>
      </c>
      <c r="K433" s="12" t="s">
        <v>274</v>
      </c>
      <c r="L433" s="12" t="s">
        <v>275</v>
      </c>
    </row>
    <row r="434" spans="1:12">
      <c r="A434" s="12">
        <f t="shared" si="6"/>
        <v>432</v>
      </c>
      <c r="B434" s="12" t="s">
        <v>6225</v>
      </c>
      <c r="C434" s="12" t="s">
        <v>4376</v>
      </c>
      <c r="D434" s="85">
        <v>5585.99</v>
      </c>
      <c r="E434" s="6">
        <v>2605694</v>
      </c>
      <c r="F434" s="12" t="s">
        <v>4377</v>
      </c>
      <c r="G434" s="2" t="s">
        <v>755</v>
      </c>
      <c r="H434" s="12" t="s">
        <v>756</v>
      </c>
      <c r="I434" s="86">
        <v>42508</v>
      </c>
      <c r="J434" s="86">
        <v>45795</v>
      </c>
      <c r="K434" s="12" t="s">
        <v>293</v>
      </c>
      <c r="L434" s="12" t="s">
        <v>794</v>
      </c>
    </row>
    <row r="435" spans="1:12">
      <c r="A435" s="12">
        <f t="shared" si="6"/>
        <v>433</v>
      </c>
      <c r="B435" s="12" t="s">
        <v>6226</v>
      </c>
      <c r="C435" s="12" t="s">
        <v>5934</v>
      </c>
      <c r="D435" s="85">
        <v>101.37</v>
      </c>
      <c r="E435" s="6">
        <v>6062385</v>
      </c>
      <c r="F435" s="12" t="s">
        <v>6227</v>
      </c>
      <c r="G435" s="2" t="s">
        <v>755</v>
      </c>
      <c r="H435" s="12" t="s">
        <v>756</v>
      </c>
      <c r="I435" s="86">
        <v>42404</v>
      </c>
      <c r="J435" s="86">
        <v>45692</v>
      </c>
      <c r="K435" s="12" t="s">
        <v>293</v>
      </c>
      <c r="L435" s="12" t="s">
        <v>181</v>
      </c>
    </row>
    <row r="436" spans="1:12">
      <c r="A436" s="12">
        <f t="shared" si="6"/>
        <v>434</v>
      </c>
      <c r="B436" s="12" t="s">
        <v>6228</v>
      </c>
      <c r="C436" s="12" t="s">
        <v>6229</v>
      </c>
      <c r="D436" s="85">
        <v>3181.95</v>
      </c>
      <c r="E436" s="6">
        <v>5315204</v>
      </c>
      <c r="F436" s="12" t="s">
        <v>6230</v>
      </c>
      <c r="G436" s="2" t="s">
        <v>755</v>
      </c>
      <c r="H436" s="12" t="s">
        <v>756</v>
      </c>
      <c r="I436" s="86">
        <v>42509</v>
      </c>
      <c r="J436" s="86">
        <v>45796</v>
      </c>
      <c r="K436" s="12" t="s">
        <v>170</v>
      </c>
      <c r="L436" s="12" t="s">
        <v>924</v>
      </c>
    </row>
    <row r="437" spans="1:12">
      <c r="A437" s="12">
        <f t="shared" si="6"/>
        <v>435</v>
      </c>
      <c r="B437" s="12" t="s">
        <v>6231</v>
      </c>
      <c r="C437" s="12" t="s">
        <v>5090</v>
      </c>
      <c r="D437" s="85">
        <v>9033.7099999999991</v>
      </c>
      <c r="E437" s="6">
        <v>5644011</v>
      </c>
      <c r="F437" s="12" t="s">
        <v>5446</v>
      </c>
      <c r="G437" s="2" t="s">
        <v>755</v>
      </c>
      <c r="H437" s="12" t="s">
        <v>756</v>
      </c>
      <c r="I437" s="86">
        <v>42509</v>
      </c>
      <c r="J437" s="86">
        <v>45796</v>
      </c>
      <c r="K437" s="12" t="s">
        <v>274</v>
      </c>
      <c r="L437" s="12" t="s">
        <v>944</v>
      </c>
    </row>
    <row r="438" spans="1:12" ht="38.25">
      <c r="A438" s="12">
        <f t="shared" si="6"/>
        <v>436</v>
      </c>
      <c r="B438" s="12" t="s">
        <v>6232</v>
      </c>
      <c r="C438" s="12" t="s">
        <v>2296</v>
      </c>
      <c r="D438" s="85">
        <v>7688.37</v>
      </c>
      <c r="E438" s="6">
        <v>6184812</v>
      </c>
      <c r="F438" s="12" t="s">
        <v>4851</v>
      </c>
      <c r="G438" s="2" t="s">
        <v>848</v>
      </c>
      <c r="H438" s="12" t="s">
        <v>849</v>
      </c>
      <c r="I438" s="86">
        <v>42509</v>
      </c>
      <c r="J438" s="86">
        <v>45796</v>
      </c>
      <c r="K438" s="12" t="s">
        <v>170</v>
      </c>
      <c r="L438" s="12" t="s">
        <v>1023</v>
      </c>
    </row>
    <row r="439" spans="1:12">
      <c r="A439" s="12">
        <f t="shared" si="6"/>
        <v>437</v>
      </c>
      <c r="B439" s="12" t="s">
        <v>6233</v>
      </c>
      <c r="C439" s="12" t="s">
        <v>6234</v>
      </c>
      <c r="D439" s="85">
        <v>250.03</v>
      </c>
      <c r="E439" s="6">
        <v>6010822</v>
      </c>
      <c r="F439" s="12" t="s">
        <v>6235</v>
      </c>
      <c r="G439" s="2" t="s">
        <v>755</v>
      </c>
      <c r="H439" s="12" t="s">
        <v>756</v>
      </c>
      <c r="I439" s="86">
        <v>42524</v>
      </c>
      <c r="J439" s="86">
        <v>45811</v>
      </c>
      <c r="K439" s="12" t="s">
        <v>1097</v>
      </c>
      <c r="L439" s="12" t="s">
        <v>6236</v>
      </c>
    </row>
    <row r="440" spans="1:12">
      <c r="A440" s="12">
        <f t="shared" si="6"/>
        <v>438</v>
      </c>
      <c r="B440" s="12" t="s">
        <v>6237</v>
      </c>
      <c r="C440" s="12" t="s">
        <v>6238</v>
      </c>
      <c r="D440" s="85">
        <v>2585.65</v>
      </c>
      <c r="E440" s="6">
        <v>2550466</v>
      </c>
      <c r="F440" s="12" t="s">
        <v>801</v>
      </c>
      <c r="G440" s="2" t="s">
        <v>761</v>
      </c>
      <c r="H440" s="12" t="s">
        <v>756</v>
      </c>
      <c r="I440" s="86">
        <v>42541</v>
      </c>
      <c r="J440" s="86">
        <v>45828</v>
      </c>
      <c r="K440" s="12" t="s">
        <v>274</v>
      </c>
      <c r="L440" s="12" t="s">
        <v>275</v>
      </c>
    </row>
    <row r="441" spans="1:12">
      <c r="A441" s="12">
        <f t="shared" si="6"/>
        <v>439</v>
      </c>
      <c r="B441" s="12" t="s">
        <v>6239</v>
      </c>
      <c r="C441" s="12" t="s">
        <v>1098</v>
      </c>
      <c r="D441" s="85">
        <v>2209.66</v>
      </c>
      <c r="E441" s="6">
        <v>6041132</v>
      </c>
      <c r="F441" s="12" t="s">
        <v>6240</v>
      </c>
      <c r="G441" s="2" t="s">
        <v>755</v>
      </c>
      <c r="H441" s="12" t="s">
        <v>756</v>
      </c>
      <c r="I441" s="86">
        <v>42548</v>
      </c>
      <c r="J441" s="86">
        <v>45835</v>
      </c>
      <c r="K441" s="12" t="s">
        <v>123</v>
      </c>
      <c r="L441" s="12" t="s">
        <v>272</v>
      </c>
    </row>
    <row r="442" spans="1:12">
      <c r="A442" s="12">
        <f t="shared" si="6"/>
        <v>440</v>
      </c>
      <c r="B442" s="12" t="s">
        <v>6241</v>
      </c>
      <c r="C442" s="12" t="s">
        <v>1315</v>
      </c>
      <c r="D442" s="85">
        <v>936.93</v>
      </c>
      <c r="E442" s="6">
        <v>2878712</v>
      </c>
      <c r="F442" s="12" t="s">
        <v>6242</v>
      </c>
      <c r="G442" s="2" t="s">
        <v>755</v>
      </c>
      <c r="H442" s="12" t="s">
        <v>756</v>
      </c>
      <c r="I442" s="86">
        <v>42249</v>
      </c>
      <c r="J442" s="86">
        <v>45983</v>
      </c>
      <c r="K442" s="12" t="s">
        <v>1014</v>
      </c>
      <c r="L442" s="12" t="s">
        <v>3222</v>
      </c>
    </row>
    <row r="443" spans="1:12">
      <c r="A443" s="12">
        <f t="shared" si="6"/>
        <v>441</v>
      </c>
      <c r="B443" s="12" t="s">
        <v>6243</v>
      </c>
      <c r="C443" s="12" t="s">
        <v>6244</v>
      </c>
      <c r="D443" s="85">
        <v>671.43</v>
      </c>
      <c r="E443" s="6">
        <v>5040639</v>
      </c>
      <c r="F443" s="12" t="s">
        <v>6245</v>
      </c>
      <c r="G443" s="2" t="s">
        <v>755</v>
      </c>
      <c r="H443" s="12" t="s">
        <v>756</v>
      </c>
      <c r="I443" s="86">
        <v>42545</v>
      </c>
      <c r="J443" s="86">
        <v>45325</v>
      </c>
      <c r="K443" s="12" t="s">
        <v>274</v>
      </c>
      <c r="L443" s="12" t="s">
        <v>1379</v>
      </c>
    </row>
    <row r="444" spans="1:12">
      <c r="A444" s="12">
        <f t="shared" si="6"/>
        <v>442</v>
      </c>
      <c r="B444" s="12" t="s">
        <v>6246</v>
      </c>
      <c r="C444" s="12" t="s">
        <v>4117</v>
      </c>
      <c r="D444" s="85">
        <v>13308.7</v>
      </c>
      <c r="E444" s="6">
        <v>2773791</v>
      </c>
      <c r="F444" s="12" t="s">
        <v>4526</v>
      </c>
      <c r="G444" s="2" t="s">
        <v>755</v>
      </c>
      <c r="H444" s="12" t="s">
        <v>756</v>
      </c>
      <c r="I444" s="86">
        <v>42586</v>
      </c>
      <c r="J444" s="86">
        <v>45873</v>
      </c>
      <c r="K444" s="12" t="s">
        <v>1242</v>
      </c>
      <c r="L444" s="12" t="s">
        <v>5258</v>
      </c>
    </row>
    <row r="445" spans="1:12">
      <c r="A445" s="12">
        <f t="shared" si="6"/>
        <v>443</v>
      </c>
      <c r="B445" s="12" t="s">
        <v>6247</v>
      </c>
      <c r="C445" s="12" t="s">
        <v>6248</v>
      </c>
      <c r="D445" s="85">
        <v>3585.26</v>
      </c>
      <c r="E445" s="6">
        <v>2729016</v>
      </c>
      <c r="F445" s="12" t="s">
        <v>6249</v>
      </c>
      <c r="G445" s="2" t="s">
        <v>755</v>
      </c>
      <c r="H445" s="12" t="s">
        <v>756</v>
      </c>
      <c r="I445" s="86">
        <v>42746</v>
      </c>
      <c r="J445" s="86">
        <v>46270</v>
      </c>
      <c r="K445" s="12" t="s">
        <v>123</v>
      </c>
      <c r="L445" s="12" t="s">
        <v>1472</v>
      </c>
    </row>
    <row r="446" spans="1:12">
      <c r="A446" s="12">
        <f t="shared" si="6"/>
        <v>444</v>
      </c>
      <c r="B446" s="12" t="s">
        <v>6250</v>
      </c>
      <c r="C446" s="12" t="s">
        <v>5336</v>
      </c>
      <c r="D446" s="85">
        <v>1291.06</v>
      </c>
      <c r="E446" s="6">
        <v>5194032</v>
      </c>
      <c r="F446" s="12" t="s">
        <v>6251</v>
      </c>
      <c r="G446" s="2" t="s">
        <v>755</v>
      </c>
      <c r="H446" s="12" t="s">
        <v>756</v>
      </c>
      <c r="I446" s="86">
        <v>42573</v>
      </c>
      <c r="J446" s="86">
        <v>45860</v>
      </c>
      <c r="K446" s="12" t="s">
        <v>233</v>
      </c>
      <c r="L446" s="12" t="s">
        <v>2504</v>
      </c>
    </row>
    <row r="447" spans="1:12">
      <c r="A447" s="12">
        <f t="shared" si="6"/>
        <v>445</v>
      </c>
      <c r="B447" s="12" t="s">
        <v>6252</v>
      </c>
      <c r="C447" s="12" t="s">
        <v>6253</v>
      </c>
      <c r="D447" s="85">
        <v>1412.18</v>
      </c>
      <c r="E447" s="6">
        <v>6088937</v>
      </c>
      <c r="F447" s="12" t="s">
        <v>6254</v>
      </c>
      <c r="G447" s="2" t="s">
        <v>755</v>
      </c>
      <c r="H447" s="12" t="s">
        <v>756</v>
      </c>
      <c r="I447" s="86">
        <v>42584</v>
      </c>
      <c r="J447" s="86">
        <v>45871</v>
      </c>
      <c r="K447" s="12" t="s">
        <v>274</v>
      </c>
      <c r="L447" s="12" t="s">
        <v>944</v>
      </c>
    </row>
    <row r="448" spans="1:12">
      <c r="A448" s="12">
        <f t="shared" si="6"/>
        <v>446</v>
      </c>
      <c r="B448" s="12" t="s">
        <v>6255</v>
      </c>
      <c r="C448" s="12" t="s">
        <v>811</v>
      </c>
      <c r="D448" s="85">
        <v>29489.360000000001</v>
      </c>
      <c r="E448" s="6">
        <v>5303478</v>
      </c>
      <c r="F448" s="12" t="s">
        <v>6256</v>
      </c>
      <c r="G448" s="2" t="s">
        <v>755</v>
      </c>
      <c r="H448" s="12" t="s">
        <v>756</v>
      </c>
      <c r="I448" s="86">
        <v>42184</v>
      </c>
      <c r="J448" s="86">
        <v>45472</v>
      </c>
      <c r="K448" s="12" t="s">
        <v>170</v>
      </c>
      <c r="L448" s="12" t="s">
        <v>811</v>
      </c>
    </row>
    <row r="449" spans="1:12">
      <c r="A449" s="12">
        <f t="shared" si="6"/>
        <v>447</v>
      </c>
      <c r="B449" s="12" t="s">
        <v>6257</v>
      </c>
      <c r="C449" s="12" t="s">
        <v>5499</v>
      </c>
      <c r="D449" s="85">
        <v>3222.31</v>
      </c>
      <c r="E449" s="6">
        <v>5303478</v>
      </c>
      <c r="F449" s="12" t="s">
        <v>6256</v>
      </c>
      <c r="G449" s="2" t="s">
        <v>755</v>
      </c>
      <c r="H449" s="12" t="s">
        <v>756</v>
      </c>
      <c r="I449" s="86">
        <v>42184</v>
      </c>
      <c r="J449" s="86">
        <v>45472</v>
      </c>
      <c r="K449" s="12" t="s">
        <v>170</v>
      </c>
      <c r="L449" s="12" t="s">
        <v>811</v>
      </c>
    </row>
    <row r="450" spans="1:12" ht="38.25">
      <c r="A450" s="12">
        <f t="shared" si="6"/>
        <v>448</v>
      </c>
      <c r="B450" s="12" t="s">
        <v>6258</v>
      </c>
      <c r="C450" s="12" t="s">
        <v>2791</v>
      </c>
      <c r="D450" s="85">
        <v>1173.21</v>
      </c>
      <c r="E450" s="6">
        <v>5328772</v>
      </c>
      <c r="F450" s="12" t="s">
        <v>4023</v>
      </c>
      <c r="G450" s="2" t="s">
        <v>848</v>
      </c>
      <c r="H450" s="12" t="s">
        <v>849</v>
      </c>
      <c r="I450" s="86">
        <v>42705</v>
      </c>
      <c r="J450" s="86">
        <v>45992</v>
      </c>
      <c r="K450" s="12" t="s">
        <v>274</v>
      </c>
      <c r="L450" s="12" t="s">
        <v>813</v>
      </c>
    </row>
    <row r="451" spans="1:12">
      <c r="A451" s="12">
        <f t="shared" si="6"/>
        <v>449</v>
      </c>
      <c r="B451" s="12" t="s">
        <v>6259</v>
      </c>
      <c r="C451" s="12" t="s">
        <v>1218</v>
      </c>
      <c r="D451" s="85">
        <v>394</v>
      </c>
      <c r="E451" s="6">
        <v>4065115</v>
      </c>
      <c r="F451" s="12" t="s">
        <v>4447</v>
      </c>
      <c r="G451" s="2" t="s">
        <v>755</v>
      </c>
      <c r="H451" s="12" t="s">
        <v>756</v>
      </c>
      <c r="I451" s="86">
        <v>42709</v>
      </c>
      <c r="J451" s="86">
        <v>45996</v>
      </c>
      <c r="K451" s="12" t="s">
        <v>1102</v>
      </c>
      <c r="L451" s="12" t="s">
        <v>2761</v>
      </c>
    </row>
    <row r="452" spans="1:12">
      <c r="A452" s="12">
        <f t="shared" si="6"/>
        <v>450</v>
      </c>
      <c r="B452" s="12" t="s">
        <v>6260</v>
      </c>
      <c r="C452" s="12" t="s">
        <v>5187</v>
      </c>
      <c r="D452" s="85">
        <v>3068.9</v>
      </c>
      <c r="E452" s="6">
        <v>6025048</v>
      </c>
      <c r="F452" s="12" t="s">
        <v>6261</v>
      </c>
      <c r="G452" s="2" t="s">
        <v>755</v>
      </c>
      <c r="H452" s="12" t="s">
        <v>756</v>
      </c>
      <c r="I452" s="86">
        <v>42516</v>
      </c>
      <c r="J452" s="86">
        <v>45803</v>
      </c>
      <c r="K452" s="12" t="s">
        <v>274</v>
      </c>
      <c r="L452" s="12" t="s">
        <v>944</v>
      </c>
    </row>
    <row r="453" spans="1:12">
      <c r="A453" s="12">
        <f t="shared" ref="A453:A516" si="7">A452+1</f>
        <v>451</v>
      </c>
      <c r="B453" s="12" t="s">
        <v>6262</v>
      </c>
      <c r="C453" s="12" t="s">
        <v>1533</v>
      </c>
      <c r="D453" s="85">
        <v>188.09</v>
      </c>
      <c r="E453" s="6">
        <v>5329191</v>
      </c>
      <c r="F453" s="12" t="s">
        <v>6263</v>
      </c>
      <c r="G453" s="2" t="s">
        <v>755</v>
      </c>
      <c r="H453" s="12" t="s">
        <v>756</v>
      </c>
      <c r="I453" s="86">
        <v>42747</v>
      </c>
      <c r="J453" s="86">
        <v>46034</v>
      </c>
      <c r="K453" s="12" t="s">
        <v>782</v>
      </c>
      <c r="L453" s="12" t="s">
        <v>5378</v>
      </c>
    </row>
    <row r="454" spans="1:12" ht="38.25">
      <c r="A454" s="12">
        <f t="shared" si="7"/>
        <v>452</v>
      </c>
      <c r="B454" s="12" t="s">
        <v>6264</v>
      </c>
      <c r="C454" s="12" t="s">
        <v>6265</v>
      </c>
      <c r="D454" s="85">
        <v>3827.84</v>
      </c>
      <c r="E454" s="6">
        <v>6163513</v>
      </c>
      <c r="F454" s="12" t="s">
        <v>6266</v>
      </c>
      <c r="G454" s="2" t="s">
        <v>848</v>
      </c>
      <c r="H454" s="12" t="s">
        <v>849</v>
      </c>
      <c r="I454" s="86">
        <v>42779</v>
      </c>
      <c r="J454" s="86">
        <v>46066</v>
      </c>
      <c r="K454" s="12" t="s">
        <v>375</v>
      </c>
      <c r="L454" s="12" t="s">
        <v>1279</v>
      </c>
    </row>
    <row r="455" spans="1:12" ht="38.25">
      <c r="A455" s="12">
        <f t="shared" si="7"/>
        <v>453</v>
      </c>
      <c r="B455" s="12" t="s">
        <v>6267</v>
      </c>
      <c r="C455" s="12" t="s">
        <v>5437</v>
      </c>
      <c r="D455" s="85">
        <v>10884.18</v>
      </c>
      <c r="E455" s="6">
        <v>5141583</v>
      </c>
      <c r="F455" s="12" t="s">
        <v>1101</v>
      </c>
      <c r="G455" s="2" t="s">
        <v>848</v>
      </c>
      <c r="H455" s="12" t="s">
        <v>849</v>
      </c>
      <c r="I455" s="86">
        <v>42788</v>
      </c>
      <c r="J455" s="86">
        <v>46075</v>
      </c>
      <c r="K455" s="12" t="s">
        <v>1014</v>
      </c>
      <c r="L455" s="12" t="s">
        <v>3357</v>
      </c>
    </row>
    <row r="456" spans="1:12">
      <c r="A456" s="12">
        <f t="shared" si="7"/>
        <v>454</v>
      </c>
      <c r="B456" s="12" t="s">
        <v>6268</v>
      </c>
      <c r="C456" s="12" t="s">
        <v>6269</v>
      </c>
      <c r="D456" s="85">
        <v>16531.009999999998</v>
      </c>
      <c r="E456" s="6">
        <v>5229413</v>
      </c>
      <c r="F456" s="12" t="s">
        <v>6270</v>
      </c>
      <c r="G456" s="2" t="s">
        <v>755</v>
      </c>
      <c r="H456" s="12" t="s">
        <v>756</v>
      </c>
      <c r="I456" s="86">
        <v>42786</v>
      </c>
      <c r="J456" s="86">
        <v>46073</v>
      </c>
      <c r="K456" s="12" t="s">
        <v>1014</v>
      </c>
      <c r="L456" s="12" t="s">
        <v>2056</v>
      </c>
    </row>
    <row r="457" spans="1:12" ht="38.25">
      <c r="A457" s="12">
        <f t="shared" si="7"/>
        <v>455</v>
      </c>
      <c r="B457" s="12" t="s">
        <v>6271</v>
      </c>
      <c r="C457" s="12" t="s">
        <v>6272</v>
      </c>
      <c r="D457" s="85">
        <v>424.24</v>
      </c>
      <c r="E457" s="6">
        <v>5935024</v>
      </c>
      <c r="F457" s="12" t="s">
        <v>6273</v>
      </c>
      <c r="G457" s="2" t="s">
        <v>848</v>
      </c>
      <c r="H457" s="12" t="s">
        <v>849</v>
      </c>
      <c r="I457" s="86">
        <v>42786</v>
      </c>
      <c r="J457" s="86">
        <v>46073</v>
      </c>
      <c r="K457" s="12" t="s">
        <v>288</v>
      </c>
      <c r="L457" s="12" t="s">
        <v>1038</v>
      </c>
    </row>
    <row r="458" spans="1:12" ht="38.25">
      <c r="A458" s="12">
        <f t="shared" si="7"/>
        <v>456</v>
      </c>
      <c r="B458" s="12" t="s">
        <v>6274</v>
      </c>
      <c r="C458" s="12" t="s">
        <v>6275</v>
      </c>
      <c r="D458" s="85">
        <v>910.92</v>
      </c>
      <c r="E458" s="6">
        <v>6457266</v>
      </c>
      <c r="F458" s="12" t="s">
        <v>6276</v>
      </c>
      <c r="G458" s="2" t="s">
        <v>766</v>
      </c>
      <c r="H458" s="12" t="s">
        <v>767</v>
      </c>
      <c r="I458" s="86">
        <v>42780</v>
      </c>
      <c r="J458" s="86">
        <v>46067</v>
      </c>
      <c r="K458" s="12" t="s">
        <v>1102</v>
      </c>
      <c r="L458" s="12" t="s">
        <v>1550</v>
      </c>
    </row>
    <row r="459" spans="1:12">
      <c r="A459" s="12">
        <f t="shared" si="7"/>
        <v>457</v>
      </c>
      <c r="B459" s="12" t="s">
        <v>6277</v>
      </c>
      <c r="C459" s="12" t="s">
        <v>4336</v>
      </c>
      <c r="D459" s="85">
        <v>3398.07</v>
      </c>
      <c r="E459" s="6">
        <v>5412153</v>
      </c>
      <c r="F459" s="12" t="s">
        <v>4337</v>
      </c>
      <c r="G459" s="2" t="s">
        <v>755</v>
      </c>
      <c r="H459" s="12" t="s">
        <v>756</v>
      </c>
      <c r="I459" s="86">
        <v>42810</v>
      </c>
      <c r="J459" s="86">
        <v>46097</v>
      </c>
      <c r="K459" s="12" t="s">
        <v>123</v>
      </c>
      <c r="L459" s="12" t="s">
        <v>3411</v>
      </c>
    </row>
    <row r="460" spans="1:12">
      <c r="A460" s="12">
        <f t="shared" si="7"/>
        <v>458</v>
      </c>
      <c r="B460" s="12" t="s">
        <v>6278</v>
      </c>
      <c r="C460" s="12" t="s">
        <v>1753</v>
      </c>
      <c r="D460" s="85">
        <v>2052.46</v>
      </c>
      <c r="E460" s="6">
        <v>5722667</v>
      </c>
      <c r="F460" s="12" t="s">
        <v>6279</v>
      </c>
      <c r="G460" s="2" t="s">
        <v>755</v>
      </c>
      <c r="H460" s="12" t="s">
        <v>756</v>
      </c>
      <c r="I460" s="86">
        <v>42860</v>
      </c>
      <c r="J460" s="86">
        <v>46147</v>
      </c>
      <c r="K460" s="12" t="s">
        <v>274</v>
      </c>
      <c r="L460" s="12" t="s">
        <v>3186</v>
      </c>
    </row>
    <row r="461" spans="1:12">
      <c r="A461" s="12">
        <f t="shared" si="7"/>
        <v>459</v>
      </c>
      <c r="B461" s="12" t="s">
        <v>6280</v>
      </c>
      <c r="C461" s="12" t="s">
        <v>6281</v>
      </c>
      <c r="D461" s="85">
        <v>1168.01</v>
      </c>
      <c r="E461" s="6">
        <v>5096871</v>
      </c>
      <c r="F461" s="12" t="s">
        <v>6030</v>
      </c>
      <c r="G461" s="2" t="s">
        <v>755</v>
      </c>
      <c r="H461" s="12" t="s">
        <v>756</v>
      </c>
      <c r="I461" s="86">
        <v>39035</v>
      </c>
      <c r="J461" s="86">
        <v>45347</v>
      </c>
      <c r="K461" s="12" t="s">
        <v>304</v>
      </c>
      <c r="L461" s="12" t="s">
        <v>843</v>
      </c>
    </row>
    <row r="462" spans="1:12" ht="38.25">
      <c r="A462" s="12">
        <f t="shared" si="7"/>
        <v>460</v>
      </c>
      <c r="B462" s="12" t="s">
        <v>6282</v>
      </c>
      <c r="C462" s="12" t="s">
        <v>6283</v>
      </c>
      <c r="D462" s="85">
        <v>1249.8599999999999</v>
      </c>
      <c r="E462" s="6">
        <v>6448054</v>
      </c>
      <c r="F462" s="12" t="s">
        <v>6284</v>
      </c>
      <c r="G462" s="2" t="s">
        <v>766</v>
      </c>
      <c r="H462" s="12" t="s">
        <v>767</v>
      </c>
      <c r="I462" s="86">
        <v>42867</v>
      </c>
      <c r="J462" s="86">
        <v>46154</v>
      </c>
      <c r="K462" s="12" t="s">
        <v>782</v>
      </c>
      <c r="L462" s="12" t="s">
        <v>233</v>
      </c>
    </row>
    <row r="463" spans="1:12">
      <c r="A463" s="12">
        <f t="shared" si="7"/>
        <v>461</v>
      </c>
      <c r="B463" s="12" t="s">
        <v>6285</v>
      </c>
      <c r="C463" s="12" t="s">
        <v>6286</v>
      </c>
      <c r="D463" s="85">
        <v>7261.61</v>
      </c>
      <c r="E463" s="6">
        <v>2095025</v>
      </c>
      <c r="F463" s="12" t="s">
        <v>870</v>
      </c>
      <c r="G463" s="2" t="s">
        <v>755</v>
      </c>
      <c r="H463" s="12" t="s">
        <v>756</v>
      </c>
      <c r="I463" s="86">
        <v>42867</v>
      </c>
      <c r="J463" s="86">
        <v>46154</v>
      </c>
      <c r="K463" s="12" t="s">
        <v>233</v>
      </c>
      <c r="L463" s="12" t="s">
        <v>5031</v>
      </c>
    </row>
    <row r="464" spans="1:12">
      <c r="A464" s="12">
        <f t="shared" si="7"/>
        <v>462</v>
      </c>
      <c r="B464" s="12" t="s">
        <v>6287</v>
      </c>
      <c r="C464" s="12" t="s">
        <v>5396</v>
      </c>
      <c r="D464" s="85">
        <v>6447.47</v>
      </c>
      <c r="E464" s="6">
        <v>6165974</v>
      </c>
      <c r="F464" s="12" t="s">
        <v>6288</v>
      </c>
      <c r="G464" s="2" t="s">
        <v>755</v>
      </c>
      <c r="H464" s="12" t="s">
        <v>756</v>
      </c>
      <c r="I464" s="86">
        <v>42850</v>
      </c>
      <c r="J464" s="86">
        <v>46137</v>
      </c>
      <c r="K464" s="12" t="s">
        <v>1014</v>
      </c>
      <c r="L464" s="12" t="s">
        <v>2825</v>
      </c>
    </row>
    <row r="465" spans="1:12">
      <c r="A465" s="12">
        <f t="shared" si="7"/>
        <v>463</v>
      </c>
      <c r="B465" s="12" t="s">
        <v>6289</v>
      </c>
      <c r="C465" s="12" t="s">
        <v>1979</v>
      </c>
      <c r="D465" s="85">
        <v>1221.52</v>
      </c>
      <c r="E465" s="6">
        <v>6152813</v>
      </c>
      <c r="F465" s="12" t="s">
        <v>6290</v>
      </c>
      <c r="G465" s="2" t="s">
        <v>755</v>
      </c>
      <c r="H465" s="12" t="s">
        <v>756</v>
      </c>
      <c r="I465" s="86">
        <v>42381</v>
      </c>
      <c r="J465" s="86">
        <v>45669</v>
      </c>
      <c r="K465" s="12" t="s">
        <v>375</v>
      </c>
      <c r="L465" s="12" t="s">
        <v>944</v>
      </c>
    </row>
    <row r="466" spans="1:12">
      <c r="A466" s="12">
        <f t="shared" si="7"/>
        <v>464</v>
      </c>
      <c r="B466" s="12" t="s">
        <v>6291</v>
      </c>
      <c r="C466" s="12" t="s">
        <v>3845</v>
      </c>
      <c r="D466" s="85">
        <v>15313.9</v>
      </c>
      <c r="E466" s="6">
        <v>2095025</v>
      </c>
      <c r="F466" s="12" t="s">
        <v>870</v>
      </c>
      <c r="G466" s="2" t="s">
        <v>755</v>
      </c>
      <c r="H466" s="12" t="s">
        <v>756</v>
      </c>
      <c r="I466" s="86">
        <v>42879</v>
      </c>
      <c r="J466" s="86">
        <v>46166</v>
      </c>
      <c r="K466" s="12" t="s">
        <v>288</v>
      </c>
      <c r="L466" s="12" t="s">
        <v>902</v>
      </c>
    </row>
    <row r="467" spans="1:12">
      <c r="A467" s="12">
        <f t="shared" si="7"/>
        <v>465</v>
      </c>
      <c r="B467" s="12" t="s">
        <v>6292</v>
      </c>
      <c r="C467" s="12" t="s">
        <v>6281</v>
      </c>
      <c r="D467" s="85">
        <v>446.69</v>
      </c>
      <c r="E467" s="6">
        <v>6121314</v>
      </c>
      <c r="F467" s="12" t="s">
        <v>6293</v>
      </c>
      <c r="G467" s="2" t="s">
        <v>755</v>
      </c>
      <c r="H467" s="12" t="s">
        <v>756</v>
      </c>
      <c r="I467" s="86">
        <v>39035</v>
      </c>
      <c r="J467" s="86">
        <v>45347</v>
      </c>
      <c r="K467" s="12" t="s">
        <v>304</v>
      </c>
      <c r="L467" s="12" t="s">
        <v>843</v>
      </c>
    </row>
    <row r="468" spans="1:12">
      <c r="A468" s="12">
        <f t="shared" si="7"/>
        <v>466</v>
      </c>
      <c r="B468" s="12" t="s">
        <v>6294</v>
      </c>
      <c r="C468" s="12" t="s">
        <v>4423</v>
      </c>
      <c r="D468" s="85">
        <v>102.99</v>
      </c>
      <c r="E468" s="6">
        <v>5237572</v>
      </c>
      <c r="F468" s="12" t="s">
        <v>3128</v>
      </c>
      <c r="G468" s="2" t="s">
        <v>755</v>
      </c>
      <c r="H468" s="12" t="s">
        <v>756</v>
      </c>
      <c r="I468" s="86">
        <v>39877</v>
      </c>
      <c r="J468" s="86">
        <v>44260</v>
      </c>
      <c r="K468" s="12" t="s">
        <v>170</v>
      </c>
      <c r="L468" s="12" t="s">
        <v>171</v>
      </c>
    </row>
    <row r="469" spans="1:12">
      <c r="A469" s="12">
        <f t="shared" si="7"/>
        <v>467</v>
      </c>
      <c r="B469" s="12" t="s">
        <v>6295</v>
      </c>
      <c r="C469" s="12" t="s">
        <v>3319</v>
      </c>
      <c r="D469" s="85">
        <v>5945.12</v>
      </c>
      <c r="E469" s="6">
        <v>6077455</v>
      </c>
      <c r="F469" s="12" t="s">
        <v>6296</v>
      </c>
      <c r="G469" s="2" t="s">
        <v>755</v>
      </c>
      <c r="H469" s="12" t="s">
        <v>756</v>
      </c>
      <c r="I469" s="86">
        <v>42908</v>
      </c>
      <c r="J469" s="86">
        <v>46195</v>
      </c>
      <c r="K469" s="12" t="s">
        <v>782</v>
      </c>
      <c r="L469" s="12" t="s">
        <v>783</v>
      </c>
    </row>
    <row r="470" spans="1:12">
      <c r="A470" s="12">
        <f t="shared" si="7"/>
        <v>468</v>
      </c>
      <c r="B470" s="12" t="s">
        <v>6297</v>
      </c>
      <c r="C470" s="12" t="s">
        <v>4102</v>
      </c>
      <c r="D470" s="85">
        <v>8041.81</v>
      </c>
      <c r="E470" s="6">
        <v>6168019</v>
      </c>
      <c r="F470" s="12" t="s">
        <v>4836</v>
      </c>
      <c r="G470" s="2" t="s">
        <v>755</v>
      </c>
      <c r="H470" s="12" t="s">
        <v>756</v>
      </c>
      <c r="I470" s="86">
        <v>42935</v>
      </c>
      <c r="J470" s="86">
        <v>46222</v>
      </c>
      <c r="K470" s="12" t="s">
        <v>170</v>
      </c>
      <c r="L470" s="12" t="s">
        <v>2786</v>
      </c>
    </row>
    <row r="471" spans="1:12">
      <c r="A471" s="12">
        <f t="shared" si="7"/>
        <v>469</v>
      </c>
      <c r="B471" s="12" t="s">
        <v>6298</v>
      </c>
      <c r="C471" s="12" t="s">
        <v>3909</v>
      </c>
      <c r="D471" s="85">
        <v>765.04</v>
      </c>
      <c r="E471" s="6">
        <v>6076408</v>
      </c>
      <c r="F471" s="12" t="s">
        <v>6299</v>
      </c>
      <c r="G471" s="2" t="s">
        <v>755</v>
      </c>
      <c r="H471" s="12" t="s">
        <v>756</v>
      </c>
      <c r="I471" s="86">
        <v>42936</v>
      </c>
      <c r="J471" s="86">
        <v>46223</v>
      </c>
      <c r="K471" s="12" t="s">
        <v>1102</v>
      </c>
      <c r="L471" s="12" t="s">
        <v>1102</v>
      </c>
    </row>
    <row r="472" spans="1:12">
      <c r="A472" s="12">
        <f t="shared" si="7"/>
        <v>470</v>
      </c>
      <c r="B472" s="12" t="s">
        <v>6300</v>
      </c>
      <c r="C472" s="12" t="s">
        <v>3628</v>
      </c>
      <c r="D472" s="85">
        <v>5405.78</v>
      </c>
      <c r="E472" s="6">
        <v>6006124</v>
      </c>
      <c r="F472" s="12" t="s">
        <v>4581</v>
      </c>
      <c r="G472" s="2" t="s">
        <v>755</v>
      </c>
      <c r="H472" s="12" t="s">
        <v>756</v>
      </c>
      <c r="I472" s="86">
        <v>42942</v>
      </c>
      <c r="J472" s="86">
        <v>46229</v>
      </c>
      <c r="K472" s="12" t="s">
        <v>1102</v>
      </c>
      <c r="L472" s="12" t="s">
        <v>5513</v>
      </c>
    </row>
    <row r="473" spans="1:12">
      <c r="A473" s="12">
        <f t="shared" si="7"/>
        <v>471</v>
      </c>
      <c r="B473" s="12" t="s">
        <v>6301</v>
      </c>
      <c r="C473" s="12" t="s">
        <v>1847</v>
      </c>
      <c r="D473" s="85">
        <v>549.21</v>
      </c>
      <c r="E473" s="6">
        <v>3753603</v>
      </c>
      <c r="F473" s="12" t="s">
        <v>4601</v>
      </c>
      <c r="G473" s="2" t="s">
        <v>755</v>
      </c>
      <c r="H473" s="12" t="s">
        <v>756</v>
      </c>
      <c r="I473" s="86">
        <v>42943</v>
      </c>
      <c r="J473" s="86">
        <v>46230</v>
      </c>
      <c r="K473" s="12" t="s">
        <v>304</v>
      </c>
      <c r="L473" s="12" t="s">
        <v>329</v>
      </c>
    </row>
    <row r="474" spans="1:12">
      <c r="A474" s="12">
        <f t="shared" si="7"/>
        <v>472</v>
      </c>
      <c r="B474" s="12" t="s">
        <v>6302</v>
      </c>
      <c r="C474" s="12" t="s">
        <v>6303</v>
      </c>
      <c r="D474" s="85">
        <v>3921.28</v>
      </c>
      <c r="E474" s="6">
        <v>6141536</v>
      </c>
      <c r="F474" s="12" t="s">
        <v>6304</v>
      </c>
      <c r="G474" s="2" t="s">
        <v>755</v>
      </c>
      <c r="H474" s="12" t="s">
        <v>756</v>
      </c>
      <c r="I474" s="86">
        <v>42943</v>
      </c>
      <c r="J474" s="86">
        <v>45977</v>
      </c>
      <c r="K474" s="12" t="s">
        <v>274</v>
      </c>
      <c r="L474" s="12" t="s">
        <v>275</v>
      </c>
    </row>
    <row r="475" spans="1:12" ht="38.25">
      <c r="A475" s="12">
        <f t="shared" si="7"/>
        <v>473</v>
      </c>
      <c r="B475" s="12" t="s">
        <v>6305</v>
      </c>
      <c r="C475" s="12" t="s">
        <v>6306</v>
      </c>
      <c r="D475" s="85">
        <v>620.75</v>
      </c>
      <c r="E475" s="6">
        <v>5387302</v>
      </c>
      <c r="F475" s="12" t="s">
        <v>6307</v>
      </c>
      <c r="G475" s="2" t="s">
        <v>848</v>
      </c>
      <c r="H475" s="12" t="s">
        <v>849</v>
      </c>
      <c r="I475" s="86">
        <v>42984</v>
      </c>
      <c r="J475" s="86">
        <v>46271</v>
      </c>
      <c r="K475" s="12" t="s">
        <v>170</v>
      </c>
      <c r="L475" s="12" t="s">
        <v>924</v>
      </c>
    </row>
    <row r="476" spans="1:12">
      <c r="A476" s="12">
        <f t="shared" si="7"/>
        <v>474</v>
      </c>
      <c r="B476" s="12" t="s">
        <v>6308</v>
      </c>
      <c r="C476" s="12" t="s">
        <v>4426</v>
      </c>
      <c r="D476" s="85">
        <v>14397.28</v>
      </c>
      <c r="E476" s="6">
        <v>6118143</v>
      </c>
      <c r="F476" s="12" t="s">
        <v>6309</v>
      </c>
      <c r="G476" s="2" t="s">
        <v>755</v>
      </c>
      <c r="H476" s="12" t="s">
        <v>756</v>
      </c>
      <c r="I476" s="86">
        <v>42943</v>
      </c>
      <c r="J476" s="86">
        <v>46230</v>
      </c>
      <c r="K476" s="12" t="s">
        <v>768</v>
      </c>
      <c r="L476" s="12" t="s">
        <v>4588</v>
      </c>
    </row>
    <row r="477" spans="1:12">
      <c r="A477" s="12">
        <f t="shared" si="7"/>
        <v>475</v>
      </c>
      <c r="B477" s="12" t="s">
        <v>6310</v>
      </c>
      <c r="C477" s="12" t="s">
        <v>874</v>
      </c>
      <c r="D477" s="85">
        <v>181.82</v>
      </c>
      <c r="E477" s="6">
        <v>2057417</v>
      </c>
      <c r="F477" s="12" t="s">
        <v>2831</v>
      </c>
      <c r="G477" s="2" t="s">
        <v>755</v>
      </c>
      <c r="H477" s="12" t="s">
        <v>756</v>
      </c>
      <c r="I477" s="86">
        <v>42979</v>
      </c>
      <c r="J477" s="86">
        <v>46266</v>
      </c>
      <c r="K477" s="12" t="s">
        <v>304</v>
      </c>
      <c r="L477" s="12" t="s">
        <v>141</v>
      </c>
    </row>
    <row r="478" spans="1:12">
      <c r="A478" s="12">
        <f t="shared" si="7"/>
        <v>476</v>
      </c>
      <c r="B478" s="12" t="s">
        <v>6311</v>
      </c>
      <c r="C478" s="12" t="s">
        <v>6312</v>
      </c>
      <c r="D478" s="85">
        <v>1270.4100000000001</v>
      </c>
      <c r="E478" s="6">
        <v>5663989</v>
      </c>
      <c r="F478" s="12" t="s">
        <v>3385</v>
      </c>
      <c r="G478" s="2" t="s">
        <v>755</v>
      </c>
      <c r="H478" s="12" t="s">
        <v>756</v>
      </c>
      <c r="I478" s="86">
        <v>43003</v>
      </c>
      <c r="J478" s="86">
        <v>46290</v>
      </c>
      <c r="K478" s="12" t="s">
        <v>768</v>
      </c>
      <c r="L478" s="12" t="s">
        <v>769</v>
      </c>
    </row>
    <row r="479" spans="1:12">
      <c r="A479" s="12">
        <f t="shared" si="7"/>
        <v>477</v>
      </c>
      <c r="B479" s="12" t="s">
        <v>6313</v>
      </c>
      <c r="C479" s="12" t="s">
        <v>6314</v>
      </c>
      <c r="D479" s="85">
        <v>8981.9599999999991</v>
      </c>
      <c r="E479" s="6">
        <v>5097517</v>
      </c>
      <c r="F479" s="12" t="s">
        <v>6315</v>
      </c>
      <c r="G479" s="2" t="s">
        <v>755</v>
      </c>
      <c r="H479" s="12" t="s">
        <v>756</v>
      </c>
      <c r="I479" s="86">
        <v>43003</v>
      </c>
      <c r="J479" s="86">
        <v>45625</v>
      </c>
      <c r="K479" s="12" t="s">
        <v>233</v>
      </c>
      <c r="L479" s="12" t="s">
        <v>6316</v>
      </c>
    </row>
    <row r="480" spans="1:12">
      <c r="A480" s="12">
        <f t="shared" si="7"/>
        <v>478</v>
      </c>
      <c r="B480" s="12" t="s">
        <v>6317</v>
      </c>
      <c r="C480" s="12" t="s">
        <v>6318</v>
      </c>
      <c r="D480" s="85">
        <v>880.8</v>
      </c>
      <c r="E480" s="6">
        <v>2868687</v>
      </c>
      <c r="F480" s="12" t="s">
        <v>1446</v>
      </c>
      <c r="G480" s="2" t="s">
        <v>755</v>
      </c>
      <c r="H480" s="12" t="s">
        <v>756</v>
      </c>
      <c r="I480" s="86">
        <v>43003</v>
      </c>
      <c r="J480" s="86">
        <v>46290</v>
      </c>
      <c r="K480" s="12" t="s">
        <v>138</v>
      </c>
      <c r="L480" s="12" t="s">
        <v>1806</v>
      </c>
    </row>
    <row r="481" spans="1:12">
      <c r="A481" s="12">
        <f t="shared" si="7"/>
        <v>479</v>
      </c>
      <c r="B481" s="12" t="s">
        <v>6319</v>
      </c>
      <c r="C481" s="12" t="s">
        <v>6320</v>
      </c>
      <c r="D481" s="85">
        <v>2883.34</v>
      </c>
      <c r="E481" s="6">
        <v>5097517</v>
      </c>
      <c r="F481" s="12" t="s">
        <v>6315</v>
      </c>
      <c r="G481" s="2" t="s">
        <v>755</v>
      </c>
      <c r="H481" s="12" t="s">
        <v>756</v>
      </c>
      <c r="I481" s="86">
        <v>43003</v>
      </c>
      <c r="J481" s="86">
        <v>45625</v>
      </c>
      <c r="K481" s="12" t="s">
        <v>233</v>
      </c>
      <c r="L481" s="12" t="s">
        <v>237</v>
      </c>
    </row>
    <row r="482" spans="1:12">
      <c r="A482" s="12">
        <f t="shared" si="7"/>
        <v>480</v>
      </c>
      <c r="B482" s="12" t="s">
        <v>6321</v>
      </c>
      <c r="C482" s="12" t="s">
        <v>6322</v>
      </c>
      <c r="D482" s="85">
        <v>7957.91</v>
      </c>
      <c r="E482" s="6">
        <v>5097517</v>
      </c>
      <c r="F482" s="12" t="s">
        <v>6315</v>
      </c>
      <c r="G482" s="2" t="s">
        <v>755</v>
      </c>
      <c r="H482" s="12" t="s">
        <v>756</v>
      </c>
      <c r="I482" s="86">
        <v>43003</v>
      </c>
      <c r="J482" s="86">
        <v>45625</v>
      </c>
      <c r="K482" s="12" t="s">
        <v>163</v>
      </c>
      <c r="L482" s="12" t="s">
        <v>6323</v>
      </c>
    </row>
    <row r="483" spans="1:12">
      <c r="A483" s="12">
        <f t="shared" si="7"/>
        <v>481</v>
      </c>
      <c r="B483" s="12" t="s">
        <v>6324</v>
      </c>
      <c r="C483" s="12" t="s">
        <v>6325</v>
      </c>
      <c r="D483" s="85">
        <v>14034.94</v>
      </c>
      <c r="E483" s="6">
        <v>5097517</v>
      </c>
      <c r="F483" s="12" t="s">
        <v>6315</v>
      </c>
      <c r="G483" s="2" t="s">
        <v>755</v>
      </c>
      <c r="H483" s="12" t="s">
        <v>756</v>
      </c>
      <c r="I483" s="86">
        <v>43003</v>
      </c>
      <c r="J483" s="86">
        <v>45625</v>
      </c>
      <c r="K483" s="12" t="s">
        <v>233</v>
      </c>
      <c r="L483" s="12" t="s">
        <v>1300</v>
      </c>
    </row>
    <row r="484" spans="1:12">
      <c r="A484" s="12">
        <f t="shared" si="7"/>
        <v>482</v>
      </c>
      <c r="B484" s="12" t="s">
        <v>6326</v>
      </c>
      <c r="C484" s="12" t="s">
        <v>6327</v>
      </c>
      <c r="D484" s="85">
        <v>7696.98</v>
      </c>
      <c r="E484" s="6">
        <v>2868687</v>
      </c>
      <c r="F484" s="12" t="s">
        <v>1446</v>
      </c>
      <c r="G484" s="2" t="s">
        <v>755</v>
      </c>
      <c r="H484" s="12" t="s">
        <v>756</v>
      </c>
      <c r="I484" s="86">
        <v>43003</v>
      </c>
      <c r="J484" s="86">
        <v>46290</v>
      </c>
      <c r="K484" s="12" t="s">
        <v>138</v>
      </c>
      <c r="L484" s="12" t="s">
        <v>1806</v>
      </c>
    </row>
    <row r="485" spans="1:12">
      <c r="A485" s="12">
        <f t="shared" si="7"/>
        <v>483</v>
      </c>
      <c r="B485" s="12" t="s">
        <v>6328</v>
      </c>
      <c r="C485" s="12" t="s">
        <v>6329</v>
      </c>
      <c r="D485" s="85">
        <v>7864.94</v>
      </c>
      <c r="E485" s="6">
        <v>5493781</v>
      </c>
      <c r="F485" s="12" t="s">
        <v>6330</v>
      </c>
      <c r="G485" s="2" t="s">
        <v>755</v>
      </c>
      <c r="H485" s="12" t="s">
        <v>756</v>
      </c>
      <c r="I485" s="86">
        <v>43004</v>
      </c>
      <c r="J485" s="86">
        <v>46291</v>
      </c>
      <c r="K485" s="12" t="s">
        <v>233</v>
      </c>
      <c r="L485" s="12" t="s">
        <v>1300</v>
      </c>
    </row>
    <row r="486" spans="1:12">
      <c r="A486" s="12">
        <f t="shared" si="7"/>
        <v>484</v>
      </c>
      <c r="B486" s="12" t="s">
        <v>6331</v>
      </c>
      <c r="C486" s="12" t="s">
        <v>6332</v>
      </c>
      <c r="D486" s="85">
        <v>772.92</v>
      </c>
      <c r="E486" s="6">
        <v>5977401</v>
      </c>
      <c r="F486" s="12" t="s">
        <v>6333</v>
      </c>
      <c r="G486" s="2" t="s">
        <v>755</v>
      </c>
      <c r="H486" s="12" t="s">
        <v>756</v>
      </c>
      <c r="I486" s="86">
        <v>43004</v>
      </c>
      <c r="J486" s="86">
        <v>46291</v>
      </c>
      <c r="K486" s="12" t="s">
        <v>274</v>
      </c>
      <c r="L486" s="12" t="s">
        <v>874</v>
      </c>
    </row>
    <row r="487" spans="1:12">
      <c r="A487" s="12">
        <f t="shared" si="7"/>
        <v>485</v>
      </c>
      <c r="B487" s="12" t="s">
        <v>6334</v>
      </c>
      <c r="C487" s="12" t="s">
        <v>6335</v>
      </c>
      <c r="D487" s="85">
        <v>1495.08</v>
      </c>
      <c r="E487" s="6">
        <v>5976367</v>
      </c>
      <c r="F487" s="12" t="s">
        <v>5019</v>
      </c>
      <c r="G487" s="2" t="s">
        <v>755</v>
      </c>
      <c r="H487" s="12" t="s">
        <v>756</v>
      </c>
      <c r="I487" s="86">
        <v>43004</v>
      </c>
      <c r="J487" s="86">
        <v>45195</v>
      </c>
      <c r="K487" s="12" t="s">
        <v>274</v>
      </c>
      <c r="L487" s="12" t="s">
        <v>874</v>
      </c>
    </row>
    <row r="488" spans="1:12">
      <c r="A488" s="12">
        <f t="shared" si="7"/>
        <v>486</v>
      </c>
      <c r="B488" s="12" t="s">
        <v>6336</v>
      </c>
      <c r="C488" s="12" t="s">
        <v>4426</v>
      </c>
      <c r="D488" s="85">
        <v>3695.82</v>
      </c>
      <c r="E488" s="6">
        <v>5434041</v>
      </c>
      <c r="F488" s="12" t="s">
        <v>6337</v>
      </c>
      <c r="G488" s="2" t="s">
        <v>755</v>
      </c>
      <c r="H488" s="12" t="s">
        <v>756</v>
      </c>
      <c r="I488" s="86">
        <v>43006</v>
      </c>
      <c r="J488" s="86">
        <v>46293</v>
      </c>
      <c r="K488" s="12" t="s">
        <v>288</v>
      </c>
      <c r="L488" s="12" t="s">
        <v>1038</v>
      </c>
    </row>
    <row r="489" spans="1:12">
      <c r="A489" s="12">
        <f t="shared" si="7"/>
        <v>487</v>
      </c>
      <c r="B489" s="12" t="s">
        <v>6338</v>
      </c>
      <c r="C489" s="12" t="s">
        <v>6339</v>
      </c>
      <c r="D489" s="85">
        <v>1252.1400000000001</v>
      </c>
      <c r="E489" s="6">
        <v>5063795</v>
      </c>
      <c r="F489" s="12" t="s">
        <v>6340</v>
      </c>
      <c r="G489" s="2" t="s">
        <v>755</v>
      </c>
      <c r="H489" s="12" t="s">
        <v>756</v>
      </c>
      <c r="I489" s="86">
        <v>43006</v>
      </c>
      <c r="J489" s="86">
        <v>46293</v>
      </c>
      <c r="K489" s="12" t="s">
        <v>138</v>
      </c>
      <c r="L489" s="12" t="s">
        <v>1806</v>
      </c>
    </row>
    <row r="490" spans="1:12">
      <c r="A490" s="12">
        <f t="shared" si="7"/>
        <v>488</v>
      </c>
      <c r="B490" s="12" t="s">
        <v>6341</v>
      </c>
      <c r="C490" s="12" t="s">
        <v>6342</v>
      </c>
      <c r="D490" s="85">
        <v>3892.35</v>
      </c>
      <c r="E490" s="6">
        <v>5063795</v>
      </c>
      <c r="F490" s="12" t="s">
        <v>6340</v>
      </c>
      <c r="G490" s="2" t="s">
        <v>755</v>
      </c>
      <c r="H490" s="12" t="s">
        <v>756</v>
      </c>
      <c r="I490" s="86">
        <v>43006</v>
      </c>
      <c r="J490" s="86">
        <v>46293</v>
      </c>
      <c r="K490" s="12" t="s">
        <v>138</v>
      </c>
      <c r="L490" s="12" t="s">
        <v>1806</v>
      </c>
    </row>
    <row r="491" spans="1:12">
      <c r="A491" s="12">
        <f t="shared" si="7"/>
        <v>489</v>
      </c>
      <c r="B491" s="12" t="s">
        <v>6343</v>
      </c>
      <c r="C491" s="12" t="s">
        <v>6344</v>
      </c>
      <c r="D491" s="85">
        <v>437.25</v>
      </c>
      <c r="E491" s="6">
        <v>5070678</v>
      </c>
      <c r="F491" s="12" t="s">
        <v>6345</v>
      </c>
      <c r="G491" s="2" t="s">
        <v>755</v>
      </c>
      <c r="H491" s="12" t="s">
        <v>756</v>
      </c>
      <c r="I491" s="86">
        <v>43010</v>
      </c>
      <c r="J491" s="86">
        <v>46297</v>
      </c>
      <c r="K491" s="12" t="s">
        <v>233</v>
      </c>
      <c r="L491" s="12" t="s">
        <v>5031</v>
      </c>
    </row>
    <row r="492" spans="1:12">
      <c r="A492" s="12">
        <f t="shared" si="7"/>
        <v>490</v>
      </c>
      <c r="B492" s="12" t="s">
        <v>6346</v>
      </c>
      <c r="C492" s="12" t="s">
        <v>4102</v>
      </c>
      <c r="D492" s="85">
        <v>15774.41</v>
      </c>
      <c r="E492" s="6">
        <v>6173462</v>
      </c>
      <c r="F492" s="12" t="s">
        <v>6347</v>
      </c>
      <c r="G492" s="2" t="s">
        <v>755</v>
      </c>
      <c r="H492" s="12" t="s">
        <v>756</v>
      </c>
      <c r="I492" s="86">
        <v>43031</v>
      </c>
      <c r="J492" s="86">
        <v>46318</v>
      </c>
      <c r="K492" s="12" t="s">
        <v>170</v>
      </c>
      <c r="L492" s="12" t="s">
        <v>2786</v>
      </c>
    </row>
    <row r="493" spans="1:12">
      <c r="A493" s="12">
        <f t="shared" si="7"/>
        <v>491</v>
      </c>
      <c r="B493" s="12" t="s">
        <v>6348</v>
      </c>
      <c r="C493" s="12" t="s">
        <v>4604</v>
      </c>
      <c r="D493" s="85">
        <v>7581.57</v>
      </c>
      <c r="E493" s="6">
        <v>3318486</v>
      </c>
      <c r="F493" s="12" t="s">
        <v>4605</v>
      </c>
      <c r="G493" s="2" t="s">
        <v>755</v>
      </c>
      <c r="H493" s="12" t="s">
        <v>756</v>
      </c>
      <c r="I493" s="86">
        <v>43032</v>
      </c>
      <c r="J493" s="86">
        <v>46319</v>
      </c>
      <c r="K493" s="12" t="s">
        <v>170</v>
      </c>
      <c r="L493" s="12" t="s">
        <v>2450</v>
      </c>
    </row>
    <row r="494" spans="1:12">
      <c r="A494" s="12">
        <f t="shared" si="7"/>
        <v>492</v>
      </c>
      <c r="B494" s="12" t="s">
        <v>6349</v>
      </c>
      <c r="C494" s="12" t="s">
        <v>4645</v>
      </c>
      <c r="D494" s="85">
        <v>6873.37</v>
      </c>
      <c r="E494" s="6">
        <v>5438217</v>
      </c>
      <c r="F494" s="12" t="s">
        <v>6350</v>
      </c>
      <c r="G494" s="2" t="s">
        <v>755</v>
      </c>
      <c r="H494" s="12" t="s">
        <v>756</v>
      </c>
      <c r="I494" s="86">
        <v>41449</v>
      </c>
      <c r="J494" s="86">
        <v>45832</v>
      </c>
      <c r="K494" s="12" t="s">
        <v>123</v>
      </c>
      <c r="L494" s="12" t="s">
        <v>1472</v>
      </c>
    </row>
    <row r="495" spans="1:12">
      <c r="A495" s="12">
        <f t="shared" si="7"/>
        <v>493</v>
      </c>
      <c r="B495" s="12" t="s">
        <v>6351</v>
      </c>
      <c r="C495" s="12" t="s">
        <v>6352</v>
      </c>
      <c r="D495" s="85">
        <v>586.08000000000004</v>
      </c>
      <c r="E495" s="6">
        <v>2877694</v>
      </c>
      <c r="F495" s="12" t="s">
        <v>2230</v>
      </c>
      <c r="G495" s="2" t="s">
        <v>755</v>
      </c>
      <c r="H495" s="12" t="s">
        <v>756</v>
      </c>
      <c r="I495" s="86">
        <v>39343</v>
      </c>
      <c r="J495" s="86">
        <v>44600</v>
      </c>
      <c r="K495" s="12" t="s">
        <v>1014</v>
      </c>
      <c r="L495" s="12" t="s">
        <v>3357</v>
      </c>
    </row>
    <row r="496" spans="1:12">
      <c r="A496" s="12">
        <f t="shared" si="7"/>
        <v>494</v>
      </c>
      <c r="B496" s="12" t="s">
        <v>6353</v>
      </c>
      <c r="C496" s="12" t="s">
        <v>6354</v>
      </c>
      <c r="D496" s="85">
        <v>3279.22</v>
      </c>
      <c r="E496" s="6">
        <v>5429617</v>
      </c>
      <c r="F496" s="12" t="s">
        <v>5565</v>
      </c>
      <c r="G496" s="2" t="s">
        <v>755</v>
      </c>
      <c r="H496" s="12" t="s">
        <v>756</v>
      </c>
      <c r="I496" s="86">
        <v>43395</v>
      </c>
      <c r="J496" s="86">
        <v>45587</v>
      </c>
      <c r="K496" s="12" t="s">
        <v>1014</v>
      </c>
      <c r="L496" s="12" t="s">
        <v>3222</v>
      </c>
    </row>
    <row r="497" spans="1:12">
      <c r="A497" s="12">
        <f t="shared" si="7"/>
        <v>495</v>
      </c>
      <c r="B497" s="12" t="s">
        <v>6355</v>
      </c>
      <c r="C497" s="12" t="s">
        <v>4119</v>
      </c>
      <c r="D497" s="85">
        <v>7378.46</v>
      </c>
      <c r="E497" s="6">
        <v>5588871</v>
      </c>
      <c r="F497" s="12" t="s">
        <v>6356</v>
      </c>
      <c r="G497" s="2" t="s">
        <v>755</v>
      </c>
      <c r="H497" s="12" t="s">
        <v>756</v>
      </c>
      <c r="I497" s="86">
        <v>43396</v>
      </c>
      <c r="J497" s="86">
        <v>45588</v>
      </c>
      <c r="K497" s="12" t="s">
        <v>1242</v>
      </c>
      <c r="L497" s="12" t="s">
        <v>5258</v>
      </c>
    </row>
    <row r="498" spans="1:12">
      <c r="A498" s="12">
        <f t="shared" si="7"/>
        <v>496</v>
      </c>
      <c r="B498" s="12" t="s">
        <v>6357</v>
      </c>
      <c r="C498" s="12" t="s">
        <v>3909</v>
      </c>
      <c r="D498" s="85">
        <v>3007.46</v>
      </c>
      <c r="E498" s="6">
        <v>6082513</v>
      </c>
      <c r="F498" s="12" t="s">
        <v>6358</v>
      </c>
      <c r="G498" s="2" t="s">
        <v>755</v>
      </c>
      <c r="H498" s="12" t="s">
        <v>756</v>
      </c>
      <c r="I498" s="86">
        <v>43396</v>
      </c>
      <c r="J498" s="86">
        <v>45906</v>
      </c>
      <c r="K498" s="12" t="s">
        <v>1102</v>
      </c>
      <c r="L498" s="12" t="s">
        <v>1102</v>
      </c>
    </row>
    <row r="499" spans="1:12">
      <c r="A499" s="12">
        <f t="shared" si="7"/>
        <v>497</v>
      </c>
      <c r="B499" s="12" t="s">
        <v>6359</v>
      </c>
      <c r="C499" s="12" t="s">
        <v>6360</v>
      </c>
      <c r="D499" s="85">
        <v>4120.32</v>
      </c>
      <c r="E499" s="6">
        <v>6322328</v>
      </c>
      <c r="F499" s="12" t="s">
        <v>6361</v>
      </c>
      <c r="G499" s="2" t="s">
        <v>755</v>
      </c>
      <c r="H499" s="12" t="s">
        <v>756</v>
      </c>
      <c r="I499" s="86">
        <v>43395</v>
      </c>
      <c r="J499" s="86">
        <v>45587</v>
      </c>
      <c r="K499" s="12" t="s">
        <v>375</v>
      </c>
      <c r="L499" s="12" t="s">
        <v>2550</v>
      </c>
    </row>
    <row r="500" spans="1:12">
      <c r="A500" s="12">
        <f t="shared" si="7"/>
        <v>498</v>
      </c>
      <c r="B500" s="12" t="s">
        <v>6362</v>
      </c>
      <c r="C500" s="12" t="s">
        <v>3401</v>
      </c>
      <c r="D500" s="85">
        <v>5696.96</v>
      </c>
      <c r="E500" s="6">
        <v>6183506</v>
      </c>
      <c r="F500" s="12" t="s">
        <v>3985</v>
      </c>
      <c r="G500" s="2" t="s">
        <v>755</v>
      </c>
      <c r="H500" s="12" t="s">
        <v>756</v>
      </c>
      <c r="I500" s="86">
        <v>43439</v>
      </c>
      <c r="J500" s="86">
        <v>45631</v>
      </c>
      <c r="K500" s="12" t="s">
        <v>123</v>
      </c>
      <c r="L500" s="12" t="s">
        <v>272</v>
      </c>
    </row>
    <row r="501" spans="1:12">
      <c r="A501" s="12">
        <f t="shared" si="7"/>
        <v>499</v>
      </c>
      <c r="B501" s="12" t="s">
        <v>6363</v>
      </c>
      <c r="C501" s="12" t="s">
        <v>6364</v>
      </c>
      <c r="D501" s="85">
        <v>374.1</v>
      </c>
      <c r="E501" s="6">
        <v>5222907</v>
      </c>
      <c r="F501" s="12" t="s">
        <v>6365</v>
      </c>
      <c r="G501" s="2" t="s">
        <v>755</v>
      </c>
      <c r="H501" s="12" t="s">
        <v>756</v>
      </c>
      <c r="I501" s="86">
        <v>43419</v>
      </c>
      <c r="J501" s="86">
        <v>45611</v>
      </c>
      <c r="K501" s="12" t="s">
        <v>293</v>
      </c>
      <c r="L501" s="12" t="s">
        <v>3681</v>
      </c>
    </row>
    <row r="502" spans="1:12">
      <c r="A502" s="12">
        <f t="shared" si="7"/>
        <v>500</v>
      </c>
      <c r="B502" s="12" t="s">
        <v>6366</v>
      </c>
      <c r="C502" s="12" t="s">
        <v>6367</v>
      </c>
      <c r="D502" s="85">
        <v>959.38</v>
      </c>
      <c r="E502" s="6">
        <v>5109418</v>
      </c>
      <c r="F502" s="12" t="s">
        <v>6368</v>
      </c>
      <c r="G502" s="2" t="s">
        <v>755</v>
      </c>
      <c r="H502" s="12" t="s">
        <v>756</v>
      </c>
      <c r="I502" s="86">
        <v>43445</v>
      </c>
      <c r="J502" s="86">
        <v>45637</v>
      </c>
      <c r="K502" s="12" t="s">
        <v>782</v>
      </c>
      <c r="L502" s="12" t="s">
        <v>2429</v>
      </c>
    </row>
    <row r="503" spans="1:12">
      <c r="A503" s="12">
        <f t="shared" si="7"/>
        <v>501</v>
      </c>
      <c r="B503" s="12" t="s">
        <v>6369</v>
      </c>
      <c r="C503" s="12" t="s">
        <v>6370</v>
      </c>
      <c r="D503" s="85">
        <v>6331.04</v>
      </c>
      <c r="E503" s="6">
        <v>6563635</v>
      </c>
      <c r="F503" s="12" t="s">
        <v>5438</v>
      </c>
      <c r="G503" s="2" t="s">
        <v>755</v>
      </c>
      <c r="H503" s="12" t="s">
        <v>756</v>
      </c>
      <c r="I503" s="86">
        <v>43438</v>
      </c>
      <c r="J503" s="86">
        <v>45630</v>
      </c>
      <c r="K503" s="12" t="s">
        <v>1014</v>
      </c>
      <c r="L503" s="12" t="s">
        <v>3357</v>
      </c>
    </row>
    <row r="504" spans="1:12">
      <c r="A504" s="12">
        <f t="shared" si="7"/>
        <v>502</v>
      </c>
      <c r="B504" s="12" t="s">
        <v>6371</v>
      </c>
      <c r="C504" s="12" t="s">
        <v>4982</v>
      </c>
      <c r="D504" s="85">
        <v>399.83</v>
      </c>
      <c r="E504" s="6">
        <v>2104989</v>
      </c>
      <c r="F504" s="12" t="s">
        <v>4849</v>
      </c>
      <c r="G504" s="2" t="s">
        <v>755</v>
      </c>
      <c r="H504" s="12" t="s">
        <v>756</v>
      </c>
      <c r="I504" s="86">
        <v>43425</v>
      </c>
      <c r="J504" s="86">
        <v>45617</v>
      </c>
      <c r="K504" s="12" t="s">
        <v>375</v>
      </c>
      <c r="L504" s="12" t="s">
        <v>1476</v>
      </c>
    </row>
    <row r="505" spans="1:12">
      <c r="A505" s="12">
        <f t="shared" si="7"/>
        <v>503</v>
      </c>
      <c r="B505" s="12" t="s">
        <v>6372</v>
      </c>
      <c r="C505" s="12" t="s">
        <v>5066</v>
      </c>
      <c r="D505" s="85">
        <v>2278.16</v>
      </c>
      <c r="E505" s="6">
        <v>6604277</v>
      </c>
      <c r="F505" s="12" t="s">
        <v>5067</v>
      </c>
      <c r="G505" s="2" t="s">
        <v>755</v>
      </c>
      <c r="H505" s="12" t="s">
        <v>756</v>
      </c>
      <c r="I505" s="86">
        <v>43420</v>
      </c>
      <c r="J505" s="86">
        <v>45612</v>
      </c>
      <c r="K505" s="12" t="s">
        <v>123</v>
      </c>
      <c r="L505" s="12" t="s">
        <v>272</v>
      </c>
    </row>
    <row r="506" spans="1:12">
      <c r="A506" s="12">
        <f t="shared" si="7"/>
        <v>504</v>
      </c>
      <c r="B506" s="12" t="s">
        <v>6373</v>
      </c>
      <c r="C506" s="12" t="s">
        <v>4555</v>
      </c>
      <c r="D506" s="85">
        <v>1421.89</v>
      </c>
      <c r="E506" s="6">
        <v>5663989</v>
      </c>
      <c r="F506" s="12" t="s">
        <v>3385</v>
      </c>
      <c r="G506" s="2" t="s">
        <v>755</v>
      </c>
      <c r="H506" s="12" t="s">
        <v>756</v>
      </c>
      <c r="I506" s="86">
        <v>43455</v>
      </c>
      <c r="J506" s="86">
        <v>45647</v>
      </c>
      <c r="K506" s="12" t="s">
        <v>163</v>
      </c>
      <c r="L506" s="12" t="s">
        <v>969</v>
      </c>
    </row>
    <row r="507" spans="1:12">
      <c r="A507" s="12">
        <f t="shared" si="7"/>
        <v>505</v>
      </c>
      <c r="B507" s="12" t="s">
        <v>6374</v>
      </c>
      <c r="C507" s="12" t="s">
        <v>4645</v>
      </c>
      <c r="D507" s="85">
        <v>90.53</v>
      </c>
      <c r="E507" s="6">
        <v>6209815</v>
      </c>
      <c r="F507" s="12" t="s">
        <v>6019</v>
      </c>
      <c r="G507" s="2" t="s">
        <v>755</v>
      </c>
      <c r="H507" s="12" t="s">
        <v>756</v>
      </c>
      <c r="I507" s="86">
        <v>43468</v>
      </c>
      <c r="J507" s="86">
        <v>45660</v>
      </c>
      <c r="K507" s="12" t="s">
        <v>288</v>
      </c>
      <c r="L507" s="12" t="s">
        <v>2761</v>
      </c>
    </row>
    <row r="508" spans="1:12">
      <c r="A508" s="12">
        <f t="shared" si="7"/>
        <v>506</v>
      </c>
      <c r="B508" s="12" t="s">
        <v>6375</v>
      </c>
      <c r="C508" s="12" t="s">
        <v>1533</v>
      </c>
      <c r="D508" s="85">
        <v>27211.85</v>
      </c>
      <c r="E508" s="6">
        <v>6610897</v>
      </c>
      <c r="F508" s="12" t="s">
        <v>5363</v>
      </c>
      <c r="G508" s="2" t="s">
        <v>755</v>
      </c>
      <c r="H508" s="12" t="s">
        <v>756</v>
      </c>
      <c r="I508" s="86">
        <v>43474</v>
      </c>
      <c r="J508" s="86">
        <v>45666</v>
      </c>
      <c r="K508" s="12" t="s">
        <v>1014</v>
      </c>
      <c r="L508" s="12" t="s">
        <v>1023</v>
      </c>
    </row>
    <row r="509" spans="1:12" ht="38.25">
      <c r="A509" s="12">
        <f t="shared" si="7"/>
        <v>507</v>
      </c>
      <c r="B509" s="12" t="s">
        <v>6376</v>
      </c>
      <c r="C509" s="12" t="s">
        <v>1228</v>
      </c>
      <c r="D509" s="85">
        <v>7625.06</v>
      </c>
      <c r="E509" s="6">
        <v>8365946</v>
      </c>
      <c r="F509" s="12" t="s">
        <v>6377</v>
      </c>
      <c r="G509" s="2" t="s">
        <v>848</v>
      </c>
      <c r="H509" s="12" t="s">
        <v>849</v>
      </c>
      <c r="I509" s="86">
        <v>43474</v>
      </c>
      <c r="J509" s="86">
        <v>45666</v>
      </c>
      <c r="K509" s="12" t="s">
        <v>138</v>
      </c>
      <c r="L509" s="12" t="s">
        <v>1806</v>
      </c>
    </row>
    <row r="510" spans="1:12">
      <c r="A510" s="12">
        <f t="shared" si="7"/>
        <v>508</v>
      </c>
      <c r="B510" s="12" t="s">
        <v>6378</v>
      </c>
      <c r="C510" s="12" t="s">
        <v>6379</v>
      </c>
      <c r="D510" s="85">
        <v>3404.57</v>
      </c>
      <c r="E510" s="6">
        <v>6207235</v>
      </c>
      <c r="F510" s="12" t="s">
        <v>6380</v>
      </c>
      <c r="G510" s="2" t="s">
        <v>755</v>
      </c>
      <c r="H510" s="12" t="s">
        <v>756</v>
      </c>
      <c r="I510" s="86">
        <v>43487</v>
      </c>
      <c r="J510" s="86">
        <v>45679</v>
      </c>
      <c r="K510" s="12" t="s">
        <v>5373</v>
      </c>
      <c r="L510" s="12" t="s">
        <v>5585</v>
      </c>
    </row>
    <row r="511" spans="1:12" ht="38.25">
      <c r="A511" s="12">
        <f t="shared" si="7"/>
        <v>509</v>
      </c>
      <c r="B511" s="12" t="s">
        <v>6381</v>
      </c>
      <c r="C511" s="12" t="s">
        <v>6382</v>
      </c>
      <c r="D511" s="85">
        <v>18506.669999999998</v>
      </c>
      <c r="E511" s="6">
        <v>6233309</v>
      </c>
      <c r="F511" s="12" t="s">
        <v>6383</v>
      </c>
      <c r="G511" s="2" t="s">
        <v>848</v>
      </c>
      <c r="H511" s="12" t="s">
        <v>849</v>
      </c>
      <c r="I511" s="86">
        <v>43468</v>
      </c>
      <c r="J511" s="86">
        <v>45660</v>
      </c>
      <c r="K511" s="12" t="s">
        <v>138</v>
      </c>
      <c r="L511" s="12" t="s">
        <v>6384</v>
      </c>
    </row>
    <row r="512" spans="1:12" ht="38.25">
      <c r="A512" s="12">
        <f t="shared" si="7"/>
        <v>510</v>
      </c>
      <c r="B512" s="12" t="s">
        <v>6385</v>
      </c>
      <c r="C512" s="12" t="s">
        <v>3869</v>
      </c>
      <c r="D512" s="85">
        <v>1896.24</v>
      </c>
      <c r="E512" s="6">
        <v>2743744</v>
      </c>
      <c r="F512" s="12" t="s">
        <v>2006</v>
      </c>
      <c r="G512" s="2" t="s">
        <v>848</v>
      </c>
      <c r="H512" s="12" t="s">
        <v>849</v>
      </c>
      <c r="I512" s="86">
        <v>43454</v>
      </c>
      <c r="J512" s="86">
        <v>45646</v>
      </c>
      <c r="K512" s="12" t="s">
        <v>274</v>
      </c>
      <c r="L512" s="12" t="s">
        <v>6386</v>
      </c>
    </row>
    <row r="513" spans="1:12">
      <c r="A513" s="12">
        <f t="shared" si="7"/>
        <v>511</v>
      </c>
      <c r="B513" s="12" t="s">
        <v>6387</v>
      </c>
      <c r="C513" s="12" t="s">
        <v>2302</v>
      </c>
      <c r="D513" s="85">
        <v>1711.81</v>
      </c>
      <c r="E513" s="6">
        <v>6563635</v>
      </c>
      <c r="F513" s="12" t="s">
        <v>5438</v>
      </c>
      <c r="G513" s="2" t="s">
        <v>755</v>
      </c>
      <c r="H513" s="12" t="s">
        <v>756</v>
      </c>
      <c r="I513" s="86">
        <v>43474</v>
      </c>
      <c r="J513" s="86">
        <v>45666</v>
      </c>
      <c r="K513" s="12" t="s">
        <v>1014</v>
      </c>
      <c r="L513" s="12" t="s">
        <v>2056</v>
      </c>
    </row>
    <row r="514" spans="1:12">
      <c r="A514" s="12">
        <f t="shared" si="7"/>
        <v>512</v>
      </c>
      <c r="B514" s="12" t="s">
        <v>6388</v>
      </c>
      <c r="C514" s="12" t="s">
        <v>6389</v>
      </c>
      <c r="D514" s="85">
        <v>19080.009999999998</v>
      </c>
      <c r="E514" s="6">
        <v>5429617</v>
      </c>
      <c r="F514" s="12" t="s">
        <v>5565</v>
      </c>
      <c r="G514" s="2" t="s">
        <v>755</v>
      </c>
      <c r="H514" s="12" t="s">
        <v>756</v>
      </c>
      <c r="I514" s="86">
        <v>43473</v>
      </c>
      <c r="J514" s="86">
        <v>45665</v>
      </c>
      <c r="K514" s="12" t="s">
        <v>1014</v>
      </c>
      <c r="L514" s="12" t="s">
        <v>1023</v>
      </c>
    </row>
    <row r="515" spans="1:12">
      <c r="A515" s="12">
        <f t="shared" si="7"/>
        <v>513</v>
      </c>
      <c r="B515" s="12" t="s">
        <v>6390</v>
      </c>
      <c r="C515" s="12" t="s">
        <v>6151</v>
      </c>
      <c r="D515" s="85">
        <v>173.31</v>
      </c>
      <c r="E515" s="6">
        <v>5076285</v>
      </c>
      <c r="F515" s="12" t="s">
        <v>835</v>
      </c>
      <c r="G515" s="2" t="s">
        <v>755</v>
      </c>
      <c r="H515" s="12" t="s">
        <v>756</v>
      </c>
      <c r="I515" s="86">
        <v>43494</v>
      </c>
      <c r="J515" s="86">
        <v>45686</v>
      </c>
      <c r="K515" s="12" t="s">
        <v>836</v>
      </c>
      <c r="L515" s="12" t="s">
        <v>837</v>
      </c>
    </row>
    <row r="516" spans="1:12">
      <c r="A516" s="12">
        <f t="shared" si="7"/>
        <v>514</v>
      </c>
      <c r="B516" s="12" t="s">
        <v>6391</v>
      </c>
      <c r="C516" s="12" t="s">
        <v>6392</v>
      </c>
      <c r="D516" s="85">
        <v>2045.28</v>
      </c>
      <c r="E516" s="6">
        <v>6610897</v>
      </c>
      <c r="F516" s="12" t="s">
        <v>5363</v>
      </c>
      <c r="G516" s="2" t="s">
        <v>755</v>
      </c>
      <c r="H516" s="12" t="s">
        <v>756</v>
      </c>
      <c r="I516" s="86">
        <v>43472</v>
      </c>
      <c r="J516" s="86">
        <v>45664</v>
      </c>
      <c r="K516" s="12" t="s">
        <v>1014</v>
      </c>
      <c r="L516" s="12" t="s">
        <v>5364</v>
      </c>
    </row>
    <row r="517" spans="1:12">
      <c r="A517" s="12">
        <f t="shared" ref="A517:A580" si="8">A516+1</f>
        <v>515</v>
      </c>
      <c r="B517" s="12" t="s">
        <v>6393</v>
      </c>
      <c r="C517" s="12" t="s">
        <v>6394</v>
      </c>
      <c r="D517" s="85">
        <v>14484.58</v>
      </c>
      <c r="E517" s="6">
        <v>6177026</v>
      </c>
      <c r="F517" s="12" t="s">
        <v>6395</v>
      </c>
      <c r="G517" s="2" t="s">
        <v>755</v>
      </c>
      <c r="H517" s="12" t="s">
        <v>756</v>
      </c>
      <c r="I517" s="86">
        <v>43804</v>
      </c>
      <c r="J517" s="86">
        <v>45996</v>
      </c>
      <c r="K517" s="12" t="s">
        <v>288</v>
      </c>
      <c r="L517" s="12" t="s">
        <v>1038</v>
      </c>
    </row>
    <row r="518" spans="1:12">
      <c r="A518" s="12">
        <f t="shared" si="8"/>
        <v>516</v>
      </c>
      <c r="B518" s="12" t="s">
        <v>6396</v>
      </c>
      <c r="C518" s="12" t="s">
        <v>1533</v>
      </c>
      <c r="D518" s="85">
        <v>2896.82</v>
      </c>
      <c r="E518" s="6">
        <v>2762412</v>
      </c>
      <c r="F518" s="12" t="s">
        <v>6397</v>
      </c>
      <c r="G518" s="2" t="s">
        <v>755</v>
      </c>
      <c r="H518" s="12" t="s">
        <v>756</v>
      </c>
      <c r="I518" s="86">
        <v>43489</v>
      </c>
      <c r="J518" s="86">
        <v>45681</v>
      </c>
      <c r="K518" s="12" t="s">
        <v>782</v>
      </c>
      <c r="L518" s="12" t="s">
        <v>6398</v>
      </c>
    </row>
    <row r="519" spans="1:12">
      <c r="A519" s="12">
        <f t="shared" si="8"/>
        <v>517</v>
      </c>
      <c r="B519" s="12" t="s">
        <v>6399</v>
      </c>
      <c r="C519" s="12" t="s">
        <v>6400</v>
      </c>
      <c r="D519" s="85">
        <v>18048.61</v>
      </c>
      <c r="E519" s="6">
        <v>6563635</v>
      </c>
      <c r="F519" s="12" t="s">
        <v>5438</v>
      </c>
      <c r="G519" s="2" t="s">
        <v>755</v>
      </c>
      <c r="H519" s="12" t="s">
        <v>756</v>
      </c>
      <c r="I519" s="86">
        <v>43516</v>
      </c>
      <c r="J519" s="86">
        <v>45708</v>
      </c>
      <c r="K519" s="12" t="s">
        <v>1014</v>
      </c>
      <c r="L519" s="12" t="s">
        <v>3367</v>
      </c>
    </row>
    <row r="520" spans="1:12">
      <c r="A520" s="12">
        <f t="shared" si="8"/>
        <v>518</v>
      </c>
      <c r="B520" s="12" t="s">
        <v>6401</v>
      </c>
      <c r="C520" s="12" t="s">
        <v>6402</v>
      </c>
      <c r="D520" s="85">
        <v>9097.2800000000007</v>
      </c>
      <c r="E520" s="6">
        <v>6183506</v>
      </c>
      <c r="F520" s="12" t="s">
        <v>3985</v>
      </c>
      <c r="G520" s="2" t="s">
        <v>755</v>
      </c>
      <c r="H520" s="12" t="s">
        <v>756</v>
      </c>
      <c r="I520" s="86">
        <v>43516</v>
      </c>
      <c r="J520" s="86">
        <v>45708</v>
      </c>
      <c r="K520" s="12" t="s">
        <v>123</v>
      </c>
      <c r="L520" s="12" t="s">
        <v>889</v>
      </c>
    </row>
    <row r="521" spans="1:12">
      <c r="A521" s="12">
        <f t="shared" si="8"/>
        <v>519</v>
      </c>
      <c r="B521" s="12" t="s">
        <v>6403</v>
      </c>
      <c r="C521" s="12" t="s">
        <v>4342</v>
      </c>
      <c r="D521" s="85">
        <v>5232.47</v>
      </c>
      <c r="E521" s="6">
        <v>2344343</v>
      </c>
      <c r="F521" s="12" t="s">
        <v>6404</v>
      </c>
      <c r="G521" s="2" t="s">
        <v>755</v>
      </c>
      <c r="H521" s="12" t="s">
        <v>756</v>
      </c>
      <c r="I521" s="86">
        <v>43516</v>
      </c>
      <c r="J521" s="86">
        <v>45708</v>
      </c>
      <c r="K521" s="12" t="s">
        <v>123</v>
      </c>
      <c r="L521" s="12" t="s">
        <v>1472</v>
      </c>
    </row>
    <row r="522" spans="1:12">
      <c r="A522" s="12">
        <f t="shared" si="8"/>
        <v>520</v>
      </c>
      <c r="B522" s="12" t="s">
        <v>6405</v>
      </c>
      <c r="C522" s="12" t="s">
        <v>922</v>
      </c>
      <c r="D522" s="85">
        <v>1614.4</v>
      </c>
      <c r="E522" s="6">
        <v>6087892</v>
      </c>
      <c r="F522" s="12" t="s">
        <v>6406</v>
      </c>
      <c r="G522" s="2" t="s">
        <v>755</v>
      </c>
      <c r="H522" s="12" t="s">
        <v>756</v>
      </c>
      <c r="I522" s="86">
        <v>43483</v>
      </c>
      <c r="J522" s="86">
        <v>45675</v>
      </c>
      <c r="K522" s="12" t="s">
        <v>1102</v>
      </c>
      <c r="L522" s="12" t="s">
        <v>5589</v>
      </c>
    </row>
    <row r="523" spans="1:12">
      <c r="A523" s="12">
        <f t="shared" si="8"/>
        <v>521</v>
      </c>
      <c r="B523" s="12" t="s">
        <v>6407</v>
      </c>
      <c r="C523" s="12" t="s">
        <v>6408</v>
      </c>
      <c r="D523" s="85">
        <v>6108.87</v>
      </c>
      <c r="E523" s="6">
        <v>6170757</v>
      </c>
      <c r="F523" s="12" t="s">
        <v>6409</v>
      </c>
      <c r="G523" s="2" t="s">
        <v>755</v>
      </c>
      <c r="H523" s="12" t="s">
        <v>756</v>
      </c>
      <c r="I523" s="86">
        <v>43542</v>
      </c>
      <c r="J523" s="86">
        <v>45734</v>
      </c>
      <c r="K523" s="12" t="s">
        <v>233</v>
      </c>
      <c r="L523" s="12" t="s">
        <v>1845</v>
      </c>
    </row>
    <row r="524" spans="1:12">
      <c r="A524" s="12">
        <f t="shared" si="8"/>
        <v>522</v>
      </c>
      <c r="B524" s="12" t="s">
        <v>6410</v>
      </c>
      <c r="C524" s="12" t="s">
        <v>6411</v>
      </c>
      <c r="D524" s="85">
        <v>7740.78</v>
      </c>
      <c r="E524" s="6">
        <v>5373298</v>
      </c>
      <c r="F524" s="12" t="s">
        <v>6412</v>
      </c>
      <c r="G524" s="2" t="s">
        <v>755</v>
      </c>
      <c r="H524" s="12" t="s">
        <v>756</v>
      </c>
      <c r="I524" s="86">
        <v>43543</v>
      </c>
      <c r="J524" s="86">
        <v>45735</v>
      </c>
      <c r="K524" s="12" t="s">
        <v>782</v>
      </c>
      <c r="L524" s="12" t="s">
        <v>233</v>
      </c>
    </row>
    <row r="525" spans="1:12">
      <c r="A525" s="12">
        <f t="shared" si="8"/>
        <v>523</v>
      </c>
      <c r="B525" s="12" t="s">
        <v>6413</v>
      </c>
      <c r="C525" s="12" t="s">
        <v>6414</v>
      </c>
      <c r="D525" s="85">
        <v>10976.03</v>
      </c>
      <c r="E525" s="6">
        <v>6207626</v>
      </c>
      <c r="F525" s="12" t="s">
        <v>6415</v>
      </c>
      <c r="G525" s="2" t="s">
        <v>755</v>
      </c>
      <c r="H525" s="12" t="s">
        <v>756</v>
      </c>
      <c r="I525" s="86">
        <v>43538</v>
      </c>
      <c r="J525" s="86">
        <v>45730</v>
      </c>
      <c r="K525" s="12" t="s">
        <v>233</v>
      </c>
      <c r="L525" s="12" t="s">
        <v>933</v>
      </c>
    </row>
    <row r="526" spans="1:12">
      <c r="A526" s="12">
        <f t="shared" si="8"/>
        <v>524</v>
      </c>
      <c r="B526" s="12" t="s">
        <v>6416</v>
      </c>
      <c r="C526" s="12" t="s">
        <v>4604</v>
      </c>
      <c r="D526" s="85">
        <v>28112.18</v>
      </c>
      <c r="E526" s="6">
        <v>6168019</v>
      </c>
      <c r="F526" s="12" t="s">
        <v>4836</v>
      </c>
      <c r="G526" s="2" t="s">
        <v>755</v>
      </c>
      <c r="H526" s="12" t="s">
        <v>756</v>
      </c>
      <c r="I526" s="86">
        <v>43032</v>
      </c>
      <c r="J526" s="86">
        <v>46319</v>
      </c>
      <c r="K526" s="12" t="s">
        <v>170</v>
      </c>
      <c r="L526" s="12" t="s">
        <v>2450</v>
      </c>
    </row>
    <row r="527" spans="1:12">
      <c r="A527" s="12">
        <f t="shared" si="8"/>
        <v>525</v>
      </c>
      <c r="B527" s="12" t="s">
        <v>6417</v>
      </c>
      <c r="C527" s="12" t="s">
        <v>5211</v>
      </c>
      <c r="D527" s="85">
        <v>27545.5</v>
      </c>
      <c r="E527" s="6">
        <v>6528732</v>
      </c>
      <c r="F527" s="12" t="s">
        <v>5212</v>
      </c>
      <c r="G527" s="2" t="s">
        <v>755</v>
      </c>
      <c r="H527" s="12" t="s">
        <v>756</v>
      </c>
      <c r="I527" s="86">
        <v>43558</v>
      </c>
      <c r="J527" s="86">
        <v>45750</v>
      </c>
      <c r="K527" s="12" t="s">
        <v>163</v>
      </c>
      <c r="L527" s="12" t="s">
        <v>6418</v>
      </c>
    </row>
    <row r="528" spans="1:12" ht="38.25">
      <c r="A528" s="12">
        <f t="shared" si="8"/>
        <v>526</v>
      </c>
      <c r="B528" s="12" t="s">
        <v>6419</v>
      </c>
      <c r="C528" s="12" t="s">
        <v>6420</v>
      </c>
      <c r="D528" s="85">
        <v>1256.76</v>
      </c>
      <c r="E528" s="6">
        <v>6215769</v>
      </c>
      <c r="F528" s="12" t="s">
        <v>6421</v>
      </c>
      <c r="G528" s="2" t="s">
        <v>848</v>
      </c>
      <c r="H528" s="12" t="s">
        <v>849</v>
      </c>
      <c r="I528" s="86">
        <v>43551</v>
      </c>
      <c r="J528" s="86">
        <v>45743</v>
      </c>
      <c r="K528" s="12" t="s">
        <v>170</v>
      </c>
      <c r="L528" s="12" t="s">
        <v>1426</v>
      </c>
    </row>
    <row r="529" spans="1:12" ht="38.25">
      <c r="A529" s="12">
        <f t="shared" si="8"/>
        <v>527</v>
      </c>
      <c r="B529" s="12" t="s">
        <v>6422</v>
      </c>
      <c r="C529" s="12" t="s">
        <v>6423</v>
      </c>
      <c r="D529" s="85">
        <v>8313.1299999999992</v>
      </c>
      <c r="E529" s="6">
        <v>6249264</v>
      </c>
      <c r="F529" s="12" t="s">
        <v>3864</v>
      </c>
      <c r="G529" s="2" t="s">
        <v>848</v>
      </c>
      <c r="H529" s="12" t="s">
        <v>849</v>
      </c>
      <c r="I529" s="86">
        <v>43549</v>
      </c>
      <c r="J529" s="86">
        <v>45741</v>
      </c>
      <c r="K529" s="12" t="s">
        <v>375</v>
      </c>
      <c r="L529" s="12" t="s">
        <v>3306</v>
      </c>
    </row>
    <row r="530" spans="1:12">
      <c r="A530" s="12">
        <f t="shared" si="8"/>
        <v>528</v>
      </c>
      <c r="B530" s="12" t="s">
        <v>6424</v>
      </c>
      <c r="C530" s="12" t="s">
        <v>6425</v>
      </c>
      <c r="D530" s="85">
        <v>4114.7</v>
      </c>
      <c r="E530" s="6">
        <v>6760899</v>
      </c>
      <c r="F530" s="12" t="s">
        <v>6426</v>
      </c>
      <c r="G530" s="2" t="s">
        <v>755</v>
      </c>
      <c r="H530" s="12" t="s">
        <v>756</v>
      </c>
      <c r="I530" s="86">
        <v>43552</v>
      </c>
      <c r="J530" s="86">
        <v>45744</v>
      </c>
      <c r="K530" s="12" t="s">
        <v>274</v>
      </c>
      <c r="L530" s="12" t="s">
        <v>2759</v>
      </c>
    </row>
    <row r="531" spans="1:12" ht="38.25">
      <c r="A531" s="12">
        <f t="shared" si="8"/>
        <v>529</v>
      </c>
      <c r="B531" s="12" t="s">
        <v>6427</v>
      </c>
      <c r="C531" s="12" t="s">
        <v>6428</v>
      </c>
      <c r="D531" s="85">
        <v>6695.77</v>
      </c>
      <c r="E531" s="6">
        <v>6776493</v>
      </c>
      <c r="F531" s="12" t="s">
        <v>6429</v>
      </c>
      <c r="G531" s="2" t="s">
        <v>848</v>
      </c>
      <c r="H531" s="12" t="s">
        <v>849</v>
      </c>
      <c r="I531" s="86">
        <v>43572</v>
      </c>
      <c r="J531" s="86">
        <v>45764</v>
      </c>
      <c r="K531" s="12" t="s">
        <v>138</v>
      </c>
      <c r="L531" s="12" t="s">
        <v>1806</v>
      </c>
    </row>
    <row r="532" spans="1:12" ht="38.25">
      <c r="A532" s="12">
        <f t="shared" si="8"/>
        <v>530</v>
      </c>
      <c r="B532" s="12" t="s">
        <v>6430</v>
      </c>
      <c r="C532" s="12" t="s">
        <v>3535</v>
      </c>
      <c r="D532" s="85">
        <v>3486.61</v>
      </c>
      <c r="E532" s="6">
        <v>6395805</v>
      </c>
      <c r="F532" s="12" t="s">
        <v>6431</v>
      </c>
      <c r="G532" s="2" t="s">
        <v>848</v>
      </c>
      <c r="H532" s="12" t="s">
        <v>849</v>
      </c>
      <c r="I532" s="86">
        <v>43552</v>
      </c>
      <c r="J532" s="86">
        <v>45744</v>
      </c>
      <c r="K532" s="12" t="s">
        <v>138</v>
      </c>
      <c r="L532" s="12" t="s">
        <v>1806</v>
      </c>
    </row>
    <row r="533" spans="1:12">
      <c r="A533" s="12">
        <f t="shared" si="8"/>
        <v>531</v>
      </c>
      <c r="B533" s="12" t="s">
        <v>6432</v>
      </c>
      <c r="C533" s="12" t="s">
        <v>2302</v>
      </c>
      <c r="D533" s="85">
        <v>3306.27</v>
      </c>
      <c r="E533" s="6">
        <v>5418925</v>
      </c>
      <c r="F533" s="12" t="s">
        <v>6433</v>
      </c>
      <c r="G533" s="2" t="s">
        <v>755</v>
      </c>
      <c r="H533" s="12" t="s">
        <v>756</v>
      </c>
      <c r="I533" s="86">
        <v>43564</v>
      </c>
      <c r="J533" s="86">
        <v>46159</v>
      </c>
      <c r="K533" s="12" t="s">
        <v>123</v>
      </c>
      <c r="L533" s="12" t="s">
        <v>1508</v>
      </c>
    </row>
    <row r="534" spans="1:12" ht="38.25">
      <c r="A534" s="12">
        <f t="shared" si="8"/>
        <v>532</v>
      </c>
      <c r="B534" s="12" t="s">
        <v>6434</v>
      </c>
      <c r="C534" s="12" t="s">
        <v>6435</v>
      </c>
      <c r="D534" s="85">
        <v>4378.07</v>
      </c>
      <c r="E534" s="6">
        <v>8376131</v>
      </c>
      <c r="F534" s="12" t="s">
        <v>6436</v>
      </c>
      <c r="G534" s="2" t="s">
        <v>848</v>
      </c>
      <c r="H534" s="12" t="s">
        <v>849</v>
      </c>
      <c r="I534" s="86">
        <v>43549</v>
      </c>
      <c r="J534" s="86">
        <v>45741</v>
      </c>
      <c r="K534" s="12" t="s">
        <v>123</v>
      </c>
      <c r="L534" s="12" t="s">
        <v>1256</v>
      </c>
    </row>
    <row r="535" spans="1:12">
      <c r="A535" s="12">
        <f t="shared" si="8"/>
        <v>533</v>
      </c>
      <c r="B535" s="12" t="s">
        <v>6437</v>
      </c>
      <c r="C535" s="12" t="s">
        <v>2133</v>
      </c>
      <c r="D535" s="85">
        <v>3643.77</v>
      </c>
      <c r="E535" s="6">
        <v>5778026</v>
      </c>
      <c r="F535" s="12" t="s">
        <v>6438</v>
      </c>
      <c r="G535" s="2" t="s">
        <v>755</v>
      </c>
      <c r="H535" s="12" t="s">
        <v>756</v>
      </c>
      <c r="I535" s="86">
        <v>43578</v>
      </c>
      <c r="J535" s="86">
        <v>45770</v>
      </c>
      <c r="K535" s="12" t="s">
        <v>782</v>
      </c>
      <c r="L535" s="12" t="s">
        <v>1366</v>
      </c>
    </row>
    <row r="536" spans="1:12">
      <c r="A536" s="12">
        <f t="shared" si="8"/>
        <v>534</v>
      </c>
      <c r="B536" s="12" t="s">
        <v>6439</v>
      </c>
      <c r="C536" s="12" t="s">
        <v>6440</v>
      </c>
      <c r="D536" s="85">
        <v>11207.47</v>
      </c>
      <c r="E536" s="6">
        <v>5325463</v>
      </c>
      <c r="F536" s="12" t="s">
        <v>6441</v>
      </c>
      <c r="G536" s="2" t="s">
        <v>755</v>
      </c>
      <c r="H536" s="12" t="s">
        <v>756</v>
      </c>
      <c r="I536" s="86">
        <v>43577</v>
      </c>
      <c r="J536" s="86">
        <v>45769</v>
      </c>
      <c r="K536" s="12" t="s">
        <v>170</v>
      </c>
      <c r="L536" s="12" t="s">
        <v>6442</v>
      </c>
    </row>
    <row r="537" spans="1:12">
      <c r="A537" s="12">
        <f t="shared" si="8"/>
        <v>535</v>
      </c>
      <c r="B537" s="12" t="s">
        <v>6443</v>
      </c>
      <c r="C537" s="12" t="s">
        <v>2056</v>
      </c>
      <c r="D537" s="85">
        <v>12452.79</v>
      </c>
      <c r="E537" s="6">
        <v>5546753</v>
      </c>
      <c r="F537" s="12" t="s">
        <v>6444</v>
      </c>
      <c r="G537" s="2" t="s">
        <v>755</v>
      </c>
      <c r="H537" s="12" t="s">
        <v>756</v>
      </c>
      <c r="I537" s="86">
        <v>43592</v>
      </c>
      <c r="J537" s="86">
        <v>45784</v>
      </c>
      <c r="K537" s="12" t="s">
        <v>288</v>
      </c>
      <c r="L537" s="12" t="s">
        <v>2467</v>
      </c>
    </row>
    <row r="538" spans="1:12">
      <c r="A538" s="12">
        <f t="shared" si="8"/>
        <v>536</v>
      </c>
      <c r="B538" s="12" t="s">
        <v>6445</v>
      </c>
      <c r="C538" s="12" t="s">
        <v>874</v>
      </c>
      <c r="D538" s="85">
        <v>1167.98</v>
      </c>
      <c r="E538" s="6">
        <v>5454018</v>
      </c>
      <c r="F538" s="12" t="s">
        <v>6446</v>
      </c>
      <c r="G538" s="2" t="s">
        <v>755</v>
      </c>
      <c r="H538" s="12" t="s">
        <v>756</v>
      </c>
      <c r="I538" s="86">
        <v>42389</v>
      </c>
      <c r="J538" s="86">
        <v>45677</v>
      </c>
      <c r="K538" s="12" t="s">
        <v>293</v>
      </c>
      <c r="L538" s="12" t="s">
        <v>815</v>
      </c>
    </row>
    <row r="539" spans="1:12">
      <c r="A539" s="12">
        <f t="shared" si="8"/>
        <v>537</v>
      </c>
      <c r="B539" s="12" t="s">
        <v>6447</v>
      </c>
      <c r="C539" s="12" t="s">
        <v>6448</v>
      </c>
      <c r="D539" s="85">
        <v>9435.5400000000009</v>
      </c>
      <c r="E539" s="6">
        <v>2699869</v>
      </c>
      <c r="F539" s="12" t="s">
        <v>4531</v>
      </c>
      <c r="G539" s="2" t="s">
        <v>755</v>
      </c>
      <c r="H539" s="12" t="s">
        <v>756</v>
      </c>
      <c r="I539" s="86">
        <v>43623</v>
      </c>
      <c r="J539" s="86">
        <v>46029</v>
      </c>
      <c r="K539" s="12" t="s">
        <v>123</v>
      </c>
      <c r="L539" s="12" t="s">
        <v>3411</v>
      </c>
    </row>
    <row r="540" spans="1:12" ht="38.25">
      <c r="A540" s="12">
        <f t="shared" si="8"/>
        <v>538</v>
      </c>
      <c r="B540" s="12" t="s">
        <v>6449</v>
      </c>
      <c r="C540" s="12" t="s">
        <v>6450</v>
      </c>
      <c r="D540" s="85">
        <v>1528.59</v>
      </c>
      <c r="E540" s="6">
        <v>6215769</v>
      </c>
      <c r="F540" s="12" t="s">
        <v>6421</v>
      </c>
      <c r="G540" s="2" t="s">
        <v>848</v>
      </c>
      <c r="H540" s="12" t="s">
        <v>849</v>
      </c>
      <c r="I540" s="86">
        <v>43621</v>
      </c>
      <c r="J540" s="86">
        <v>45813</v>
      </c>
      <c r="K540" s="12" t="s">
        <v>233</v>
      </c>
      <c r="L540" s="12" t="s">
        <v>3019</v>
      </c>
    </row>
    <row r="541" spans="1:12">
      <c r="A541" s="12">
        <f t="shared" si="8"/>
        <v>539</v>
      </c>
      <c r="B541" s="12" t="s">
        <v>6451</v>
      </c>
      <c r="C541" s="12" t="s">
        <v>4106</v>
      </c>
      <c r="D541" s="85">
        <v>4534.07</v>
      </c>
      <c r="E541" s="6">
        <v>5434041</v>
      </c>
      <c r="F541" s="12" t="s">
        <v>6337</v>
      </c>
      <c r="G541" s="2" t="s">
        <v>755</v>
      </c>
      <c r="H541" s="12" t="s">
        <v>756</v>
      </c>
      <c r="I541" s="86">
        <v>43636</v>
      </c>
      <c r="J541" s="86">
        <v>45828</v>
      </c>
      <c r="K541" s="12" t="s">
        <v>1102</v>
      </c>
      <c r="L541" s="12" t="s">
        <v>1102</v>
      </c>
    </row>
    <row r="542" spans="1:12" ht="38.25">
      <c r="A542" s="12">
        <f t="shared" si="8"/>
        <v>540</v>
      </c>
      <c r="B542" s="12" t="s">
        <v>6452</v>
      </c>
      <c r="C542" s="12" t="s">
        <v>6453</v>
      </c>
      <c r="D542" s="85">
        <v>7469.46</v>
      </c>
      <c r="E542" s="6">
        <v>6173292</v>
      </c>
      <c r="F542" s="12" t="s">
        <v>6454</v>
      </c>
      <c r="G542" s="2" t="s">
        <v>848</v>
      </c>
      <c r="H542" s="12" t="s">
        <v>849</v>
      </c>
      <c r="I542" s="86">
        <v>43396</v>
      </c>
      <c r="J542" s="86">
        <v>46046</v>
      </c>
      <c r="K542" s="12" t="s">
        <v>138</v>
      </c>
      <c r="L542" s="12" t="s">
        <v>1806</v>
      </c>
    </row>
    <row r="543" spans="1:12" ht="38.25">
      <c r="A543" s="12">
        <f t="shared" si="8"/>
        <v>541</v>
      </c>
      <c r="B543" s="12" t="s">
        <v>6455</v>
      </c>
      <c r="C543" s="12" t="s">
        <v>4389</v>
      </c>
      <c r="D543" s="85">
        <v>16413.490000000002</v>
      </c>
      <c r="E543" s="6">
        <v>5535271</v>
      </c>
      <c r="F543" s="12" t="s">
        <v>6456</v>
      </c>
      <c r="G543" s="2" t="s">
        <v>766</v>
      </c>
      <c r="H543" s="12" t="s">
        <v>767</v>
      </c>
      <c r="I543" s="86">
        <v>43643</v>
      </c>
      <c r="J543" s="86">
        <v>45835</v>
      </c>
      <c r="K543" s="12" t="s">
        <v>939</v>
      </c>
      <c r="L543" s="12" t="s">
        <v>6457</v>
      </c>
    </row>
    <row r="544" spans="1:12">
      <c r="A544" s="12">
        <f t="shared" si="8"/>
        <v>542</v>
      </c>
      <c r="B544" s="12" t="s">
        <v>6458</v>
      </c>
      <c r="C544" s="12" t="s">
        <v>6459</v>
      </c>
      <c r="D544" s="85">
        <v>1022.28</v>
      </c>
      <c r="E544" s="6">
        <v>5454468</v>
      </c>
      <c r="F544" s="12" t="s">
        <v>6460</v>
      </c>
      <c r="G544" s="2" t="s">
        <v>755</v>
      </c>
      <c r="H544" s="12" t="s">
        <v>756</v>
      </c>
      <c r="I544" s="86">
        <v>43643</v>
      </c>
      <c r="J544" s="86">
        <v>45835</v>
      </c>
      <c r="K544" s="12" t="s">
        <v>288</v>
      </c>
      <c r="L544" s="12" t="s">
        <v>2761</v>
      </c>
    </row>
    <row r="545" spans="1:12">
      <c r="A545" s="12">
        <f t="shared" si="8"/>
        <v>543</v>
      </c>
      <c r="B545" s="12" t="s">
        <v>6461</v>
      </c>
      <c r="C545" s="12" t="s">
        <v>6462</v>
      </c>
      <c r="D545" s="85">
        <v>1573.59</v>
      </c>
      <c r="E545" s="6">
        <v>6170757</v>
      </c>
      <c r="F545" s="12" t="s">
        <v>6409</v>
      </c>
      <c r="G545" s="2" t="s">
        <v>755</v>
      </c>
      <c r="H545" s="12" t="s">
        <v>756</v>
      </c>
      <c r="I545" s="86">
        <v>43636</v>
      </c>
      <c r="J545" s="86">
        <v>45828</v>
      </c>
      <c r="K545" s="12" t="s">
        <v>836</v>
      </c>
      <c r="L545" s="12" t="s">
        <v>837</v>
      </c>
    </row>
    <row r="546" spans="1:12" ht="38.25">
      <c r="A546" s="12">
        <f t="shared" si="8"/>
        <v>544</v>
      </c>
      <c r="B546" s="12" t="s">
        <v>6463</v>
      </c>
      <c r="C546" s="12" t="s">
        <v>6464</v>
      </c>
      <c r="D546" s="85">
        <v>990.94</v>
      </c>
      <c r="E546" s="6">
        <v>6250483</v>
      </c>
      <c r="F546" s="12" t="s">
        <v>6465</v>
      </c>
      <c r="G546" s="2" t="s">
        <v>848</v>
      </c>
      <c r="H546" s="12" t="s">
        <v>849</v>
      </c>
      <c r="I546" s="86">
        <v>43627</v>
      </c>
      <c r="J546" s="86">
        <v>45113</v>
      </c>
      <c r="K546" s="12" t="s">
        <v>1102</v>
      </c>
      <c r="L546" s="12" t="s">
        <v>1103</v>
      </c>
    </row>
    <row r="547" spans="1:12">
      <c r="A547" s="12">
        <f t="shared" si="8"/>
        <v>545</v>
      </c>
      <c r="B547" s="12" t="s">
        <v>6466</v>
      </c>
      <c r="C547" s="12" t="s">
        <v>6467</v>
      </c>
      <c r="D547" s="85">
        <v>2570.9899999999998</v>
      </c>
      <c r="E547" s="6">
        <v>5298091</v>
      </c>
      <c r="F547" s="12" t="s">
        <v>6468</v>
      </c>
      <c r="G547" s="2" t="s">
        <v>755</v>
      </c>
      <c r="H547" s="12" t="s">
        <v>756</v>
      </c>
      <c r="I547" s="86">
        <v>43635</v>
      </c>
      <c r="J547" s="86">
        <v>45827</v>
      </c>
      <c r="K547" s="12" t="s">
        <v>782</v>
      </c>
      <c r="L547" s="12" t="s">
        <v>6469</v>
      </c>
    </row>
    <row r="548" spans="1:12">
      <c r="A548" s="12">
        <f t="shared" si="8"/>
        <v>546</v>
      </c>
      <c r="B548" s="12" t="s">
        <v>6470</v>
      </c>
      <c r="C548" s="12" t="s">
        <v>1455</v>
      </c>
      <c r="D548" s="85">
        <v>8085.72</v>
      </c>
      <c r="E548" s="6">
        <v>6052118</v>
      </c>
      <c r="F548" s="12" t="s">
        <v>6471</v>
      </c>
      <c r="G548" s="2" t="s">
        <v>755</v>
      </c>
      <c r="H548" s="12" t="s">
        <v>756</v>
      </c>
      <c r="I548" s="86">
        <v>43580</v>
      </c>
      <c r="J548" s="86">
        <v>45772</v>
      </c>
      <c r="K548" s="12" t="s">
        <v>1102</v>
      </c>
      <c r="L548" s="12" t="s">
        <v>5638</v>
      </c>
    </row>
    <row r="549" spans="1:12">
      <c r="A549" s="12">
        <f t="shared" si="8"/>
        <v>547</v>
      </c>
      <c r="B549" s="12" t="s">
        <v>6472</v>
      </c>
      <c r="C549" s="12" t="s">
        <v>6473</v>
      </c>
      <c r="D549" s="85">
        <v>1428.4</v>
      </c>
      <c r="E549" s="6">
        <v>5778026</v>
      </c>
      <c r="F549" s="12" t="s">
        <v>6438</v>
      </c>
      <c r="G549" s="2" t="s">
        <v>755</v>
      </c>
      <c r="H549" s="12" t="s">
        <v>756</v>
      </c>
      <c r="I549" s="86">
        <v>43665</v>
      </c>
      <c r="J549" s="86">
        <v>45857</v>
      </c>
      <c r="K549" s="12" t="s">
        <v>375</v>
      </c>
      <c r="L549" s="12" t="s">
        <v>1085</v>
      </c>
    </row>
    <row r="550" spans="1:12">
      <c r="A550" s="12">
        <f t="shared" si="8"/>
        <v>548</v>
      </c>
      <c r="B550" s="12" t="s">
        <v>6474</v>
      </c>
      <c r="C550" s="12" t="s">
        <v>5195</v>
      </c>
      <c r="D550" s="85">
        <v>585.26</v>
      </c>
      <c r="E550" s="6">
        <v>5162696</v>
      </c>
      <c r="F550" s="12" t="s">
        <v>4884</v>
      </c>
      <c r="G550" s="2" t="s">
        <v>755</v>
      </c>
      <c r="H550" s="12" t="s">
        <v>756</v>
      </c>
      <c r="I550" s="86">
        <v>43665</v>
      </c>
      <c r="J550" s="86">
        <v>45857</v>
      </c>
      <c r="K550" s="12" t="s">
        <v>375</v>
      </c>
      <c r="L550" s="12" t="s">
        <v>1279</v>
      </c>
    </row>
    <row r="551" spans="1:12">
      <c r="A551" s="12">
        <f t="shared" si="8"/>
        <v>549</v>
      </c>
      <c r="B551" s="12" t="s">
        <v>6475</v>
      </c>
      <c r="C551" s="12" t="s">
        <v>6476</v>
      </c>
      <c r="D551" s="85">
        <v>515.95000000000005</v>
      </c>
      <c r="E551" s="6">
        <v>5515882</v>
      </c>
      <c r="F551" s="12" t="s">
        <v>1734</v>
      </c>
      <c r="G551" s="2" t="s">
        <v>755</v>
      </c>
      <c r="H551" s="12" t="s">
        <v>756</v>
      </c>
      <c r="I551" s="86">
        <v>43640</v>
      </c>
      <c r="J551" s="86">
        <v>45832</v>
      </c>
      <c r="K551" s="12" t="s">
        <v>836</v>
      </c>
      <c r="L551" s="12" t="s">
        <v>837</v>
      </c>
    </row>
    <row r="552" spans="1:12">
      <c r="A552" s="12">
        <f t="shared" si="8"/>
        <v>550</v>
      </c>
      <c r="B552" s="12" t="s">
        <v>6477</v>
      </c>
      <c r="C552" s="12" t="s">
        <v>2677</v>
      </c>
      <c r="D552" s="85">
        <v>12621.77</v>
      </c>
      <c r="E552" s="6">
        <v>5993288</v>
      </c>
      <c r="F552" s="12" t="s">
        <v>6478</v>
      </c>
      <c r="G552" s="2" t="s">
        <v>755</v>
      </c>
      <c r="H552" s="12" t="s">
        <v>756</v>
      </c>
      <c r="I552" s="86">
        <v>43684</v>
      </c>
      <c r="J552" s="86">
        <v>45876</v>
      </c>
      <c r="K552" s="12" t="s">
        <v>1242</v>
      </c>
      <c r="L552" s="12" t="s">
        <v>1243</v>
      </c>
    </row>
    <row r="553" spans="1:12">
      <c r="A553" s="12">
        <f t="shared" si="8"/>
        <v>551</v>
      </c>
      <c r="B553" s="12" t="s">
        <v>6479</v>
      </c>
      <c r="C553" s="12" t="s">
        <v>6480</v>
      </c>
      <c r="D553" s="85">
        <v>2556.6799999999998</v>
      </c>
      <c r="E553" s="6">
        <v>5081335</v>
      </c>
      <c r="F553" s="12" t="s">
        <v>6481</v>
      </c>
      <c r="G553" s="2" t="s">
        <v>755</v>
      </c>
      <c r="H553" s="12" t="s">
        <v>756</v>
      </c>
      <c r="I553" s="86">
        <v>43662</v>
      </c>
      <c r="J553" s="86">
        <v>45854</v>
      </c>
      <c r="K553" s="12" t="s">
        <v>170</v>
      </c>
      <c r="L553" s="12" t="s">
        <v>5888</v>
      </c>
    </row>
    <row r="554" spans="1:12">
      <c r="A554" s="12">
        <f t="shared" si="8"/>
        <v>552</v>
      </c>
      <c r="B554" s="12" t="s">
        <v>6482</v>
      </c>
      <c r="C554" s="12" t="s">
        <v>5396</v>
      </c>
      <c r="D554" s="85">
        <v>3674.04</v>
      </c>
      <c r="E554" s="6">
        <v>6195822</v>
      </c>
      <c r="F554" s="12" t="s">
        <v>6483</v>
      </c>
      <c r="G554" s="2" t="s">
        <v>755</v>
      </c>
      <c r="H554" s="12" t="s">
        <v>756</v>
      </c>
      <c r="I554" s="86">
        <v>42850</v>
      </c>
      <c r="J554" s="86">
        <v>46137</v>
      </c>
      <c r="K554" s="12" t="s">
        <v>1014</v>
      </c>
      <c r="L554" s="12" t="s">
        <v>2825</v>
      </c>
    </row>
    <row r="555" spans="1:12">
      <c r="A555" s="12">
        <f t="shared" si="8"/>
        <v>553</v>
      </c>
      <c r="B555" s="12" t="s">
        <v>6484</v>
      </c>
      <c r="C555" s="12" t="s">
        <v>6485</v>
      </c>
      <c r="D555" s="85">
        <v>1701.8</v>
      </c>
      <c r="E555" s="6">
        <v>6207642</v>
      </c>
      <c r="F555" s="12" t="s">
        <v>6486</v>
      </c>
      <c r="G555" s="2" t="s">
        <v>755</v>
      </c>
      <c r="H555" s="12" t="s">
        <v>756</v>
      </c>
      <c r="I555" s="86">
        <v>43677</v>
      </c>
      <c r="J555" s="86">
        <v>46113</v>
      </c>
      <c r="K555" s="12" t="s">
        <v>768</v>
      </c>
      <c r="L555" s="12" t="s">
        <v>884</v>
      </c>
    </row>
    <row r="556" spans="1:12">
      <c r="A556" s="12">
        <f t="shared" si="8"/>
        <v>554</v>
      </c>
      <c r="B556" s="12" t="s">
        <v>6487</v>
      </c>
      <c r="C556" s="12" t="s">
        <v>1132</v>
      </c>
      <c r="D556" s="85">
        <v>143.86000000000001</v>
      </c>
      <c r="E556" s="6">
        <v>5337402</v>
      </c>
      <c r="F556" s="12" t="s">
        <v>6488</v>
      </c>
      <c r="G556" s="2" t="s">
        <v>755</v>
      </c>
      <c r="H556" s="12" t="s">
        <v>756</v>
      </c>
      <c r="I556" s="86">
        <v>43720</v>
      </c>
      <c r="J556" s="86">
        <v>45912</v>
      </c>
      <c r="K556" s="12" t="s">
        <v>1014</v>
      </c>
      <c r="L556" s="12" t="s">
        <v>1132</v>
      </c>
    </row>
    <row r="557" spans="1:12">
      <c r="A557" s="12">
        <f t="shared" si="8"/>
        <v>555</v>
      </c>
      <c r="B557" s="12" t="s">
        <v>6489</v>
      </c>
      <c r="C557" s="12" t="s">
        <v>4982</v>
      </c>
      <c r="D557" s="85">
        <v>3601.68</v>
      </c>
      <c r="E557" s="6">
        <v>6471919</v>
      </c>
      <c r="F557" s="12" t="s">
        <v>4983</v>
      </c>
      <c r="G557" s="2" t="s">
        <v>755</v>
      </c>
      <c r="H557" s="12" t="s">
        <v>756</v>
      </c>
      <c r="I557" s="86">
        <v>43682</v>
      </c>
      <c r="J557" s="86">
        <v>45874</v>
      </c>
      <c r="K557" s="12" t="s">
        <v>375</v>
      </c>
      <c r="L557" s="12" t="s">
        <v>4984</v>
      </c>
    </row>
    <row r="558" spans="1:12">
      <c r="A558" s="12">
        <f t="shared" si="8"/>
        <v>556</v>
      </c>
      <c r="B558" s="12" t="s">
        <v>6490</v>
      </c>
      <c r="C558" s="12" t="s">
        <v>796</v>
      </c>
      <c r="D558" s="85">
        <v>2366.86</v>
      </c>
      <c r="E558" s="6">
        <v>2872943</v>
      </c>
      <c r="F558" s="12" t="s">
        <v>2529</v>
      </c>
      <c r="G558" s="2" t="s">
        <v>755</v>
      </c>
      <c r="H558" s="12" t="s">
        <v>756</v>
      </c>
      <c r="I558" s="86">
        <v>43677</v>
      </c>
      <c r="J558" s="86">
        <v>45869</v>
      </c>
      <c r="K558" s="12" t="s">
        <v>304</v>
      </c>
      <c r="L558" s="12" t="s">
        <v>141</v>
      </c>
    </row>
    <row r="559" spans="1:12">
      <c r="A559" s="12">
        <f t="shared" si="8"/>
        <v>557</v>
      </c>
      <c r="B559" s="12" t="s">
        <v>6491</v>
      </c>
      <c r="C559" s="12" t="s">
        <v>6492</v>
      </c>
      <c r="D559" s="85">
        <v>2160.0700000000002</v>
      </c>
      <c r="E559" s="6">
        <v>6243894</v>
      </c>
      <c r="F559" s="12" t="s">
        <v>6493</v>
      </c>
      <c r="G559" s="2" t="s">
        <v>755</v>
      </c>
      <c r="H559" s="12" t="s">
        <v>756</v>
      </c>
      <c r="I559" s="86">
        <v>43684</v>
      </c>
      <c r="J559" s="86">
        <v>45876</v>
      </c>
      <c r="K559" s="12" t="s">
        <v>1102</v>
      </c>
      <c r="L559" s="12" t="s">
        <v>3357</v>
      </c>
    </row>
    <row r="560" spans="1:12">
      <c r="A560" s="12">
        <f t="shared" si="8"/>
        <v>558</v>
      </c>
      <c r="B560" s="12" t="s">
        <v>6494</v>
      </c>
      <c r="C560" s="12" t="s">
        <v>4953</v>
      </c>
      <c r="D560" s="85">
        <v>1749.55</v>
      </c>
      <c r="E560" s="6">
        <v>2578077</v>
      </c>
      <c r="F560" s="12" t="s">
        <v>6495</v>
      </c>
      <c r="G560" s="2" t="s">
        <v>755</v>
      </c>
      <c r="H560" s="12" t="s">
        <v>756</v>
      </c>
      <c r="I560" s="86">
        <v>38035</v>
      </c>
      <c r="J560" s="86">
        <v>45340</v>
      </c>
      <c r="K560" s="12" t="s">
        <v>768</v>
      </c>
      <c r="L560" s="12" t="s">
        <v>1386</v>
      </c>
    </row>
    <row r="561" spans="1:12">
      <c r="A561" s="12">
        <f t="shared" si="8"/>
        <v>559</v>
      </c>
      <c r="B561" s="12" t="s">
        <v>6496</v>
      </c>
      <c r="C561" s="12" t="s">
        <v>4389</v>
      </c>
      <c r="D561" s="85">
        <v>2046.05</v>
      </c>
      <c r="E561" s="6">
        <v>6079172</v>
      </c>
      <c r="F561" s="12" t="s">
        <v>6497</v>
      </c>
      <c r="G561" s="2" t="s">
        <v>755</v>
      </c>
      <c r="H561" s="12" t="s">
        <v>756</v>
      </c>
      <c r="I561" s="86">
        <v>42327</v>
      </c>
      <c r="J561" s="86">
        <v>45615</v>
      </c>
      <c r="K561" s="12" t="s">
        <v>375</v>
      </c>
      <c r="L561" s="12" t="s">
        <v>3086</v>
      </c>
    </row>
    <row r="562" spans="1:12">
      <c r="A562" s="12">
        <f t="shared" si="8"/>
        <v>560</v>
      </c>
      <c r="B562" s="12" t="s">
        <v>6498</v>
      </c>
      <c r="C562" s="12" t="s">
        <v>6499</v>
      </c>
      <c r="D562" s="85">
        <v>40.94</v>
      </c>
      <c r="E562" s="6">
        <v>5228506</v>
      </c>
      <c r="F562" s="12" t="s">
        <v>6500</v>
      </c>
      <c r="G562" s="2" t="s">
        <v>755</v>
      </c>
      <c r="H562" s="12" t="s">
        <v>756</v>
      </c>
      <c r="I562" s="86">
        <v>43689</v>
      </c>
      <c r="J562" s="86">
        <v>45881</v>
      </c>
      <c r="K562" s="12" t="s">
        <v>304</v>
      </c>
      <c r="L562" s="12" t="s">
        <v>777</v>
      </c>
    </row>
    <row r="563" spans="1:12">
      <c r="A563" s="12">
        <f t="shared" si="8"/>
        <v>561</v>
      </c>
      <c r="B563" s="12" t="s">
        <v>6501</v>
      </c>
      <c r="C563" s="12" t="s">
        <v>6502</v>
      </c>
      <c r="D563" s="85">
        <v>7319.38</v>
      </c>
      <c r="E563" s="6">
        <v>6439543</v>
      </c>
      <c r="F563" s="12" t="s">
        <v>6503</v>
      </c>
      <c r="G563" s="2" t="s">
        <v>755</v>
      </c>
      <c r="H563" s="12" t="s">
        <v>756</v>
      </c>
      <c r="I563" s="86">
        <v>43685</v>
      </c>
      <c r="J563" s="86">
        <v>45877</v>
      </c>
      <c r="K563" s="12" t="s">
        <v>274</v>
      </c>
      <c r="L563" s="12" t="s">
        <v>6504</v>
      </c>
    </row>
    <row r="564" spans="1:12">
      <c r="A564" s="12">
        <f t="shared" si="8"/>
        <v>562</v>
      </c>
      <c r="B564" s="12" t="s">
        <v>6505</v>
      </c>
      <c r="C564" s="12" t="s">
        <v>6506</v>
      </c>
      <c r="D564" s="85">
        <v>431.6</v>
      </c>
      <c r="E564" s="6">
        <v>5789931</v>
      </c>
      <c r="F564" s="12" t="s">
        <v>6507</v>
      </c>
      <c r="G564" s="2" t="s">
        <v>755</v>
      </c>
      <c r="H564" s="12" t="s">
        <v>756</v>
      </c>
      <c r="I564" s="86">
        <v>43720</v>
      </c>
      <c r="J564" s="86">
        <v>45912</v>
      </c>
      <c r="K564" s="12" t="s">
        <v>782</v>
      </c>
      <c r="L564" s="12" t="s">
        <v>783</v>
      </c>
    </row>
    <row r="565" spans="1:12">
      <c r="A565" s="12">
        <f t="shared" si="8"/>
        <v>563</v>
      </c>
      <c r="B565" s="12" t="s">
        <v>6508</v>
      </c>
      <c r="C565" s="12" t="s">
        <v>1956</v>
      </c>
      <c r="D565" s="85">
        <v>778.8</v>
      </c>
      <c r="E565" s="6">
        <v>6206891</v>
      </c>
      <c r="F565" s="12" t="s">
        <v>5180</v>
      </c>
      <c r="G565" s="2" t="s">
        <v>755</v>
      </c>
      <c r="H565" s="12" t="s">
        <v>756</v>
      </c>
      <c r="I565" s="86">
        <v>43727</v>
      </c>
      <c r="J565" s="86">
        <v>45919</v>
      </c>
      <c r="K565" s="12" t="s">
        <v>375</v>
      </c>
      <c r="L565" s="12" t="s">
        <v>1279</v>
      </c>
    </row>
    <row r="566" spans="1:12">
      <c r="A566" s="12">
        <f t="shared" si="8"/>
        <v>564</v>
      </c>
      <c r="B566" s="12" t="s">
        <v>6509</v>
      </c>
      <c r="C566" s="12" t="s">
        <v>6510</v>
      </c>
      <c r="D566" s="85">
        <v>10236.799999999999</v>
      </c>
      <c r="E566" s="6">
        <v>6532721</v>
      </c>
      <c r="F566" s="12" t="s">
        <v>6511</v>
      </c>
      <c r="G566" s="2" t="s">
        <v>755</v>
      </c>
      <c r="H566" s="12" t="s">
        <v>756</v>
      </c>
      <c r="I566" s="86">
        <v>43731</v>
      </c>
      <c r="J566" s="86">
        <v>45923</v>
      </c>
      <c r="K566" s="12" t="s">
        <v>123</v>
      </c>
      <c r="L566" s="12" t="s">
        <v>2201</v>
      </c>
    </row>
    <row r="567" spans="1:12">
      <c r="A567" s="12">
        <f t="shared" si="8"/>
        <v>565</v>
      </c>
      <c r="B567" s="12" t="s">
        <v>6512</v>
      </c>
      <c r="C567" s="12" t="s">
        <v>1048</v>
      </c>
      <c r="D567" s="85">
        <v>11561.27</v>
      </c>
      <c r="E567" s="6">
        <v>6258832</v>
      </c>
      <c r="F567" s="12" t="s">
        <v>6513</v>
      </c>
      <c r="G567" s="2" t="s">
        <v>755</v>
      </c>
      <c r="H567" s="12" t="s">
        <v>756</v>
      </c>
      <c r="I567" s="86">
        <v>43754</v>
      </c>
      <c r="J567" s="86">
        <v>45946</v>
      </c>
      <c r="K567" s="12" t="s">
        <v>123</v>
      </c>
      <c r="L567" s="12" t="s">
        <v>4702</v>
      </c>
    </row>
    <row r="568" spans="1:12" ht="38.25">
      <c r="A568" s="12">
        <f t="shared" si="8"/>
        <v>566</v>
      </c>
      <c r="B568" s="12" t="s">
        <v>6514</v>
      </c>
      <c r="C568" s="12" t="s">
        <v>6515</v>
      </c>
      <c r="D568" s="85">
        <v>7044.8</v>
      </c>
      <c r="E568" s="6">
        <v>6316719</v>
      </c>
      <c r="F568" s="12" t="s">
        <v>6516</v>
      </c>
      <c r="G568" s="2" t="s">
        <v>848</v>
      </c>
      <c r="H568" s="12" t="s">
        <v>849</v>
      </c>
      <c r="I568" s="86">
        <v>43728</v>
      </c>
      <c r="J568" s="86">
        <v>45920</v>
      </c>
      <c r="K568" s="12" t="s">
        <v>138</v>
      </c>
      <c r="L568" s="12" t="s">
        <v>1216</v>
      </c>
    </row>
    <row r="569" spans="1:12">
      <c r="A569" s="12">
        <f t="shared" si="8"/>
        <v>567</v>
      </c>
      <c r="B569" s="12" t="s">
        <v>6517</v>
      </c>
      <c r="C569" s="12" t="s">
        <v>6518</v>
      </c>
      <c r="D569" s="85">
        <v>2858.32</v>
      </c>
      <c r="E569" s="6">
        <v>6536247</v>
      </c>
      <c r="F569" s="12" t="s">
        <v>6519</v>
      </c>
      <c r="G569" s="2" t="s">
        <v>755</v>
      </c>
      <c r="H569" s="12" t="s">
        <v>756</v>
      </c>
      <c r="I569" s="86">
        <v>43727</v>
      </c>
      <c r="J569" s="86">
        <v>45919</v>
      </c>
      <c r="K569" s="12" t="s">
        <v>123</v>
      </c>
      <c r="L569" s="12" t="s">
        <v>3411</v>
      </c>
    </row>
    <row r="570" spans="1:12">
      <c r="A570" s="12">
        <f t="shared" si="8"/>
        <v>568</v>
      </c>
      <c r="B570" s="12" t="s">
        <v>6520</v>
      </c>
      <c r="C570" s="12" t="s">
        <v>6521</v>
      </c>
      <c r="D570" s="85">
        <v>25013.81</v>
      </c>
      <c r="E570" s="6">
        <v>5418674</v>
      </c>
      <c r="F570" s="12" t="s">
        <v>6522</v>
      </c>
      <c r="G570" s="2" t="s">
        <v>755</v>
      </c>
      <c r="H570" s="12" t="s">
        <v>756</v>
      </c>
      <c r="I570" s="86">
        <v>43693</v>
      </c>
      <c r="J570" s="86">
        <v>45885</v>
      </c>
      <c r="K570" s="12" t="s">
        <v>782</v>
      </c>
      <c r="L570" s="12" t="s">
        <v>5378</v>
      </c>
    </row>
    <row r="571" spans="1:12">
      <c r="A571" s="12">
        <f t="shared" si="8"/>
        <v>569</v>
      </c>
      <c r="B571" s="12" t="s">
        <v>6523</v>
      </c>
      <c r="C571" s="12" t="s">
        <v>3454</v>
      </c>
      <c r="D571" s="85">
        <v>7176.98</v>
      </c>
      <c r="E571" s="6">
        <v>5436303</v>
      </c>
      <c r="F571" s="12" t="s">
        <v>6524</v>
      </c>
      <c r="G571" s="2" t="s">
        <v>755</v>
      </c>
      <c r="H571" s="12" t="s">
        <v>756</v>
      </c>
      <c r="I571" s="86">
        <v>43396</v>
      </c>
      <c r="J571" s="86">
        <v>45588</v>
      </c>
      <c r="K571" s="12" t="s">
        <v>138</v>
      </c>
      <c r="L571" s="12" t="s">
        <v>1806</v>
      </c>
    </row>
    <row r="572" spans="1:12">
      <c r="A572" s="12">
        <f t="shared" si="8"/>
        <v>570</v>
      </c>
      <c r="B572" s="12" t="s">
        <v>6525</v>
      </c>
      <c r="C572" s="12" t="s">
        <v>874</v>
      </c>
      <c r="D572" s="85">
        <v>366.33</v>
      </c>
      <c r="E572" s="6">
        <v>5466679</v>
      </c>
      <c r="F572" s="12" t="s">
        <v>4670</v>
      </c>
      <c r="G572" s="2" t="s">
        <v>755</v>
      </c>
      <c r="H572" s="12" t="s">
        <v>756</v>
      </c>
      <c r="I572" s="86">
        <v>42524</v>
      </c>
      <c r="J572" s="86">
        <v>45811</v>
      </c>
      <c r="K572" s="12" t="s">
        <v>274</v>
      </c>
      <c r="L572" s="12" t="s">
        <v>874</v>
      </c>
    </row>
    <row r="573" spans="1:12">
      <c r="A573" s="12">
        <f t="shared" si="8"/>
        <v>571</v>
      </c>
      <c r="B573" s="12" t="s">
        <v>6526</v>
      </c>
      <c r="C573" s="12" t="s">
        <v>1825</v>
      </c>
      <c r="D573" s="85">
        <v>359.42</v>
      </c>
      <c r="E573" s="6">
        <v>6209815</v>
      </c>
      <c r="F573" s="12" t="s">
        <v>6019</v>
      </c>
      <c r="G573" s="2" t="s">
        <v>755</v>
      </c>
      <c r="H573" s="12" t="s">
        <v>756</v>
      </c>
      <c r="I573" s="86">
        <v>42360</v>
      </c>
      <c r="J573" s="86">
        <v>45648</v>
      </c>
      <c r="K573" s="12" t="s">
        <v>293</v>
      </c>
      <c r="L573" s="12" t="s">
        <v>1826</v>
      </c>
    </row>
    <row r="574" spans="1:12">
      <c r="A574" s="12">
        <f t="shared" si="8"/>
        <v>572</v>
      </c>
      <c r="B574" s="12" t="s">
        <v>6527</v>
      </c>
      <c r="C574" s="12" t="s">
        <v>6528</v>
      </c>
      <c r="D574" s="85">
        <v>47876.57</v>
      </c>
      <c r="E574" s="6">
        <v>5984238</v>
      </c>
      <c r="F574" s="12" t="s">
        <v>6529</v>
      </c>
      <c r="G574" s="2" t="s">
        <v>755</v>
      </c>
      <c r="H574" s="12" t="s">
        <v>756</v>
      </c>
      <c r="I574" s="86">
        <v>42312</v>
      </c>
      <c r="J574" s="86">
        <v>45600</v>
      </c>
      <c r="K574" s="12" t="s">
        <v>170</v>
      </c>
      <c r="L574" s="12" t="s">
        <v>1738</v>
      </c>
    </row>
    <row r="575" spans="1:12">
      <c r="A575" s="12">
        <f t="shared" si="8"/>
        <v>573</v>
      </c>
      <c r="B575" s="12" t="s">
        <v>6530</v>
      </c>
      <c r="C575" s="12" t="s">
        <v>6531</v>
      </c>
      <c r="D575" s="85">
        <v>4254.1400000000003</v>
      </c>
      <c r="E575" s="6">
        <v>5734037</v>
      </c>
      <c r="F575" s="12" t="s">
        <v>5739</v>
      </c>
      <c r="G575" s="2" t="s">
        <v>755</v>
      </c>
      <c r="H575" s="12" t="s">
        <v>756</v>
      </c>
      <c r="I575" s="86">
        <v>42187</v>
      </c>
      <c r="J575" s="86">
        <v>45475</v>
      </c>
      <c r="K575" s="12" t="s">
        <v>782</v>
      </c>
      <c r="L575" s="12" t="s">
        <v>5596</v>
      </c>
    </row>
    <row r="576" spans="1:12">
      <c r="A576" s="12">
        <f t="shared" si="8"/>
        <v>574</v>
      </c>
      <c r="B576" s="12" t="s">
        <v>6532</v>
      </c>
      <c r="C576" s="12" t="s">
        <v>6533</v>
      </c>
      <c r="D576" s="85">
        <v>308.10000000000002</v>
      </c>
      <c r="E576" s="6">
        <v>6454526</v>
      </c>
      <c r="F576" s="12" t="s">
        <v>6534</v>
      </c>
      <c r="G576" s="2" t="s">
        <v>755</v>
      </c>
      <c r="H576" s="12" t="s">
        <v>756</v>
      </c>
      <c r="I576" s="86">
        <v>42383</v>
      </c>
      <c r="J576" s="86">
        <v>45671</v>
      </c>
      <c r="K576" s="12" t="s">
        <v>170</v>
      </c>
      <c r="L576" s="12" t="s">
        <v>802</v>
      </c>
    </row>
    <row r="577" spans="1:12">
      <c r="A577" s="12">
        <f t="shared" si="8"/>
        <v>575</v>
      </c>
      <c r="B577" s="12" t="s">
        <v>6535</v>
      </c>
      <c r="C577" s="12" t="s">
        <v>4725</v>
      </c>
      <c r="D577" s="85">
        <v>556.78</v>
      </c>
      <c r="E577" s="6">
        <v>5481694</v>
      </c>
      <c r="F577" s="12" t="s">
        <v>4726</v>
      </c>
      <c r="G577" s="2" t="s">
        <v>755</v>
      </c>
      <c r="H577" s="12" t="s">
        <v>756</v>
      </c>
      <c r="I577" s="86">
        <v>42299</v>
      </c>
      <c r="J577" s="86">
        <v>45587</v>
      </c>
      <c r="K577" s="12" t="s">
        <v>293</v>
      </c>
      <c r="L577" s="12" t="s">
        <v>3681</v>
      </c>
    </row>
    <row r="578" spans="1:12">
      <c r="A578" s="12">
        <f t="shared" si="8"/>
        <v>576</v>
      </c>
      <c r="B578" s="12" t="s">
        <v>6536</v>
      </c>
      <c r="C578" s="12" t="s">
        <v>5934</v>
      </c>
      <c r="D578" s="85">
        <v>789.22</v>
      </c>
      <c r="E578" s="6">
        <v>6511147</v>
      </c>
      <c r="F578" s="12" t="s">
        <v>6537</v>
      </c>
      <c r="G578" s="2" t="s">
        <v>755</v>
      </c>
      <c r="H578" s="12" t="s">
        <v>756</v>
      </c>
      <c r="I578" s="86">
        <v>42404</v>
      </c>
      <c r="J578" s="86">
        <v>45692</v>
      </c>
      <c r="K578" s="12" t="s">
        <v>293</v>
      </c>
      <c r="L578" s="12" t="s">
        <v>181</v>
      </c>
    </row>
    <row r="579" spans="1:12">
      <c r="A579" s="12">
        <f t="shared" si="8"/>
        <v>577</v>
      </c>
      <c r="B579" s="12" t="s">
        <v>6538</v>
      </c>
      <c r="C579" s="12" t="s">
        <v>6539</v>
      </c>
      <c r="D579" s="85">
        <v>1676.52</v>
      </c>
      <c r="E579" s="6">
        <v>5864801</v>
      </c>
      <c r="F579" s="12" t="s">
        <v>4907</v>
      </c>
      <c r="G579" s="2" t="s">
        <v>755</v>
      </c>
      <c r="H579" s="12" t="s">
        <v>756</v>
      </c>
      <c r="I579" s="86">
        <v>42373</v>
      </c>
      <c r="J579" s="86">
        <v>45661</v>
      </c>
      <c r="K579" s="12" t="s">
        <v>170</v>
      </c>
      <c r="L579" s="12" t="s">
        <v>2444</v>
      </c>
    </row>
    <row r="580" spans="1:12">
      <c r="A580" s="12">
        <f t="shared" si="8"/>
        <v>578</v>
      </c>
      <c r="B580" s="12" t="s">
        <v>6540</v>
      </c>
      <c r="C580" s="12" t="s">
        <v>6541</v>
      </c>
      <c r="D580" s="85">
        <v>1933.56</v>
      </c>
      <c r="E580" s="6">
        <v>5864801</v>
      </c>
      <c r="F580" s="12" t="s">
        <v>4907</v>
      </c>
      <c r="G580" s="2" t="s">
        <v>755</v>
      </c>
      <c r="H580" s="12" t="s">
        <v>756</v>
      </c>
      <c r="I580" s="86">
        <v>42395</v>
      </c>
      <c r="J580" s="86">
        <v>45683</v>
      </c>
      <c r="K580" s="12" t="s">
        <v>170</v>
      </c>
      <c r="L580" s="12" t="s">
        <v>924</v>
      </c>
    </row>
    <row r="581" spans="1:12" ht="38.25">
      <c r="A581" s="12">
        <f t="shared" ref="A581:A644" si="9">A580+1</f>
        <v>579</v>
      </c>
      <c r="B581" s="12" t="s">
        <v>6542</v>
      </c>
      <c r="C581" s="12" t="s">
        <v>2296</v>
      </c>
      <c r="D581" s="85">
        <v>7316.59</v>
      </c>
      <c r="E581" s="6">
        <v>6184812</v>
      </c>
      <c r="F581" s="12" t="s">
        <v>4851</v>
      </c>
      <c r="G581" s="2" t="s">
        <v>848</v>
      </c>
      <c r="H581" s="12" t="s">
        <v>849</v>
      </c>
      <c r="I581" s="86">
        <v>42509</v>
      </c>
      <c r="J581" s="86">
        <v>45796</v>
      </c>
      <c r="K581" s="12" t="s">
        <v>170</v>
      </c>
      <c r="L581" s="12" t="s">
        <v>1023</v>
      </c>
    </row>
    <row r="582" spans="1:12">
      <c r="A582" s="12">
        <f t="shared" si="9"/>
        <v>580</v>
      </c>
      <c r="B582" s="12" t="s">
        <v>6543</v>
      </c>
      <c r="C582" s="12" t="s">
        <v>6459</v>
      </c>
      <c r="D582" s="85">
        <v>1747.93</v>
      </c>
      <c r="E582" s="6">
        <v>6447643</v>
      </c>
      <c r="F582" s="12" t="s">
        <v>6544</v>
      </c>
      <c r="G582" s="2" t="s">
        <v>755</v>
      </c>
      <c r="H582" s="12" t="s">
        <v>756</v>
      </c>
      <c r="I582" s="86">
        <v>43643</v>
      </c>
      <c r="J582" s="86">
        <v>45835</v>
      </c>
      <c r="K582" s="12" t="s">
        <v>288</v>
      </c>
      <c r="L582" s="12" t="s">
        <v>2056</v>
      </c>
    </row>
    <row r="583" spans="1:12" ht="38.25">
      <c r="A583" s="12">
        <f t="shared" si="9"/>
        <v>581</v>
      </c>
      <c r="B583" s="12" t="s">
        <v>6545</v>
      </c>
      <c r="C583" s="12" t="s">
        <v>5195</v>
      </c>
      <c r="D583" s="85">
        <v>1115.96</v>
      </c>
      <c r="E583" s="6">
        <v>5610079</v>
      </c>
      <c r="F583" s="12" t="s">
        <v>6546</v>
      </c>
      <c r="G583" s="2" t="s">
        <v>848</v>
      </c>
      <c r="H583" s="12" t="s">
        <v>849</v>
      </c>
      <c r="I583" s="86">
        <v>42445</v>
      </c>
      <c r="J583" s="86">
        <v>45732</v>
      </c>
      <c r="K583" s="12" t="s">
        <v>293</v>
      </c>
      <c r="L583" s="12" t="s">
        <v>181</v>
      </c>
    </row>
    <row r="584" spans="1:12">
      <c r="A584" s="12">
        <f t="shared" si="9"/>
        <v>582</v>
      </c>
      <c r="B584" s="12" t="s">
        <v>6547</v>
      </c>
      <c r="C584" s="12" t="s">
        <v>5673</v>
      </c>
      <c r="D584" s="85">
        <v>2639.66</v>
      </c>
      <c r="E584" s="6">
        <v>6023738</v>
      </c>
      <c r="F584" s="12" t="s">
        <v>6548</v>
      </c>
      <c r="G584" s="2" t="s">
        <v>755</v>
      </c>
      <c r="H584" s="12" t="s">
        <v>756</v>
      </c>
      <c r="I584" s="86">
        <v>42557</v>
      </c>
      <c r="J584" s="86">
        <v>44748</v>
      </c>
      <c r="K584" s="12" t="s">
        <v>233</v>
      </c>
      <c r="L584" s="12" t="s">
        <v>234</v>
      </c>
    </row>
    <row r="585" spans="1:12" ht="38.25">
      <c r="A585" s="12">
        <f t="shared" si="9"/>
        <v>583</v>
      </c>
      <c r="B585" s="12" t="s">
        <v>6549</v>
      </c>
      <c r="C585" s="12" t="s">
        <v>6550</v>
      </c>
      <c r="D585" s="85">
        <v>29770.28</v>
      </c>
      <c r="E585" s="6">
        <v>6233309</v>
      </c>
      <c r="F585" s="12" t="s">
        <v>6383</v>
      </c>
      <c r="G585" s="2" t="s">
        <v>848</v>
      </c>
      <c r="H585" s="12" t="s">
        <v>849</v>
      </c>
      <c r="I585" s="86">
        <v>44116</v>
      </c>
      <c r="J585" s="86">
        <v>46307</v>
      </c>
      <c r="K585" s="12" t="s">
        <v>170</v>
      </c>
      <c r="L585" s="12" t="s">
        <v>2786</v>
      </c>
    </row>
    <row r="586" spans="1:12">
      <c r="A586" s="12">
        <f t="shared" si="9"/>
        <v>584</v>
      </c>
      <c r="B586" s="12" t="s">
        <v>6551</v>
      </c>
      <c r="C586" s="12" t="s">
        <v>1784</v>
      </c>
      <c r="D586" s="85">
        <v>52.54</v>
      </c>
      <c r="E586" s="6">
        <v>5253535</v>
      </c>
      <c r="F586" s="12" t="s">
        <v>6552</v>
      </c>
      <c r="G586" s="2" t="s">
        <v>755</v>
      </c>
      <c r="H586" s="12" t="s">
        <v>756</v>
      </c>
      <c r="I586" s="86">
        <v>44110</v>
      </c>
      <c r="J586" s="86">
        <v>46301</v>
      </c>
      <c r="K586" s="12" t="s">
        <v>274</v>
      </c>
      <c r="L586" s="12" t="s">
        <v>1413</v>
      </c>
    </row>
    <row r="587" spans="1:12">
      <c r="A587" s="12">
        <f t="shared" si="9"/>
        <v>585</v>
      </c>
      <c r="B587" s="12" t="s">
        <v>6553</v>
      </c>
      <c r="C587" s="12" t="s">
        <v>2078</v>
      </c>
      <c r="D587" s="85">
        <v>5341.95</v>
      </c>
      <c r="E587" s="6">
        <v>4281918</v>
      </c>
      <c r="F587" s="12" t="s">
        <v>2711</v>
      </c>
      <c r="G587" s="2" t="s">
        <v>755</v>
      </c>
      <c r="H587" s="12" t="s">
        <v>756</v>
      </c>
      <c r="I587" s="86">
        <v>44110</v>
      </c>
      <c r="J587" s="86">
        <v>46301</v>
      </c>
      <c r="K587" s="12" t="s">
        <v>1014</v>
      </c>
      <c r="L587" s="12" t="s">
        <v>2825</v>
      </c>
    </row>
    <row r="588" spans="1:12">
      <c r="A588" s="12">
        <f t="shared" si="9"/>
        <v>586</v>
      </c>
      <c r="B588" s="12" t="s">
        <v>6554</v>
      </c>
      <c r="C588" s="12" t="s">
        <v>6555</v>
      </c>
      <c r="D588" s="85">
        <v>2213.4699999999998</v>
      </c>
      <c r="E588" s="6">
        <v>2095025</v>
      </c>
      <c r="F588" s="12" t="s">
        <v>870</v>
      </c>
      <c r="G588" s="2" t="s">
        <v>755</v>
      </c>
      <c r="H588" s="12" t="s">
        <v>756</v>
      </c>
      <c r="I588" s="86">
        <v>44110</v>
      </c>
      <c r="J588" s="86">
        <v>45205</v>
      </c>
      <c r="K588" s="12" t="s">
        <v>6556</v>
      </c>
      <c r="L588" s="12" t="s">
        <v>6557</v>
      </c>
    </row>
    <row r="589" spans="1:12" ht="38.25">
      <c r="A589" s="12">
        <f t="shared" si="9"/>
        <v>587</v>
      </c>
      <c r="B589" s="12" t="s">
        <v>6558</v>
      </c>
      <c r="C589" s="12" t="s">
        <v>1228</v>
      </c>
      <c r="D589" s="85">
        <v>1211.47</v>
      </c>
      <c r="E589" s="6">
        <v>6215769</v>
      </c>
      <c r="F589" s="12" t="s">
        <v>6421</v>
      </c>
      <c r="G589" s="2" t="s">
        <v>848</v>
      </c>
      <c r="H589" s="12" t="s">
        <v>849</v>
      </c>
      <c r="I589" s="86">
        <v>44133</v>
      </c>
      <c r="J589" s="86">
        <v>46324</v>
      </c>
      <c r="K589" s="12" t="s">
        <v>293</v>
      </c>
      <c r="L589" s="12" t="s">
        <v>181</v>
      </c>
    </row>
    <row r="590" spans="1:12">
      <c r="A590" s="12">
        <f t="shared" si="9"/>
        <v>588</v>
      </c>
      <c r="B590" s="12" t="s">
        <v>6559</v>
      </c>
      <c r="C590" s="12" t="s">
        <v>6560</v>
      </c>
      <c r="D590" s="85">
        <v>558.34</v>
      </c>
      <c r="E590" s="6">
        <v>5860318</v>
      </c>
      <c r="F590" s="12" t="s">
        <v>4766</v>
      </c>
      <c r="G590" s="2" t="s">
        <v>755</v>
      </c>
      <c r="H590" s="12" t="s">
        <v>756</v>
      </c>
      <c r="I590" s="86">
        <v>44139</v>
      </c>
      <c r="J590" s="86">
        <v>46330</v>
      </c>
      <c r="K590" s="12" t="s">
        <v>293</v>
      </c>
      <c r="L590" s="12" t="s">
        <v>181</v>
      </c>
    </row>
    <row r="591" spans="1:12">
      <c r="A591" s="12">
        <f t="shared" si="9"/>
        <v>589</v>
      </c>
      <c r="B591" s="12" t="s">
        <v>6561</v>
      </c>
      <c r="C591" s="12" t="s">
        <v>856</v>
      </c>
      <c r="D591" s="85">
        <v>1454.85</v>
      </c>
      <c r="E591" s="6">
        <v>6741657</v>
      </c>
      <c r="F591" s="12" t="s">
        <v>6562</v>
      </c>
      <c r="G591" s="2" t="s">
        <v>755</v>
      </c>
      <c r="H591" s="12" t="s">
        <v>756</v>
      </c>
      <c r="I591" s="86">
        <v>44118</v>
      </c>
      <c r="J591" s="86">
        <v>45213</v>
      </c>
      <c r="K591" s="12" t="s">
        <v>274</v>
      </c>
      <c r="L591" s="12" t="s">
        <v>6563</v>
      </c>
    </row>
    <row r="592" spans="1:12">
      <c r="A592" s="12">
        <f t="shared" si="9"/>
        <v>590</v>
      </c>
      <c r="B592" s="12" t="s">
        <v>6564</v>
      </c>
      <c r="C592" s="12" t="s">
        <v>1340</v>
      </c>
      <c r="D592" s="85">
        <v>277.54000000000002</v>
      </c>
      <c r="E592" s="6">
        <v>8359318</v>
      </c>
      <c r="F592" s="12" t="s">
        <v>6565</v>
      </c>
      <c r="G592" s="2" t="s">
        <v>755</v>
      </c>
      <c r="H592" s="12" t="s">
        <v>756</v>
      </c>
      <c r="I592" s="86">
        <v>44134</v>
      </c>
      <c r="J592" s="86">
        <v>46325</v>
      </c>
      <c r="K592" s="12" t="s">
        <v>293</v>
      </c>
      <c r="L592" s="12" t="s">
        <v>815</v>
      </c>
    </row>
    <row r="593" spans="1:12">
      <c r="A593" s="12">
        <f t="shared" si="9"/>
        <v>591</v>
      </c>
      <c r="B593" s="12" t="s">
        <v>6566</v>
      </c>
      <c r="C593" s="12" t="s">
        <v>6567</v>
      </c>
      <c r="D593" s="85">
        <v>5747.63</v>
      </c>
      <c r="E593" s="6">
        <v>5945038</v>
      </c>
      <c r="F593" s="12" t="s">
        <v>5750</v>
      </c>
      <c r="G593" s="2" t="s">
        <v>755</v>
      </c>
      <c r="H593" s="12" t="s">
        <v>756</v>
      </c>
      <c r="I593" s="86">
        <v>44141</v>
      </c>
      <c r="J593" s="86">
        <v>46332</v>
      </c>
      <c r="K593" s="12" t="s">
        <v>293</v>
      </c>
      <c r="L593" s="12" t="s">
        <v>2290</v>
      </c>
    </row>
    <row r="594" spans="1:12" ht="38.25">
      <c r="A594" s="12">
        <f t="shared" si="9"/>
        <v>592</v>
      </c>
      <c r="B594" s="12" t="s">
        <v>6568</v>
      </c>
      <c r="C594" s="12" t="s">
        <v>6569</v>
      </c>
      <c r="D594" s="85">
        <v>1638.18</v>
      </c>
      <c r="E594" s="6">
        <v>5935024</v>
      </c>
      <c r="F594" s="12" t="s">
        <v>6273</v>
      </c>
      <c r="G594" s="2" t="s">
        <v>848</v>
      </c>
      <c r="H594" s="12" t="s">
        <v>849</v>
      </c>
      <c r="I594" s="86">
        <v>44123</v>
      </c>
      <c r="J594" s="86">
        <v>46314</v>
      </c>
      <c r="K594" s="12" t="s">
        <v>288</v>
      </c>
      <c r="L594" s="12" t="s">
        <v>1038</v>
      </c>
    </row>
    <row r="595" spans="1:12">
      <c r="A595" s="12">
        <f t="shared" si="9"/>
        <v>593</v>
      </c>
      <c r="B595" s="12" t="s">
        <v>6570</v>
      </c>
      <c r="C595" s="12" t="s">
        <v>6571</v>
      </c>
      <c r="D595" s="85">
        <v>172.5</v>
      </c>
      <c r="E595" s="6">
        <v>6943756</v>
      </c>
      <c r="F595" s="12" t="s">
        <v>6572</v>
      </c>
      <c r="G595" s="2" t="s">
        <v>755</v>
      </c>
      <c r="H595" s="12" t="s">
        <v>756</v>
      </c>
      <c r="I595" s="86">
        <v>44141</v>
      </c>
      <c r="J595" s="86">
        <v>46332</v>
      </c>
      <c r="K595" s="12" t="s">
        <v>170</v>
      </c>
      <c r="L595" s="12" t="s">
        <v>2450</v>
      </c>
    </row>
    <row r="596" spans="1:12">
      <c r="A596" s="12">
        <f t="shared" si="9"/>
        <v>594</v>
      </c>
      <c r="B596" s="12" t="s">
        <v>6573</v>
      </c>
      <c r="C596" s="12" t="s">
        <v>6574</v>
      </c>
      <c r="D596" s="85">
        <v>1704.51</v>
      </c>
      <c r="E596" s="6">
        <v>6289754</v>
      </c>
      <c r="F596" s="12" t="s">
        <v>4709</v>
      </c>
      <c r="G596" s="2" t="s">
        <v>755</v>
      </c>
      <c r="H596" s="12" t="s">
        <v>756</v>
      </c>
      <c r="I596" s="86">
        <v>44070</v>
      </c>
      <c r="J596" s="86">
        <v>46261</v>
      </c>
      <c r="K596" s="12" t="s">
        <v>768</v>
      </c>
      <c r="L596" s="12" t="s">
        <v>4588</v>
      </c>
    </row>
    <row r="597" spans="1:12">
      <c r="A597" s="12">
        <f t="shared" si="9"/>
        <v>595</v>
      </c>
      <c r="B597" s="12" t="s">
        <v>6575</v>
      </c>
      <c r="C597" s="12" t="s">
        <v>6576</v>
      </c>
      <c r="D597" s="85">
        <v>4313.57</v>
      </c>
      <c r="E597" s="6">
        <v>6289754</v>
      </c>
      <c r="F597" s="12" t="s">
        <v>4709</v>
      </c>
      <c r="G597" s="2" t="s">
        <v>755</v>
      </c>
      <c r="H597" s="12" t="s">
        <v>756</v>
      </c>
      <c r="I597" s="86">
        <v>44070</v>
      </c>
      <c r="J597" s="86">
        <v>46261</v>
      </c>
      <c r="K597" s="12" t="s">
        <v>768</v>
      </c>
      <c r="L597" s="12" t="s">
        <v>1198</v>
      </c>
    </row>
    <row r="598" spans="1:12">
      <c r="A598" s="12">
        <f t="shared" si="9"/>
        <v>596</v>
      </c>
      <c r="B598" s="12" t="s">
        <v>6577</v>
      </c>
      <c r="C598" s="12" t="s">
        <v>6578</v>
      </c>
      <c r="D598" s="85">
        <v>1393.37</v>
      </c>
      <c r="E598" s="6">
        <v>6289754</v>
      </c>
      <c r="F598" s="12" t="s">
        <v>4709</v>
      </c>
      <c r="G598" s="2" t="s">
        <v>755</v>
      </c>
      <c r="H598" s="12" t="s">
        <v>756</v>
      </c>
      <c r="I598" s="86">
        <v>44070</v>
      </c>
      <c r="J598" s="86">
        <v>46261</v>
      </c>
      <c r="K598" s="12" t="s">
        <v>768</v>
      </c>
      <c r="L598" s="12" t="s">
        <v>884</v>
      </c>
    </row>
    <row r="599" spans="1:12">
      <c r="A599" s="12">
        <f t="shared" si="9"/>
        <v>597</v>
      </c>
      <c r="B599" s="12" t="s">
        <v>6579</v>
      </c>
      <c r="C599" s="12" t="s">
        <v>3793</v>
      </c>
      <c r="D599" s="85">
        <v>453.89</v>
      </c>
      <c r="E599" s="6">
        <v>6289754</v>
      </c>
      <c r="F599" s="12" t="s">
        <v>4709</v>
      </c>
      <c r="G599" s="2" t="s">
        <v>755</v>
      </c>
      <c r="H599" s="12" t="s">
        <v>756</v>
      </c>
      <c r="I599" s="86">
        <v>44070</v>
      </c>
      <c r="J599" s="86">
        <v>46261</v>
      </c>
      <c r="K599" s="12" t="s">
        <v>768</v>
      </c>
      <c r="L599" s="12" t="s">
        <v>1198</v>
      </c>
    </row>
    <row r="600" spans="1:12">
      <c r="A600" s="12">
        <f t="shared" si="9"/>
        <v>598</v>
      </c>
      <c r="B600" s="12" t="s">
        <v>6580</v>
      </c>
      <c r="C600" s="12" t="s">
        <v>6581</v>
      </c>
      <c r="D600" s="85">
        <v>22641.51</v>
      </c>
      <c r="E600" s="6">
        <v>6289754</v>
      </c>
      <c r="F600" s="12" t="s">
        <v>4709</v>
      </c>
      <c r="G600" s="2" t="s">
        <v>755</v>
      </c>
      <c r="H600" s="12" t="s">
        <v>756</v>
      </c>
      <c r="I600" s="86">
        <v>44070</v>
      </c>
      <c r="J600" s="86">
        <v>46261</v>
      </c>
      <c r="K600" s="12" t="s">
        <v>233</v>
      </c>
      <c r="L600" s="12" t="s">
        <v>252</v>
      </c>
    </row>
    <row r="601" spans="1:12">
      <c r="A601" s="12">
        <f t="shared" si="9"/>
        <v>599</v>
      </c>
      <c r="B601" s="12" t="s">
        <v>6582</v>
      </c>
      <c r="C601" s="12" t="s">
        <v>3597</v>
      </c>
      <c r="D601" s="85">
        <v>16634.29</v>
      </c>
      <c r="E601" s="6">
        <v>6289754</v>
      </c>
      <c r="F601" s="12" t="s">
        <v>4709</v>
      </c>
      <c r="G601" s="2" t="s">
        <v>755</v>
      </c>
      <c r="H601" s="12" t="s">
        <v>756</v>
      </c>
      <c r="I601" s="86">
        <v>44070</v>
      </c>
      <c r="J601" s="86">
        <v>46261</v>
      </c>
      <c r="K601" s="12" t="s">
        <v>233</v>
      </c>
      <c r="L601" s="12" t="s">
        <v>6583</v>
      </c>
    </row>
    <row r="602" spans="1:12">
      <c r="A602" s="12">
        <f t="shared" si="9"/>
        <v>600</v>
      </c>
      <c r="B602" s="12" t="s">
        <v>6584</v>
      </c>
      <c r="C602" s="12" t="s">
        <v>2677</v>
      </c>
      <c r="D602" s="85">
        <v>2450.6799999999998</v>
      </c>
      <c r="E602" s="6">
        <v>5429617</v>
      </c>
      <c r="F602" s="12" t="s">
        <v>5565</v>
      </c>
      <c r="G602" s="2" t="s">
        <v>755</v>
      </c>
      <c r="H602" s="12" t="s">
        <v>756</v>
      </c>
      <c r="I602" s="86">
        <v>44130</v>
      </c>
      <c r="J602" s="86">
        <v>46321</v>
      </c>
      <c r="K602" s="12" t="s">
        <v>375</v>
      </c>
      <c r="L602" s="12" t="s">
        <v>3317</v>
      </c>
    </row>
    <row r="603" spans="1:12">
      <c r="A603" s="12">
        <f t="shared" si="9"/>
        <v>601</v>
      </c>
      <c r="B603" s="12" t="s">
        <v>6585</v>
      </c>
      <c r="C603" s="12" t="s">
        <v>6586</v>
      </c>
      <c r="D603" s="85">
        <v>634.80999999999995</v>
      </c>
      <c r="E603" s="6">
        <v>5924596</v>
      </c>
      <c r="F603" s="12" t="s">
        <v>6587</v>
      </c>
      <c r="G603" s="2" t="s">
        <v>755</v>
      </c>
      <c r="H603" s="12" t="s">
        <v>756</v>
      </c>
      <c r="I603" s="86">
        <v>44137</v>
      </c>
      <c r="J603" s="86">
        <v>46328</v>
      </c>
      <c r="K603" s="12" t="s">
        <v>170</v>
      </c>
      <c r="L603" s="12" t="s">
        <v>2450</v>
      </c>
    </row>
    <row r="604" spans="1:12">
      <c r="A604" s="12">
        <f t="shared" si="9"/>
        <v>602</v>
      </c>
      <c r="B604" s="12" t="s">
        <v>6588</v>
      </c>
      <c r="C604" s="12" t="s">
        <v>2350</v>
      </c>
      <c r="D604" s="85">
        <v>10732.18</v>
      </c>
      <c r="E604" s="6">
        <v>5045894</v>
      </c>
      <c r="F604" s="12" t="s">
        <v>1333</v>
      </c>
      <c r="G604" s="2" t="s">
        <v>755</v>
      </c>
      <c r="H604" s="12" t="s">
        <v>756</v>
      </c>
      <c r="I604" s="86">
        <v>44169</v>
      </c>
      <c r="J604" s="86">
        <v>46360</v>
      </c>
      <c r="K604" s="12" t="s">
        <v>1014</v>
      </c>
      <c r="L604" s="12" t="s">
        <v>2056</v>
      </c>
    </row>
    <row r="605" spans="1:12">
      <c r="A605" s="12">
        <f t="shared" si="9"/>
        <v>603</v>
      </c>
      <c r="B605" s="12" t="s">
        <v>6589</v>
      </c>
      <c r="C605" s="12" t="s">
        <v>6590</v>
      </c>
      <c r="D605" s="85">
        <v>4296.78</v>
      </c>
      <c r="E605" s="6">
        <v>6394272</v>
      </c>
      <c r="F605" s="12" t="s">
        <v>6591</v>
      </c>
      <c r="G605" s="2" t="s">
        <v>755</v>
      </c>
      <c r="H605" s="12" t="s">
        <v>756</v>
      </c>
      <c r="I605" s="86">
        <v>44145</v>
      </c>
      <c r="J605" s="86">
        <v>46336</v>
      </c>
      <c r="K605" s="12" t="s">
        <v>375</v>
      </c>
      <c r="L605" s="12" t="s">
        <v>3317</v>
      </c>
    </row>
    <row r="606" spans="1:12">
      <c r="A606" s="12">
        <f t="shared" si="9"/>
        <v>604</v>
      </c>
      <c r="B606" s="12" t="s">
        <v>6592</v>
      </c>
      <c r="C606" s="12" t="s">
        <v>874</v>
      </c>
      <c r="D606" s="85">
        <v>2179.6</v>
      </c>
      <c r="E606" s="6">
        <v>5669707</v>
      </c>
      <c r="F606" s="12" t="s">
        <v>6593</v>
      </c>
      <c r="G606" s="2" t="s">
        <v>755</v>
      </c>
      <c r="H606" s="12" t="s">
        <v>756</v>
      </c>
      <c r="I606" s="86">
        <v>44141</v>
      </c>
      <c r="J606" s="86">
        <v>46332</v>
      </c>
      <c r="K606" s="12" t="s">
        <v>768</v>
      </c>
      <c r="L606" s="12" t="s">
        <v>4251</v>
      </c>
    </row>
    <row r="607" spans="1:12">
      <c r="A607" s="12">
        <f t="shared" si="9"/>
        <v>605</v>
      </c>
      <c r="B607" s="12" t="s">
        <v>6594</v>
      </c>
      <c r="C607" s="12" t="s">
        <v>6595</v>
      </c>
      <c r="D607" s="85">
        <v>4482.99</v>
      </c>
      <c r="E607" s="6">
        <v>5881854</v>
      </c>
      <c r="F607" s="12" t="s">
        <v>6596</v>
      </c>
      <c r="G607" s="2" t="s">
        <v>755</v>
      </c>
      <c r="H607" s="12" t="s">
        <v>756</v>
      </c>
      <c r="I607" s="86">
        <v>44156</v>
      </c>
      <c r="J607" s="86">
        <v>46347</v>
      </c>
      <c r="K607" s="12" t="s">
        <v>1097</v>
      </c>
      <c r="L607" s="12" t="s">
        <v>6597</v>
      </c>
    </row>
    <row r="608" spans="1:12">
      <c r="A608" s="12">
        <f t="shared" si="9"/>
        <v>606</v>
      </c>
      <c r="B608" s="12" t="s">
        <v>6598</v>
      </c>
      <c r="C608" s="12" t="s">
        <v>6599</v>
      </c>
      <c r="D608" s="85">
        <v>2677.36</v>
      </c>
      <c r="E608" s="6">
        <v>6622844</v>
      </c>
      <c r="F608" s="12" t="s">
        <v>5099</v>
      </c>
      <c r="G608" s="2" t="s">
        <v>755</v>
      </c>
      <c r="H608" s="12" t="s">
        <v>756</v>
      </c>
      <c r="I608" s="86">
        <v>44133</v>
      </c>
      <c r="J608" s="86">
        <v>45228</v>
      </c>
      <c r="K608" s="12" t="s">
        <v>1242</v>
      </c>
      <c r="L608" s="12" t="s">
        <v>1243</v>
      </c>
    </row>
    <row r="609" spans="1:12">
      <c r="A609" s="12">
        <f t="shared" si="9"/>
        <v>607</v>
      </c>
      <c r="B609" s="12" t="s">
        <v>6600</v>
      </c>
      <c r="C609" s="12" t="s">
        <v>1218</v>
      </c>
      <c r="D609" s="85">
        <v>1294.51</v>
      </c>
      <c r="E609" s="6">
        <v>5046483</v>
      </c>
      <c r="F609" s="12" t="s">
        <v>4608</v>
      </c>
      <c r="G609" s="2" t="s">
        <v>755</v>
      </c>
      <c r="H609" s="12" t="s">
        <v>756</v>
      </c>
      <c r="I609" s="86">
        <v>44154</v>
      </c>
      <c r="J609" s="86">
        <v>46345</v>
      </c>
      <c r="K609" s="12" t="s">
        <v>304</v>
      </c>
      <c r="L609" s="12" t="s">
        <v>1634</v>
      </c>
    </row>
    <row r="610" spans="1:12">
      <c r="A610" s="12">
        <f t="shared" si="9"/>
        <v>608</v>
      </c>
      <c r="B610" s="12" t="s">
        <v>6601</v>
      </c>
      <c r="C610" s="12" t="s">
        <v>913</v>
      </c>
      <c r="D610" s="85">
        <v>807.37</v>
      </c>
      <c r="E610" s="6">
        <v>5232287</v>
      </c>
      <c r="F610" s="12" t="s">
        <v>6602</v>
      </c>
      <c r="G610" s="2" t="s">
        <v>755</v>
      </c>
      <c r="H610" s="12" t="s">
        <v>756</v>
      </c>
      <c r="I610" s="86">
        <v>44147</v>
      </c>
      <c r="J610" s="86">
        <v>46338</v>
      </c>
      <c r="K610" s="12" t="s">
        <v>304</v>
      </c>
      <c r="L610" s="12" t="s">
        <v>141</v>
      </c>
    </row>
    <row r="611" spans="1:12">
      <c r="A611" s="12">
        <f t="shared" si="9"/>
        <v>609</v>
      </c>
      <c r="B611" s="12" t="s">
        <v>6603</v>
      </c>
      <c r="C611" s="12" t="s">
        <v>6604</v>
      </c>
      <c r="D611" s="85">
        <v>321.77999999999997</v>
      </c>
      <c r="E611" s="6">
        <v>6395864</v>
      </c>
      <c r="F611" s="12" t="s">
        <v>6605</v>
      </c>
      <c r="G611" s="2" t="s">
        <v>755</v>
      </c>
      <c r="H611" s="12" t="s">
        <v>756</v>
      </c>
      <c r="I611" s="86">
        <v>44216</v>
      </c>
      <c r="J611" s="86">
        <v>45311</v>
      </c>
      <c r="K611" s="12" t="s">
        <v>1097</v>
      </c>
      <c r="L611" s="12" t="s">
        <v>1999</v>
      </c>
    </row>
    <row r="612" spans="1:12">
      <c r="A612" s="12">
        <f t="shared" si="9"/>
        <v>610</v>
      </c>
      <c r="B612" s="12" t="s">
        <v>6606</v>
      </c>
      <c r="C612" s="12" t="s">
        <v>4628</v>
      </c>
      <c r="D612" s="85">
        <v>410.75</v>
      </c>
      <c r="E612" s="6">
        <v>6208665</v>
      </c>
      <c r="F612" s="12" t="s">
        <v>6607</v>
      </c>
      <c r="G612" s="2" t="s">
        <v>755</v>
      </c>
      <c r="H612" s="12" t="s">
        <v>756</v>
      </c>
      <c r="I612" s="86">
        <v>44216</v>
      </c>
      <c r="J612" s="86">
        <v>45311</v>
      </c>
      <c r="K612" s="12" t="s">
        <v>293</v>
      </c>
      <c r="L612" s="12" t="s">
        <v>181</v>
      </c>
    </row>
    <row r="613" spans="1:12">
      <c r="A613" s="12">
        <f t="shared" si="9"/>
        <v>611</v>
      </c>
      <c r="B613" s="12" t="s">
        <v>6608</v>
      </c>
      <c r="C613" s="12" t="s">
        <v>6609</v>
      </c>
      <c r="D613" s="85">
        <v>475.4</v>
      </c>
      <c r="E613" s="6">
        <v>6337082</v>
      </c>
      <c r="F613" s="12" t="s">
        <v>6610</v>
      </c>
      <c r="G613" s="2" t="s">
        <v>755</v>
      </c>
      <c r="H613" s="12" t="s">
        <v>756</v>
      </c>
      <c r="I613" s="86">
        <v>44256</v>
      </c>
      <c r="J613" s="86">
        <v>45352</v>
      </c>
      <c r="K613" s="12" t="s">
        <v>293</v>
      </c>
      <c r="L613" s="12" t="s">
        <v>815</v>
      </c>
    </row>
    <row r="614" spans="1:12">
      <c r="A614" s="12">
        <f t="shared" si="9"/>
        <v>612</v>
      </c>
      <c r="B614" s="12" t="s">
        <v>6611</v>
      </c>
      <c r="C614" s="12" t="s">
        <v>6586</v>
      </c>
      <c r="D614" s="85">
        <v>1052.31</v>
      </c>
      <c r="E614" s="6">
        <v>6208665</v>
      </c>
      <c r="F614" s="12" t="s">
        <v>6607</v>
      </c>
      <c r="G614" s="2" t="s">
        <v>755</v>
      </c>
      <c r="H614" s="12" t="s">
        <v>756</v>
      </c>
      <c r="I614" s="86">
        <v>44216</v>
      </c>
      <c r="J614" s="86">
        <v>45311</v>
      </c>
      <c r="K614" s="12" t="s">
        <v>170</v>
      </c>
      <c r="L614" s="12" t="s">
        <v>205</v>
      </c>
    </row>
    <row r="615" spans="1:12">
      <c r="A615" s="12">
        <f t="shared" si="9"/>
        <v>613</v>
      </c>
      <c r="B615" s="12" t="s">
        <v>6612</v>
      </c>
      <c r="C615" s="12" t="s">
        <v>6613</v>
      </c>
      <c r="D615" s="85">
        <v>625.66</v>
      </c>
      <c r="E615" s="6">
        <v>5961149</v>
      </c>
      <c r="F615" s="12" t="s">
        <v>6104</v>
      </c>
      <c r="G615" s="2" t="s">
        <v>755</v>
      </c>
      <c r="H615" s="12" t="s">
        <v>756</v>
      </c>
      <c r="I615" s="86">
        <v>44221</v>
      </c>
      <c r="J615" s="86">
        <v>45316</v>
      </c>
      <c r="K615" s="12" t="s">
        <v>375</v>
      </c>
      <c r="L615" s="12" t="s">
        <v>6613</v>
      </c>
    </row>
    <row r="616" spans="1:12">
      <c r="A616" s="12">
        <f t="shared" si="9"/>
        <v>614</v>
      </c>
      <c r="B616" s="12" t="s">
        <v>6614</v>
      </c>
      <c r="C616" s="12" t="s">
        <v>3121</v>
      </c>
      <c r="D616" s="85">
        <v>42222.080000000002</v>
      </c>
      <c r="E616" s="6">
        <v>5339022</v>
      </c>
      <c r="F616" s="12" t="s">
        <v>6615</v>
      </c>
      <c r="G616" s="2" t="s">
        <v>755</v>
      </c>
      <c r="H616" s="12" t="s">
        <v>756</v>
      </c>
      <c r="I616" s="86">
        <v>44201</v>
      </c>
      <c r="J616" s="86">
        <v>45296</v>
      </c>
      <c r="K616" s="12" t="s">
        <v>123</v>
      </c>
      <c r="L616" s="12" t="s">
        <v>6616</v>
      </c>
    </row>
    <row r="617" spans="1:12">
      <c r="A617" s="12">
        <f t="shared" si="9"/>
        <v>615</v>
      </c>
      <c r="B617" s="12" t="s">
        <v>6617</v>
      </c>
      <c r="C617" s="12" t="s">
        <v>6618</v>
      </c>
      <c r="D617" s="85">
        <v>7917.62</v>
      </c>
      <c r="E617" s="6">
        <v>6392881</v>
      </c>
      <c r="F617" s="12" t="s">
        <v>6619</v>
      </c>
      <c r="G617" s="2" t="s">
        <v>755</v>
      </c>
      <c r="H617" s="12" t="s">
        <v>756</v>
      </c>
      <c r="I617" s="86">
        <v>44201</v>
      </c>
      <c r="J617" s="86">
        <v>45296</v>
      </c>
      <c r="K617" s="12" t="s">
        <v>123</v>
      </c>
      <c r="L617" s="12" t="s">
        <v>3123</v>
      </c>
    </row>
    <row r="618" spans="1:12">
      <c r="A618" s="12">
        <f t="shared" si="9"/>
        <v>616</v>
      </c>
      <c r="B618" s="12" t="s">
        <v>6620</v>
      </c>
      <c r="C618" s="12" t="s">
        <v>982</v>
      </c>
      <c r="D618" s="85">
        <v>22698.58</v>
      </c>
      <c r="E618" s="6">
        <v>5418674</v>
      </c>
      <c r="F618" s="12" t="s">
        <v>6522</v>
      </c>
      <c r="G618" s="2" t="s">
        <v>755</v>
      </c>
      <c r="H618" s="12" t="s">
        <v>756</v>
      </c>
      <c r="I618" s="86">
        <v>44267</v>
      </c>
      <c r="J618" s="86">
        <v>45363</v>
      </c>
      <c r="K618" s="12" t="s">
        <v>274</v>
      </c>
      <c r="L618" s="12" t="s">
        <v>2184</v>
      </c>
    </row>
    <row r="619" spans="1:12">
      <c r="A619" s="12">
        <f t="shared" si="9"/>
        <v>617</v>
      </c>
      <c r="B619" s="12" t="s">
        <v>6621</v>
      </c>
      <c r="C619" s="12" t="s">
        <v>6622</v>
      </c>
      <c r="D619" s="85">
        <v>2318.8000000000002</v>
      </c>
      <c r="E619" s="6">
        <v>6161669</v>
      </c>
      <c r="F619" s="12" t="s">
        <v>5383</v>
      </c>
      <c r="G619" s="2" t="s">
        <v>755</v>
      </c>
      <c r="H619" s="12" t="s">
        <v>756</v>
      </c>
      <c r="I619" s="86">
        <v>44250</v>
      </c>
      <c r="J619" s="86">
        <v>45345</v>
      </c>
      <c r="K619" s="12" t="s">
        <v>123</v>
      </c>
      <c r="L619" s="12" t="s">
        <v>272</v>
      </c>
    </row>
    <row r="620" spans="1:12">
      <c r="A620" s="12">
        <f t="shared" si="9"/>
        <v>618</v>
      </c>
      <c r="B620" s="12" t="s">
        <v>6623</v>
      </c>
      <c r="C620" s="12" t="s">
        <v>2317</v>
      </c>
      <c r="D620" s="85">
        <v>1984.77</v>
      </c>
      <c r="E620" s="6">
        <v>6414877</v>
      </c>
      <c r="F620" s="12" t="s">
        <v>2962</v>
      </c>
      <c r="G620" s="2" t="s">
        <v>755</v>
      </c>
      <c r="H620" s="12" t="s">
        <v>756</v>
      </c>
      <c r="I620" s="86">
        <v>44252</v>
      </c>
      <c r="J620" s="86">
        <v>45347</v>
      </c>
      <c r="K620" s="12" t="s">
        <v>170</v>
      </c>
      <c r="L620" s="12" t="s">
        <v>171</v>
      </c>
    </row>
    <row r="621" spans="1:12">
      <c r="A621" s="12">
        <f t="shared" si="9"/>
        <v>619</v>
      </c>
      <c r="B621" s="12" t="s">
        <v>6624</v>
      </c>
      <c r="C621" s="12" t="s">
        <v>5004</v>
      </c>
      <c r="D621" s="85">
        <v>428.94</v>
      </c>
      <c r="E621" s="6">
        <v>6058132</v>
      </c>
      <c r="F621" s="12" t="s">
        <v>5825</v>
      </c>
      <c r="G621" s="2" t="s">
        <v>755</v>
      </c>
      <c r="H621" s="12" t="s">
        <v>756</v>
      </c>
      <c r="I621" s="86">
        <v>42331</v>
      </c>
      <c r="J621" s="86">
        <v>45619</v>
      </c>
      <c r="K621" s="12" t="s">
        <v>375</v>
      </c>
      <c r="L621" s="12" t="s">
        <v>4135</v>
      </c>
    </row>
    <row r="622" spans="1:12" ht="38.25">
      <c r="A622" s="12">
        <f t="shared" si="9"/>
        <v>620</v>
      </c>
      <c r="B622" s="12" t="s">
        <v>6625</v>
      </c>
      <c r="C622" s="12" t="s">
        <v>2738</v>
      </c>
      <c r="D622" s="85">
        <v>6316.2</v>
      </c>
      <c r="E622" s="6">
        <v>5935024</v>
      </c>
      <c r="F622" s="12" t="s">
        <v>6273</v>
      </c>
      <c r="G622" s="2" t="s">
        <v>848</v>
      </c>
      <c r="H622" s="12" t="s">
        <v>849</v>
      </c>
      <c r="I622" s="86">
        <v>44250</v>
      </c>
      <c r="J622" s="86">
        <v>45345</v>
      </c>
      <c r="K622" s="12" t="s">
        <v>1102</v>
      </c>
      <c r="L622" s="12" t="s">
        <v>1550</v>
      </c>
    </row>
    <row r="623" spans="1:12">
      <c r="A623" s="12">
        <f t="shared" si="9"/>
        <v>621</v>
      </c>
      <c r="B623" s="12" t="s">
        <v>6626</v>
      </c>
      <c r="C623" s="12" t="s">
        <v>6627</v>
      </c>
      <c r="D623" s="85">
        <v>8299.42</v>
      </c>
      <c r="E623" s="6">
        <v>5588359</v>
      </c>
      <c r="F623" s="12" t="s">
        <v>6628</v>
      </c>
      <c r="G623" s="2" t="s">
        <v>755</v>
      </c>
      <c r="H623" s="12" t="s">
        <v>756</v>
      </c>
      <c r="I623" s="86">
        <v>44256</v>
      </c>
      <c r="J623" s="86">
        <v>45352</v>
      </c>
      <c r="K623" s="12" t="s">
        <v>274</v>
      </c>
      <c r="L623" s="12" t="s">
        <v>4003</v>
      </c>
    </row>
    <row r="624" spans="1:12">
      <c r="A624" s="12">
        <f t="shared" si="9"/>
        <v>622</v>
      </c>
      <c r="B624" s="12" t="s">
        <v>6629</v>
      </c>
      <c r="C624" s="12" t="s">
        <v>2159</v>
      </c>
      <c r="D624" s="85">
        <v>1129.2</v>
      </c>
      <c r="E624" s="6">
        <v>5961149</v>
      </c>
      <c r="F624" s="12" t="s">
        <v>6104</v>
      </c>
      <c r="G624" s="2" t="s">
        <v>755</v>
      </c>
      <c r="H624" s="12" t="s">
        <v>756</v>
      </c>
      <c r="I624" s="86">
        <v>44266</v>
      </c>
      <c r="J624" s="86">
        <v>45362</v>
      </c>
      <c r="K624" s="12" t="s">
        <v>375</v>
      </c>
      <c r="L624" s="12" t="s">
        <v>2955</v>
      </c>
    </row>
    <row r="625" spans="1:12" ht="38.25">
      <c r="A625" s="12">
        <f t="shared" si="9"/>
        <v>623</v>
      </c>
      <c r="B625" s="12" t="s">
        <v>6630</v>
      </c>
      <c r="C625" s="12" t="s">
        <v>6631</v>
      </c>
      <c r="D625" s="85">
        <v>6187.88</v>
      </c>
      <c r="E625" s="6">
        <v>5935024</v>
      </c>
      <c r="F625" s="12" t="s">
        <v>6273</v>
      </c>
      <c r="G625" s="2" t="s">
        <v>848</v>
      </c>
      <c r="H625" s="12" t="s">
        <v>849</v>
      </c>
      <c r="I625" s="86">
        <v>44291</v>
      </c>
      <c r="J625" s="86">
        <v>45387</v>
      </c>
      <c r="K625" s="12" t="s">
        <v>1102</v>
      </c>
      <c r="L625" s="12" t="s">
        <v>3628</v>
      </c>
    </row>
    <row r="626" spans="1:12">
      <c r="A626" s="12">
        <f t="shared" si="9"/>
        <v>624</v>
      </c>
      <c r="B626" s="12" t="s">
        <v>6632</v>
      </c>
      <c r="C626" s="12" t="s">
        <v>2302</v>
      </c>
      <c r="D626" s="85">
        <v>3021.1</v>
      </c>
      <c r="E626" s="6">
        <v>6604277</v>
      </c>
      <c r="F626" s="12" t="s">
        <v>5067</v>
      </c>
      <c r="G626" s="2" t="s">
        <v>755</v>
      </c>
      <c r="H626" s="12" t="s">
        <v>756</v>
      </c>
      <c r="I626" s="86">
        <v>44294</v>
      </c>
      <c r="J626" s="86">
        <v>45390</v>
      </c>
      <c r="K626" s="12" t="s">
        <v>123</v>
      </c>
      <c r="L626" s="12" t="s">
        <v>272</v>
      </c>
    </row>
    <row r="627" spans="1:12" ht="38.25">
      <c r="A627" s="12">
        <f t="shared" si="9"/>
        <v>625</v>
      </c>
      <c r="B627" s="12" t="s">
        <v>6633</v>
      </c>
      <c r="C627" s="12" t="s">
        <v>6634</v>
      </c>
      <c r="D627" s="85">
        <v>3027.92</v>
      </c>
      <c r="E627" s="6">
        <v>5337232</v>
      </c>
      <c r="F627" s="12" t="s">
        <v>6635</v>
      </c>
      <c r="G627" s="2" t="s">
        <v>848</v>
      </c>
      <c r="H627" s="12" t="s">
        <v>849</v>
      </c>
      <c r="I627" s="86">
        <v>44288</v>
      </c>
      <c r="J627" s="86">
        <v>45384</v>
      </c>
      <c r="K627" s="12" t="s">
        <v>123</v>
      </c>
      <c r="L627" s="12" t="s">
        <v>272</v>
      </c>
    </row>
    <row r="628" spans="1:12">
      <c r="A628" s="12">
        <f t="shared" si="9"/>
        <v>626</v>
      </c>
      <c r="B628" s="12" t="s">
        <v>6636</v>
      </c>
      <c r="C628" s="12" t="s">
        <v>2874</v>
      </c>
      <c r="D628" s="85">
        <v>425.39</v>
      </c>
      <c r="E628" s="6">
        <v>6411169</v>
      </c>
      <c r="F628" s="12" t="s">
        <v>6637</v>
      </c>
      <c r="G628" s="2" t="s">
        <v>755</v>
      </c>
      <c r="H628" s="12" t="s">
        <v>756</v>
      </c>
      <c r="I628" s="86">
        <v>44294</v>
      </c>
      <c r="J628" s="86">
        <v>45390</v>
      </c>
      <c r="K628" s="12" t="s">
        <v>288</v>
      </c>
      <c r="L628" s="12" t="s">
        <v>2056</v>
      </c>
    </row>
    <row r="629" spans="1:12">
      <c r="A629" s="12">
        <f t="shared" si="9"/>
        <v>627</v>
      </c>
      <c r="B629" s="12" t="s">
        <v>6638</v>
      </c>
      <c r="C629" s="12" t="s">
        <v>6639</v>
      </c>
      <c r="D629" s="85">
        <v>467.68</v>
      </c>
      <c r="E629" s="6">
        <v>5591899</v>
      </c>
      <c r="F629" s="12" t="s">
        <v>6640</v>
      </c>
      <c r="G629" s="2" t="s">
        <v>755</v>
      </c>
      <c r="H629" s="12" t="s">
        <v>756</v>
      </c>
      <c r="I629" s="86">
        <v>44291</v>
      </c>
      <c r="J629" s="86">
        <v>45387</v>
      </c>
      <c r="K629" s="12" t="s">
        <v>836</v>
      </c>
      <c r="L629" s="12" t="s">
        <v>837</v>
      </c>
    </row>
    <row r="630" spans="1:12">
      <c r="A630" s="12">
        <f t="shared" si="9"/>
        <v>628</v>
      </c>
      <c r="B630" s="12" t="s">
        <v>6641</v>
      </c>
      <c r="C630" s="12" t="s">
        <v>6642</v>
      </c>
      <c r="D630" s="85">
        <v>283.05</v>
      </c>
      <c r="E630" s="6">
        <v>6204759</v>
      </c>
      <c r="F630" s="12" t="s">
        <v>6643</v>
      </c>
      <c r="G630" s="2" t="s">
        <v>755</v>
      </c>
      <c r="H630" s="12" t="s">
        <v>756</v>
      </c>
      <c r="I630" s="86">
        <v>44312</v>
      </c>
      <c r="J630" s="86">
        <v>45408</v>
      </c>
      <c r="K630" s="12" t="s">
        <v>274</v>
      </c>
      <c r="L630" s="12" t="s">
        <v>275</v>
      </c>
    </row>
    <row r="631" spans="1:12">
      <c r="A631" s="12">
        <f t="shared" si="9"/>
        <v>629</v>
      </c>
      <c r="B631" s="12" t="s">
        <v>6644</v>
      </c>
      <c r="C631" s="12" t="s">
        <v>6219</v>
      </c>
      <c r="D631" s="85">
        <v>1612.59</v>
      </c>
      <c r="E631" s="6">
        <v>5429617</v>
      </c>
      <c r="F631" s="12" t="s">
        <v>5565</v>
      </c>
      <c r="G631" s="2" t="s">
        <v>755</v>
      </c>
      <c r="H631" s="12" t="s">
        <v>756</v>
      </c>
      <c r="I631" s="86">
        <v>44294</v>
      </c>
      <c r="J631" s="86">
        <v>45390</v>
      </c>
      <c r="K631" s="12" t="s">
        <v>1014</v>
      </c>
      <c r="L631" s="12" t="s">
        <v>3043</v>
      </c>
    </row>
    <row r="632" spans="1:12" ht="38.25">
      <c r="A632" s="12">
        <f t="shared" si="9"/>
        <v>630</v>
      </c>
      <c r="B632" s="12" t="s">
        <v>6645</v>
      </c>
      <c r="C632" s="12" t="s">
        <v>1979</v>
      </c>
      <c r="D632" s="85">
        <v>242.71</v>
      </c>
      <c r="E632" s="6">
        <v>5018536</v>
      </c>
      <c r="F632" s="12" t="s">
        <v>1852</v>
      </c>
      <c r="G632" s="2" t="s">
        <v>766</v>
      </c>
      <c r="H632" s="12" t="s">
        <v>767</v>
      </c>
      <c r="I632" s="86">
        <v>42381</v>
      </c>
      <c r="J632" s="86">
        <v>45669</v>
      </c>
      <c r="K632" s="12" t="s">
        <v>375</v>
      </c>
      <c r="L632" s="12" t="s">
        <v>944</v>
      </c>
    </row>
    <row r="633" spans="1:12">
      <c r="A633" s="12">
        <f t="shared" si="9"/>
        <v>631</v>
      </c>
      <c r="B633" s="12" t="s">
        <v>6646</v>
      </c>
      <c r="C633" s="12" t="s">
        <v>6647</v>
      </c>
      <c r="D633" s="85">
        <v>4141.8</v>
      </c>
      <c r="E633" s="6">
        <v>5045894</v>
      </c>
      <c r="F633" s="12" t="s">
        <v>1333</v>
      </c>
      <c r="G633" s="2" t="s">
        <v>755</v>
      </c>
      <c r="H633" s="12" t="s">
        <v>756</v>
      </c>
      <c r="I633" s="86">
        <v>44333</v>
      </c>
      <c r="J633" s="86">
        <v>45429</v>
      </c>
      <c r="K633" s="12" t="s">
        <v>123</v>
      </c>
      <c r="L633" s="12" t="s">
        <v>272</v>
      </c>
    </row>
    <row r="634" spans="1:12">
      <c r="A634" s="12">
        <f t="shared" si="9"/>
        <v>632</v>
      </c>
      <c r="B634" s="12" t="s">
        <v>6648</v>
      </c>
      <c r="C634" s="12" t="s">
        <v>2353</v>
      </c>
      <c r="D634" s="85">
        <v>10347.51</v>
      </c>
      <c r="E634" s="6">
        <v>5162696</v>
      </c>
      <c r="F634" s="12" t="s">
        <v>4884</v>
      </c>
      <c r="G634" s="2" t="s">
        <v>755</v>
      </c>
      <c r="H634" s="12" t="s">
        <v>756</v>
      </c>
      <c r="I634" s="86">
        <v>44312</v>
      </c>
      <c r="J634" s="86">
        <v>45408</v>
      </c>
      <c r="K634" s="12" t="s">
        <v>274</v>
      </c>
      <c r="L634" s="12" t="s">
        <v>1042</v>
      </c>
    </row>
    <row r="635" spans="1:12">
      <c r="A635" s="12">
        <f t="shared" si="9"/>
        <v>633</v>
      </c>
      <c r="B635" s="12" t="s">
        <v>6649</v>
      </c>
      <c r="C635" s="12" t="s">
        <v>1753</v>
      </c>
      <c r="D635" s="85">
        <v>18527.150000000001</v>
      </c>
      <c r="E635" s="6">
        <v>6204767</v>
      </c>
      <c r="F635" s="12" t="s">
        <v>5130</v>
      </c>
      <c r="G635" s="2" t="s">
        <v>755</v>
      </c>
      <c r="H635" s="12" t="s">
        <v>756</v>
      </c>
      <c r="I635" s="86">
        <v>44294</v>
      </c>
      <c r="J635" s="86">
        <v>45390</v>
      </c>
      <c r="K635" s="12" t="s">
        <v>768</v>
      </c>
      <c r="L635" s="12" t="s">
        <v>933</v>
      </c>
    </row>
    <row r="636" spans="1:12">
      <c r="A636" s="12">
        <f t="shared" si="9"/>
        <v>634</v>
      </c>
      <c r="B636" s="12" t="s">
        <v>6650</v>
      </c>
      <c r="C636" s="12" t="s">
        <v>5081</v>
      </c>
      <c r="D636" s="85">
        <v>6257.03</v>
      </c>
      <c r="E636" s="6">
        <v>5526515</v>
      </c>
      <c r="F636" s="12" t="s">
        <v>5082</v>
      </c>
      <c r="G636" s="2" t="s">
        <v>755</v>
      </c>
      <c r="H636" s="12" t="s">
        <v>756</v>
      </c>
      <c r="I636" s="86">
        <v>44294</v>
      </c>
      <c r="J636" s="86">
        <v>45390</v>
      </c>
      <c r="K636" s="12" t="s">
        <v>768</v>
      </c>
      <c r="L636" s="12" t="s">
        <v>933</v>
      </c>
    </row>
    <row r="637" spans="1:12" ht="38.25">
      <c r="A637" s="12">
        <f t="shared" si="9"/>
        <v>635</v>
      </c>
      <c r="B637" s="12" t="s">
        <v>6651</v>
      </c>
      <c r="C637" s="12" t="s">
        <v>6652</v>
      </c>
      <c r="D637" s="85">
        <v>8643.85</v>
      </c>
      <c r="E637" s="6">
        <v>5935024</v>
      </c>
      <c r="F637" s="12" t="s">
        <v>6273</v>
      </c>
      <c r="G637" s="2" t="s">
        <v>848</v>
      </c>
      <c r="H637" s="12" t="s">
        <v>849</v>
      </c>
      <c r="I637" s="86">
        <v>44295</v>
      </c>
      <c r="J637" s="86">
        <v>45391</v>
      </c>
      <c r="K637" s="12" t="s">
        <v>1102</v>
      </c>
      <c r="L637" s="12" t="s">
        <v>6653</v>
      </c>
    </row>
    <row r="638" spans="1:12">
      <c r="A638" s="12">
        <f t="shared" si="9"/>
        <v>636</v>
      </c>
      <c r="B638" s="12" t="s">
        <v>6654</v>
      </c>
      <c r="C638" s="12" t="s">
        <v>1825</v>
      </c>
      <c r="D638" s="85">
        <v>1624.3</v>
      </c>
      <c r="E638" s="6">
        <v>5393345</v>
      </c>
      <c r="F638" s="12" t="s">
        <v>6655</v>
      </c>
      <c r="G638" s="2" t="s">
        <v>755</v>
      </c>
      <c r="H638" s="12" t="s">
        <v>756</v>
      </c>
      <c r="I638" s="86">
        <v>44294</v>
      </c>
      <c r="J638" s="86">
        <v>45390</v>
      </c>
      <c r="K638" s="12" t="s">
        <v>1014</v>
      </c>
      <c r="L638" s="12" t="s">
        <v>1015</v>
      </c>
    </row>
    <row r="639" spans="1:12">
      <c r="A639" s="12">
        <f t="shared" si="9"/>
        <v>637</v>
      </c>
      <c r="B639" s="12" t="s">
        <v>6656</v>
      </c>
      <c r="C639" s="12" t="s">
        <v>6064</v>
      </c>
      <c r="D639" s="85">
        <v>1119.53</v>
      </c>
      <c r="E639" s="6">
        <v>6755291</v>
      </c>
      <c r="F639" s="12" t="s">
        <v>6657</v>
      </c>
      <c r="G639" s="2" t="s">
        <v>755</v>
      </c>
      <c r="H639" s="12" t="s">
        <v>756</v>
      </c>
      <c r="I639" s="86">
        <v>44377</v>
      </c>
      <c r="J639" s="86">
        <v>45473</v>
      </c>
      <c r="K639" s="12" t="s">
        <v>123</v>
      </c>
      <c r="L639" s="12" t="s">
        <v>272</v>
      </c>
    </row>
    <row r="640" spans="1:12">
      <c r="A640" s="12">
        <f t="shared" si="9"/>
        <v>638</v>
      </c>
      <c r="B640" s="12" t="s">
        <v>6658</v>
      </c>
      <c r="C640" s="12" t="s">
        <v>5170</v>
      </c>
      <c r="D640" s="85">
        <v>5480.53</v>
      </c>
      <c r="E640" s="6">
        <v>6690912</v>
      </c>
      <c r="F640" s="12" t="s">
        <v>5171</v>
      </c>
      <c r="G640" s="2" t="s">
        <v>755</v>
      </c>
      <c r="H640" s="12" t="s">
        <v>756</v>
      </c>
      <c r="I640" s="86">
        <v>44347</v>
      </c>
      <c r="J640" s="86">
        <v>45443</v>
      </c>
      <c r="K640" s="12" t="s">
        <v>138</v>
      </c>
      <c r="L640" s="12" t="s">
        <v>1806</v>
      </c>
    </row>
    <row r="641" spans="1:12">
      <c r="A641" s="12">
        <f t="shared" si="9"/>
        <v>639</v>
      </c>
      <c r="B641" s="12" t="s">
        <v>6659</v>
      </c>
      <c r="C641" s="12" t="s">
        <v>6660</v>
      </c>
      <c r="D641" s="85">
        <v>654.86</v>
      </c>
      <c r="E641" s="6">
        <v>5393345</v>
      </c>
      <c r="F641" s="12" t="s">
        <v>6655</v>
      </c>
      <c r="G641" s="2" t="s">
        <v>755</v>
      </c>
      <c r="H641" s="12" t="s">
        <v>756</v>
      </c>
      <c r="I641" s="86">
        <v>44326</v>
      </c>
      <c r="J641" s="86">
        <v>45422</v>
      </c>
      <c r="K641" s="12" t="s">
        <v>1014</v>
      </c>
      <c r="L641" s="12" t="s">
        <v>3643</v>
      </c>
    </row>
    <row r="642" spans="1:12">
      <c r="A642" s="12">
        <f t="shared" si="9"/>
        <v>640</v>
      </c>
      <c r="B642" s="12" t="s">
        <v>6661</v>
      </c>
      <c r="C642" s="12" t="s">
        <v>6662</v>
      </c>
      <c r="D642" s="85">
        <v>12358.65</v>
      </c>
      <c r="E642" s="6">
        <v>6720102</v>
      </c>
      <c r="F642" s="12" t="s">
        <v>6663</v>
      </c>
      <c r="G642" s="2" t="s">
        <v>755</v>
      </c>
      <c r="H642" s="12" t="s">
        <v>756</v>
      </c>
      <c r="I642" s="86">
        <v>44347</v>
      </c>
      <c r="J642" s="86">
        <v>45443</v>
      </c>
      <c r="K642" s="12" t="s">
        <v>768</v>
      </c>
      <c r="L642" s="12" t="s">
        <v>6664</v>
      </c>
    </row>
    <row r="643" spans="1:12">
      <c r="A643" s="12">
        <f t="shared" si="9"/>
        <v>641</v>
      </c>
      <c r="B643" s="12" t="s">
        <v>6665</v>
      </c>
      <c r="C643" s="12" t="s">
        <v>5132</v>
      </c>
      <c r="D643" s="85">
        <v>2201.87</v>
      </c>
      <c r="E643" s="6">
        <v>6613713</v>
      </c>
      <c r="F643" s="12" t="s">
        <v>5133</v>
      </c>
      <c r="G643" s="2" t="s">
        <v>755</v>
      </c>
      <c r="H643" s="12" t="s">
        <v>756</v>
      </c>
      <c r="I643" s="86">
        <v>44347</v>
      </c>
      <c r="J643" s="86">
        <v>45443</v>
      </c>
      <c r="K643" s="12" t="s">
        <v>5134</v>
      </c>
      <c r="L643" s="12" t="s">
        <v>5135</v>
      </c>
    </row>
    <row r="644" spans="1:12">
      <c r="A644" s="12">
        <f t="shared" si="9"/>
        <v>642</v>
      </c>
      <c r="B644" s="12" t="s">
        <v>6666</v>
      </c>
      <c r="C644" s="12" t="s">
        <v>1165</v>
      </c>
      <c r="D644" s="85">
        <v>1207.81</v>
      </c>
      <c r="E644" s="6">
        <v>6679439</v>
      </c>
      <c r="F644" s="12" t="s">
        <v>6667</v>
      </c>
      <c r="G644" s="2" t="s">
        <v>755</v>
      </c>
      <c r="H644" s="12" t="s">
        <v>756</v>
      </c>
      <c r="I644" s="86">
        <v>44347</v>
      </c>
      <c r="J644" s="86">
        <v>45443</v>
      </c>
      <c r="K644" s="12" t="s">
        <v>5134</v>
      </c>
      <c r="L644" s="12" t="s">
        <v>5135</v>
      </c>
    </row>
    <row r="645" spans="1:12">
      <c r="A645" s="12">
        <f t="shared" ref="A645:A708" si="10">A644+1</f>
        <v>643</v>
      </c>
      <c r="B645" s="12" t="s">
        <v>6668</v>
      </c>
      <c r="C645" s="12" t="s">
        <v>6101</v>
      </c>
      <c r="D645" s="85">
        <v>2549.09</v>
      </c>
      <c r="E645" s="6">
        <v>6667791</v>
      </c>
      <c r="F645" s="12" t="s">
        <v>6669</v>
      </c>
      <c r="G645" s="2" t="s">
        <v>755</v>
      </c>
      <c r="H645" s="12" t="s">
        <v>756</v>
      </c>
      <c r="I645" s="86">
        <v>42390</v>
      </c>
      <c r="J645" s="86">
        <v>45678</v>
      </c>
      <c r="K645" s="12" t="s">
        <v>170</v>
      </c>
      <c r="L645" s="12" t="s">
        <v>2444</v>
      </c>
    </row>
    <row r="646" spans="1:12">
      <c r="A646" s="12">
        <f t="shared" si="10"/>
        <v>644</v>
      </c>
      <c r="B646" s="12" t="s">
        <v>6670</v>
      </c>
      <c r="C646" s="12" t="s">
        <v>4434</v>
      </c>
      <c r="D646" s="85">
        <v>13683.46</v>
      </c>
      <c r="E646" s="6">
        <v>5226759</v>
      </c>
      <c r="F646" s="12" t="s">
        <v>4435</v>
      </c>
      <c r="G646" s="2" t="s">
        <v>755</v>
      </c>
      <c r="H646" s="12" t="s">
        <v>756</v>
      </c>
      <c r="I646" s="86">
        <v>42116</v>
      </c>
      <c r="J646" s="86">
        <v>45404</v>
      </c>
      <c r="K646" s="12" t="s">
        <v>768</v>
      </c>
      <c r="L646" s="12" t="s">
        <v>4369</v>
      </c>
    </row>
    <row r="647" spans="1:12">
      <c r="A647" s="12">
        <f t="shared" si="10"/>
        <v>645</v>
      </c>
      <c r="B647" s="12" t="s">
        <v>6671</v>
      </c>
      <c r="C647" s="12" t="s">
        <v>3502</v>
      </c>
      <c r="D647" s="85">
        <v>3954.84</v>
      </c>
      <c r="E647" s="6">
        <v>6634966</v>
      </c>
      <c r="F647" s="12" t="s">
        <v>6672</v>
      </c>
      <c r="G647" s="2" t="s">
        <v>755</v>
      </c>
      <c r="H647" s="12" t="s">
        <v>756</v>
      </c>
      <c r="I647" s="86">
        <v>44375</v>
      </c>
      <c r="J647" s="86">
        <v>45471</v>
      </c>
      <c r="K647" s="12" t="s">
        <v>170</v>
      </c>
      <c r="L647" s="12" t="s">
        <v>2450</v>
      </c>
    </row>
    <row r="648" spans="1:12">
      <c r="A648" s="12">
        <f t="shared" si="10"/>
        <v>646</v>
      </c>
      <c r="B648" s="12" t="s">
        <v>6673</v>
      </c>
      <c r="C648" s="12" t="s">
        <v>6674</v>
      </c>
      <c r="D648" s="85">
        <v>409.21</v>
      </c>
      <c r="E648" s="6">
        <v>5644828</v>
      </c>
      <c r="F648" s="12" t="s">
        <v>6675</v>
      </c>
      <c r="G648" s="2" t="s">
        <v>755</v>
      </c>
      <c r="H648" s="12" t="s">
        <v>756</v>
      </c>
      <c r="I648" s="86">
        <v>44398</v>
      </c>
      <c r="J648" s="86">
        <v>45494</v>
      </c>
      <c r="K648" s="12" t="s">
        <v>304</v>
      </c>
      <c r="L648" s="12" t="s">
        <v>773</v>
      </c>
    </row>
    <row r="649" spans="1:12">
      <c r="A649" s="12">
        <f t="shared" si="10"/>
        <v>647</v>
      </c>
      <c r="B649" s="12" t="s">
        <v>6676</v>
      </c>
      <c r="C649" s="12" t="s">
        <v>3338</v>
      </c>
      <c r="D649" s="85">
        <v>4339.0600000000004</v>
      </c>
      <c r="E649" s="6">
        <v>5393345</v>
      </c>
      <c r="F649" s="12" t="s">
        <v>6655</v>
      </c>
      <c r="G649" s="2" t="s">
        <v>755</v>
      </c>
      <c r="H649" s="12" t="s">
        <v>756</v>
      </c>
      <c r="I649" s="86">
        <v>44377</v>
      </c>
      <c r="J649" s="86">
        <v>45473</v>
      </c>
      <c r="K649" s="12" t="s">
        <v>233</v>
      </c>
      <c r="L649" s="12" t="s">
        <v>1300</v>
      </c>
    </row>
    <row r="650" spans="1:12">
      <c r="A650" s="12">
        <f t="shared" si="10"/>
        <v>648</v>
      </c>
      <c r="B650" s="12" t="s">
        <v>6677</v>
      </c>
      <c r="C650" s="12" t="s">
        <v>6678</v>
      </c>
      <c r="D650" s="85">
        <v>827.87</v>
      </c>
      <c r="E650" s="6">
        <v>6161669</v>
      </c>
      <c r="F650" s="12" t="s">
        <v>5383</v>
      </c>
      <c r="G650" s="2" t="s">
        <v>755</v>
      </c>
      <c r="H650" s="12" t="s">
        <v>756</v>
      </c>
      <c r="I650" s="86">
        <v>44377</v>
      </c>
      <c r="J650" s="86">
        <v>45473</v>
      </c>
      <c r="K650" s="12" t="s">
        <v>1097</v>
      </c>
      <c r="L650" s="12" t="s">
        <v>6597</v>
      </c>
    </row>
    <row r="651" spans="1:12">
      <c r="A651" s="12">
        <f t="shared" si="10"/>
        <v>649</v>
      </c>
      <c r="B651" s="12" t="s">
        <v>6679</v>
      </c>
      <c r="C651" s="12" t="s">
        <v>6680</v>
      </c>
      <c r="D651" s="85">
        <v>1888.2</v>
      </c>
      <c r="E651" s="6">
        <v>6161669</v>
      </c>
      <c r="F651" s="12" t="s">
        <v>5383</v>
      </c>
      <c r="G651" s="2" t="s">
        <v>755</v>
      </c>
      <c r="H651" s="12" t="s">
        <v>756</v>
      </c>
      <c r="I651" s="86">
        <v>44377</v>
      </c>
      <c r="J651" s="86">
        <v>45473</v>
      </c>
      <c r="K651" s="12" t="s">
        <v>1097</v>
      </c>
      <c r="L651" s="12" t="s">
        <v>6597</v>
      </c>
    </row>
    <row r="652" spans="1:12">
      <c r="A652" s="12">
        <f t="shared" si="10"/>
        <v>650</v>
      </c>
      <c r="B652" s="12" t="s">
        <v>6681</v>
      </c>
      <c r="C652" s="12" t="s">
        <v>6682</v>
      </c>
      <c r="D652" s="85">
        <v>2627.59</v>
      </c>
      <c r="E652" s="6">
        <v>5393345</v>
      </c>
      <c r="F652" s="12" t="s">
        <v>6655</v>
      </c>
      <c r="G652" s="2" t="s">
        <v>755</v>
      </c>
      <c r="H652" s="12" t="s">
        <v>756</v>
      </c>
      <c r="I652" s="86">
        <v>44377</v>
      </c>
      <c r="J652" s="86">
        <v>45473</v>
      </c>
      <c r="K652" s="12" t="s">
        <v>1097</v>
      </c>
      <c r="L652" s="12" t="s">
        <v>6597</v>
      </c>
    </row>
    <row r="653" spans="1:12">
      <c r="A653" s="12">
        <f t="shared" si="10"/>
        <v>651</v>
      </c>
      <c r="B653" s="12" t="s">
        <v>6683</v>
      </c>
      <c r="C653" s="12" t="s">
        <v>6684</v>
      </c>
      <c r="D653" s="85">
        <v>584.26</v>
      </c>
      <c r="E653" s="6">
        <v>6207359</v>
      </c>
      <c r="F653" s="12" t="s">
        <v>6685</v>
      </c>
      <c r="G653" s="2" t="s">
        <v>755</v>
      </c>
      <c r="H653" s="12" t="s">
        <v>756</v>
      </c>
      <c r="I653" s="86">
        <v>44379</v>
      </c>
      <c r="J653" s="86">
        <v>45475</v>
      </c>
      <c r="K653" s="12" t="s">
        <v>288</v>
      </c>
      <c r="L653" s="12" t="s">
        <v>2697</v>
      </c>
    </row>
    <row r="654" spans="1:12">
      <c r="A654" s="12">
        <f t="shared" si="10"/>
        <v>652</v>
      </c>
      <c r="B654" s="12" t="s">
        <v>6686</v>
      </c>
      <c r="C654" s="12" t="s">
        <v>2874</v>
      </c>
      <c r="D654" s="85">
        <v>402.11</v>
      </c>
      <c r="E654" s="6">
        <v>6161669</v>
      </c>
      <c r="F654" s="12" t="s">
        <v>5383</v>
      </c>
      <c r="G654" s="2" t="s">
        <v>755</v>
      </c>
      <c r="H654" s="12" t="s">
        <v>756</v>
      </c>
      <c r="I654" s="86">
        <v>44382</v>
      </c>
      <c r="J654" s="86">
        <v>45478</v>
      </c>
      <c r="K654" s="12" t="s">
        <v>1242</v>
      </c>
      <c r="L654" s="12" t="s">
        <v>4561</v>
      </c>
    </row>
    <row r="655" spans="1:12">
      <c r="A655" s="12">
        <f t="shared" si="10"/>
        <v>653</v>
      </c>
      <c r="B655" s="12" t="s">
        <v>6687</v>
      </c>
      <c r="C655" s="12" t="s">
        <v>6688</v>
      </c>
      <c r="D655" s="85">
        <v>8211.2900000000009</v>
      </c>
      <c r="E655" s="6">
        <v>5528437</v>
      </c>
      <c r="F655" s="12" t="s">
        <v>6689</v>
      </c>
      <c r="G655" s="2" t="s">
        <v>755</v>
      </c>
      <c r="H655" s="12" t="s">
        <v>756</v>
      </c>
      <c r="I655" s="86">
        <v>44379</v>
      </c>
      <c r="J655" s="86">
        <v>45475</v>
      </c>
      <c r="K655" s="12" t="s">
        <v>163</v>
      </c>
      <c r="L655" s="12" t="s">
        <v>1417</v>
      </c>
    </row>
    <row r="656" spans="1:12">
      <c r="A656" s="12">
        <f t="shared" si="10"/>
        <v>654</v>
      </c>
      <c r="B656" s="12" t="s">
        <v>6690</v>
      </c>
      <c r="C656" s="12" t="s">
        <v>1389</v>
      </c>
      <c r="D656" s="85">
        <v>1262.0999999999999</v>
      </c>
      <c r="E656" s="6">
        <v>6707645</v>
      </c>
      <c r="F656" s="12" t="s">
        <v>6691</v>
      </c>
      <c r="G656" s="2" t="s">
        <v>755</v>
      </c>
      <c r="H656" s="12" t="s">
        <v>756</v>
      </c>
      <c r="I656" s="86">
        <v>44379</v>
      </c>
      <c r="J656" s="86">
        <v>45475</v>
      </c>
      <c r="K656" s="12" t="s">
        <v>163</v>
      </c>
      <c r="L656" s="12" t="s">
        <v>1417</v>
      </c>
    </row>
    <row r="657" spans="1:12">
      <c r="A657" s="12">
        <f t="shared" si="10"/>
        <v>655</v>
      </c>
      <c r="B657" s="12" t="s">
        <v>6692</v>
      </c>
      <c r="C657" s="12" t="s">
        <v>6693</v>
      </c>
      <c r="D657" s="85">
        <v>3745.95</v>
      </c>
      <c r="E657" s="6">
        <v>2095025</v>
      </c>
      <c r="F657" s="12" t="s">
        <v>870</v>
      </c>
      <c r="G657" s="2" t="s">
        <v>755</v>
      </c>
      <c r="H657" s="12" t="s">
        <v>756</v>
      </c>
      <c r="I657" s="86">
        <v>44384</v>
      </c>
      <c r="J657" s="86">
        <v>45480</v>
      </c>
      <c r="K657" s="12" t="s">
        <v>1242</v>
      </c>
      <c r="L657" s="12" t="s">
        <v>5536</v>
      </c>
    </row>
    <row r="658" spans="1:12">
      <c r="A658" s="12">
        <f t="shared" si="10"/>
        <v>656</v>
      </c>
      <c r="B658" s="12" t="s">
        <v>6694</v>
      </c>
      <c r="C658" s="12" t="s">
        <v>2435</v>
      </c>
      <c r="D658" s="85">
        <v>690.34</v>
      </c>
      <c r="E658" s="6">
        <v>2550466</v>
      </c>
      <c r="F658" s="12" t="s">
        <v>801</v>
      </c>
      <c r="G658" s="2" t="s">
        <v>761</v>
      </c>
      <c r="H658" s="12" t="s">
        <v>756</v>
      </c>
      <c r="I658" s="86">
        <v>44403</v>
      </c>
      <c r="J658" s="86">
        <v>45499</v>
      </c>
      <c r="K658" s="12" t="s">
        <v>293</v>
      </c>
      <c r="L658" s="12" t="s">
        <v>181</v>
      </c>
    </row>
    <row r="659" spans="1:12">
      <c r="A659" s="12">
        <f t="shared" si="10"/>
        <v>657</v>
      </c>
      <c r="B659" s="12" t="s">
        <v>6695</v>
      </c>
      <c r="C659" s="12" t="s">
        <v>289</v>
      </c>
      <c r="D659" s="85">
        <v>2965.99</v>
      </c>
      <c r="E659" s="6">
        <v>5323843</v>
      </c>
      <c r="F659" s="12" t="s">
        <v>6696</v>
      </c>
      <c r="G659" s="2" t="s">
        <v>755</v>
      </c>
      <c r="H659" s="12" t="s">
        <v>756</v>
      </c>
      <c r="I659" s="86">
        <v>44417</v>
      </c>
      <c r="J659" s="86">
        <v>45513</v>
      </c>
      <c r="K659" s="12" t="s">
        <v>782</v>
      </c>
      <c r="L659" s="12" t="s">
        <v>2429</v>
      </c>
    </row>
    <row r="660" spans="1:12">
      <c r="A660" s="12">
        <f t="shared" si="10"/>
        <v>658</v>
      </c>
      <c r="B660" s="12" t="s">
        <v>6697</v>
      </c>
      <c r="C660" s="12" t="s">
        <v>6698</v>
      </c>
      <c r="D660" s="85">
        <v>4177.01</v>
      </c>
      <c r="E660" s="6">
        <v>6708986</v>
      </c>
      <c r="F660" s="12" t="s">
        <v>6699</v>
      </c>
      <c r="G660" s="2" t="s">
        <v>755</v>
      </c>
      <c r="H660" s="12" t="s">
        <v>756</v>
      </c>
      <c r="I660" s="86">
        <v>44412</v>
      </c>
      <c r="J660" s="86">
        <v>45508</v>
      </c>
      <c r="K660" s="12" t="s">
        <v>170</v>
      </c>
      <c r="L660" s="12" t="s">
        <v>2450</v>
      </c>
    </row>
    <row r="661" spans="1:12">
      <c r="A661" s="12">
        <f t="shared" si="10"/>
        <v>659</v>
      </c>
      <c r="B661" s="12" t="s">
        <v>6700</v>
      </c>
      <c r="C661" s="12" t="s">
        <v>6701</v>
      </c>
      <c r="D661" s="85">
        <v>3425.01</v>
      </c>
      <c r="E661" s="6">
        <v>8399794</v>
      </c>
      <c r="F661" s="12" t="s">
        <v>6702</v>
      </c>
      <c r="G661" s="2" t="s">
        <v>755</v>
      </c>
      <c r="H661" s="12" t="s">
        <v>756</v>
      </c>
      <c r="I661" s="86">
        <v>44377</v>
      </c>
      <c r="J661" s="86">
        <v>45473</v>
      </c>
      <c r="K661" s="12" t="s">
        <v>782</v>
      </c>
      <c r="L661" s="12" t="s">
        <v>2429</v>
      </c>
    </row>
    <row r="662" spans="1:12">
      <c r="A662" s="12">
        <f t="shared" si="10"/>
        <v>660</v>
      </c>
      <c r="B662" s="12" t="s">
        <v>6703</v>
      </c>
      <c r="C662" s="12" t="s">
        <v>6704</v>
      </c>
      <c r="D662" s="85">
        <v>8147.81</v>
      </c>
      <c r="E662" s="6">
        <v>6708994</v>
      </c>
      <c r="F662" s="12" t="s">
        <v>886</v>
      </c>
      <c r="G662" s="2" t="s">
        <v>755</v>
      </c>
      <c r="H662" s="12" t="s">
        <v>756</v>
      </c>
      <c r="I662" s="86">
        <v>44385</v>
      </c>
      <c r="J662" s="86">
        <v>45481</v>
      </c>
      <c r="K662" s="12" t="s">
        <v>123</v>
      </c>
      <c r="L662" s="12" t="s">
        <v>1472</v>
      </c>
    </row>
    <row r="663" spans="1:12">
      <c r="A663" s="12">
        <f t="shared" si="10"/>
        <v>661</v>
      </c>
      <c r="B663" s="12" t="s">
        <v>6705</v>
      </c>
      <c r="C663" s="12" t="s">
        <v>6706</v>
      </c>
      <c r="D663" s="85">
        <v>3634.25</v>
      </c>
      <c r="E663" s="6">
        <v>5163048</v>
      </c>
      <c r="F663" s="12" t="s">
        <v>6707</v>
      </c>
      <c r="G663" s="2" t="s">
        <v>755</v>
      </c>
      <c r="H663" s="12" t="s">
        <v>756</v>
      </c>
      <c r="I663" s="86">
        <v>44385</v>
      </c>
      <c r="J663" s="86">
        <v>45481</v>
      </c>
      <c r="K663" s="12" t="s">
        <v>123</v>
      </c>
      <c r="L663" s="12" t="s">
        <v>1472</v>
      </c>
    </row>
    <row r="664" spans="1:12">
      <c r="A664" s="12">
        <f t="shared" si="10"/>
        <v>662</v>
      </c>
      <c r="B664" s="12" t="s">
        <v>6708</v>
      </c>
      <c r="C664" s="12" t="s">
        <v>6709</v>
      </c>
      <c r="D664" s="85">
        <v>1784.47</v>
      </c>
      <c r="E664" s="6">
        <v>5005094</v>
      </c>
      <c r="F664" s="12" t="s">
        <v>1143</v>
      </c>
      <c r="G664" s="2" t="s">
        <v>755</v>
      </c>
      <c r="H664" s="12" t="s">
        <v>756</v>
      </c>
      <c r="I664" s="86">
        <v>44398</v>
      </c>
      <c r="J664" s="86">
        <v>45494</v>
      </c>
      <c r="K664" s="12" t="s">
        <v>274</v>
      </c>
      <c r="L664" s="12" t="s">
        <v>1413</v>
      </c>
    </row>
    <row r="665" spans="1:12" ht="38.25">
      <c r="A665" s="12">
        <f t="shared" si="10"/>
        <v>663</v>
      </c>
      <c r="B665" s="12" t="s">
        <v>6710</v>
      </c>
      <c r="C665" s="12" t="s">
        <v>6711</v>
      </c>
      <c r="D665" s="85">
        <v>7704.27</v>
      </c>
      <c r="E665" s="6">
        <v>6256171</v>
      </c>
      <c r="F665" s="12" t="s">
        <v>6712</v>
      </c>
      <c r="G665" s="2" t="s">
        <v>848</v>
      </c>
      <c r="H665" s="12" t="s">
        <v>849</v>
      </c>
      <c r="I665" s="86">
        <v>44403</v>
      </c>
      <c r="J665" s="86">
        <v>45499</v>
      </c>
      <c r="K665" s="12" t="s">
        <v>170</v>
      </c>
      <c r="L665" s="12" t="s">
        <v>2450</v>
      </c>
    </row>
    <row r="666" spans="1:12">
      <c r="A666" s="12">
        <f t="shared" si="10"/>
        <v>664</v>
      </c>
      <c r="B666" s="12" t="s">
        <v>6713</v>
      </c>
      <c r="C666" s="12" t="s">
        <v>6005</v>
      </c>
      <c r="D666" s="85">
        <v>898.62</v>
      </c>
      <c r="E666" s="6">
        <v>5556554</v>
      </c>
      <c r="F666" s="12" t="s">
        <v>4806</v>
      </c>
      <c r="G666" s="2" t="s">
        <v>755</v>
      </c>
      <c r="H666" s="12" t="s">
        <v>756</v>
      </c>
      <c r="I666" s="86">
        <v>44400</v>
      </c>
      <c r="J666" s="86">
        <v>45496</v>
      </c>
      <c r="K666" s="12" t="s">
        <v>170</v>
      </c>
      <c r="L666" s="12" t="s">
        <v>811</v>
      </c>
    </row>
    <row r="667" spans="1:12">
      <c r="A667" s="12">
        <f t="shared" si="10"/>
        <v>665</v>
      </c>
      <c r="B667" s="12" t="s">
        <v>6714</v>
      </c>
      <c r="C667" s="12" t="s">
        <v>6715</v>
      </c>
      <c r="D667" s="85">
        <v>161.16</v>
      </c>
      <c r="E667" s="6">
        <v>6706878</v>
      </c>
      <c r="F667" s="12" t="s">
        <v>6716</v>
      </c>
      <c r="G667" s="2" t="s">
        <v>755</v>
      </c>
      <c r="H667" s="12" t="s">
        <v>756</v>
      </c>
      <c r="I667" s="86">
        <v>44384</v>
      </c>
      <c r="J667" s="86">
        <v>45480</v>
      </c>
      <c r="K667" s="12" t="s">
        <v>274</v>
      </c>
      <c r="L667" s="12" t="s">
        <v>1413</v>
      </c>
    </row>
    <row r="668" spans="1:12">
      <c r="A668" s="12">
        <f t="shared" si="10"/>
        <v>666</v>
      </c>
      <c r="B668" s="12" t="s">
        <v>6717</v>
      </c>
      <c r="C668" s="12" t="s">
        <v>2957</v>
      </c>
      <c r="D668" s="85">
        <v>6230.7</v>
      </c>
      <c r="E668" s="6">
        <v>6701523</v>
      </c>
      <c r="F668" s="12" t="s">
        <v>6718</v>
      </c>
      <c r="G668" s="2" t="s">
        <v>755</v>
      </c>
      <c r="H668" s="12" t="s">
        <v>756</v>
      </c>
      <c r="I668" s="86">
        <v>44385</v>
      </c>
      <c r="J668" s="86">
        <v>45481</v>
      </c>
      <c r="K668" s="12" t="s">
        <v>170</v>
      </c>
      <c r="L668" s="12" t="s">
        <v>1023</v>
      </c>
    </row>
    <row r="669" spans="1:12">
      <c r="A669" s="12">
        <f t="shared" si="10"/>
        <v>667</v>
      </c>
      <c r="B669" s="12" t="s">
        <v>6719</v>
      </c>
      <c r="C669" s="12" t="s">
        <v>3259</v>
      </c>
      <c r="D669" s="85">
        <v>38951.67</v>
      </c>
      <c r="E669" s="6">
        <v>2590565</v>
      </c>
      <c r="F669" s="12" t="s">
        <v>1150</v>
      </c>
      <c r="G669" s="2" t="s">
        <v>755</v>
      </c>
      <c r="H669" s="12" t="s">
        <v>756</v>
      </c>
      <c r="I669" s="86">
        <v>44984</v>
      </c>
      <c r="J669" s="86">
        <v>46080</v>
      </c>
      <c r="K669" s="12" t="s">
        <v>233</v>
      </c>
      <c r="L669" s="12" t="s">
        <v>1300</v>
      </c>
    </row>
    <row r="670" spans="1:12">
      <c r="A670" s="12">
        <f t="shared" si="10"/>
        <v>668</v>
      </c>
      <c r="B670" s="12" t="s">
        <v>6720</v>
      </c>
      <c r="C670" s="12" t="s">
        <v>6721</v>
      </c>
      <c r="D670" s="85">
        <v>18849.86</v>
      </c>
      <c r="E670" s="6">
        <v>5118344</v>
      </c>
      <c r="F670" s="12" t="s">
        <v>6722</v>
      </c>
      <c r="G670" s="2" t="s">
        <v>755</v>
      </c>
      <c r="H670" s="12" t="s">
        <v>756</v>
      </c>
      <c r="I670" s="86">
        <v>44398</v>
      </c>
      <c r="J670" s="86">
        <v>45494</v>
      </c>
      <c r="K670" s="12" t="s">
        <v>123</v>
      </c>
      <c r="L670" s="12" t="s">
        <v>3411</v>
      </c>
    </row>
    <row r="671" spans="1:12">
      <c r="A671" s="12">
        <f t="shared" si="10"/>
        <v>669</v>
      </c>
      <c r="B671" s="12" t="s">
        <v>6723</v>
      </c>
      <c r="C671" s="12" t="s">
        <v>6724</v>
      </c>
      <c r="D671" s="85">
        <v>1178.5999999999999</v>
      </c>
      <c r="E671" s="6">
        <v>6411487</v>
      </c>
      <c r="F671" s="12" t="s">
        <v>6725</v>
      </c>
      <c r="G671" s="2" t="s">
        <v>755</v>
      </c>
      <c r="H671" s="12" t="s">
        <v>756</v>
      </c>
      <c r="I671" s="86">
        <v>44385</v>
      </c>
      <c r="J671" s="86">
        <v>45481</v>
      </c>
      <c r="K671" s="12" t="s">
        <v>288</v>
      </c>
      <c r="L671" s="12" t="s">
        <v>836</v>
      </c>
    </row>
    <row r="672" spans="1:12">
      <c r="A672" s="12">
        <f t="shared" si="10"/>
        <v>670</v>
      </c>
      <c r="B672" s="12" t="s">
        <v>6726</v>
      </c>
      <c r="C672" s="12" t="s">
        <v>6727</v>
      </c>
      <c r="D672" s="85">
        <v>5582.61</v>
      </c>
      <c r="E672" s="6">
        <v>5528437</v>
      </c>
      <c r="F672" s="12" t="s">
        <v>6689</v>
      </c>
      <c r="G672" s="2" t="s">
        <v>755</v>
      </c>
      <c r="H672" s="12" t="s">
        <v>756</v>
      </c>
      <c r="I672" s="86">
        <v>44396</v>
      </c>
      <c r="J672" s="86">
        <v>45492</v>
      </c>
      <c r="K672" s="12" t="s">
        <v>274</v>
      </c>
      <c r="L672" s="12" t="s">
        <v>6728</v>
      </c>
    </row>
    <row r="673" spans="1:12">
      <c r="A673" s="12">
        <f t="shared" si="10"/>
        <v>671</v>
      </c>
      <c r="B673" s="12" t="s">
        <v>6729</v>
      </c>
      <c r="C673" s="12" t="s">
        <v>1934</v>
      </c>
      <c r="D673" s="85">
        <v>2140.92</v>
      </c>
      <c r="E673" s="6">
        <v>6636624</v>
      </c>
      <c r="F673" s="12" t="s">
        <v>6730</v>
      </c>
      <c r="G673" s="2" t="s">
        <v>755</v>
      </c>
      <c r="H673" s="12" t="s">
        <v>756</v>
      </c>
      <c r="I673" s="86">
        <v>44384</v>
      </c>
      <c r="J673" s="86">
        <v>45480</v>
      </c>
      <c r="K673" s="12" t="s">
        <v>170</v>
      </c>
      <c r="L673" s="12" t="s">
        <v>171</v>
      </c>
    </row>
    <row r="674" spans="1:12">
      <c r="A674" s="12">
        <f t="shared" si="10"/>
        <v>672</v>
      </c>
      <c r="B674" s="12" t="s">
        <v>6731</v>
      </c>
      <c r="C674" s="12" t="s">
        <v>3649</v>
      </c>
      <c r="D674" s="85">
        <v>1854.51</v>
      </c>
      <c r="E674" s="6">
        <v>5418674</v>
      </c>
      <c r="F674" s="12" t="s">
        <v>6522</v>
      </c>
      <c r="G674" s="2" t="s">
        <v>755</v>
      </c>
      <c r="H674" s="12" t="s">
        <v>756</v>
      </c>
      <c r="I674" s="86">
        <v>44398</v>
      </c>
      <c r="J674" s="86">
        <v>45494</v>
      </c>
      <c r="K674" s="12" t="s">
        <v>836</v>
      </c>
      <c r="L674" s="12" t="s">
        <v>3649</v>
      </c>
    </row>
    <row r="675" spans="1:12">
      <c r="A675" s="12">
        <f t="shared" si="10"/>
        <v>673</v>
      </c>
      <c r="B675" s="12" t="s">
        <v>6732</v>
      </c>
      <c r="C675" s="12" t="s">
        <v>6733</v>
      </c>
      <c r="D675" s="85">
        <v>2898.46</v>
      </c>
      <c r="E675" s="6">
        <v>2166631</v>
      </c>
      <c r="F675" s="12" t="s">
        <v>2899</v>
      </c>
      <c r="G675" s="2" t="s">
        <v>755</v>
      </c>
      <c r="H675" s="12" t="s">
        <v>756</v>
      </c>
      <c r="I675" s="86">
        <v>44385</v>
      </c>
      <c r="J675" s="86">
        <v>45481</v>
      </c>
      <c r="K675" s="12" t="s">
        <v>170</v>
      </c>
      <c r="L675" s="12" t="s">
        <v>171</v>
      </c>
    </row>
    <row r="676" spans="1:12">
      <c r="A676" s="12">
        <f t="shared" si="10"/>
        <v>674</v>
      </c>
      <c r="B676" s="12" t="s">
        <v>6734</v>
      </c>
      <c r="C676" s="12" t="s">
        <v>6735</v>
      </c>
      <c r="D676" s="85">
        <v>18760.830000000002</v>
      </c>
      <c r="E676" s="6">
        <v>5199409</v>
      </c>
      <c r="F676" s="12" t="s">
        <v>6736</v>
      </c>
      <c r="G676" s="2" t="s">
        <v>755</v>
      </c>
      <c r="H676" s="12" t="s">
        <v>756</v>
      </c>
      <c r="I676" s="86">
        <v>44398</v>
      </c>
      <c r="J676" s="86">
        <v>45494</v>
      </c>
      <c r="K676" s="12" t="s">
        <v>233</v>
      </c>
      <c r="L676" s="12" t="s">
        <v>2965</v>
      </c>
    </row>
    <row r="677" spans="1:12">
      <c r="A677" s="12">
        <f t="shared" si="10"/>
        <v>675</v>
      </c>
      <c r="B677" s="12" t="s">
        <v>6737</v>
      </c>
      <c r="C677" s="12" t="s">
        <v>6738</v>
      </c>
      <c r="D677" s="85">
        <v>3223.55</v>
      </c>
      <c r="E677" s="6">
        <v>6338895</v>
      </c>
      <c r="F677" s="12" t="s">
        <v>5261</v>
      </c>
      <c r="G677" s="2" t="s">
        <v>755</v>
      </c>
      <c r="H677" s="12" t="s">
        <v>756</v>
      </c>
      <c r="I677" s="86">
        <v>44403</v>
      </c>
      <c r="J677" s="86">
        <v>45499</v>
      </c>
      <c r="K677" s="12" t="s">
        <v>1014</v>
      </c>
      <c r="L677" s="12" t="s">
        <v>2056</v>
      </c>
    </row>
    <row r="678" spans="1:12">
      <c r="A678" s="12">
        <f t="shared" si="10"/>
        <v>676</v>
      </c>
      <c r="B678" s="12" t="s">
        <v>6739</v>
      </c>
      <c r="C678" s="12" t="s">
        <v>6740</v>
      </c>
      <c r="D678" s="85">
        <v>1560</v>
      </c>
      <c r="E678" s="6">
        <v>5323843</v>
      </c>
      <c r="F678" s="12" t="s">
        <v>6696</v>
      </c>
      <c r="G678" s="2" t="s">
        <v>755</v>
      </c>
      <c r="H678" s="12" t="s">
        <v>756</v>
      </c>
      <c r="I678" s="86">
        <v>44400</v>
      </c>
      <c r="J678" s="86">
        <v>45496</v>
      </c>
      <c r="K678" s="12" t="s">
        <v>288</v>
      </c>
      <c r="L678" s="12" t="s">
        <v>836</v>
      </c>
    </row>
    <row r="679" spans="1:12">
      <c r="A679" s="12">
        <f t="shared" si="10"/>
        <v>677</v>
      </c>
      <c r="B679" s="12" t="s">
        <v>6741</v>
      </c>
      <c r="C679" s="12" t="s">
        <v>6742</v>
      </c>
      <c r="D679" s="85">
        <v>550.02</v>
      </c>
      <c r="E679" s="6">
        <v>6204775</v>
      </c>
      <c r="F679" s="12" t="s">
        <v>6743</v>
      </c>
      <c r="G679" s="2" t="s">
        <v>755</v>
      </c>
      <c r="H679" s="12" t="s">
        <v>756</v>
      </c>
      <c r="I679" s="86">
        <v>44399</v>
      </c>
      <c r="J679" s="86">
        <v>45495</v>
      </c>
      <c r="K679" s="12" t="s">
        <v>274</v>
      </c>
      <c r="L679" s="12" t="s">
        <v>790</v>
      </c>
    </row>
    <row r="680" spans="1:12">
      <c r="A680" s="12">
        <f t="shared" si="10"/>
        <v>678</v>
      </c>
      <c r="B680" s="12" t="s">
        <v>6744</v>
      </c>
      <c r="C680" s="12" t="s">
        <v>6745</v>
      </c>
      <c r="D680" s="85">
        <v>5192.01</v>
      </c>
      <c r="E680" s="6">
        <v>6697674</v>
      </c>
      <c r="F680" s="12" t="s">
        <v>6746</v>
      </c>
      <c r="G680" s="2" t="s">
        <v>755</v>
      </c>
      <c r="H680" s="12" t="s">
        <v>756</v>
      </c>
      <c r="I680" s="86">
        <v>44407</v>
      </c>
      <c r="J680" s="86">
        <v>45503</v>
      </c>
      <c r="K680" s="12" t="s">
        <v>274</v>
      </c>
      <c r="L680" s="12" t="s">
        <v>6747</v>
      </c>
    </row>
    <row r="681" spans="1:12">
      <c r="A681" s="12">
        <f t="shared" si="10"/>
        <v>679</v>
      </c>
      <c r="B681" s="12" t="s">
        <v>6748</v>
      </c>
      <c r="C681" s="12" t="s">
        <v>6749</v>
      </c>
      <c r="D681" s="85">
        <v>1654.65</v>
      </c>
      <c r="E681" s="6">
        <v>6077315</v>
      </c>
      <c r="F681" s="12" t="s">
        <v>6750</v>
      </c>
      <c r="G681" s="2" t="s">
        <v>755</v>
      </c>
      <c r="H681" s="12" t="s">
        <v>756</v>
      </c>
      <c r="I681" s="86">
        <v>44400</v>
      </c>
      <c r="J681" s="86">
        <v>45496</v>
      </c>
      <c r="K681" s="12" t="s">
        <v>170</v>
      </c>
      <c r="L681" s="12" t="s">
        <v>2444</v>
      </c>
    </row>
    <row r="682" spans="1:12" ht="38.25">
      <c r="A682" s="12">
        <f t="shared" si="10"/>
        <v>680</v>
      </c>
      <c r="B682" s="12" t="s">
        <v>6751</v>
      </c>
      <c r="C682" s="12" t="s">
        <v>6752</v>
      </c>
      <c r="D682" s="85">
        <v>19736.650000000001</v>
      </c>
      <c r="E682" s="6">
        <v>6064116</v>
      </c>
      <c r="F682" s="12" t="s">
        <v>6753</v>
      </c>
      <c r="G682" s="2" t="s">
        <v>848</v>
      </c>
      <c r="H682" s="12" t="s">
        <v>849</v>
      </c>
      <c r="I682" s="86">
        <v>44399</v>
      </c>
      <c r="J682" s="86">
        <v>45495</v>
      </c>
      <c r="K682" s="12" t="s">
        <v>123</v>
      </c>
      <c r="L682" s="12" t="s">
        <v>2201</v>
      </c>
    </row>
    <row r="683" spans="1:12">
      <c r="A683" s="12">
        <f t="shared" si="10"/>
        <v>681</v>
      </c>
      <c r="B683" s="12" t="s">
        <v>6754</v>
      </c>
      <c r="C683" s="12" t="s">
        <v>6755</v>
      </c>
      <c r="D683" s="85">
        <v>206.5</v>
      </c>
      <c r="E683" s="6">
        <v>5942144</v>
      </c>
      <c r="F683" s="12" t="s">
        <v>6756</v>
      </c>
      <c r="G683" s="2" t="s">
        <v>755</v>
      </c>
      <c r="H683" s="12" t="s">
        <v>756</v>
      </c>
      <c r="I683" s="86">
        <v>44400</v>
      </c>
      <c r="J683" s="86">
        <v>45496</v>
      </c>
      <c r="K683" s="12" t="s">
        <v>274</v>
      </c>
      <c r="L683" s="12" t="s">
        <v>4003</v>
      </c>
    </row>
    <row r="684" spans="1:12">
      <c r="A684" s="12">
        <f t="shared" si="10"/>
        <v>682</v>
      </c>
      <c r="B684" s="12" t="s">
        <v>6757</v>
      </c>
      <c r="C684" s="12" t="s">
        <v>2677</v>
      </c>
      <c r="D684" s="85">
        <v>726.03</v>
      </c>
      <c r="E684" s="6">
        <v>5434041</v>
      </c>
      <c r="F684" s="12" t="s">
        <v>6337</v>
      </c>
      <c r="G684" s="2" t="s">
        <v>755</v>
      </c>
      <c r="H684" s="12" t="s">
        <v>756</v>
      </c>
      <c r="I684" s="86">
        <v>40158</v>
      </c>
      <c r="J684" s="86">
        <v>46253</v>
      </c>
      <c r="K684" s="12" t="s">
        <v>170</v>
      </c>
      <c r="L684" s="12" t="s">
        <v>2450</v>
      </c>
    </row>
    <row r="685" spans="1:12">
      <c r="A685" s="12">
        <f t="shared" si="10"/>
        <v>683</v>
      </c>
      <c r="B685" s="12" t="s">
        <v>6758</v>
      </c>
      <c r="C685" s="12" t="s">
        <v>6759</v>
      </c>
      <c r="D685" s="85">
        <v>3769.96</v>
      </c>
      <c r="E685" s="6">
        <v>5005094</v>
      </c>
      <c r="F685" s="12" t="s">
        <v>1143</v>
      </c>
      <c r="G685" s="2" t="s">
        <v>755</v>
      </c>
      <c r="H685" s="12" t="s">
        <v>756</v>
      </c>
      <c r="I685" s="86">
        <v>44452</v>
      </c>
      <c r="J685" s="86">
        <v>45548</v>
      </c>
      <c r="K685" s="12" t="s">
        <v>180</v>
      </c>
      <c r="L685" s="12" t="s">
        <v>927</v>
      </c>
    </row>
    <row r="686" spans="1:12">
      <c r="A686" s="12">
        <f t="shared" si="10"/>
        <v>684</v>
      </c>
      <c r="B686" s="12" t="s">
        <v>6760</v>
      </c>
      <c r="C686" s="12" t="s">
        <v>2275</v>
      </c>
      <c r="D686" s="85">
        <v>3094.3</v>
      </c>
      <c r="E686" s="6">
        <v>6729002</v>
      </c>
      <c r="F686" s="12" t="s">
        <v>6761</v>
      </c>
      <c r="G686" s="2" t="s">
        <v>755</v>
      </c>
      <c r="H686" s="12" t="s">
        <v>756</v>
      </c>
      <c r="I686" s="86">
        <v>44432</v>
      </c>
      <c r="J686" s="86">
        <v>45528</v>
      </c>
      <c r="K686" s="12" t="s">
        <v>1097</v>
      </c>
      <c r="L686" s="12" t="s">
        <v>1048</v>
      </c>
    </row>
    <row r="687" spans="1:12">
      <c r="A687" s="12">
        <f t="shared" si="10"/>
        <v>685</v>
      </c>
      <c r="B687" s="12" t="s">
        <v>6762</v>
      </c>
      <c r="C687" s="12" t="s">
        <v>6763</v>
      </c>
      <c r="D687" s="85">
        <v>2973.03</v>
      </c>
      <c r="E687" s="6">
        <v>6170757</v>
      </c>
      <c r="F687" s="12" t="s">
        <v>6409</v>
      </c>
      <c r="G687" s="2" t="s">
        <v>755</v>
      </c>
      <c r="H687" s="12" t="s">
        <v>756</v>
      </c>
      <c r="I687" s="86">
        <v>44421</v>
      </c>
      <c r="J687" s="86">
        <v>45517</v>
      </c>
      <c r="K687" s="12" t="s">
        <v>1097</v>
      </c>
      <c r="L687" s="12" t="s">
        <v>1048</v>
      </c>
    </row>
    <row r="688" spans="1:12">
      <c r="A688" s="12">
        <f t="shared" si="10"/>
        <v>686</v>
      </c>
      <c r="B688" s="12" t="s">
        <v>6764</v>
      </c>
      <c r="C688" s="12" t="s">
        <v>6765</v>
      </c>
      <c r="D688" s="85">
        <v>2431.3000000000002</v>
      </c>
      <c r="E688" s="6">
        <v>2715589</v>
      </c>
      <c r="F688" s="12" t="s">
        <v>6766</v>
      </c>
      <c r="G688" s="2" t="s">
        <v>755</v>
      </c>
      <c r="H688" s="12" t="s">
        <v>756</v>
      </c>
      <c r="I688" s="86">
        <v>44412</v>
      </c>
      <c r="J688" s="86">
        <v>45508</v>
      </c>
      <c r="K688" s="12" t="s">
        <v>1102</v>
      </c>
      <c r="L688" s="12" t="s">
        <v>3357</v>
      </c>
    </row>
    <row r="689" spans="1:12">
      <c r="A689" s="12">
        <f t="shared" si="10"/>
        <v>687</v>
      </c>
      <c r="B689" s="12" t="s">
        <v>6767</v>
      </c>
      <c r="C689" s="12" t="s">
        <v>1528</v>
      </c>
      <c r="D689" s="85">
        <v>2436.13</v>
      </c>
      <c r="E689" s="6">
        <v>6697674</v>
      </c>
      <c r="F689" s="12" t="s">
        <v>6746</v>
      </c>
      <c r="G689" s="2" t="s">
        <v>755</v>
      </c>
      <c r="H689" s="12" t="s">
        <v>756</v>
      </c>
      <c r="I689" s="86">
        <v>44407</v>
      </c>
      <c r="J689" s="86">
        <v>45503</v>
      </c>
      <c r="K689" s="12" t="s">
        <v>1242</v>
      </c>
      <c r="L689" s="12" t="s">
        <v>4561</v>
      </c>
    </row>
    <row r="690" spans="1:12">
      <c r="A690" s="12">
        <f t="shared" si="10"/>
        <v>688</v>
      </c>
      <c r="B690" s="12" t="s">
        <v>6768</v>
      </c>
      <c r="C690" s="12" t="s">
        <v>6769</v>
      </c>
      <c r="D690" s="85">
        <v>3866.58</v>
      </c>
      <c r="E690" s="6">
        <v>5945119</v>
      </c>
      <c r="F690" s="12" t="s">
        <v>5387</v>
      </c>
      <c r="G690" s="2" t="s">
        <v>755</v>
      </c>
      <c r="H690" s="12" t="s">
        <v>756</v>
      </c>
      <c r="I690" s="86">
        <v>44407</v>
      </c>
      <c r="J690" s="86">
        <v>45503</v>
      </c>
      <c r="K690" s="12" t="s">
        <v>1242</v>
      </c>
      <c r="L690" s="12" t="s">
        <v>4561</v>
      </c>
    </row>
    <row r="691" spans="1:12">
      <c r="A691" s="12">
        <f t="shared" si="10"/>
        <v>689</v>
      </c>
      <c r="B691" s="12" t="s">
        <v>6770</v>
      </c>
      <c r="C691" s="12" t="s">
        <v>6005</v>
      </c>
      <c r="D691" s="85">
        <v>1182.58</v>
      </c>
      <c r="E691" s="6">
        <v>5393345</v>
      </c>
      <c r="F691" s="12" t="s">
        <v>6655</v>
      </c>
      <c r="G691" s="2" t="s">
        <v>755</v>
      </c>
      <c r="H691" s="12" t="s">
        <v>756</v>
      </c>
      <c r="I691" s="86">
        <v>44431</v>
      </c>
      <c r="J691" s="86">
        <v>45527</v>
      </c>
      <c r="K691" s="12" t="s">
        <v>288</v>
      </c>
      <c r="L691" s="12" t="s">
        <v>2761</v>
      </c>
    </row>
    <row r="692" spans="1:12">
      <c r="A692" s="12">
        <f t="shared" si="10"/>
        <v>690</v>
      </c>
      <c r="B692" s="12" t="s">
        <v>6771</v>
      </c>
      <c r="C692" s="12" t="s">
        <v>6772</v>
      </c>
      <c r="D692" s="85">
        <v>859.8</v>
      </c>
      <c r="E692" s="6">
        <v>5393345</v>
      </c>
      <c r="F692" s="12" t="s">
        <v>6655</v>
      </c>
      <c r="G692" s="2" t="s">
        <v>755</v>
      </c>
      <c r="H692" s="12" t="s">
        <v>756</v>
      </c>
      <c r="I692" s="86">
        <v>44431</v>
      </c>
      <c r="J692" s="86">
        <v>45527</v>
      </c>
      <c r="K692" s="12" t="s">
        <v>288</v>
      </c>
      <c r="L692" s="12" t="s">
        <v>2761</v>
      </c>
    </row>
    <row r="693" spans="1:12">
      <c r="A693" s="12">
        <f t="shared" si="10"/>
        <v>691</v>
      </c>
      <c r="B693" s="12" t="s">
        <v>6773</v>
      </c>
      <c r="C693" s="12" t="s">
        <v>6774</v>
      </c>
      <c r="D693" s="85">
        <v>1649.76</v>
      </c>
      <c r="E693" s="6">
        <v>6708951</v>
      </c>
      <c r="F693" s="12" t="s">
        <v>6775</v>
      </c>
      <c r="G693" s="2" t="s">
        <v>755</v>
      </c>
      <c r="H693" s="12" t="s">
        <v>756</v>
      </c>
      <c r="I693" s="86">
        <v>44431</v>
      </c>
      <c r="J693" s="86">
        <v>45527</v>
      </c>
      <c r="K693" s="12" t="s">
        <v>288</v>
      </c>
      <c r="L693" s="12" t="s">
        <v>1038</v>
      </c>
    </row>
    <row r="694" spans="1:12">
      <c r="A694" s="12">
        <f t="shared" si="10"/>
        <v>692</v>
      </c>
      <c r="B694" s="12" t="s">
        <v>6776</v>
      </c>
      <c r="C694" s="12" t="s">
        <v>6777</v>
      </c>
      <c r="D694" s="85">
        <v>393.43</v>
      </c>
      <c r="E694" s="6">
        <v>5393345</v>
      </c>
      <c r="F694" s="12" t="s">
        <v>6655</v>
      </c>
      <c r="G694" s="2" t="s">
        <v>755</v>
      </c>
      <c r="H694" s="12" t="s">
        <v>756</v>
      </c>
      <c r="I694" s="86">
        <v>44431</v>
      </c>
      <c r="J694" s="86">
        <v>45527</v>
      </c>
      <c r="K694" s="12" t="s">
        <v>782</v>
      </c>
      <c r="L694" s="12" t="s">
        <v>233</v>
      </c>
    </row>
    <row r="695" spans="1:12">
      <c r="A695" s="12">
        <f t="shared" si="10"/>
        <v>693</v>
      </c>
      <c r="B695" s="12" t="s">
        <v>6778</v>
      </c>
      <c r="C695" s="12" t="s">
        <v>2033</v>
      </c>
      <c r="D695" s="85">
        <v>15047.96</v>
      </c>
      <c r="E695" s="6">
        <v>6728731</v>
      </c>
      <c r="F695" s="12" t="s">
        <v>6779</v>
      </c>
      <c r="G695" s="2" t="s">
        <v>755</v>
      </c>
      <c r="H695" s="12" t="s">
        <v>756</v>
      </c>
      <c r="I695" s="86">
        <v>44431</v>
      </c>
      <c r="J695" s="86">
        <v>45527</v>
      </c>
      <c r="K695" s="12" t="s">
        <v>1242</v>
      </c>
      <c r="L695" s="12" t="s">
        <v>1243</v>
      </c>
    </row>
    <row r="696" spans="1:12">
      <c r="A696" s="12">
        <f t="shared" si="10"/>
        <v>694</v>
      </c>
      <c r="B696" s="12" t="s">
        <v>6780</v>
      </c>
      <c r="C696" s="12" t="s">
        <v>6781</v>
      </c>
      <c r="D696" s="85">
        <v>5186.96</v>
      </c>
      <c r="E696" s="6">
        <v>2024101</v>
      </c>
      <c r="F696" s="12" t="s">
        <v>6782</v>
      </c>
      <c r="G696" s="2" t="s">
        <v>914</v>
      </c>
      <c r="H696" s="12" t="s">
        <v>756</v>
      </c>
      <c r="I696" s="86">
        <v>44431</v>
      </c>
      <c r="J696" s="86">
        <v>45527</v>
      </c>
      <c r="K696" s="12" t="s">
        <v>123</v>
      </c>
      <c r="L696" s="12" t="s">
        <v>6783</v>
      </c>
    </row>
    <row r="697" spans="1:12" ht="38.25">
      <c r="A697" s="12">
        <f t="shared" si="10"/>
        <v>695</v>
      </c>
      <c r="B697" s="12" t="s">
        <v>6784</v>
      </c>
      <c r="C697" s="12" t="s">
        <v>2296</v>
      </c>
      <c r="D697" s="85">
        <v>12271.68</v>
      </c>
      <c r="E697" s="6">
        <v>8369933</v>
      </c>
      <c r="F697" s="12" t="s">
        <v>5229</v>
      </c>
      <c r="G697" s="2" t="s">
        <v>848</v>
      </c>
      <c r="H697" s="12" t="s">
        <v>849</v>
      </c>
      <c r="I697" s="86">
        <v>44431</v>
      </c>
      <c r="J697" s="86">
        <v>45527</v>
      </c>
      <c r="K697" s="12" t="s">
        <v>375</v>
      </c>
      <c r="L697" s="12" t="s">
        <v>1476</v>
      </c>
    </row>
    <row r="698" spans="1:12">
      <c r="A698" s="12">
        <f t="shared" si="10"/>
        <v>696</v>
      </c>
      <c r="B698" s="12" t="s">
        <v>6785</v>
      </c>
      <c r="C698" s="12" t="s">
        <v>6786</v>
      </c>
      <c r="D698" s="85">
        <v>9146.7099999999991</v>
      </c>
      <c r="E698" s="6">
        <v>2654652</v>
      </c>
      <c r="F698" s="12" t="s">
        <v>4052</v>
      </c>
      <c r="G698" s="2" t="s">
        <v>755</v>
      </c>
      <c r="H698" s="12" t="s">
        <v>756</v>
      </c>
      <c r="I698" s="86">
        <v>44398</v>
      </c>
      <c r="J698" s="86">
        <v>45494</v>
      </c>
      <c r="K698" s="12" t="s">
        <v>170</v>
      </c>
      <c r="L698" s="12" t="s">
        <v>2444</v>
      </c>
    </row>
    <row r="699" spans="1:12" ht="38.25">
      <c r="A699" s="12">
        <f t="shared" si="10"/>
        <v>697</v>
      </c>
      <c r="B699" s="12" t="s">
        <v>6787</v>
      </c>
      <c r="C699" s="12" t="s">
        <v>3220</v>
      </c>
      <c r="D699" s="85">
        <v>1787.39</v>
      </c>
      <c r="E699" s="6">
        <v>2094533</v>
      </c>
      <c r="F699" s="12" t="s">
        <v>847</v>
      </c>
      <c r="G699" s="2" t="s">
        <v>848</v>
      </c>
      <c r="H699" s="12" t="s">
        <v>849</v>
      </c>
      <c r="I699" s="86">
        <v>44459</v>
      </c>
      <c r="J699" s="86">
        <v>45555</v>
      </c>
      <c r="K699" s="12" t="s">
        <v>274</v>
      </c>
      <c r="L699" s="12" t="s">
        <v>1413</v>
      </c>
    </row>
    <row r="700" spans="1:12">
      <c r="A700" s="12">
        <f t="shared" si="10"/>
        <v>698</v>
      </c>
      <c r="B700" s="12" t="s">
        <v>6788</v>
      </c>
      <c r="C700" s="12" t="s">
        <v>6789</v>
      </c>
      <c r="D700" s="85">
        <v>15616.78</v>
      </c>
      <c r="E700" s="6">
        <v>5305403</v>
      </c>
      <c r="F700" s="12" t="s">
        <v>5929</v>
      </c>
      <c r="G700" s="2" t="s">
        <v>755</v>
      </c>
      <c r="H700" s="12" t="s">
        <v>756</v>
      </c>
      <c r="I700" s="86">
        <v>44467</v>
      </c>
      <c r="J700" s="86">
        <v>45563</v>
      </c>
      <c r="K700" s="12" t="s">
        <v>123</v>
      </c>
      <c r="L700" s="12" t="s">
        <v>2201</v>
      </c>
    </row>
    <row r="701" spans="1:12" ht="38.25">
      <c r="A701" s="12">
        <f t="shared" si="10"/>
        <v>699</v>
      </c>
      <c r="B701" s="12" t="s">
        <v>6790</v>
      </c>
      <c r="C701" s="12" t="s">
        <v>6791</v>
      </c>
      <c r="D701" s="85">
        <v>6386.69</v>
      </c>
      <c r="E701" s="6">
        <v>8396124</v>
      </c>
      <c r="F701" s="12" t="s">
        <v>6792</v>
      </c>
      <c r="G701" s="2" t="s">
        <v>848</v>
      </c>
      <c r="H701" s="12" t="s">
        <v>849</v>
      </c>
      <c r="I701" s="86">
        <v>44473</v>
      </c>
      <c r="J701" s="86">
        <v>45569</v>
      </c>
      <c r="K701" s="12" t="s">
        <v>123</v>
      </c>
      <c r="L701" s="12" t="s">
        <v>2201</v>
      </c>
    </row>
    <row r="702" spans="1:12">
      <c r="A702" s="12">
        <f t="shared" si="10"/>
        <v>700</v>
      </c>
      <c r="B702" s="12" t="s">
        <v>6793</v>
      </c>
      <c r="C702" s="12" t="s">
        <v>4765</v>
      </c>
      <c r="D702" s="85">
        <v>237.61</v>
      </c>
      <c r="E702" s="6">
        <v>6077846</v>
      </c>
      <c r="F702" s="12" t="s">
        <v>6794</v>
      </c>
      <c r="G702" s="2" t="s">
        <v>755</v>
      </c>
      <c r="H702" s="12" t="s">
        <v>756</v>
      </c>
      <c r="I702" s="86">
        <v>44461</v>
      </c>
      <c r="J702" s="86">
        <v>45557</v>
      </c>
      <c r="K702" s="12" t="s">
        <v>293</v>
      </c>
      <c r="L702" s="12" t="s">
        <v>181</v>
      </c>
    </row>
    <row r="703" spans="1:12" ht="38.25">
      <c r="A703" s="12">
        <f t="shared" si="10"/>
        <v>701</v>
      </c>
      <c r="B703" s="12" t="s">
        <v>6795</v>
      </c>
      <c r="C703" s="12" t="s">
        <v>2599</v>
      </c>
      <c r="D703" s="85">
        <v>2690.81</v>
      </c>
      <c r="E703" s="6">
        <v>8396124</v>
      </c>
      <c r="F703" s="12" t="s">
        <v>6792</v>
      </c>
      <c r="G703" s="2" t="s">
        <v>848</v>
      </c>
      <c r="H703" s="12" t="s">
        <v>849</v>
      </c>
      <c r="I703" s="86">
        <v>44473</v>
      </c>
      <c r="J703" s="86">
        <v>45569</v>
      </c>
      <c r="K703" s="12" t="s">
        <v>138</v>
      </c>
      <c r="L703" s="12" t="s">
        <v>138</v>
      </c>
    </row>
    <row r="704" spans="1:12" ht="38.25">
      <c r="A704" s="12">
        <f t="shared" si="10"/>
        <v>702</v>
      </c>
      <c r="B704" s="12" t="s">
        <v>6796</v>
      </c>
      <c r="C704" s="12" t="s">
        <v>6797</v>
      </c>
      <c r="D704" s="85">
        <v>5590.46</v>
      </c>
      <c r="E704" s="6">
        <v>6805752</v>
      </c>
      <c r="F704" s="12" t="s">
        <v>6798</v>
      </c>
      <c r="G704" s="2" t="s">
        <v>848</v>
      </c>
      <c r="H704" s="12" t="s">
        <v>849</v>
      </c>
      <c r="I704" s="86">
        <v>44459</v>
      </c>
      <c r="J704" s="86">
        <v>45555</v>
      </c>
      <c r="K704" s="12" t="s">
        <v>123</v>
      </c>
      <c r="L704" s="12" t="s">
        <v>1256</v>
      </c>
    </row>
    <row r="705" spans="1:12">
      <c r="A705" s="12">
        <f t="shared" si="10"/>
        <v>703</v>
      </c>
      <c r="B705" s="12" t="s">
        <v>6799</v>
      </c>
      <c r="C705" s="12" t="s">
        <v>1779</v>
      </c>
      <c r="D705" s="85">
        <v>1463.67</v>
      </c>
      <c r="E705" s="6">
        <v>5269512</v>
      </c>
      <c r="F705" s="12" t="s">
        <v>6800</v>
      </c>
      <c r="G705" s="2" t="s">
        <v>755</v>
      </c>
      <c r="H705" s="12" t="s">
        <v>756</v>
      </c>
      <c r="I705" s="86">
        <v>44491</v>
      </c>
      <c r="J705" s="86">
        <v>45587</v>
      </c>
      <c r="K705" s="12" t="s">
        <v>123</v>
      </c>
      <c r="L705" s="12" t="s">
        <v>2876</v>
      </c>
    </row>
    <row r="706" spans="1:12">
      <c r="A706" s="12">
        <f t="shared" si="10"/>
        <v>704</v>
      </c>
      <c r="B706" s="12" t="s">
        <v>6801</v>
      </c>
      <c r="C706" s="12" t="s">
        <v>6029</v>
      </c>
      <c r="D706" s="85">
        <v>953.3</v>
      </c>
      <c r="E706" s="6">
        <v>6005403</v>
      </c>
      <c r="F706" s="12" t="s">
        <v>6802</v>
      </c>
      <c r="G706" s="2" t="s">
        <v>755</v>
      </c>
      <c r="H706" s="12" t="s">
        <v>756</v>
      </c>
      <c r="I706" s="86">
        <v>44473</v>
      </c>
      <c r="J706" s="86">
        <v>45569</v>
      </c>
      <c r="K706" s="12" t="s">
        <v>304</v>
      </c>
      <c r="L706" s="12" t="s">
        <v>141</v>
      </c>
    </row>
    <row r="707" spans="1:12">
      <c r="A707" s="12">
        <f t="shared" si="10"/>
        <v>705</v>
      </c>
      <c r="B707" s="12" t="s">
        <v>6803</v>
      </c>
      <c r="C707" s="12" t="s">
        <v>6804</v>
      </c>
      <c r="D707" s="85">
        <v>37.020000000000003</v>
      </c>
      <c r="E707" s="6">
        <v>2166631</v>
      </c>
      <c r="F707" s="12" t="s">
        <v>2899</v>
      </c>
      <c r="G707" s="2" t="s">
        <v>755</v>
      </c>
      <c r="H707" s="12" t="s">
        <v>756</v>
      </c>
      <c r="I707" s="86">
        <v>44473</v>
      </c>
      <c r="J707" s="86">
        <v>45569</v>
      </c>
      <c r="K707" s="12" t="s">
        <v>293</v>
      </c>
      <c r="L707" s="12" t="s">
        <v>294</v>
      </c>
    </row>
    <row r="708" spans="1:12">
      <c r="A708" s="12">
        <f t="shared" si="10"/>
        <v>706</v>
      </c>
      <c r="B708" s="12" t="s">
        <v>6805</v>
      </c>
      <c r="C708" s="12" t="s">
        <v>5962</v>
      </c>
      <c r="D708" s="85">
        <v>842.3</v>
      </c>
      <c r="E708" s="6">
        <v>5118344</v>
      </c>
      <c r="F708" s="12" t="s">
        <v>6722</v>
      </c>
      <c r="G708" s="2" t="s">
        <v>755</v>
      </c>
      <c r="H708" s="12" t="s">
        <v>756</v>
      </c>
      <c r="I708" s="86">
        <v>44473</v>
      </c>
      <c r="J708" s="86">
        <v>45569</v>
      </c>
      <c r="K708" s="12" t="s">
        <v>375</v>
      </c>
      <c r="L708" s="12" t="s">
        <v>944</v>
      </c>
    </row>
    <row r="709" spans="1:12">
      <c r="A709" s="12">
        <f t="shared" ref="A709:A772" si="11">A708+1</f>
        <v>707</v>
      </c>
      <c r="B709" s="12" t="s">
        <v>6806</v>
      </c>
      <c r="C709" s="12" t="s">
        <v>191</v>
      </c>
      <c r="D709" s="85">
        <v>4718.45</v>
      </c>
      <c r="E709" s="6">
        <v>6750966</v>
      </c>
      <c r="F709" s="12" t="s">
        <v>6807</v>
      </c>
      <c r="G709" s="2" t="s">
        <v>755</v>
      </c>
      <c r="H709" s="12" t="s">
        <v>756</v>
      </c>
      <c r="I709" s="86">
        <v>44473</v>
      </c>
      <c r="J709" s="86">
        <v>45569</v>
      </c>
      <c r="K709" s="12" t="s">
        <v>288</v>
      </c>
      <c r="L709" s="12" t="s">
        <v>1038</v>
      </c>
    </row>
    <row r="710" spans="1:12">
      <c r="A710" s="12">
        <f t="shared" si="11"/>
        <v>708</v>
      </c>
      <c r="B710" s="12" t="s">
        <v>6808</v>
      </c>
      <c r="C710" s="12" t="s">
        <v>2526</v>
      </c>
      <c r="D710" s="85">
        <v>9158</v>
      </c>
      <c r="E710" s="6">
        <v>6381928</v>
      </c>
      <c r="F710" s="12" t="s">
        <v>6809</v>
      </c>
      <c r="G710" s="2" t="s">
        <v>755</v>
      </c>
      <c r="H710" s="12" t="s">
        <v>756</v>
      </c>
      <c r="I710" s="86">
        <v>44473</v>
      </c>
      <c r="J710" s="86">
        <v>45569</v>
      </c>
      <c r="K710" s="12" t="s">
        <v>163</v>
      </c>
      <c r="L710" s="12" t="s">
        <v>2891</v>
      </c>
    </row>
    <row r="711" spans="1:12">
      <c r="A711" s="12">
        <f t="shared" si="11"/>
        <v>709</v>
      </c>
      <c r="B711" s="12" t="s">
        <v>6810</v>
      </c>
      <c r="C711" s="12" t="s">
        <v>6811</v>
      </c>
      <c r="D711" s="85">
        <v>8852.09</v>
      </c>
      <c r="E711" s="6">
        <v>6751571</v>
      </c>
      <c r="F711" s="12" t="s">
        <v>6812</v>
      </c>
      <c r="G711" s="2" t="s">
        <v>755</v>
      </c>
      <c r="H711" s="12" t="s">
        <v>756</v>
      </c>
      <c r="I711" s="86">
        <v>44459</v>
      </c>
      <c r="J711" s="86">
        <v>45555</v>
      </c>
      <c r="K711" s="12" t="s">
        <v>163</v>
      </c>
      <c r="L711" s="12" t="s">
        <v>6813</v>
      </c>
    </row>
    <row r="712" spans="1:12">
      <c r="A712" s="12">
        <f t="shared" si="11"/>
        <v>710</v>
      </c>
      <c r="B712" s="12" t="s">
        <v>6814</v>
      </c>
      <c r="C712" s="12" t="s">
        <v>6815</v>
      </c>
      <c r="D712" s="85">
        <v>1514.05</v>
      </c>
      <c r="E712" s="6">
        <v>5528437</v>
      </c>
      <c r="F712" s="12" t="s">
        <v>6689</v>
      </c>
      <c r="G712" s="2" t="s">
        <v>755</v>
      </c>
      <c r="H712" s="12" t="s">
        <v>756</v>
      </c>
      <c r="I712" s="86">
        <v>44467</v>
      </c>
      <c r="J712" s="86">
        <v>45563</v>
      </c>
      <c r="K712" s="12" t="s">
        <v>123</v>
      </c>
      <c r="L712" s="12" t="s">
        <v>272</v>
      </c>
    </row>
    <row r="713" spans="1:12">
      <c r="A713" s="12">
        <f t="shared" si="11"/>
        <v>711</v>
      </c>
      <c r="B713" s="12" t="s">
        <v>6816</v>
      </c>
      <c r="C713" s="12" t="s">
        <v>6817</v>
      </c>
      <c r="D713" s="85">
        <v>2036.05</v>
      </c>
      <c r="E713" s="6">
        <v>6741584</v>
      </c>
      <c r="F713" s="12" t="s">
        <v>6818</v>
      </c>
      <c r="G713" s="2" t="s">
        <v>755</v>
      </c>
      <c r="H713" s="12" t="s">
        <v>756</v>
      </c>
      <c r="I713" s="86">
        <v>44467</v>
      </c>
      <c r="J713" s="86">
        <v>45563</v>
      </c>
      <c r="K713" s="12" t="s">
        <v>274</v>
      </c>
      <c r="L713" s="12" t="s">
        <v>6819</v>
      </c>
    </row>
    <row r="714" spans="1:12">
      <c r="A714" s="12">
        <f t="shared" si="11"/>
        <v>712</v>
      </c>
      <c r="B714" s="12" t="s">
        <v>6820</v>
      </c>
      <c r="C714" s="12" t="s">
        <v>5090</v>
      </c>
      <c r="D714" s="85">
        <v>356.4</v>
      </c>
      <c r="E714" s="6">
        <v>6711294</v>
      </c>
      <c r="F714" s="12" t="s">
        <v>6821</v>
      </c>
      <c r="G714" s="2" t="s">
        <v>755</v>
      </c>
      <c r="H714" s="12" t="s">
        <v>756</v>
      </c>
      <c r="I714" s="86">
        <v>42509</v>
      </c>
      <c r="J714" s="86">
        <v>45796</v>
      </c>
      <c r="K714" s="12" t="s">
        <v>274</v>
      </c>
      <c r="L714" s="12" t="s">
        <v>944</v>
      </c>
    </row>
    <row r="715" spans="1:12">
      <c r="A715" s="12">
        <f t="shared" si="11"/>
        <v>713</v>
      </c>
      <c r="B715" s="12" t="s">
        <v>6822</v>
      </c>
      <c r="C715" s="12" t="s">
        <v>2599</v>
      </c>
      <c r="D715" s="85">
        <v>536.15</v>
      </c>
      <c r="E715" s="6">
        <v>5534836</v>
      </c>
      <c r="F715" s="12" t="s">
        <v>6823</v>
      </c>
      <c r="G715" s="2" t="s">
        <v>755</v>
      </c>
      <c r="H715" s="12" t="s">
        <v>756</v>
      </c>
      <c r="I715" s="86">
        <v>42389</v>
      </c>
      <c r="J715" s="86">
        <v>45677</v>
      </c>
      <c r="K715" s="12" t="s">
        <v>123</v>
      </c>
      <c r="L715" s="12" t="s">
        <v>272</v>
      </c>
    </row>
    <row r="716" spans="1:12">
      <c r="A716" s="12">
        <f t="shared" si="11"/>
        <v>714</v>
      </c>
      <c r="B716" s="12" t="s">
        <v>6824</v>
      </c>
      <c r="C716" s="12" t="s">
        <v>5708</v>
      </c>
      <c r="D716" s="85">
        <v>2587.21</v>
      </c>
      <c r="E716" s="6">
        <v>5980232</v>
      </c>
      <c r="F716" s="12" t="s">
        <v>5709</v>
      </c>
      <c r="G716" s="2" t="s">
        <v>755</v>
      </c>
      <c r="H716" s="12" t="s">
        <v>756</v>
      </c>
      <c r="I716" s="86">
        <v>42312</v>
      </c>
      <c r="J716" s="86">
        <v>45600</v>
      </c>
      <c r="K716" s="12" t="s">
        <v>123</v>
      </c>
      <c r="L716" s="12" t="s">
        <v>5710</v>
      </c>
    </row>
    <row r="717" spans="1:12" ht="38.25">
      <c r="A717" s="12">
        <f t="shared" si="11"/>
        <v>715</v>
      </c>
      <c r="B717" s="12" t="s">
        <v>6825</v>
      </c>
      <c r="C717" s="12" t="s">
        <v>2133</v>
      </c>
      <c r="D717" s="85">
        <v>4399.2299999999996</v>
      </c>
      <c r="E717" s="6">
        <v>8376115</v>
      </c>
      <c r="F717" s="12" t="s">
        <v>6826</v>
      </c>
      <c r="G717" s="2" t="s">
        <v>848</v>
      </c>
      <c r="H717" s="12" t="s">
        <v>849</v>
      </c>
      <c r="I717" s="86">
        <v>42340</v>
      </c>
      <c r="J717" s="86">
        <v>45628</v>
      </c>
      <c r="K717" s="12" t="s">
        <v>233</v>
      </c>
      <c r="L717" s="12" t="s">
        <v>1755</v>
      </c>
    </row>
    <row r="718" spans="1:12">
      <c r="A718" s="12">
        <f t="shared" si="11"/>
        <v>716</v>
      </c>
      <c r="B718" s="12" t="s">
        <v>6827</v>
      </c>
      <c r="C718" s="12" t="s">
        <v>6828</v>
      </c>
      <c r="D718" s="85">
        <v>411.77</v>
      </c>
      <c r="E718" s="6">
        <v>5415438</v>
      </c>
      <c r="F718" s="12" t="s">
        <v>5571</v>
      </c>
      <c r="G718" s="2" t="s">
        <v>755</v>
      </c>
      <c r="H718" s="12" t="s">
        <v>756</v>
      </c>
      <c r="I718" s="86">
        <v>39314</v>
      </c>
      <c r="J718" s="86">
        <v>45443</v>
      </c>
      <c r="K718" s="12" t="s">
        <v>836</v>
      </c>
      <c r="L718" s="12" t="s">
        <v>837</v>
      </c>
    </row>
    <row r="719" spans="1:12">
      <c r="A719" s="12">
        <f t="shared" si="11"/>
        <v>717</v>
      </c>
      <c r="B719" s="12" t="s">
        <v>6829</v>
      </c>
      <c r="C719" s="12" t="s">
        <v>6769</v>
      </c>
      <c r="D719" s="85">
        <v>2056.0700000000002</v>
      </c>
      <c r="E719" s="6">
        <v>6701531</v>
      </c>
      <c r="F719" s="12" t="s">
        <v>6830</v>
      </c>
      <c r="G719" s="2" t="s">
        <v>755</v>
      </c>
      <c r="H719" s="12" t="s">
        <v>756</v>
      </c>
      <c r="I719" s="86">
        <v>44407</v>
      </c>
      <c r="J719" s="86">
        <v>45503</v>
      </c>
      <c r="K719" s="12" t="s">
        <v>1242</v>
      </c>
      <c r="L719" s="12" t="s">
        <v>6831</v>
      </c>
    </row>
    <row r="720" spans="1:12">
      <c r="A720" s="12">
        <f t="shared" si="11"/>
        <v>718</v>
      </c>
      <c r="B720" s="12" t="s">
        <v>6832</v>
      </c>
      <c r="C720" s="12" t="s">
        <v>1023</v>
      </c>
      <c r="D720" s="85">
        <v>9751.7199999999993</v>
      </c>
      <c r="E720" s="6">
        <v>5966302</v>
      </c>
      <c r="F720" s="12" t="s">
        <v>6833</v>
      </c>
      <c r="G720" s="2" t="s">
        <v>755</v>
      </c>
      <c r="H720" s="12" t="s">
        <v>756</v>
      </c>
      <c r="I720" s="86">
        <v>44603</v>
      </c>
      <c r="J720" s="86">
        <v>45699</v>
      </c>
      <c r="K720" s="12" t="s">
        <v>138</v>
      </c>
      <c r="L720" s="12" t="s">
        <v>138</v>
      </c>
    </row>
    <row r="721" spans="1:12" ht="38.25">
      <c r="A721" s="12">
        <f t="shared" si="11"/>
        <v>719</v>
      </c>
      <c r="B721" s="12" t="s">
        <v>6834</v>
      </c>
      <c r="C721" s="12" t="s">
        <v>6835</v>
      </c>
      <c r="D721" s="85">
        <v>10692.34</v>
      </c>
      <c r="E721" s="6">
        <v>8396124</v>
      </c>
      <c r="F721" s="12" t="s">
        <v>6792</v>
      </c>
      <c r="G721" s="2" t="s">
        <v>848</v>
      </c>
      <c r="H721" s="12" t="s">
        <v>849</v>
      </c>
      <c r="I721" s="86">
        <v>44606</v>
      </c>
      <c r="J721" s="86">
        <v>45702</v>
      </c>
      <c r="K721" s="12" t="s">
        <v>138</v>
      </c>
      <c r="L721" s="12" t="s">
        <v>1806</v>
      </c>
    </row>
    <row r="722" spans="1:12">
      <c r="A722" s="12">
        <f t="shared" si="11"/>
        <v>720</v>
      </c>
      <c r="B722" s="12" t="s">
        <v>6836</v>
      </c>
      <c r="C722" s="12" t="s">
        <v>6837</v>
      </c>
      <c r="D722" s="85">
        <v>10960.72</v>
      </c>
      <c r="E722" s="6">
        <v>8344647</v>
      </c>
      <c r="F722" s="12" t="s">
        <v>6838</v>
      </c>
      <c r="G722" s="2" t="s">
        <v>755</v>
      </c>
      <c r="H722" s="12" t="s">
        <v>756</v>
      </c>
      <c r="I722" s="86">
        <v>44606</v>
      </c>
      <c r="J722" s="86">
        <v>45702</v>
      </c>
      <c r="K722" s="12" t="s">
        <v>288</v>
      </c>
      <c r="L722" s="12" t="s">
        <v>6839</v>
      </c>
    </row>
    <row r="723" spans="1:12" ht="38.25">
      <c r="A723" s="12">
        <f t="shared" si="11"/>
        <v>721</v>
      </c>
      <c r="B723" s="12" t="s">
        <v>6840</v>
      </c>
      <c r="C723" s="12" t="s">
        <v>6841</v>
      </c>
      <c r="D723" s="85">
        <v>7986.58</v>
      </c>
      <c r="E723" s="6">
        <v>6952305</v>
      </c>
      <c r="F723" s="12" t="s">
        <v>5046</v>
      </c>
      <c r="G723" s="2" t="s">
        <v>848</v>
      </c>
      <c r="H723" s="12" t="s">
        <v>849</v>
      </c>
      <c r="I723" s="86">
        <v>44616</v>
      </c>
      <c r="J723" s="86">
        <v>45712</v>
      </c>
      <c r="K723" s="12" t="s">
        <v>288</v>
      </c>
      <c r="L723" s="12" t="s">
        <v>6839</v>
      </c>
    </row>
    <row r="724" spans="1:12" ht="38.25">
      <c r="A724" s="12">
        <f t="shared" si="11"/>
        <v>722</v>
      </c>
      <c r="B724" s="12" t="s">
        <v>6842</v>
      </c>
      <c r="C724" s="12" t="s">
        <v>4628</v>
      </c>
      <c r="D724" s="85">
        <v>3869.96</v>
      </c>
      <c r="E724" s="6">
        <v>6232671</v>
      </c>
      <c r="F724" s="12" t="s">
        <v>6843</v>
      </c>
      <c r="G724" s="2" t="s">
        <v>848</v>
      </c>
      <c r="H724" s="12" t="s">
        <v>849</v>
      </c>
      <c r="I724" s="86">
        <v>44608</v>
      </c>
      <c r="J724" s="86">
        <v>45704</v>
      </c>
      <c r="K724" s="12" t="s">
        <v>123</v>
      </c>
      <c r="L724" s="12" t="s">
        <v>4702</v>
      </c>
    </row>
    <row r="725" spans="1:12">
      <c r="A725" s="12">
        <f t="shared" si="11"/>
        <v>723</v>
      </c>
      <c r="B725" s="12" t="s">
        <v>6844</v>
      </c>
      <c r="C725" s="12" t="s">
        <v>1833</v>
      </c>
      <c r="D725" s="85">
        <v>11147.51</v>
      </c>
      <c r="E725" s="6">
        <v>5966302</v>
      </c>
      <c r="F725" s="12" t="s">
        <v>6833</v>
      </c>
      <c r="G725" s="2" t="s">
        <v>755</v>
      </c>
      <c r="H725" s="12" t="s">
        <v>756</v>
      </c>
      <c r="I725" s="86">
        <v>44603</v>
      </c>
      <c r="J725" s="86">
        <v>45699</v>
      </c>
      <c r="K725" s="12" t="s">
        <v>123</v>
      </c>
      <c r="L725" s="12" t="s">
        <v>2201</v>
      </c>
    </row>
    <row r="726" spans="1:12">
      <c r="A726" s="12">
        <f t="shared" si="11"/>
        <v>724</v>
      </c>
      <c r="B726" s="12" t="s">
        <v>6845</v>
      </c>
      <c r="C726" s="12" t="s">
        <v>6846</v>
      </c>
      <c r="D726" s="85">
        <v>2883.82</v>
      </c>
      <c r="E726" s="6">
        <v>5118344</v>
      </c>
      <c r="F726" s="12" t="s">
        <v>6722</v>
      </c>
      <c r="G726" s="2" t="s">
        <v>755</v>
      </c>
      <c r="H726" s="12" t="s">
        <v>756</v>
      </c>
      <c r="I726" s="86">
        <v>44615</v>
      </c>
      <c r="J726" s="86">
        <v>45711</v>
      </c>
      <c r="K726" s="12" t="s">
        <v>170</v>
      </c>
      <c r="L726" s="12" t="s">
        <v>2444</v>
      </c>
    </row>
    <row r="727" spans="1:12">
      <c r="A727" s="12">
        <f t="shared" si="11"/>
        <v>725</v>
      </c>
      <c r="B727" s="12" t="s">
        <v>6847</v>
      </c>
      <c r="C727" s="12" t="s">
        <v>4100</v>
      </c>
      <c r="D727" s="85">
        <v>1874.45</v>
      </c>
      <c r="E727" s="6">
        <v>8344647</v>
      </c>
      <c r="F727" s="12" t="s">
        <v>6838</v>
      </c>
      <c r="G727" s="2" t="s">
        <v>755</v>
      </c>
      <c r="H727" s="12" t="s">
        <v>756</v>
      </c>
      <c r="I727" s="86">
        <v>44609</v>
      </c>
      <c r="J727" s="86">
        <v>45705</v>
      </c>
      <c r="K727" s="12" t="s">
        <v>288</v>
      </c>
      <c r="L727" s="12" t="s">
        <v>1575</v>
      </c>
    </row>
    <row r="728" spans="1:12">
      <c r="A728" s="12">
        <f t="shared" si="11"/>
        <v>726</v>
      </c>
      <c r="B728" s="12" t="s">
        <v>6848</v>
      </c>
      <c r="C728" s="12" t="s">
        <v>6849</v>
      </c>
      <c r="D728" s="85">
        <v>10929.44</v>
      </c>
      <c r="E728" s="6">
        <v>8344647</v>
      </c>
      <c r="F728" s="12" t="s">
        <v>6838</v>
      </c>
      <c r="G728" s="2" t="s">
        <v>755</v>
      </c>
      <c r="H728" s="12" t="s">
        <v>756</v>
      </c>
      <c r="I728" s="86">
        <v>44609</v>
      </c>
      <c r="J728" s="86">
        <v>45705</v>
      </c>
      <c r="K728" s="12" t="s">
        <v>288</v>
      </c>
      <c r="L728" s="12" t="s">
        <v>1575</v>
      </c>
    </row>
    <row r="729" spans="1:12">
      <c r="A729" s="12">
        <f t="shared" si="11"/>
        <v>727</v>
      </c>
      <c r="B729" s="12" t="s">
        <v>6850</v>
      </c>
      <c r="C729" s="12" t="s">
        <v>6851</v>
      </c>
      <c r="D729" s="85">
        <v>5324.68</v>
      </c>
      <c r="E729" s="6">
        <v>5045894</v>
      </c>
      <c r="F729" s="12" t="s">
        <v>1333</v>
      </c>
      <c r="G729" s="2" t="s">
        <v>755</v>
      </c>
      <c r="H729" s="12" t="s">
        <v>756</v>
      </c>
      <c r="I729" s="86">
        <v>44629</v>
      </c>
      <c r="J729" s="86">
        <v>45725</v>
      </c>
      <c r="K729" s="12" t="s">
        <v>288</v>
      </c>
      <c r="L729" s="12" t="s">
        <v>1575</v>
      </c>
    </row>
    <row r="730" spans="1:12">
      <c r="A730" s="12">
        <f t="shared" si="11"/>
        <v>728</v>
      </c>
      <c r="B730" s="12" t="s">
        <v>6852</v>
      </c>
      <c r="C730" s="12" t="s">
        <v>6853</v>
      </c>
      <c r="D730" s="85">
        <v>1372.42</v>
      </c>
      <c r="E730" s="6">
        <v>5118344</v>
      </c>
      <c r="F730" s="12" t="s">
        <v>6722</v>
      </c>
      <c r="G730" s="2" t="s">
        <v>755</v>
      </c>
      <c r="H730" s="12" t="s">
        <v>756</v>
      </c>
      <c r="I730" s="86">
        <v>44615</v>
      </c>
      <c r="J730" s="86">
        <v>45711</v>
      </c>
      <c r="K730" s="12" t="s">
        <v>375</v>
      </c>
      <c r="L730" s="12" t="s">
        <v>3086</v>
      </c>
    </row>
    <row r="731" spans="1:12">
      <c r="A731" s="12">
        <f t="shared" si="11"/>
        <v>729</v>
      </c>
      <c r="B731" s="12" t="s">
        <v>6854</v>
      </c>
      <c r="C731" s="12" t="s">
        <v>5139</v>
      </c>
      <c r="D731" s="85">
        <v>5331.32</v>
      </c>
      <c r="E731" s="6">
        <v>6790216</v>
      </c>
      <c r="F731" s="12" t="s">
        <v>6855</v>
      </c>
      <c r="G731" s="2" t="s">
        <v>755</v>
      </c>
      <c r="H731" s="12" t="s">
        <v>756</v>
      </c>
      <c r="I731" s="86">
        <v>44608</v>
      </c>
      <c r="J731" s="86">
        <v>45704</v>
      </c>
      <c r="K731" s="12" t="s">
        <v>170</v>
      </c>
      <c r="L731" s="12" t="s">
        <v>2444</v>
      </c>
    </row>
    <row r="732" spans="1:12">
      <c r="A732" s="12">
        <f t="shared" si="11"/>
        <v>730</v>
      </c>
      <c r="B732" s="12" t="s">
        <v>6856</v>
      </c>
      <c r="C732" s="12" t="s">
        <v>6857</v>
      </c>
      <c r="D732" s="85">
        <v>7221.2</v>
      </c>
      <c r="E732" s="6">
        <v>5045894</v>
      </c>
      <c r="F732" s="12" t="s">
        <v>1333</v>
      </c>
      <c r="G732" s="2" t="s">
        <v>755</v>
      </c>
      <c r="H732" s="12" t="s">
        <v>756</v>
      </c>
      <c r="I732" s="86">
        <v>44629</v>
      </c>
      <c r="J732" s="86">
        <v>45725</v>
      </c>
      <c r="K732" s="12" t="s">
        <v>123</v>
      </c>
      <c r="L732" s="12" t="s">
        <v>1508</v>
      </c>
    </row>
    <row r="733" spans="1:12">
      <c r="A733" s="12">
        <f t="shared" si="11"/>
        <v>731</v>
      </c>
      <c r="B733" s="12" t="s">
        <v>6858</v>
      </c>
      <c r="C733" s="12" t="s">
        <v>6859</v>
      </c>
      <c r="D733" s="85">
        <v>1609.93</v>
      </c>
      <c r="E733" s="6">
        <v>6737501</v>
      </c>
      <c r="F733" s="12" t="s">
        <v>6860</v>
      </c>
      <c r="G733" s="2" t="s">
        <v>755</v>
      </c>
      <c r="H733" s="12" t="s">
        <v>756</v>
      </c>
      <c r="I733" s="86">
        <v>44617</v>
      </c>
      <c r="J733" s="86">
        <v>45713</v>
      </c>
      <c r="K733" s="12" t="s">
        <v>1102</v>
      </c>
      <c r="L733" s="12" t="s">
        <v>836</v>
      </c>
    </row>
    <row r="734" spans="1:12">
      <c r="A734" s="12">
        <f t="shared" si="11"/>
        <v>732</v>
      </c>
      <c r="B734" s="12" t="s">
        <v>6861</v>
      </c>
      <c r="C734" s="12" t="s">
        <v>6862</v>
      </c>
      <c r="D734" s="85">
        <v>10778.66</v>
      </c>
      <c r="E734" s="6">
        <v>6697674</v>
      </c>
      <c r="F734" s="12" t="s">
        <v>6746</v>
      </c>
      <c r="G734" s="2" t="s">
        <v>755</v>
      </c>
      <c r="H734" s="12" t="s">
        <v>756</v>
      </c>
      <c r="I734" s="86">
        <v>44609</v>
      </c>
      <c r="J734" s="86">
        <v>45705</v>
      </c>
      <c r="K734" s="12" t="s">
        <v>375</v>
      </c>
      <c r="L734" s="12" t="s">
        <v>6863</v>
      </c>
    </row>
    <row r="735" spans="1:12" ht="38.25">
      <c r="A735" s="12">
        <f t="shared" si="11"/>
        <v>733</v>
      </c>
      <c r="B735" s="12" t="s">
        <v>6864</v>
      </c>
      <c r="C735" s="12" t="s">
        <v>3359</v>
      </c>
      <c r="D735" s="85">
        <v>17002.29</v>
      </c>
      <c r="E735" s="6">
        <v>6805752</v>
      </c>
      <c r="F735" s="12" t="s">
        <v>6798</v>
      </c>
      <c r="G735" s="2" t="s">
        <v>848</v>
      </c>
      <c r="H735" s="12" t="s">
        <v>849</v>
      </c>
      <c r="I735" s="86">
        <v>44396</v>
      </c>
      <c r="J735" s="86">
        <v>45492</v>
      </c>
      <c r="K735" s="12" t="s">
        <v>274</v>
      </c>
      <c r="L735" s="12" t="s">
        <v>790</v>
      </c>
    </row>
    <row r="736" spans="1:12">
      <c r="A736" s="12">
        <f t="shared" si="11"/>
        <v>734</v>
      </c>
      <c r="B736" s="12" t="s">
        <v>6865</v>
      </c>
      <c r="C736" s="12" t="s">
        <v>6866</v>
      </c>
      <c r="D736" s="85">
        <v>2484.85</v>
      </c>
      <c r="E736" s="6">
        <v>6664628</v>
      </c>
      <c r="F736" s="12" t="s">
        <v>6867</v>
      </c>
      <c r="G736" s="2" t="s">
        <v>755</v>
      </c>
      <c r="H736" s="12" t="s">
        <v>756</v>
      </c>
      <c r="I736" s="86">
        <v>44571</v>
      </c>
      <c r="J736" s="86">
        <v>45667</v>
      </c>
      <c r="K736" s="12" t="s">
        <v>274</v>
      </c>
      <c r="L736" s="12" t="s">
        <v>982</v>
      </c>
    </row>
    <row r="737" spans="1:12">
      <c r="A737" s="12">
        <f t="shared" si="11"/>
        <v>735</v>
      </c>
      <c r="B737" s="12" t="s">
        <v>6868</v>
      </c>
      <c r="C737" s="12" t="s">
        <v>6869</v>
      </c>
      <c r="D737" s="85">
        <v>173.53</v>
      </c>
      <c r="E737" s="6">
        <v>6697674</v>
      </c>
      <c r="F737" s="12" t="s">
        <v>6746</v>
      </c>
      <c r="G737" s="2" t="s">
        <v>755</v>
      </c>
      <c r="H737" s="12" t="s">
        <v>756</v>
      </c>
      <c r="I737" s="86">
        <v>44571</v>
      </c>
      <c r="J737" s="86">
        <v>45667</v>
      </c>
      <c r="K737" s="12" t="s">
        <v>274</v>
      </c>
      <c r="L737" s="12" t="s">
        <v>982</v>
      </c>
    </row>
    <row r="738" spans="1:12">
      <c r="A738" s="12">
        <f t="shared" si="11"/>
        <v>736</v>
      </c>
      <c r="B738" s="12" t="s">
        <v>6870</v>
      </c>
      <c r="C738" s="12" t="s">
        <v>6871</v>
      </c>
      <c r="D738" s="85">
        <v>6097.01</v>
      </c>
      <c r="E738" s="6">
        <v>5528437</v>
      </c>
      <c r="F738" s="12" t="s">
        <v>6689</v>
      </c>
      <c r="G738" s="2" t="s">
        <v>755</v>
      </c>
      <c r="H738" s="12" t="s">
        <v>756</v>
      </c>
      <c r="I738" s="86">
        <v>44608</v>
      </c>
      <c r="J738" s="86">
        <v>45704</v>
      </c>
      <c r="K738" s="12" t="s">
        <v>836</v>
      </c>
      <c r="L738" s="12" t="s">
        <v>3649</v>
      </c>
    </row>
    <row r="739" spans="1:12">
      <c r="A739" s="12">
        <f t="shared" si="11"/>
        <v>737</v>
      </c>
      <c r="B739" s="12" t="s">
        <v>6872</v>
      </c>
      <c r="C739" s="12" t="s">
        <v>1344</v>
      </c>
      <c r="D739" s="85">
        <v>1223.92</v>
      </c>
      <c r="E739" s="6">
        <v>5396786</v>
      </c>
      <c r="F739" s="12" t="s">
        <v>930</v>
      </c>
      <c r="G739" s="2" t="s">
        <v>755</v>
      </c>
      <c r="H739" s="12" t="s">
        <v>756</v>
      </c>
      <c r="I739" s="86">
        <v>44589</v>
      </c>
      <c r="J739" s="86">
        <v>45685</v>
      </c>
      <c r="K739" s="12" t="s">
        <v>836</v>
      </c>
      <c r="L739" s="12" t="s">
        <v>3649</v>
      </c>
    </row>
    <row r="740" spans="1:12">
      <c r="A740" s="12">
        <f t="shared" si="11"/>
        <v>738</v>
      </c>
      <c r="B740" s="12" t="s">
        <v>6873</v>
      </c>
      <c r="C740" s="12" t="s">
        <v>2573</v>
      </c>
      <c r="D740" s="85">
        <v>5431.1</v>
      </c>
      <c r="E740" s="6">
        <v>6622844</v>
      </c>
      <c r="F740" s="12" t="s">
        <v>5099</v>
      </c>
      <c r="G740" s="2" t="s">
        <v>755</v>
      </c>
      <c r="H740" s="12" t="s">
        <v>756</v>
      </c>
      <c r="I740" s="86">
        <v>44609</v>
      </c>
      <c r="J740" s="86">
        <v>45705</v>
      </c>
      <c r="K740" s="12" t="s">
        <v>274</v>
      </c>
      <c r="L740" s="12" t="s">
        <v>6874</v>
      </c>
    </row>
    <row r="741" spans="1:12">
      <c r="A741" s="12">
        <f t="shared" si="11"/>
        <v>739</v>
      </c>
      <c r="B741" s="12" t="s">
        <v>6875</v>
      </c>
      <c r="C741" s="12" t="s">
        <v>6876</v>
      </c>
      <c r="D741" s="85">
        <v>2524.7800000000002</v>
      </c>
      <c r="E741" s="6">
        <v>5966302</v>
      </c>
      <c r="F741" s="12" t="s">
        <v>6833</v>
      </c>
      <c r="G741" s="2" t="s">
        <v>755</v>
      </c>
      <c r="H741" s="12" t="s">
        <v>756</v>
      </c>
      <c r="I741" s="86">
        <v>44575</v>
      </c>
      <c r="J741" s="86">
        <v>45671</v>
      </c>
      <c r="K741" s="12" t="s">
        <v>274</v>
      </c>
      <c r="L741" s="12" t="s">
        <v>3914</v>
      </c>
    </row>
    <row r="742" spans="1:12" ht="38.25">
      <c r="A742" s="12">
        <f t="shared" si="11"/>
        <v>740</v>
      </c>
      <c r="B742" s="12" t="s">
        <v>6877</v>
      </c>
      <c r="C742" s="12" t="s">
        <v>6878</v>
      </c>
      <c r="D742" s="85">
        <v>629.74</v>
      </c>
      <c r="E742" s="6">
        <v>6776493</v>
      </c>
      <c r="F742" s="12" t="s">
        <v>6429</v>
      </c>
      <c r="G742" s="2" t="s">
        <v>848</v>
      </c>
      <c r="H742" s="12" t="s">
        <v>849</v>
      </c>
      <c r="I742" s="86">
        <v>44592</v>
      </c>
      <c r="J742" s="86">
        <v>45688</v>
      </c>
      <c r="K742" s="12" t="s">
        <v>138</v>
      </c>
      <c r="L742" s="12" t="s">
        <v>138</v>
      </c>
    </row>
    <row r="743" spans="1:12">
      <c r="A743" s="12">
        <f t="shared" si="11"/>
        <v>741</v>
      </c>
      <c r="B743" s="12" t="s">
        <v>6879</v>
      </c>
      <c r="C743" s="12" t="s">
        <v>3508</v>
      </c>
      <c r="D743" s="85">
        <v>172.76</v>
      </c>
      <c r="E743" s="6">
        <v>5393345</v>
      </c>
      <c r="F743" s="12" t="s">
        <v>6655</v>
      </c>
      <c r="G743" s="2" t="s">
        <v>755</v>
      </c>
      <c r="H743" s="12" t="s">
        <v>756</v>
      </c>
      <c r="I743" s="86">
        <v>44578</v>
      </c>
      <c r="J743" s="86">
        <v>45674</v>
      </c>
      <c r="K743" s="12" t="s">
        <v>836</v>
      </c>
      <c r="L743" s="12" t="s">
        <v>6880</v>
      </c>
    </row>
    <row r="744" spans="1:12">
      <c r="A744" s="12">
        <f t="shared" si="11"/>
        <v>742</v>
      </c>
      <c r="B744" s="12" t="s">
        <v>6881</v>
      </c>
      <c r="C744" s="12" t="s">
        <v>6701</v>
      </c>
      <c r="D744" s="85">
        <v>8418.19</v>
      </c>
      <c r="E744" s="6">
        <v>5005094</v>
      </c>
      <c r="F744" s="12" t="s">
        <v>1143</v>
      </c>
      <c r="G744" s="2" t="s">
        <v>755</v>
      </c>
      <c r="H744" s="12" t="s">
        <v>756</v>
      </c>
      <c r="I744" s="86">
        <v>44620</v>
      </c>
      <c r="J744" s="86">
        <v>45716</v>
      </c>
      <c r="K744" s="12" t="s">
        <v>233</v>
      </c>
      <c r="L744" s="12" t="s">
        <v>5031</v>
      </c>
    </row>
    <row r="745" spans="1:12">
      <c r="A745" s="12">
        <f t="shared" si="11"/>
        <v>743</v>
      </c>
      <c r="B745" s="12" t="s">
        <v>6882</v>
      </c>
      <c r="C745" s="12" t="s">
        <v>6883</v>
      </c>
      <c r="D745" s="85">
        <v>7776.02</v>
      </c>
      <c r="E745" s="6">
        <v>5005094</v>
      </c>
      <c r="F745" s="12" t="s">
        <v>1143</v>
      </c>
      <c r="G745" s="2" t="s">
        <v>755</v>
      </c>
      <c r="H745" s="12" t="s">
        <v>756</v>
      </c>
      <c r="I745" s="86">
        <v>44620</v>
      </c>
      <c r="J745" s="86">
        <v>45716</v>
      </c>
      <c r="K745" s="12" t="s">
        <v>233</v>
      </c>
      <c r="L745" s="12" t="s">
        <v>5031</v>
      </c>
    </row>
    <row r="746" spans="1:12">
      <c r="A746" s="12">
        <f t="shared" si="11"/>
        <v>744</v>
      </c>
      <c r="B746" s="12" t="s">
        <v>6884</v>
      </c>
      <c r="C746" s="12" t="s">
        <v>6885</v>
      </c>
      <c r="D746" s="85">
        <v>10161</v>
      </c>
      <c r="E746" s="6">
        <v>6721494</v>
      </c>
      <c r="F746" s="12" t="s">
        <v>6886</v>
      </c>
      <c r="G746" s="2" t="s">
        <v>755</v>
      </c>
      <c r="H746" s="12" t="s">
        <v>756</v>
      </c>
      <c r="I746" s="86">
        <v>44572</v>
      </c>
      <c r="J746" s="86">
        <v>45668</v>
      </c>
      <c r="K746" s="12" t="s">
        <v>170</v>
      </c>
      <c r="L746" s="12" t="s">
        <v>1023</v>
      </c>
    </row>
    <row r="747" spans="1:12">
      <c r="A747" s="12">
        <f t="shared" si="11"/>
        <v>745</v>
      </c>
      <c r="B747" s="12" t="s">
        <v>6887</v>
      </c>
      <c r="C747" s="12" t="s">
        <v>6888</v>
      </c>
      <c r="D747" s="85">
        <v>7670.82</v>
      </c>
      <c r="E747" s="6">
        <v>6721494</v>
      </c>
      <c r="F747" s="12" t="s">
        <v>6886</v>
      </c>
      <c r="G747" s="2" t="s">
        <v>755</v>
      </c>
      <c r="H747" s="12" t="s">
        <v>756</v>
      </c>
      <c r="I747" s="86">
        <v>44572</v>
      </c>
      <c r="J747" s="86">
        <v>45668</v>
      </c>
      <c r="K747" s="12" t="s">
        <v>170</v>
      </c>
      <c r="L747" s="12" t="s">
        <v>1023</v>
      </c>
    </row>
    <row r="748" spans="1:12">
      <c r="A748" s="12">
        <f t="shared" si="11"/>
        <v>746</v>
      </c>
      <c r="B748" s="12" t="s">
        <v>6889</v>
      </c>
      <c r="C748" s="12" t="s">
        <v>6890</v>
      </c>
      <c r="D748" s="85">
        <v>362.04</v>
      </c>
      <c r="E748" s="6">
        <v>6470556</v>
      </c>
      <c r="F748" s="12" t="s">
        <v>5159</v>
      </c>
      <c r="G748" s="2" t="s">
        <v>755</v>
      </c>
      <c r="H748" s="12" t="s">
        <v>756</v>
      </c>
      <c r="I748" s="86">
        <v>44574</v>
      </c>
      <c r="J748" s="86">
        <v>45670</v>
      </c>
      <c r="K748" s="12" t="s">
        <v>304</v>
      </c>
      <c r="L748" s="12" t="s">
        <v>1634</v>
      </c>
    </row>
    <row r="749" spans="1:12">
      <c r="A749" s="12">
        <f t="shared" si="11"/>
        <v>747</v>
      </c>
      <c r="B749" s="12" t="s">
        <v>6891</v>
      </c>
      <c r="C749" s="12" t="s">
        <v>1872</v>
      </c>
      <c r="D749" s="85">
        <v>1902.33</v>
      </c>
      <c r="E749" s="6">
        <v>6766129</v>
      </c>
      <c r="F749" s="12" t="s">
        <v>6892</v>
      </c>
      <c r="G749" s="2" t="s">
        <v>755</v>
      </c>
      <c r="H749" s="12" t="s">
        <v>756</v>
      </c>
      <c r="I749" s="86">
        <v>44572</v>
      </c>
      <c r="J749" s="86">
        <v>45668</v>
      </c>
      <c r="K749" s="12" t="s">
        <v>304</v>
      </c>
      <c r="L749" s="12" t="s">
        <v>1634</v>
      </c>
    </row>
    <row r="750" spans="1:12">
      <c r="A750" s="12">
        <f t="shared" si="11"/>
        <v>748</v>
      </c>
      <c r="B750" s="12" t="s">
        <v>6893</v>
      </c>
      <c r="C750" s="12" t="s">
        <v>3600</v>
      </c>
      <c r="D750" s="85">
        <v>1219.96</v>
      </c>
      <c r="E750" s="6">
        <v>6170757</v>
      </c>
      <c r="F750" s="12" t="s">
        <v>6409</v>
      </c>
      <c r="G750" s="2" t="s">
        <v>755</v>
      </c>
      <c r="H750" s="12" t="s">
        <v>756</v>
      </c>
      <c r="I750" s="86">
        <v>44587</v>
      </c>
      <c r="J750" s="86">
        <v>45683</v>
      </c>
      <c r="K750" s="12" t="s">
        <v>304</v>
      </c>
      <c r="L750" s="12" t="s">
        <v>141</v>
      </c>
    </row>
    <row r="751" spans="1:12">
      <c r="A751" s="12">
        <f t="shared" si="11"/>
        <v>749</v>
      </c>
      <c r="B751" s="12" t="s">
        <v>6894</v>
      </c>
      <c r="C751" s="12" t="s">
        <v>6895</v>
      </c>
      <c r="D751" s="85">
        <v>5212.55</v>
      </c>
      <c r="E751" s="6">
        <v>5065003</v>
      </c>
      <c r="F751" s="12" t="s">
        <v>6896</v>
      </c>
      <c r="G751" s="2" t="s">
        <v>755</v>
      </c>
      <c r="H751" s="12" t="s">
        <v>756</v>
      </c>
      <c r="I751" s="86">
        <v>44609</v>
      </c>
      <c r="J751" s="86">
        <v>45705</v>
      </c>
      <c r="K751" s="12" t="s">
        <v>274</v>
      </c>
      <c r="L751" s="12" t="s">
        <v>6897</v>
      </c>
    </row>
    <row r="752" spans="1:12">
      <c r="A752" s="12">
        <f t="shared" si="11"/>
        <v>750</v>
      </c>
      <c r="B752" s="12" t="s">
        <v>6898</v>
      </c>
      <c r="C752" s="12" t="s">
        <v>6899</v>
      </c>
      <c r="D752" s="85">
        <v>6879.85</v>
      </c>
      <c r="E752" s="6">
        <v>2091798</v>
      </c>
      <c r="F752" s="12" t="s">
        <v>2262</v>
      </c>
      <c r="G752" s="2" t="s">
        <v>755</v>
      </c>
      <c r="H752" s="12" t="s">
        <v>756</v>
      </c>
      <c r="I752" s="86">
        <v>44575</v>
      </c>
      <c r="J752" s="86">
        <v>45671</v>
      </c>
      <c r="K752" s="12" t="s">
        <v>304</v>
      </c>
      <c r="L752" s="12" t="s">
        <v>1634</v>
      </c>
    </row>
    <row r="753" spans="1:12">
      <c r="A753" s="12">
        <f t="shared" si="11"/>
        <v>751</v>
      </c>
      <c r="B753" s="12" t="s">
        <v>6900</v>
      </c>
      <c r="C753" s="12" t="s">
        <v>6901</v>
      </c>
      <c r="D753" s="85">
        <v>8272.9</v>
      </c>
      <c r="E753" s="6">
        <v>5005094</v>
      </c>
      <c r="F753" s="12" t="s">
        <v>1143</v>
      </c>
      <c r="G753" s="2" t="s">
        <v>755</v>
      </c>
      <c r="H753" s="12" t="s">
        <v>756</v>
      </c>
      <c r="I753" s="86">
        <v>44603</v>
      </c>
      <c r="J753" s="86">
        <v>45699</v>
      </c>
      <c r="K753" s="12" t="s">
        <v>233</v>
      </c>
      <c r="L753" s="12" t="s">
        <v>5031</v>
      </c>
    </row>
    <row r="754" spans="1:12">
      <c r="A754" s="12">
        <f t="shared" si="11"/>
        <v>752</v>
      </c>
      <c r="B754" s="12" t="s">
        <v>6902</v>
      </c>
      <c r="C754" s="12" t="s">
        <v>4389</v>
      </c>
      <c r="D754" s="85">
        <v>15725.29</v>
      </c>
      <c r="E754" s="6">
        <v>5979129</v>
      </c>
      <c r="F754" s="12" t="s">
        <v>6903</v>
      </c>
      <c r="G754" s="2" t="s">
        <v>755</v>
      </c>
      <c r="H754" s="12" t="s">
        <v>756</v>
      </c>
      <c r="I754" s="86">
        <v>42376</v>
      </c>
      <c r="J754" s="86">
        <v>45664</v>
      </c>
      <c r="K754" s="12" t="s">
        <v>123</v>
      </c>
      <c r="L754" s="12" t="s">
        <v>3411</v>
      </c>
    </row>
    <row r="755" spans="1:12">
      <c r="A755" s="12">
        <f t="shared" si="11"/>
        <v>753</v>
      </c>
      <c r="B755" s="12" t="s">
        <v>6904</v>
      </c>
      <c r="C755" s="12" t="s">
        <v>4668</v>
      </c>
      <c r="D755" s="85">
        <v>10206.280000000001</v>
      </c>
      <c r="E755" s="6">
        <v>5345626</v>
      </c>
      <c r="F755" s="12" t="s">
        <v>6905</v>
      </c>
      <c r="G755" s="2" t="s">
        <v>755</v>
      </c>
      <c r="H755" s="12" t="s">
        <v>756</v>
      </c>
      <c r="I755" s="86">
        <v>44634</v>
      </c>
      <c r="J755" s="86">
        <v>45730</v>
      </c>
      <c r="K755" s="12" t="s">
        <v>288</v>
      </c>
      <c r="L755" s="12" t="s">
        <v>6906</v>
      </c>
    </row>
    <row r="756" spans="1:12">
      <c r="A756" s="12">
        <f t="shared" si="11"/>
        <v>754</v>
      </c>
      <c r="B756" s="12" t="s">
        <v>6907</v>
      </c>
      <c r="C756" s="12" t="s">
        <v>1344</v>
      </c>
      <c r="D756" s="85">
        <v>7829.78</v>
      </c>
      <c r="E756" s="6">
        <v>5345626</v>
      </c>
      <c r="F756" s="12" t="s">
        <v>6905</v>
      </c>
      <c r="G756" s="2" t="s">
        <v>755</v>
      </c>
      <c r="H756" s="12" t="s">
        <v>756</v>
      </c>
      <c r="I756" s="86">
        <v>44634</v>
      </c>
      <c r="J756" s="86">
        <v>45730</v>
      </c>
      <c r="K756" s="12" t="s">
        <v>288</v>
      </c>
      <c r="L756" s="12" t="s">
        <v>6906</v>
      </c>
    </row>
    <row r="757" spans="1:12">
      <c r="A757" s="12">
        <f t="shared" si="11"/>
        <v>755</v>
      </c>
      <c r="B757" s="12" t="s">
        <v>6908</v>
      </c>
      <c r="C757" s="12" t="s">
        <v>6909</v>
      </c>
      <c r="D757" s="85">
        <v>8060.02</v>
      </c>
      <c r="E757" s="6">
        <v>8344647</v>
      </c>
      <c r="F757" s="12" t="s">
        <v>6838</v>
      </c>
      <c r="G757" s="2" t="s">
        <v>755</v>
      </c>
      <c r="H757" s="12" t="s">
        <v>756</v>
      </c>
      <c r="I757" s="86">
        <v>44635</v>
      </c>
      <c r="J757" s="86">
        <v>45731</v>
      </c>
      <c r="K757" s="12" t="s">
        <v>288</v>
      </c>
      <c r="L757" s="12" t="s">
        <v>6839</v>
      </c>
    </row>
    <row r="758" spans="1:12">
      <c r="A758" s="12">
        <f t="shared" si="11"/>
        <v>756</v>
      </c>
      <c r="B758" s="12" t="s">
        <v>6910</v>
      </c>
      <c r="C758" s="12" t="s">
        <v>6518</v>
      </c>
      <c r="D758" s="85">
        <v>125.83</v>
      </c>
      <c r="E758" s="6">
        <v>6750974</v>
      </c>
      <c r="F758" s="12" t="s">
        <v>6911</v>
      </c>
      <c r="G758" s="2" t="s">
        <v>755</v>
      </c>
      <c r="H758" s="12" t="s">
        <v>756</v>
      </c>
      <c r="I758" s="86">
        <v>44635</v>
      </c>
      <c r="J758" s="86">
        <v>45731</v>
      </c>
      <c r="K758" s="12" t="s">
        <v>170</v>
      </c>
      <c r="L758" s="12" t="s">
        <v>205</v>
      </c>
    </row>
    <row r="759" spans="1:12">
      <c r="A759" s="12">
        <f t="shared" si="11"/>
        <v>757</v>
      </c>
      <c r="B759" s="12" t="s">
        <v>6912</v>
      </c>
      <c r="C759" s="12" t="s">
        <v>6913</v>
      </c>
      <c r="D759" s="85">
        <v>1043.24</v>
      </c>
      <c r="E759" s="6">
        <v>2102048</v>
      </c>
      <c r="F759" s="12" t="s">
        <v>6914</v>
      </c>
      <c r="G759" s="2" t="s">
        <v>755</v>
      </c>
      <c r="H759" s="12" t="s">
        <v>756</v>
      </c>
      <c r="I759" s="86">
        <v>44634</v>
      </c>
      <c r="J759" s="86">
        <v>45730</v>
      </c>
      <c r="K759" s="12" t="s">
        <v>180</v>
      </c>
      <c r="L759" s="12" t="s">
        <v>927</v>
      </c>
    </row>
    <row r="760" spans="1:12">
      <c r="A760" s="12">
        <f t="shared" si="11"/>
        <v>758</v>
      </c>
      <c r="B760" s="12" t="s">
        <v>6915</v>
      </c>
      <c r="C760" s="12" t="s">
        <v>3845</v>
      </c>
      <c r="D760" s="85">
        <v>2535.9899999999998</v>
      </c>
      <c r="E760" s="6">
        <v>6831834</v>
      </c>
      <c r="F760" s="12" t="s">
        <v>6916</v>
      </c>
      <c r="G760" s="2" t="s">
        <v>755</v>
      </c>
      <c r="H760" s="12" t="s">
        <v>756</v>
      </c>
      <c r="I760" s="86">
        <v>44642</v>
      </c>
      <c r="J760" s="86">
        <v>45738</v>
      </c>
      <c r="K760" s="12" t="s">
        <v>170</v>
      </c>
      <c r="L760" s="12" t="s">
        <v>807</v>
      </c>
    </row>
    <row r="761" spans="1:12">
      <c r="A761" s="12">
        <f t="shared" si="11"/>
        <v>759</v>
      </c>
      <c r="B761" s="12" t="s">
        <v>6917</v>
      </c>
      <c r="C761" s="12" t="s">
        <v>4342</v>
      </c>
      <c r="D761" s="85">
        <v>223.15</v>
      </c>
      <c r="E761" s="6">
        <v>2622912</v>
      </c>
      <c r="F761" s="12" t="s">
        <v>6918</v>
      </c>
      <c r="G761" s="2" t="s">
        <v>755</v>
      </c>
      <c r="H761" s="12" t="s">
        <v>756</v>
      </c>
      <c r="I761" s="86">
        <v>44657</v>
      </c>
      <c r="J761" s="86">
        <v>45753</v>
      </c>
      <c r="K761" s="12" t="s">
        <v>233</v>
      </c>
      <c r="L761" s="12" t="s">
        <v>3019</v>
      </c>
    </row>
    <row r="762" spans="1:12">
      <c r="A762" s="12">
        <f t="shared" si="11"/>
        <v>760</v>
      </c>
      <c r="B762" s="12" t="s">
        <v>6919</v>
      </c>
      <c r="C762" s="12" t="s">
        <v>6920</v>
      </c>
      <c r="D762" s="85">
        <v>4088.78</v>
      </c>
      <c r="E762" s="6">
        <v>6755291</v>
      </c>
      <c r="F762" s="12" t="s">
        <v>6657</v>
      </c>
      <c r="G762" s="2" t="s">
        <v>755</v>
      </c>
      <c r="H762" s="12" t="s">
        <v>756</v>
      </c>
      <c r="I762" s="86">
        <v>44643</v>
      </c>
      <c r="J762" s="86">
        <v>45739</v>
      </c>
      <c r="K762" s="12" t="s">
        <v>163</v>
      </c>
      <c r="L762" s="12" t="s">
        <v>1417</v>
      </c>
    </row>
    <row r="763" spans="1:12">
      <c r="A763" s="12">
        <f t="shared" si="11"/>
        <v>761</v>
      </c>
      <c r="B763" s="12" t="s">
        <v>6921</v>
      </c>
      <c r="C763" s="12" t="s">
        <v>4628</v>
      </c>
      <c r="D763" s="85">
        <v>858.38</v>
      </c>
      <c r="E763" s="6">
        <v>6750974</v>
      </c>
      <c r="F763" s="12" t="s">
        <v>6911</v>
      </c>
      <c r="G763" s="2" t="s">
        <v>755</v>
      </c>
      <c r="H763" s="12" t="s">
        <v>756</v>
      </c>
      <c r="I763" s="86">
        <v>44635</v>
      </c>
      <c r="J763" s="86">
        <v>45731</v>
      </c>
      <c r="K763" s="12" t="s">
        <v>163</v>
      </c>
      <c r="L763" s="12" t="s">
        <v>6922</v>
      </c>
    </row>
    <row r="764" spans="1:12">
      <c r="A764" s="12">
        <f t="shared" si="11"/>
        <v>762</v>
      </c>
      <c r="B764" s="12" t="s">
        <v>6923</v>
      </c>
      <c r="C764" s="12" t="s">
        <v>6924</v>
      </c>
      <c r="D764" s="85">
        <v>5799.77</v>
      </c>
      <c r="E764" s="6">
        <v>6765335</v>
      </c>
      <c r="F764" s="12" t="s">
        <v>6925</v>
      </c>
      <c r="G764" s="2" t="s">
        <v>755</v>
      </c>
      <c r="H764" s="12" t="s">
        <v>756</v>
      </c>
      <c r="I764" s="86">
        <v>44652</v>
      </c>
      <c r="J764" s="86">
        <v>45748</v>
      </c>
      <c r="K764" s="12" t="s">
        <v>170</v>
      </c>
      <c r="L764" s="12" t="s">
        <v>171</v>
      </c>
    </row>
    <row r="765" spans="1:12">
      <c r="A765" s="12">
        <f t="shared" si="11"/>
        <v>763</v>
      </c>
      <c r="B765" s="12" t="s">
        <v>6926</v>
      </c>
      <c r="C765" s="12" t="s">
        <v>775</v>
      </c>
      <c r="D765" s="85">
        <v>2692.11</v>
      </c>
      <c r="E765" s="6">
        <v>6338895</v>
      </c>
      <c r="F765" s="12" t="s">
        <v>5261</v>
      </c>
      <c r="G765" s="2" t="s">
        <v>755</v>
      </c>
      <c r="H765" s="12" t="s">
        <v>756</v>
      </c>
      <c r="I765" s="86">
        <v>44637</v>
      </c>
      <c r="J765" s="86">
        <v>45733</v>
      </c>
      <c r="K765" s="12" t="s">
        <v>163</v>
      </c>
      <c r="L765" s="12" t="s">
        <v>5447</v>
      </c>
    </row>
    <row r="766" spans="1:12">
      <c r="A766" s="12">
        <f t="shared" si="11"/>
        <v>764</v>
      </c>
      <c r="B766" s="12" t="s">
        <v>6927</v>
      </c>
      <c r="C766" s="12" t="s">
        <v>6928</v>
      </c>
      <c r="D766" s="85">
        <v>6205.15</v>
      </c>
      <c r="E766" s="6">
        <v>6072402</v>
      </c>
      <c r="F766" s="12" t="s">
        <v>6929</v>
      </c>
      <c r="G766" s="2" t="s">
        <v>755</v>
      </c>
      <c r="H766" s="12" t="s">
        <v>756</v>
      </c>
      <c r="I766" s="86">
        <v>44655</v>
      </c>
      <c r="J766" s="86">
        <v>45751</v>
      </c>
      <c r="K766" s="12" t="s">
        <v>170</v>
      </c>
      <c r="L766" s="12" t="s">
        <v>171</v>
      </c>
    </row>
    <row r="767" spans="1:12">
      <c r="A767" s="12">
        <f t="shared" si="11"/>
        <v>765</v>
      </c>
      <c r="B767" s="12" t="s">
        <v>6930</v>
      </c>
      <c r="C767" s="12" t="s">
        <v>6931</v>
      </c>
      <c r="D767" s="85">
        <v>6896.06</v>
      </c>
      <c r="E767" s="6">
        <v>6338895</v>
      </c>
      <c r="F767" s="12" t="s">
        <v>5261</v>
      </c>
      <c r="G767" s="2" t="s">
        <v>755</v>
      </c>
      <c r="H767" s="12" t="s">
        <v>756</v>
      </c>
      <c r="I767" s="86">
        <v>44637</v>
      </c>
      <c r="J767" s="86">
        <v>45733</v>
      </c>
      <c r="K767" s="12" t="s">
        <v>163</v>
      </c>
      <c r="L767" s="12" t="s">
        <v>5447</v>
      </c>
    </row>
    <row r="768" spans="1:12">
      <c r="A768" s="12">
        <f t="shared" si="11"/>
        <v>766</v>
      </c>
      <c r="B768" s="12" t="s">
        <v>6932</v>
      </c>
      <c r="C768" s="12" t="s">
        <v>6933</v>
      </c>
      <c r="D768" s="85">
        <v>3885.71</v>
      </c>
      <c r="E768" s="6">
        <v>5966302</v>
      </c>
      <c r="F768" s="12" t="s">
        <v>6833</v>
      </c>
      <c r="G768" s="2" t="s">
        <v>755</v>
      </c>
      <c r="H768" s="12" t="s">
        <v>756</v>
      </c>
      <c r="I768" s="86">
        <v>44630</v>
      </c>
      <c r="J768" s="86">
        <v>45726</v>
      </c>
      <c r="K768" s="12" t="s">
        <v>170</v>
      </c>
      <c r="L768" s="12" t="s">
        <v>1738</v>
      </c>
    </row>
    <row r="769" spans="1:12" ht="38.25">
      <c r="A769" s="12">
        <f t="shared" si="11"/>
        <v>767</v>
      </c>
      <c r="B769" s="12" t="s">
        <v>6934</v>
      </c>
      <c r="C769" s="12" t="s">
        <v>6935</v>
      </c>
      <c r="D769" s="85">
        <v>6698.25</v>
      </c>
      <c r="E769" s="6">
        <v>6853366</v>
      </c>
      <c r="F769" s="12" t="s">
        <v>6179</v>
      </c>
      <c r="G769" s="2" t="s">
        <v>848</v>
      </c>
      <c r="H769" s="12" t="s">
        <v>849</v>
      </c>
      <c r="I769" s="86">
        <v>44657</v>
      </c>
      <c r="J769" s="86">
        <v>45753</v>
      </c>
      <c r="K769" s="12" t="s">
        <v>170</v>
      </c>
      <c r="L769" s="12" t="s">
        <v>807</v>
      </c>
    </row>
    <row r="770" spans="1:12" ht="38.25">
      <c r="A770" s="12">
        <f t="shared" si="11"/>
        <v>768</v>
      </c>
      <c r="B770" s="12" t="s">
        <v>6936</v>
      </c>
      <c r="C770" s="12" t="s">
        <v>6937</v>
      </c>
      <c r="D770" s="85">
        <v>7938.9</v>
      </c>
      <c r="E770" s="6">
        <v>6778097</v>
      </c>
      <c r="F770" s="12" t="s">
        <v>6938</v>
      </c>
      <c r="G770" s="2" t="s">
        <v>848</v>
      </c>
      <c r="H770" s="12" t="s">
        <v>849</v>
      </c>
      <c r="I770" s="86">
        <v>44397</v>
      </c>
      <c r="J770" s="86">
        <v>45493</v>
      </c>
      <c r="K770" s="12" t="s">
        <v>782</v>
      </c>
      <c r="L770" s="12" t="s">
        <v>2429</v>
      </c>
    </row>
    <row r="771" spans="1:12">
      <c r="A771" s="12">
        <f t="shared" si="11"/>
        <v>769</v>
      </c>
      <c r="B771" s="12" t="s">
        <v>6939</v>
      </c>
      <c r="C771" s="12" t="s">
        <v>6414</v>
      </c>
      <c r="D771" s="85">
        <v>3019.87</v>
      </c>
      <c r="E771" s="6">
        <v>6788882</v>
      </c>
      <c r="F771" s="12" t="s">
        <v>6940</v>
      </c>
      <c r="G771" s="2" t="s">
        <v>755</v>
      </c>
      <c r="H771" s="12" t="s">
        <v>756</v>
      </c>
      <c r="I771" s="86">
        <v>43538</v>
      </c>
      <c r="J771" s="86">
        <v>45730</v>
      </c>
      <c r="K771" s="12" t="s">
        <v>233</v>
      </c>
      <c r="L771" s="12" t="s">
        <v>933</v>
      </c>
    </row>
    <row r="772" spans="1:12">
      <c r="A772" s="12">
        <f t="shared" si="11"/>
        <v>770</v>
      </c>
      <c r="B772" s="12" t="s">
        <v>6941</v>
      </c>
      <c r="C772" s="12" t="s">
        <v>6094</v>
      </c>
      <c r="D772" s="85">
        <v>503.8</v>
      </c>
      <c r="E772" s="6">
        <v>5984041</v>
      </c>
      <c r="F772" s="12" t="s">
        <v>6102</v>
      </c>
      <c r="G772" s="2" t="s">
        <v>755</v>
      </c>
      <c r="H772" s="12" t="s">
        <v>756</v>
      </c>
      <c r="I772" s="86">
        <v>42394</v>
      </c>
      <c r="J772" s="86">
        <v>45682</v>
      </c>
      <c r="K772" s="12" t="s">
        <v>170</v>
      </c>
      <c r="L772" s="12" t="s">
        <v>2444</v>
      </c>
    </row>
    <row r="773" spans="1:12">
      <c r="A773" s="12">
        <f t="shared" ref="A773:A836" si="12">A772+1</f>
        <v>771</v>
      </c>
      <c r="B773" s="12" t="s">
        <v>6942</v>
      </c>
      <c r="C773" s="12" t="s">
        <v>6943</v>
      </c>
      <c r="D773" s="85">
        <v>14944.63</v>
      </c>
      <c r="E773" s="6">
        <v>6896197</v>
      </c>
      <c r="F773" s="12" t="s">
        <v>6944</v>
      </c>
      <c r="G773" s="2" t="s">
        <v>755</v>
      </c>
      <c r="H773" s="12" t="s">
        <v>756</v>
      </c>
      <c r="I773" s="86">
        <v>44680</v>
      </c>
      <c r="J773" s="86">
        <v>45776</v>
      </c>
      <c r="K773" s="12" t="s">
        <v>170</v>
      </c>
      <c r="L773" s="12" t="s">
        <v>924</v>
      </c>
    </row>
    <row r="774" spans="1:12">
      <c r="A774" s="12">
        <f t="shared" si="12"/>
        <v>772</v>
      </c>
      <c r="B774" s="12" t="s">
        <v>6945</v>
      </c>
      <c r="C774" s="12" t="s">
        <v>2950</v>
      </c>
      <c r="D774" s="85">
        <v>2024.98</v>
      </c>
      <c r="E774" s="6">
        <v>5323843</v>
      </c>
      <c r="F774" s="12" t="s">
        <v>6696</v>
      </c>
      <c r="G774" s="2" t="s">
        <v>755</v>
      </c>
      <c r="H774" s="12" t="s">
        <v>756</v>
      </c>
      <c r="I774" s="86">
        <v>44434</v>
      </c>
      <c r="J774" s="86">
        <v>45530</v>
      </c>
      <c r="K774" s="12" t="s">
        <v>782</v>
      </c>
      <c r="L774" s="12" t="s">
        <v>2889</v>
      </c>
    </row>
    <row r="775" spans="1:12">
      <c r="A775" s="12">
        <f t="shared" si="12"/>
        <v>773</v>
      </c>
      <c r="B775" s="12" t="s">
        <v>6946</v>
      </c>
      <c r="C775" s="12" t="s">
        <v>6459</v>
      </c>
      <c r="D775" s="85">
        <v>1534.75</v>
      </c>
      <c r="E775" s="6">
        <v>6447627</v>
      </c>
      <c r="F775" s="12" t="s">
        <v>6947</v>
      </c>
      <c r="G775" s="2" t="s">
        <v>755</v>
      </c>
      <c r="H775" s="12" t="s">
        <v>756</v>
      </c>
      <c r="I775" s="86">
        <v>43643</v>
      </c>
      <c r="J775" s="86">
        <v>45835</v>
      </c>
      <c r="K775" s="12" t="s">
        <v>288</v>
      </c>
      <c r="L775" s="12" t="s">
        <v>2761</v>
      </c>
    </row>
    <row r="776" spans="1:12">
      <c r="A776" s="12">
        <f t="shared" si="12"/>
        <v>774</v>
      </c>
      <c r="B776" s="12" t="s">
        <v>6948</v>
      </c>
      <c r="C776" s="12" t="s">
        <v>6949</v>
      </c>
      <c r="D776" s="85">
        <v>62520.160000000003</v>
      </c>
      <c r="E776" s="6">
        <v>2074192</v>
      </c>
      <c r="F776" s="12" t="s">
        <v>760</v>
      </c>
      <c r="G776" s="2" t="s">
        <v>761</v>
      </c>
      <c r="H776" s="12" t="s">
        <v>756</v>
      </c>
      <c r="I776" s="86">
        <v>44873</v>
      </c>
      <c r="J776" s="86">
        <v>45969</v>
      </c>
      <c r="K776" s="12" t="s">
        <v>1127</v>
      </c>
      <c r="L776" s="12" t="s">
        <v>6950</v>
      </c>
    </row>
    <row r="777" spans="1:12">
      <c r="A777" s="12">
        <f t="shared" si="12"/>
        <v>775</v>
      </c>
      <c r="B777" s="12" t="s">
        <v>6951</v>
      </c>
      <c r="C777" s="12" t="s">
        <v>6952</v>
      </c>
      <c r="D777" s="85">
        <v>7521.09</v>
      </c>
      <c r="E777" s="6">
        <v>2074192</v>
      </c>
      <c r="F777" s="12" t="s">
        <v>760</v>
      </c>
      <c r="G777" s="2" t="s">
        <v>761</v>
      </c>
      <c r="H777" s="12" t="s">
        <v>756</v>
      </c>
      <c r="I777" s="86">
        <v>44873</v>
      </c>
      <c r="J777" s="86">
        <v>45969</v>
      </c>
      <c r="K777" s="12" t="s">
        <v>1127</v>
      </c>
      <c r="L777" s="12" t="s">
        <v>1128</v>
      </c>
    </row>
    <row r="778" spans="1:12">
      <c r="A778" s="12">
        <f t="shared" si="12"/>
        <v>776</v>
      </c>
      <c r="B778" s="12" t="s">
        <v>6953</v>
      </c>
      <c r="C778" s="12" t="s">
        <v>3909</v>
      </c>
      <c r="D778" s="85">
        <v>4016.87</v>
      </c>
      <c r="E778" s="6">
        <v>2074192</v>
      </c>
      <c r="F778" s="12" t="s">
        <v>760</v>
      </c>
      <c r="G778" s="2" t="s">
        <v>761</v>
      </c>
      <c r="H778" s="12" t="s">
        <v>756</v>
      </c>
      <c r="I778" s="86">
        <v>44873</v>
      </c>
      <c r="J778" s="86">
        <v>45969</v>
      </c>
      <c r="K778" s="12" t="s">
        <v>329</v>
      </c>
      <c r="L778" s="12" t="s">
        <v>762</v>
      </c>
    </row>
    <row r="779" spans="1:12">
      <c r="A779" s="12">
        <f t="shared" si="12"/>
        <v>777</v>
      </c>
      <c r="B779" s="12" t="s">
        <v>6954</v>
      </c>
      <c r="C779" s="12" t="s">
        <v>6955</v>
      </c>
      <c r="D779" s="85">
        <v>3009.44</v>
      </c>
      <c r="E779" s="6">
        <v>2074192</v>
      </c>
      <c r="F779" s="12" t="s">
        <v>760</v>
      </c>
      <c r="G779" s="2" t="s">
        <v>761</v>
      </c>
      <c r="H779" s="12" t="s">
        <v>756</v>
      </c>
      <c r="I779" s="86">
        <v>44873</v>
      </c>
      <c r="J779" s="86">
        <v>45969</v>
      </c>
      <c r="K779" s="12" t="s">
        <v>836</v>
      </c>
      <c r="L779" s="12" t="s">
        <v>6956</v>
      </c>
    </row>
    <row r="780" spans="1:12">
      <c r="A780" s="12">
        <f t="shared" si="12"/>
        <v>778</v>
      </c>
      <c r="B780" s="12" t="s">
        <v>6957</v>
      </c>
      <c r="C780" s="12" t="s">
        <v>6958</v>
      </c>
      <c r="D780" s="85">
        <v>21451.23</v>
      </c>
      <c r="E780" s="6">
        <v>2074192</v>
      </c>
      <c r="F780" s="12" t="s">
        <v>760</v>
      </c>
      <c r="G780" s="2" t="s">
        <v>761</v>
      </c>
      <c r="H780" s="12" t="s">
        <v>756</v>
      </c>
      <c r="I780" s="86">
        <v>44873</v>
      </c>
      <c r="J780" s="86">
        <v>45969</v>
      </c>
      <c r="K780" s="12" t="s">
        <v>1127</v>
      </c>
      <c r="L780" s="12" t="s">
        <v>6959</v>
      </c>
    </row>
    <row r="781" spans="1:12">
      <c r="A781" s="12">
        <f t="shared" si="12"/>
        <v>779</v>
      </c>
      <c r="B781" s="12" t="s">
        <v>6960</v>
      </c>
      <c r="C781" s="12" t="s">
        <v>5386</v>
      </c>
      <c r="D781" s="85">
        <v>1032.75</v>
      </c>
      <c r="E781" s="6">
        <v>2074192</v>
      </c>
      <c r="F781" s="12" t="s">
        <v>760</v>
      </c>
      <c r="G781" s="2" t="s">
        <v>761</v>
      </c>
      <c r="H781" s="12" t="s">
        <v>756</v>
      </c>
      <c r="I781" s="86">
        <v>44873</v>
      </c>
      <c r="J781" s="86">
        <v>45969</v>
      </c>
      <c r="K781" s="12" t="s">
        <v>1127</v>
      </c>
      <c r="L781" s="12" t="s">
        <v>6959</v>
      </c>
    </row>
    <row r="782" spans="1:12">
      <c r="A782" s="12">
        <f t="shared" si="12"/>
        <v>780</v>
      </c>
      <c r="B782" s="12" t="s">
        <v>6961</v>
      </c>
      <c r="C782" s="12" t="s">
        <v>6962</v>
      </c>
      <c r="D782" s="85">
        <v>259.3</v>
      </c>
      <c r="E782" s="6">
        <v>6628621</v>
      </c>
      <c r="F782" s="12" t="s">
        <v>6963</v>
      </c>
      <c r="G782" s="2" t="s">
        <v>755</v>
      </c>
      <c r="H782" s="12" t="s">
        <v>756</v>
      </c>
      <c r="I782" s="86">
        <v>44953</v>
      </c>
      <c r="J782" s="86">
        <v>46049</v>
      </c>
      <c r="K782" s="12" t="s">
        <v>170</v>
      </c>
      <c r="L782" s="12" t="s">
        <v>205</v>
      </c>
    </row>
    <row r="783" spans="1:12">
      <c r="A783" s="12">
        <f t="shared" si="12"/>
        <v>781</v>
      </c>
      <c r="B783" s="12" t="s">
        <v>6964</v>
      </c>
      <c r="C783" s="12" t="s">
        <v>6965</v>
      </c>
      <c r="D783" s="85">
        <v>447.19</v>
      </c>
      <c r="E783" s="6">
        <v>6628621</v>
      </c>
      <c r="F783" s="12" t="s">
        <v>6963</v>
      </c>
      <c r="G783" s="2" t="s">
        <v>755</v>
      </c>
      <c r="H783" s="12" t="s">
        <v>756</v>
      </c>
      <c r="I783" s="86">
        <v>44953</v>
      </c>
      <c r="J783" s="86">
        <v>46049</v>
      </c>
      <c r="K783" s="12" t="s">
        <v>170</v>
      </c>
      <c r="L783" s="12" t="s">
        <v>205</v>
      </c>
    </row>
    <row r="784" spans="1:12">
      <c r="A784" s="12">
        <f t="shared" si="12"/>
        <v>782</v>
      </c>
      <c r="B784" s="12" t="s">
        <v>6966</v>
      </c>
      <c r="C784" s="12" t="s">
        <v>6967</v>
      </c>
      <c r="D784" s="85">
        <v>1098.72</v>
      </c>
      <c r="E784" s="6">
        <v>5951259</v>
      </c>
      <c r="F784" s="12" t="s">
        <v>6968</v>
      </c>
      <c r="G784" s="2" t="s">
        <v>755</v>
      </c>
      <c r="H784" s="12" t="s">
        <v>756</v>
      </c>
      <c r="I784" s="86">
        <v>44942</v>
      </c>
      <c r="J784" s="86">
        <v>46038</v>
      </c>
      <c r="K784" s="12" t="s">
        <v>170</v>
      </c>
      <c r="L784" s="12" t="s">
        <v>924</v>
      </c>
    </row>
    <row r="785" spans="1:12">
      <c r="A785" s="12">
        <f t="shared" si="12"/>
        <v>783</v>
      </c>
      <c r="B785" s="12" t="s">
        <v>6969</v>
      </c>
      <c r="C785" s="12" t="s">
        <v>933</v>
      </c>
      <c r="D785" s="85">
        <v>6388.83</v>
      </c>
      <c r="E785" s="6">
        <v>6182526</v>
      </c>
      <c r="F785" s="12" t="s">
        <v>6970</v>
      </c>
      <c r="G785" s="2" t="s">
        <v>755</v>
      </c>
      <c r="H785" s="12" t="s">
        <v>756</v>
      </c>
      <c r="I785" s="86">
        <v>44942</v>
      </c>
      <c r="J785" s="86">
        <v>46038</v>
      </c>
      <c r="K785" s="12" t="s">
        <v>170</v>
      </c>
      <c r="L785" s="12" t="s">
        <v>2444</v>
      </c>
    </row>
    <row r="786" spans="1:12">
      <c r="A786" s="12">
        <f t="shared" si="12"/>
        <v>784</v>
      </c>
      <c r="B786" s="12" t="s">
        <v>6971</v>
      </c>
      <c r="C786" s="12" t="s">
        <v>6972</v>
      </c>
      <c r="D786" s="85">
        <v>2944.51</v>
      </c>
      <c r="E786" s="6">
        <v>6636721</v>
      </c>
      <c r="F786" s="12" t="s">
        <v>6973</v>
      </c>
      <c r="G786" s="2" t="s">
        <v>755</v>
      </c>
      <c r="H786" s="12" t="s">
        <v>756</v>
      </c>
      <c r="I786" s="86">
        <v>44942</v>
      </c>
      <c r="J786" s="86">
        <v>46038</v>
      </c>
      <c r="K786" s="12" t="s">
        <v>138</v>
      </c>
      <c r="L786" s="12" t="s">
        <v>1806</v>
      </c>
    </row>
    <row r="787" spans="1:12">
      <c r="A787" s="12">
        <f t="shared" si="12"/>
        <v>785</v>
      </c>
      <c r="B787" s="12" t="s">
        <v>6974</v>
      </c>
      <c r="C787" s="12" t="s">
        <v>6975</v>
      </c>
      <c r="D787" s="85">
        <v>2217.2800000000002</v>
      </c>
      <c r="E787" s="6">
        <v>6847773</v>
      </c>
      <c r="F787" s="12" t="s">
        <v>6976</v>
      </c>
      <c r="G787" s="2" t="s">
        <v>755</v>
      </c>
      <c r="H787" s="12" t="s">
        <v>756</v>
      </c>
      <c r="I787" s="86">
        <v>44943</v>
      </c>
      <c r="J787" s="86">
        <v>46039</v>
      </c>
      <c r="K787" s="12" t="s">
        <v>375</v>
      </c>
      <c r="L787" s="12" t="s">
        <v>6107</v>
      </c>
    </row>
    <row r="788" spans="1:12">
      <c r="A788" s="12">
        <f t="shared" si="12"/>
        <v>786</v>
      </c>
      <c r="B788" s="12" t="s">
        <v>6977</v>
      </c>
      <c r="C788" s="12" t="s">
        <v>6978</v>
      </c>
      <c r="D788" s="85">
        <v>10558.97</v>
      </c>
      <c r="E788" s="6">
        <v>6958737</v>
      </c>
      <c r="F788" s="12" t="s">
        <v>6979</v>
      </c>
      <c r="G788" s="2" t="s">
        <v>755</v>
      </c>
      <c r="H788" s="12" t="s">
        <v>756</v>
      </c>
      <c r="I788" s="86">
        <v>44942</v>
      </c>
      <c r="J788" s="86">
        <v>46038</v>
      </c>
      <c r="K788" s="12" t="s">
        <v>1102</v>
      </c>
      <c r="L788" s="12" t="s">
        <v>1103</v>
      </c>
    </row>
    <row r="789" spans="1:12">
      <c r="A789" s="12">
        <f t="shared" si="12"/>
        <v>787</v>
      </c>
      <c r="B789" s="12" t="s">
        <v>6980</v>
      </c>
      <c r="C789" s="12" t="s">
        <v>6981</v>
      </c>
      <c r="D789" s="85">
        <v>5577.49</v>
      </c>
      <c r="E789" s="6">
        <v>6622844</v>
      </c>
      <c r="F789" s="12" t="s">
        <v>5099</v>
      </c>
      <c r="G789" s="2" t="s">
        <v>755</v>
      </c>
      <c r="H789" s="12" t="s">
        <v>756</v>
      </c>
      <c r="I789" s="86">
        <v>44951</v>
      </c>
      <c r="J789" s="86">
        <v>46047</v>
      </c>
      <c r="K789" s="12" t="s">
        <v>274</v>
      </c>
      <c r="L789" s="12" t="s">
        <v>790</v>
      </c>
    </row>
    <row r="790" spans="1:12">
      <c r="A790" s="12">
        <f t="shared" si="12"/>
        <v>788</v>
      </c>
      <c r="B790" s="12" t="s">
        <v>6982</v>
      </c>
      <c r="C790" s="12" t="s">
        <v>6983</v>
      </c>
      <c r="D790" s="85">
        <v>402.19</v>
      </c>
      <c r="E790" s="6">
        <v>6208576</v>
      </c>
      <c r="F790" s="12" t="s">
        <v>6984</v>
      </c>
      <c r="G790" s="2" t="s">
        <v>755</v>
      </c>
      <c r="H790" s="12" t="s">
        <v>756</v>
      </c>
      <c r="I790" s="86">
        <v>44942</v>
      </c>
      <c r="J790" s="86">
        <v>46038</v>
      </c>
      <c r="K790" s="12" t="s">
        <v>836</v>
      </c>
      <c r="L790" s="12" t="s">
        <v>3048</v>
      </c>
    </row>
    <row r="791" spans="1:12">
      <c r="A791" s="12">
        <f t="shared" si="12"/>
        <v>789</v>
      </c>
      <c r="B791" s="12" t="s">
        <v>6985</v>
      </c>
      <c r="C791" s="12" t="s">
        <v>6986</v>
      </c>
      <c r="D791" s="85">
        <v>2502.04</v>
      </c>
      <c r="E791" s="6">
        <v>5158958</v>
      </c>
      <c r="F791" s="12" t="s">
        <v>6987</v>
      </c>
      <c r="G791" s="2" t="s">
        <v>755</v>
      </c>
      <c r="H791" s="12" t="s">
        <v>756</v>
      </c>
      <c r="I791" s="86">
        <v>44950</v>
      </c>
      <c r="J791" s="12" t="s">
        <v>6988</v>
      </c>
      <c r="K791" s="12" t="s">
        <v>1102</v>
      </c>
      <c r="L791" s="12" t="s">
        <v>2761</v>
      </c>
    </row>
    <row r="792" spans="1:12">
      <c r="A792" s="12">
        <f t="shared" si="12"/>
        <v>790</v>
      </c>
      <c r="B792" s="12" t="s">
        <v>6989</v>
      </c>
      <c r="C792" s="12" t="s">
        <v>6990</v>
      </c>
      <c r="D792" s="85">
        <v>403.57</v>
      </c>
      <c r="E792" s="6">
        <v>5951259</v>
      </c>
      <c r="F792" s="12" t="s">
        <v>6968</v>
      </c>
      <c r="G792" s="2" t="s">
        <v>755</v>
      </c>
      <c r="H792" s="12" t="s">
        <v>756</v>
      </c>
      <c r="I792" s="86">
        <v>44942</v>
      </c>
      <c r="J792" s="86">
        <v>46038</v>
      </c>
      <c r="K792" s="12" t="s">
        <v>1102</v>
      </c>
      <c r="L792" s="12" t="s">
        <v>2761</v>
      </c>
    </row>
    <row r="793" spans="1:12">
      <c r="A793" s="12">
        <f t="shared" si="12"/>
        <v>791</v>
      </c>
      <c r="B793" s="12" t="s">
        <v>6991</v>
      </c>
      <c r="C793" s="12" t="s">
        <v>6992</v>
      </c>
      <c r="D793" s="85">
        <v>8062.16</v>
      </c>
      <c r="E793" s="6">
        <v>6622844</v>
      </c>
      <c r="F793" s="12" t="s">
        <v>5099</v>
      </c>
      <c r="G793" s="2" t="s">
        <v>755</v>
      </c>
      <c r="H793" s="12" t="s">
        <v>756</v>
      </c>
      <c r="I793" s="86">
        <v>44986</v>
      </c>
      <c r="J793" s="86">
        <v>46082</v>
      </c>
      <c r="K793" s="12" t="s">
        <v>1102</v>
      </c>
      <c r="L793" s="12" t="s">
        <v>1550</v>
      </c>
    </row>
    <row r="794" spans="1:12">
      <c r="A794" s="12">
        <f t="shared" si="12"/>
        <v>792</v>
      </c>
      <c r="B794" s="12" t="s">
        <v>6993</v>
      </c>
      <c r="C794" s="12" t="s">
        <v>6994</v>
      </c>
      <c r="D794" s="85">
        <v>326.43</v>
      </c>
      <c r="E794" s="6">
        <v>5237408</v>
      </c>
      <c r="F794" s="12" t="s">
        <v>6995</v>
      </c>
      <c r="G794" s="2" t="s">
        <v>755</v>
      </c>
      <c r="H794" s="12" t="s">
        <v>756</v>
      </c>
      <c r="I794" s="86">
        <v>44964</v>
      </c>
      <c r="J794" s="86">
        <v>46060</v>
      </c>
      <c r="K794" s="12" t="s">
        <v>304</v>
      </c>
      <c r="L794" s="12" t="s">
        <v>305</v>
      </c>
    </row>
    <row r="795" spans="1:12">
      <c r="A795" s="12">
        <f t="shared" si="12"/>
        <v>793</v>
      </c>
      <c r="B795" s="12" t="s">
        <v>6996</v>
      </c>
      <c r="C795" s="12" t="s">
        <v>6997</v>
      </c>
      <c r="D795" s="85">
        <v>869.24</v>
      </c>
      <c r="E795" s="6">
        <v>5323843</v>
      </c>
      <c r="F795" s="12" t="s">
        <v>6696</v>
      </c>
      <c r="G795" s="2" t="s">
        <v>755</v>
      </c>
      <c r="H795" s="12" t="s">
        <v>756</v>
      </c>
      <c r="I795" s="86">
        <v>44970</v>
      </c>
      <c r="J795" s="86">
        <v>46066</v>
      </c>
      <c r="K795" s="12" t="s">
        <v>180</v>
      </c>
      <c r="L795" s="12" t="s">
        <v>927</v>
      </c>
    </row>
    <row r="796" spans="1:12">
      <c r="A796" s="12">
        <f t="shared" si="12"/>
        <v>794</v>
      </c>
      <c r="B796" s="12" t="s">
        <v>6998</v>
      </c>
      <c r="C796" s="12" t="s">
        <v>6367</v>
      </c>
      <c r="D796" s="85">
        <v>339.02</v>
      </c>
      <c r="E796" s="6">
        <v>4001222</v>
      </c>
      <c r="F796" s="12" t="s">
        <v>6999</v>
      </c>
      <c r="G796" s="2" t="s">
        <v>755</v>
      </c>
      <c r="H796" s="12" t="s">
        <v>756</v>
      </c>
      <c r="I796" s="86">
        <v>44953</v>
      </c>
      <c r="J796" s="86">
        <v>46049</v>
      </c>
      <c r="K796" s="12" t="s">
        <v>782</v>
      </c>
      <c r="L796" s="12" t="s">
        <v>289</v>
      </c>
    </row>
    <row r="797" spans="1:12">
      <c r="A797" s="12">
        <f t="shared" si="12"/>
        <v>795</v>
      </c>
      <c r="B797" s="12" t="s">
        <v>7000</v>
      </c>
      <c r="C797" s="12" t="s">
        <v>3004</v>
      </c>
      <c r="D797" s="85">
        <v>672.56</v>
      </c>
      <c r="E797" s="6">
        <v>4001222</v>
      </c>
      <c r="F797" s="12" t="s">
        <v>6999</v>
      </c>
      <c r="G797" s="2" t="s">
        <v>755</v>
      </c>
      <c r="H797" s="12" t="s">
        <v>756</v>
      </c>
      <c r="I797" s="86">
        <v>44953</v>
      </c>
      <c r="J797" s="86">
        <v>46049</v>
      </c>
      <c r="K797" s="12" t="s">
        <v>782</v>
      </c>
      <c r="L797" s="12" t="s">
        <v>7001</v>
      </c>
    </row>
    <row r="798" spans="1:12">
      <c r="A798" s="12">
        <f t="shared" si="12"/>
        <v>796</v>
      </c>
      <c r="B798" s="12" t="s">
        <v>7002</v>
      </c>
      <c r="C798" s="12" t="s">
        <v>7003</v>
      </c>
      <c r="D798" s="85">
        <v>1226.8</v>
      </c>
      <c r="E798" s="6">
        <v>6165575</v>
      </c>
      <c r="F798" s="12" t="s">
        <v>7004</v>
      </c>
      <c r="G798" s="2" t="s">
        <v>755</v>
      </c>
      <c r="H798" s="12" t="s">
        <v>756</v>
      </c>
      <c r="I798" s="86">
        <v>44964</v>
      </c>
      <c r="J798" s="86">
        <v>46060</v>
      </c>
      <c r="K798" s="12" t="s">
        <v>205</v>
      </c>
      <c r="L798" s="12" t="s">
        <v>206</v>
      </c>
    </row>
    <row r="799" spans="1:12">
      <c r="A799" s="12">
        <f t="shared" si="12"/>
        <v>797</v>
      </c>
      <c r="B799" s="12" t="s">
        <v>7005</v>
      </c>
      <c r="C799" s="12" t="s">
        <v>7006</v>
      </c>
      <c r="D799" s="85">
        <v>96.76</v>
      </c>
      <c r="E799" s="6">
        <v>5940621</v>
      </c>
      <c r="F799" s="12" t="s">
        <v>7007</v>
      </c>
      <c r="G799" s="2" t="s">
        <v>755</v>
      </c>
      <c r="H799" s="12" t="s">
        <v>756</v>
      </c>
      <c r="I799" s="86">
        <v>44964</v>
      </c>
      <c r="J799" s="86">
        <v>46060</v>
      </c>
      <c r="K799" s="12" t="s">
        <v>205</v>
      </c>
      <c r="L799" s="12" t="s">
        <v>206</v>
      </c>
    </row>
    <row r="800" spans="1:12">
      <c r="A800" s="12">
        <f t="shared" si="12"/>
        <v>798</v>
      </c>
      <c r="B800" s="12" t="s">
        <v>7008</v>
      </c>
      <c r="C800" s="12" t="s">
        <v>7009</v>
      </c>
      <c r="D800" s="85">
        <v>440.64</v>
      </c>
      <c r="E800" s="6">
        <v>6948413</v>
      </c>
      <c r="F800" s="12" t="s">
        <v>7010</v>
      </c>
      <c r="G800" s="2" t="s">
        <v>755</v>
      </c>
      <c r="H800" s="12" t="s">
        <v>756</v>
      </c>
      <c r="I800" s="86">
        <v>44964</v>
      </c>
      <c r="J800" s="86">
        <v>46060</v>
      </c>
      <c r="K800" s="12" t="s">
        <v>288</v>
      </c>
      <c r="L800" s="12" t="s">
        <v>902</v>
      </c>
    </row>
    <row r="801" spans="1:12">
      <c r="A801" s="12">
        <f t="shared" si="12"/>
        <v>799</v>
      </c>
      <c r="B801" s="12" t="s">
        <v>7011</v>
      </c>
      <c r="C801" s="12" t="s">
        <v>7012</v>
      </c>
      <c r="D801" s="85">
        <v>83.21</v>
      </c>
      <c r="E801" s="6">
        <v>6260632</v>
      </c>
      <c r="F801" s="12" t="s">
        <v>7013</v>
      </c>
      <c r="G801" s="2" t="s">
        <v>755</v>
      </c>
      <c r="H801" s="12" t="s">
        <v>756</v>
      </c>
      <c r="I801" s="86">
        <v>44980</v>
      </c>
      <c r="J801" s="86">
        <v>46076</v>
      </c>
      <c r="K801" s="12" t="s">
        <v>233</v>
      </c>
      <c r="L801" s="12" t="s">
        <v>5031</v>
      </c>
    </row>
    <row r="802" spans="1:12">
      <c r="A802" s="12">
        <f t="shared" si="12"/>
        <v>800</v>
      </c>
      <c r="B802" s="12" t="s">
        <v>7014</v>
      </c>
      <c r="C802" s="12" t="s">
        <v>7015</v>
      </c>
      <c r="D802" s="85">
        <v>1806.39</v>
      </c>
      <c r="E802" s="6">
        <v>6847889</v>
      </c>
      <c r="F802" s="12" t="s">
        <v>7016</v>
      </c>
      <c r="G802" s="2" t="s">
        <v>755</v>
      </c>
      <c r="H802" s="12" t="s">
        <v>756</v>
      </c>
      <c r="I802" s="86">
        <v>44964</v>
      </c>
      <c r="J802" s="86">
        <v>46060</v>
      </c>
      <c r="K802" s="12" t="s">
        <v>293</v>
      </c>
      <c r="L802" s="12" t="s">
        <v>1826</v>
      </c>
    </row>
    <row r="803" spans="1:12">
      <c r="A803" s="12">
        <f t="shared" si="12"/>
        <v>801</v>
      </c>
      <c r="B803" s="12" t="s">
        <v>7017</v>
      </c>
      <c r="C803" s="12" t="s">
        <v>1825</v>
      </c>
      <c r="D803" s="85">
        <v>756.68</v>
      </c>
      <c r="E803" s="6">
        <v>6636624</v>
      </c>
      <c r="F803" s="12" t="s">
        <v>6730</v>
      </c>
      <c r="G803" s="2" t="s">
        <v>755</v>
      </c>
      <c r="H803" s="12" t="s">
        <v>756</v>
      </c>
      <c r="I803" s="86">
        <v>44952</v>
      </c>
      <c r="J803" s="86">
        <v>46048</v>
      </c>
      <c r="K803" s="12" t="s">
        <v>293</v>
      </c>
      <c r="L803" s="12" t="s">
        <v>1826</v>
      </c>
    </row>
    <row r="804" spans="1:12">
      <c r="A804" s="12">
        <f t="shared" si="12"/>
        <v>802</v>
      </c>
      <c r="B804" s="12" t="s">
        <v>7018</v>
      </c>
      <c r="C804" s="12" t="s">
        <v>2023</v>
      </c>
      <c r="D804" s="85">
        <v>4449.7299999999996</v>
      </c>
      <c r="E804" s="6">
        <v>6658849</v>
      </c>
      <c r="F804" s="12" t="s">
        <v>7019</v>
      </c>
      <c r="G804" s="2" t="s">
        <v>755</v>
      </c>
      <c r="H804" s="12" t="s">
        <v>756</v>
      </c>
      <c r="I804" s="86">
        <v>44970</v>
      </c>
      <c r="J804" s="86">
        <v>46066</v>
      </c>
      <c r="K804" s="12" t="s">
        <v>170</v>
      </c>
      <c r="L804" s="12" t="s">
        <v>802</v>
      </c>
    </row>
    <row r="805" spans="1:12">
      <c r="A805" s="12">
        <f t="shared" si="12"/>
        <v>803</v>
      </c>
      <c r="B805" s="12" t="s">
        <v>7020</v>
      </c>
      <c r="C805" s="12" t="s">
        <v>7021</v>
      </c>
      <c r="D805" s="85">
        <v>32043.8</v>
      </c>
      <c r="E805" s="6">
        <v>5352827</v>
      </c>
      <c r="F805" s="12" t="s">
        <v>3281</v>
      </c>
      <c r="G805" s="2" t="s">
        <v>755</v>
      </c>
      <c r="H805" s="12" t="s">
        <v>756</v>
      </c>
      <c r="I805" s="86">
        <v>44966</v>
      </c>
      <c r="J805" s="86">
        <v>46062</v>
      </c>
      <c r="K805" s="12" t="s">
        <v>123</v>
      </c>
      <c r="L805" s="12" t="s">
        <v>1058</v>
      </c>
    </row>
    <row r="806" spans="1:12" ht="38.25">
      <c r="A806" s="12">
        <f t="shared" si="12"/>
        <v>804</v>
      </c>
      <c r="B806" s="12" t="s">
        <v>7022</v>
      </c>
      <c r="C806" s="12" t="s">
        <v>2159</v>
      </c>
      <c r="D806" s="85">
        <v>18431.32</v>
      </c>
      <c r="E806" s="6">
        <v>8358362</v>
      </c>
      <c r="F806" s="12" t="s">
        <v>7023</v>
      </c>
      <c r="G806" s="2" t="s">
        <v>766</v>
      </c>
      <c r="H806" s="12" t="s">
        <v>767</v>
      </c>
      <c r="I806" s="86">
        <v>44951</v>
      </c>
      <c r="J806" s="86">
        <v>46047</v>
      </c>
      <c r="K806" s="12" t="s">
        <v>7024</v>
      </c>
      <c r="L806" s="12" t="s">
        <v>7025</v>
      </c>
    </row>
    <row r="807" spans="1:12">
      <c r="A807" s="12">
        <f t="shared" si="12"/>
        <v>805</v>
      </c>
      <c r="B807" s="12" t="s">
        <v>7026</v>
      </c>
      <c r="C807" s="12" t="s">
        <v>7027</v>
      </c>
      <c r="D807" s="85">
        <v>1407.18</v>
      </c>
      <c r="E807" s="6">
        <v>6149731</v>
      </c>
      <c r="F807" s="12" t="s">
        <v>7028</v>
      </c>
      <c r="G807" s="2" t="s">
        <v>755</v>
      </c>
      <c r="H807" s="12" t="s">
        <v>756</v>
      </c>
      <c r="I807" s="86">
        <v>44970</v>
      </c>
      <c r="J807" s="86">
        <v>46066</v>
      </c>
      <c r="K807" s="12" t="s">
        <v>293</v>
      </c>
      <c r="L807" s="12" t="s">
        <v>124</v>
      </c>
    </row>
    <row r="808" spans="1:12">
      <c r="A808" s="12">
        <f t="shared" si="12"/>
        <v>806</v>
      </c>
      <c r="B808" s="12" t="s">
        <v>7029</v>
      </c>
      <c r="C808" s="12" t="s">
        <v>7030</v>
      </c>
      <c r="D808" s="85">
        <v>307.14</v>
      </c>
      <c r="E808" s="6">
        <v>6617026</v>
      </c>
      <c r="F808" s="12" t="s">
        <v>7031</v>
      </c>
      <c r="G808" s="2" t="s">
        <v>755</v>
      </c>
      <c r="H808" s="12" t="s">
        <v>756</v>
      </c>
      <c r="I808" s="86">
        <v>44966</v>
      </c>
      <c r="J808" s="86">
        <v>46062</v>
      </c>
      <c r="K808" s="12" t="s">
        <v>123</v>
      </c>
      <c r="L808" s="12" t="s">
        <v>3411</v>
      </c>
    </row>
    <row r="809" spans="1:12">
      <c r="A809" s="12">
        <f t="shared" si="12"/>
        <v>807</v>
      </c>
      <c r="B809" s="12" t="s">
        <v>7032</v>
      </c>
      <c r="C809" s="12" t="s">
        <v>7033</v>
      </c>
      <c r="D809" s="85">
        <v>942.78</v>
      </c>
      <c r="E809" s="6">
        <v>5982936</v>
      </c>
      <c r="F809" s="12" t="s">
        <v>7034</v>
      </c>
      <c r="G809" s="2" t="s">
        <v>755</v>
      </c>
      <c r="H809" s="12" t="s">
        <v>756</v>
      </c>
      <c r="I809" s="86">
        <v>44966</v>
      </c>
      <c r="J809" s="86">
        <v>46062</v>
      </c>
      <c r="K809" s="12" t="s">
        <v>1102</v>
      </c>
      <c r="L809" s="12" t="s">
        <v>5669</v>
      </c>
    </row>
    <row r="810" spans="1:12">
      <c r="A810" s="12">
        <f t="shared" si="12"/>
        <v>808</v>
      </c>
      <c r="B810" s="12" t="s">
        <v>7035</v>
      </c>
      <c r="C810" s="12" t="s">
        <v>7036</v>
      </c>
      <c r="D810" s="85">
        <v>822.44</v>
      </c>
      <c r="E810" s="6">
        <v>6617026</v>
      </c>
      <c r="F810" s="12" t="s">
        <v>7031</v>
      </c>
      <c r="G810" s="2" t="s">
        <v>755</v>
      </c>
      <c r="H810" s="12" t="s">
        <v>756</v>
      </c>
      <c r="I810" s="86">
        <v>44966</v>
      </c>
      <c r="J810" s="86">
        <v>46062</v>
      </c>
      <c r="K810" s="12" t="s">
        <v>1102</v>
      </c>
      <c r="L810" s="12" t="s">
        <v>5589</v>
      </c>
    </row>
    <row r="811" spans="1:12">
      <c r="A811" s="12">
        <f t="shared" si="12"/>
        <v>809</v>
      </c>
      <c r="B811" s="12" t="s">
        <v>7037</v>
      </c>
      <c r="C811" s="12" t="s">
        <v>7038</v>
      </c>
      <c r="D811" s="85">
        <v>11772.16</v>
      </c>
      <c r="E811" s="6">
        <v>5528437</v>
      </c>
      <c r="F811" s="12" t="s">
        <v>6689</v>
      </c>
      <c r="G811" s="2" t="s">
        <v>755</v>
      </c>
      <c r="H811" s="12" t="s">
        <v>756</v>
      </c>
      <c r="I811" s="86">
        <v>44970</v>
      </c>
      <c r="J811" s="86">
        <v>46066</v>
      </c>
      <c r="K811" s="12" t="s">
        <v>1102</v>
      </c>
      <c r="L811" s="12" t="s">
        <v>5589</v>
      </c>
    </row>
    <row r="812" spans="1:12">
      <c r="A812" s="12">
        <f t="shared" si="12"/>
        <v>810</v>
      </c>
      <c r="B812" s="12" t="s">
        <v>7039</v>
      </c>
      <c r="C812" s="12" t="s">
        <v>4406</v>
      </c>
      <c r="D812" s="85">
        <v>14436.68</v>
      </c>
      <c r="E812" s="6">
        <v>5528437</v>
      </c>
      <c r="F812" s="12" t="s">
        <v>6689</v>
      </c>
      <c r="G812" s="2" t="s">
        <v>755</v>
      </c>
      <c r="H812" s="12" t="s">
        <v>756</v>
      </c>
      <c r="I812" s="86">
        <v>44970</v>
      </c>
      <c r="J812" s="86">
        <v>46066</v>
      </c>
      <c r="K812" s="12" t="s">
        <v>1102</v>
      </c>
      <c r="L812" s="12" t="s">
        <v>5589</v>
      </c>
    </row>
    <row r="813" spans="1:12">
      <c r="A813" s="12">
        <f t="shared" si="12"/>
        <v>811</v>
      </c>
      <c r="B813" s="12" t="s">
        <v>7040</v>
      </c>
      <c r="C813" s="12" t="s">
        <v>2738</v>
      </c>
      <c r="D813" s="85">
        <v>3136.65</v>
      </c>
      <c r="E813" s="6">
        <v>5045894</v>
      </c>
      <c r="F813" s="12" t="s">
        <v>1333</v>
      </c>
      <c r="G813" s="2" t="s">
        <v>755</v>
      </c>
      <c r="H813" s="12" t="s">
        <v>756</v>
      </c>
      <c r="I813" s="86">
        <v>44973</v>
      </c>
      <c r="J813" s="86">
        <v>46069</v>
      </c>
      <c r="K813" s="12" t="s">
        <v>274</v>
      </c>
      <c r="L813" s="12" t="s">
        <v>982</v>
      </c>
    </row>
    <row r="814" spans="1:12">
      <c r="A814" s="12">
        <f t="shared" si="12"/>
        <v>812</v>
      </c>
      <c r="B814" s="12" t="s">
        <v>7041</v>
      </c>
      <c r="C814" s="12" t="s">
        <v>7042</v>
      </c>
      <c r="D814" s="85">
        <v>4283.6000000000004</v>
      </c>
      <c r="E814" s="6">
        <v>5045894</v>
      </c>
      <c r="F814" s="12" t="s">
        <v>1333</v>
      </c>
      <c r="G814" s="2" t="s">
        <v>755</v>
      </c>
      <c r="H814" s="12" t="s">
        <v>756</v>
      </c>
      <c r="I814" s="86">
        <v>44973</v>
      </c>
      <c r="J814" s="86">
        <v>46069</v>
      </c>
      <c r="K814" s="12" t="s">
        <v>274</v>
      </c>
      <c r="L814" s="12" t="s">
        <v>982</v>
      </c>
    </row>
    <row r="815" spans="1:12">
      <c r="A815" s="12">
        <f t="shared" si="12"/>
        <v>813</v>
      </c>
      <c r="B815" s="12" t="s">
        <v>7043</v>
      </c>
      <c r="C815" s="12" t="s">
        <v>7044</v>
      </c>
      <c r="D815" s="85">
        <v>4094.29</v>
      </c>
      <c r="E815" s="6">
        <v>6993311</v>
      </c>
      <c r="F815" s="12" t="s">
        <v>7045</v>
      </c>
      <c r="G815" s="2" t="s">
        <v>755</v>
      </c>
      <c r="H815" s="12" t="s">
        <v>756</v>
      </c>
      <c r="I815" s="86">
        <v>44970</v>
      </c>
      <c r="J815" s="86">
        <v>46066</v>
      </c>
      <c r="K815" s="12" t="s">
        <v>288</v>
      </c>
      <c r="L815" s="12" t="s">
        <v>3320</v>
      </c>
    </row>
    <row r="816" spans="1:12">
      <c r="A816" s="12">
        <f t="shared" si="12"/>
        <v>814</v>
      </c>
      <c r="B816" s="12" t="s">
        <v>7046</v>
      </c>
      <c r="C816" s="12" t="s">
        <v>856</v>
      </c>
      <c r="D816" s="85">
        <v>4450.05</v>
      </c>
      <c r="E816" s="6">
        <v>6993311</v>
      </c>
      <c r="F816" s="12" t="s">
        <v>7045</v>
      </c>
      <c r="G816" s="2" t="s">
        <v>755</v>
      </c>
      <c r="H816" s="12" t="s">
        <v>756</v>
      </c>
      <c r="I816" s="86">
        <v>44970</v>
      </c>
      <c r="J816" s="86">
        <v>46066</v>
      </c>
      <c r="K816" s="12" t="s">
        <v>288</v>
      </c>
      <c r="L816" s="12" t="s">
        <v>7047</v>
      </c>
    </row>
    <row r="817" spans="1:12">
      <c r="A817" s="12">
        <f t="shared" si="12"/>
        <v>815</v>
      </c>
      <c r="B817" s="12" t="s">
        <v>7048</v>
      </c>
      <c r="C817" s="12" t="s">
        <v>7049</v>
      </c>
      <c r="D817" s="85">
        <v>141.38999999999999</v>
      </c>
      <c r="E817" s="6">
        <v>6617026</v>
      </c>
      <c r="F817" s="12" t="s">
        <v>7031</v>
      </c>
      <c r="G817" s="2" t="s">
        <v>755</v>
      </c>
      <c r="H817" s="12" t="s">
        <v>756</v>
      </c>
      <c r="I817" s="86">
        <v>44966</v>
      </c>
      <c r="J817" s="86">
        <v>46062</v>
      </c>
      <c r="K817" s="12" t="s">
        <v>180</v>
      </c>
      <c r="L817" s="12" t="s">
        <v>927</v>
      </c>
    </row>
    <row r="818" spans="1:12">
      <c r="A818" s="12">
        <f t="shared" si="12"/>
        <v>816</v>
      </c>
      <c r="B818" s="12" t="s">
        <v>7050</v>
      </c>
      <c r="C818" s="12" t="s">
        <v>7051</v>
      </c>
      <c r="D818" s="85">
        <v>126.01</v>
      </c>
      <c r="E818" s="6">
        <v>6058698</v>
      </c>
      <c r="F818" s="12" t="s">
        <v>7052</v>
      </c>
      <c r="G818" s="2" t="s">
        <v>755</v>
      </c>
      <c r="H818" s="12" t="s">
        <v>756</v>
      </c>
      <c r="I818" s="86">
        <v>44973</v>
      </c>
      <c r="J818" s="86">
        <v>46069</v>
      </c>
      <c r="K818" s="12" t="s">
        <v>782</v>
      </c>
      <c r="L818" s="12" t="s">
        <v>233</v>
      </c>
    </row>
    <row r="819" spans="1:12">
      <c r="A819" s="12">
        <f t="shared" si="12"/>
        <v>817</v>
      </c>
      <c r="B819" s="12" t="s">
        <v>7053</v>
      </c>
      <c r="C819" s="12" t="s">
        <v>7054</v>
      </c>
      <c r="D819" s="85">
        <v>1608.75</v>
      </c>
      <c r="E819" s="6">
        <v>4026608</v>
      </c>
      <c r="F819" s="12" t="s">
        <v>7055</v>
      </c>
      <c r="G819" s="2" t="s">
        <v>755</v>
      </c>
      <c r="H819" s="12" t="s">
        <v>756</v>
      </c>
      <c r="I819" s="86">
        <v>44964</v>
      </c>
      <c r="J819" s="86">
        <v>46060</v>
      </c>
      <c r="K819" s="12" t="s">
        <v>782</v>
      </c>
      <c r="L819" s="12" t="s">
        <v>5596</v>
      </c>
    </row>
    <row r="820" spans="1:12">
      <c r="A820" s="12">
        <f t="shared" si="12"/>
        <v>818</v>
      </c>
      <c r="B820" s="12" t="s">
        <v>7056</v>
      </c>
      <c r="C820" s="12" t="s">
        <v>7057</v>
      </c>
      <c r="D820" s="85">
        <v>27.43</v>
      </c>
      <c r="E820" s="6">
        <v>5942144</v>
      </c>
      <c r="F820" s="12" t="s">
        <v>6756</v>
      </c>
      <c r="G820" s="2" t="s">
        <v>755</v>
      </c>
      <c r="H820" s="12" t="s">
        <v>756</v>
      </c>
      <c r="I820" s="86">
        <v>44973</v>
      </c>
      <c r="J820" s="86">
        <v>46069</v>
      </c>
      <c r="K820" s="12" t="s">
        <v>782</v>
      </c>
      <c r="L820" s="12" t="s">
        <v>2842</v>
      </c>
    </row>
    <row r="821" spans="1:12">
      <c r="A821" s="12">
        <f t="shared" si="12"/>
        <v>819</v>
      </c>
      <c r="B821" s="12" t="s">
        <v>7058</v>
      </c>
      <c r="C821" s="12" t="s">
        <v>2975</v>
      </c>
      <c r="D821" s="85">
        <v>27194.14</v>
      </c>
      <c r="E821" s="6">
        <v>6260632</v>
      </c>
      <c r="F821" s="12" t="s">
        <v>7013</v>
      </c>
      <c r="G821" s="2" t="s">
        <v>755</v>
      </c>
      <c r="H821" s="12" t="s">
        <v>756</v>
      </c>
      <c r="I821" s="86">
        <v>45005</v>
      </c>
      <c r="J821" s="86">
        <v>46101</v>
      </c>
      <c r="K821" s="12" t="s">
        <v>7059</v>
      </c>
      <c r="L821" s="12" t="s">
        <v>7060</v>
      </c>
    </row>
    <row r="822" spans="1:12">
      <c r="A822" s="12">
        <f t="shared" si="12"/>
        <v>820</v>
      </c>
      <c r="B822" s="12" t="s">
        <v>7061</v>
      </c>
      <c r="C822" s="12" t="s">
        <v>1080</v>
      </c>
      <c r="D822" s="85">
        <v>9155.56</v>
      </c>
      <c r="E822" s="6">
        <v>5199913</v>
      </c>
      <c r="F822" s="12" t="s">
        <v>7062</v>
      </c>
      <c r="G822" s="2" t="s">
        <v>755</v>
      </c>
      <c r="H822" s="12" t="s">
        <v>756</v>
      </c>
      <c r="I822" s="86">
        <v>44970</v>
      </c>
      <c r="J822" s="86">
        <v>46066</v>
      </c>
      <c r="K822" s="12" t="s">
        <v>170</v>
      </c>
      <c r="L822" s="12" t="s">
        <v>1426</v>
      </c>
    </row>
    <row r="823" spans="1:12">
      <c r="A823" s="12">
        <f t="shared" si="12"/>
        <v>821</v>
      </c>
      <c r="B823" s="12" t="s">
        <v>7063</v>
      </c>
      <c r="C823" s="12" t="s">
        <v>7064</v>
      </c>
      <c r="D823" s="85">
        <v>43.23</v>
      </c>
      <c r="E823" s="6">
        <v>6622844</v>
      </c>
      <c r="F823" s="12" t="s">
        <v>5099</v>
      </c>
      <c r="G823" s="2" t="s">
        <v>755</v>
      </c>
      <c r="H823" s="12" t="s">
        <v>756</v>
      </c>
      <c r="I823" s="86">
        <v>44986</v>
      </c>
      <c r="J823" s="86">
        <v>46082</v>
      </c>
      <c r="K823" s="12" t="s">
        <v>375</v>
      </c>
      <c r="L823" s="12" t="s">
        <v>1085</v>
      </c>
    </row>
    <row r="824" spans="1:12">
      <c r="A824" s="12">
        <f t="shared" si="12"/>
        <v>822</v>
      </c>
      <c r="B824" s="12" t="s">
        <v>7065</v>
      </c>
      <c r="C824" s="12" t="s">
        <v>7066</v>
      </c>
      <c r="D824" s="85">
        <v>2887.03</v>
      </c>
      <c r="E824" s="6">
        <v>6896324</v>
      </c>
      <c r="F824" s="12" t="s">
        <v>7067</v>
      </c>
      <c r="G824" s="2" t="s">
        <v>755</v>
      </c>
      <c r="H824" s="12" t="s">
        <v>756</v>
      </c>
      <c r="I824" s="86">
        <v>44985</v>
      </c>
      <c r="J824" s="86">
        <v>46081</v>
      </c>
      <c r="K824" s="12" t="s">
        <v>375</v>
      </c>
      <c r="L824" s="12" t="s">
        <v>1279</v>
      </c>
    </row>
    <row r="825" spans="1:12">
      <c r="A825" s="12">
        <f t="shared" si="12"/>
        <v>823</v>
      </c>
      <c r="B825" s="12" t="s">
        <v>7068</v>
      </c>
      <c r="C825" s="12" t="s">
        <v>7069</v>
      </c>
      <c r="D825" s="85">
        <v>1127.73</v>
      </c>
      <c r="E825" s="6">
        <v>5237408</v>
      </c>
      <c r="F825" s="12" t="s">
        <v>6995</v>
      </c>
      <c r="G825" s="2" t="s">
        <v>755</v>
      </c>
      <c r="H825" s="12" t="s">
        <v>756</v>
      </c>
      <c r="I825" s="86">
        <v>44985</v>
      </c>
      <c r="J825" s="86">
        <v>46081</v>
      </c>
      <c r="K825" s="12" t="s">
        <v>375</v>
      </c>
      <c r="L825" s="12" t="s">
        <v>1892</v>
      </c>
    </row>
    <row r="826" spans="1:12">
      <c r="A826" s="12">
        <f t="shared" si="12"/>
        <v>824</v>
      </c>
      <c r="B826" s="12" t="s">
        <v>7070</v>
      </c>
      <c r="C826" s="12" t="s">
        <v>7071</v>
      </c>
      <c r="D826" s="85">
        <v>704.88</v>
      </c>
      <c r="E826" s="6">
        <v>5323843</v>
      </c>
      <c r="F826" s="12" t="s">
        <v>6696</v>
      </c>
      <c r="G826" s="2" t="s">
        <v>755</v>
      </c>
      <c r="H826" s="12" t="s">
        <v>756</v>
      </c>
      <c r="I826" s="86">
        <v>44973</v>
      </c>
      <c r="J826" s="86">
        <v>46069</v>
      </c>
      <c r="K826" s="12" t="s">
        <v>293</v>
      </c>
      <c r="L826" s="12" t="s">
        <v>3681</v>
      </c>
    </row>
    <row r="827" spans="1:12">
      <c r="A827" s="12">
        <f t="shared" si="12"/>
        <v>825</v>
      </c>
      <c r="B827" s="12" t="s">
        <v>7072</v>
      </c>
      <c r="C827" s="12" t="s">
        <v>7073</v>
      </c>
      <c r="D827" s="85">
        <v>987.87</v>
      </c>
      <c r="E827" s="6">
        <v>6885624</v>
      </c>
      <c r="F827" s="12" t="s">
        <v>7074</v>
      </c>
      <c r="G827" s="2" t="s">
        <v>755</v>
      </c>
      <c r="H827" s="12" t="s">
        <v>756</v>
      </c>
      <c r="I827" s="86">
        <v>44973</v>
      </c>
      <c r="J827" s="86">
        <v>46069</v>
      </c>
      <c r="K827" s="12" t="s">
        <v>293</v>
      </c>
      <c r="L827" s="12" t="s">
        <v>815</v>
      </c>
    </row>
    <row r="828" spans="1:12">
      <c r="A828" s="12">
        <f t="shared" si="12"/>
        <v>826</v>
      </c>
      <c r="B828" s="12" t="s">
        <v>7075</v>
      </c>
      <c r="C828" s="12" t="s">
        <v>7076</v>
      </c>
      <c r="D828" s="85">
        <v>1512.44</v>
      </c>
      <c r="E828" s="6">
        <v>6617026</v>
      </c>
      <c r="F828" s="12" t="s">
        <v>7031</v>
      </c>
      <c r="G828" s="2" t="s">
        <v>755</v>
      </c>
      <c r="H828" s="12" t="s">
        <v>756</v>
      </c>
      <c r="I828" s="86">
        <v>44966</v>
      </c>
      <c r="J828" s="86">
        <v>46062</v>
      </c>
      <c r="K828" s="12" t="s">
        <v>123</v>
      </c>
      <c r="L828" s="12" t="s">
        <v>836</v>
      </c>
    </row>
    <row r="829" spans="1:12">
      <c r="A829" s="12">
        <f t="shared" si="12"/>
        <v>827</v>
      </c>
      <c r="B829" s="12" t="s">
        <v>7077</v>
      </c>
      <c r="C829" s="12" t="s">
        <v>7078</v>
      </c>
      <c r="D829" s="85">
        <v>1190.33</v>
      </c>
      <c r="E829" s="6">
        <v>6617026</v>
      </c>
      <c r="F829" s="12" t="s">
        <v>7031</v>
      </c>
      <c r="G829" s="2" t="s">
        <v>755</v>
      </c>
      <c r="H829" s="12" t="s">
        <v>756</v>
      </c>
      <c r="I829" s="86">
        <v>44966</v>
      </c>
      <c r="J829" s="86">
        <v>46062</v>
      </c>
      <c r="K829" s="12" t="s">
        <v>293</v>
      </c>
      <c r="L829" s="12" t="s">
        <v>815</v>
      </c>
    </row>
    <row r="830" spans="1:12">
      <c r="A830" s="12">
        <f t="shared" si="12"/>
        <v>828</v>
      </c>
      <c r="B830" s="12" t="s">
        <v>7079</v>
      </c>
      <c r="C830" s="12" t="s">
        <v>2133</v>
      </c>
      <c r="D830" s="85">
        <v>437.68</v>
      </c>
      <c r="E830" s="6">
        <v>6617026</v>
      </c>
      <c r="F830" s="12" t="s">
        <v>7031</v>
      </c>
      <c r="G830" s="2" t="s">
        <v>755</v>
      </c>
      <c r="H830" s="12" t="s">
        <v>756</v>
      </c>
      <c r="I830" s="86">
        <v>44966</v>
      </c>
      <c r="J830" s="86">
        <v>46062</v>
      </c>
      <c r="K830" s="12" t="s">
        <v>1097</v>
      </c>
      <c r="L830" s="12" t="s">
        <v>1999</v>
      </c>
    </row>
    <row r="831" spans="1:12">
      <c r="A831" s="12">
        <f t="shared" si="12"/>
        <v>829</v>
      </c>
      <c r="B831" s="12" t="s">
        <v>7080</v>
      </c>
      <c r="C831" s="12" t="s">
        <v>7081</v>
      </c>
      <c r="D831" s="85">
        <v>725.51</v>
      </c>
      <c r="E831" s="6">
        <v>5352827</v>
      </c>
      <c r="F831" s="12" t="s">
        <v>3281</v>
      </c>
      <c r="G831" s="2" t="s">
        <v>755</v>
      </c>
      <c r="H831" s="12" t="s">
        <v>756</v>
      </c>
      <c r="I831" s="86">
        <v>44986</v>
      </c>
      <c r="J831" s="86">
        <v>46082</v>
      </c>
      <c r="K831" s="12" t="s">
        <v>123</v>
      </c>
      <c r="L831" s="12" t="s">
        <v>2876</v>
      </c>
    </row>
    <row r="832" spans="1:12">
      <c r="A832" s="12">
        <f t="shared" si="12"/>
        <v>830</v>
      </c>
      <c r="B832" s="12" t="s">
        <v>7082</v>
      </c>
      <c r="C832" s="12" t="s">
        <v>7083</v>
      </c>
      <c r="D832" s="85">
        <v>4520.96</v>
      </c>
      <c r="E832" s="6">
        <v>5429617</v>
      </c>
      <c r="F832" s="12" t="s">
        <v>5565</v>
      </c>
      <c r="G832" s="2" t="s">
        <v>755</v>
      </c>
      <c r="H832" s="12" t="s">
        <v>756</v>
      </c>
      <c r="I832" s="86">
        <v>44985</v>
      </c>
      <c r="J832" s="86">
        <v>46081</v>
      </c>
      <c r="K832" s="12" t="s">
        <v>782</v>
      </c>
      <c r="L832" s="12" t="s">
        <v>289</v>
      </c>
    </row>
    <row r="833" spans="1:12">
      <c r="A833" s="12">
        <f t="shared" si="12"/>
        <v>831</v>
      </c>
      <c r="B833" s="12" t="s">
        <v>7084</v>
      </c>
      <c r="C833" s="12" t="s">
        <v>1048</v>
      </c>
      <c r="D833" s="85">
        <v>3339.8</v>
      </c>
      <c r="E833" s="6">
        <v>6019846</v>
      </c>
      <c r="F833" s="12" t="s">
        <v>7085</v>
      </c>
      <c r="G833" s="2" t="s">
        <v>755</v>
      </c>
      <c r="H833" s="12" t="s">
        <v>756</v>
      </c>
      <c r="I833" s="86">
        <v>43754</v>
      </c>
      <c r="J833" s="86">
        <v>45946</v>
      </c>
      <c r="K833" s="12" t="s">
        <v>123</v>
      </c>
      <c r="L833" s="12" t="s">
        <v>4702</v>
      </c>
    </row>
    <row r="834" spans="1:12">
      <c r="A834" s="12">
        <f t="shared" si="12"/>
        <v>832</v>
      </c>
      <c r="B834" s="12" t="s">
        <v>7086</v>
      </c>
      <c r="C834" s="12" t="s">
        <v>5396</v>
      </c>
      <c r="D834" s="85">
        <v>569.29</v>
      </c>
      <c r="E834" s="6">
        <v>5086353</v>
      </c>
      <c r="F834" s="12" t="s">
        <v>3745</v>
      </c>
      <c r="G834" s="2" t="s">
        <v>755</v>
      </c>
      <c r="H834" s="12" t="s">
        <v>756</v>
      </c>
      <c r="I834" s="86">
        <v>42850</v>
      </c>
      <c r="J834" s="86">
        <v>46137</v>
      </c>
      <c r="K834" s="12" t="s">
        <v>1014</v>
      </c>
      <c r="L834" s="12" t="s">
        <v>2825</v>
      </c>
    </row>
    <row r="835" spans="1:12">
      <c r="A835" s="12">
        <f t="shared" si="12"/>
        <v>833</v>
      </c>
      <c r="B835" s="12" t="s">
        <v>7087</v>
      </c>
      <c r="C835" s="12" t="s">
        <v>5779</v>
      </c>
      <c r="D835" s="85">
        <v>1727.17</v>
      </c>
      <c r="E835" s="6">
        <v>8391661</v>
      </c>
      <c r="F835" s="12" t="s">
        <v>7088</v>
      </c>
      <c r="G835" s="2" t="s">
        <v>755</v>
      </c>
      <c r="H835" s="12" t="s">
        <v>756</v>
      </c>
      <c r="I835" s="86">
        <v>42313</v>
      </c>
      <c r="J835" s="86">
        <v>45601</v>
      </c>
      <c r="K835" s="12" t="s">
        <v>170</v>
      </c>
      <c r="L835" s="12" t="s">
        <v>280</v>
      </c>
    </row>
    <row r="836" spans="1:12">
      <c r="A836" s="12">
        <f t="shared" si="12"/>
        <v>834</v>
      </c>
      <c r="B836" s="12" t="s">
        <v>7089</v>
      </c>
      <c r="C836" s="12" t="s">
        <v>7090</v>
      </c>
      <c r="D836" s="85">
        <v>122.03</v>
      </c>
      <c r="E836" s="6">
        <v>6562736</v>
      </c>
      <c r="F836" s="12" t="s">
        <v>7091</v>
      </c>
      <c r="G836" s="2" t="s">
        <v>755</v>
      </c>
      <c r="H836" s="12" t="s">
        <v>756</v>
      </c>
      <c r="I836" s="86">
        <v>45029</v>
      </c>
      <c r="J836" s="86">
        <v>46125</v>
      </c>
      <c r="K836" s="12" t="s">
        <v>836</v>
      </c>
      <c r="L836" s="12" t="s">
        <v>7092</v>
      </c>
    </row>
    <row r="837" spans="1:12">
      <c r="A837" s="12">
        <f t="shared" ref="A837:A900" si="13">A836+1</f>
        <v>835</v>
      </c>
      <c r="B837" s="12" t="s">
        <v>7093</v>
      </c>
      <c r="C837" s="12" t="s">
        <v>7094</v>
      </c>
      <c r="D837" s="85">
        <v>3012.2</v>
      </c>
      <c r="E837" s="6">
        <v>2047071</v>
      </c>
      <c r="F837" s="12" t="s">
        <v>7095</v>
      </c>
      <c r="G837" s="2" t="s">
        <v>755</v>
      </c>
      <c r="H837" s="12" t="s">
        <v>756</v>
      </c>
      <c r="I837" s="86">
        <v>45037</v>
      </c>
      <c r="J837" s="86">
        <v>46133</v>
      </c>
      <c r="K837" s="12" t="s">
        <v>782</v>
      </c>
      <c r="L837" s="12" t="s">
        <v>7096</v>
      </c>
    </row>
    <row r="838" spans="1:12">
      <c r="A838" s="12">
        <f t="shared" si="13"/>
        <v>836</v>
      </c>
      <c r="B838" s="12" t="s">
        <v>7097</v>
      </c>
      <c r="C838" s="12" t="s">
        <v>7098</v>
      </c>
      <c r="D838" s="85">
        <v>6694.34</v>
      </c>
      <c r="E838" s="6">
        <v>5952409</v>
      </c>
      <c r="F838" s="12" t="s">
        <v>7099</v>
      </c>
      <c r="G838" s="2" t="s">
        <v>755</v>
      </c>
      <c r="H838" s="12" t="s">
        <v>756</v>
      </c>
      <c r="I838" s="86">
        <v>45021</v>
      </c>
      <c r="J838" s="86">
        <v>46117</v>
      </c>
      <c r="K838" s="12" t="s">
        <v>233</v>
      </c>
      <c r="L838" s="12" t="s">
        <v>2644</v>
      </c>
    </row>
    <row r="839" spans="1:12" ht="38.25">
      <c r="A839" s="12">
        <f t="shared" si="13"/>
        <v>837</v>
      </c>
      <c r="B839" s="12" t="s">
        <v>7100</v>
      </c>
      <c r="C839" s="12" t="s">
        <v>7101</v>
      </c>
      <c r="D839" s="85">
        <v>511.48</v>
      </c>
      <c r="E839" s="6">
        <v>2837129</v>
      </c>
      <c r="F839" s="12" t="s">
        <v>7102</v>
      </c>
      <c r="G839" s="2" t="s">
        <v>848</v>
      </c>
      <c r="H839" s="12" t="s">
        <v>849</v>
      </c>
      <c r="I839" s="86">
        <v>45028</v>
      </c>
      <c r="J839" s="86">
        <v>46124</v>
      </c>
      <c r="K839" s="12" t="s">
        <v>170</v>
      </c>
      <c r="L839" s="12" t="s">
        <v>205</v>
      </c>
    </row>
    <row r="840" spans="1:12" ht="38.25">
      <c r="A840" s="12">
        <f t="shared" si="13"/>
        <v>838</v>
      </c>
      <c r="B840" s="12" t="s">
        <v>7103</v>
      </c>
      <c r="C840" s="12" t="s">
        <v>2510</v>
      </c>
      <c r="D840" s="85">
        <v>594.54999999999995</v>
      </c>
      <c r="E840" s="6">
        <v>2837129</v>
      </c>
      <c r="F840" s="12" t="s">
        <v>7102</v>
      </c>
      <c r="G840" s="2" t="s">
        <v>848</v>
      </c>
      <c r="H840" s="12" t="s">
        <v>849</v>
      </c>
      <c r="I840" s="86">
        <v>45028</v>
      </c>
      <c r="J840" s="86">
        <v>46124</v>
      </c>
      <c r="K840" s="12" t="s">
        <v>170</v>
      </c>
      <c r="L840" s="12" t="s">
        <v>205</v>
      </c>
    </row>
    <row r="841" spans="1:12">
      <c r="A841" s="12">
        <f t="shared" si="13"/>
        <v>839</v>
      </c>
      <c r="B841" s="12" t="s">
        <v>7104</v>
      </c>
      <c r="C841" s="12" t="s">
        <v>7105</v>
      </c>
      <c r="D841" s="85">
        <v>744.8</v>
      </c>
      <c r="E841" s="6">
        <v>6980406</v>
      </c>
      <c r="F841" s="12" t="s">
        <v>7106</v>
      </c>
      <c r="G841" s="2" t="s">
        <v>755</v>
      </c>
      <c r="H841" s="12" t="s">
        <v>756</v>
      </c>
      <c r="I841" s="86">
        <v>45020</v>
      </c>
      <c r="J841" s="86">
        <v>46116</v>
      </c>
      <c r="K841" s="12" t="s">
        <v>170</v>
      </c>
      <c r="L841" s="12" t="s">
        <v>205</v>
      </c>
    </row>
    <row r="842" spans="1:12" ht="38.25">
      <c r="A842" s="12">
        <f t="shared" si="13"/>
        <v>840</v>
      </c>
      <c r="B842" s="12" t="s">
        <v>7107</v>
      </c>
      <c r="C842" s="12" t="s">
        <v>7108</v>
      </c>
      <c r="D842" s="85">
        <v>1408.1</v>
      </c>
      <c r="E842" s="6">
        <v>6835325</v>
      </c>
      <c r="F842" s="12" t="s">
        <v>7109</v>
      </c>
      <c r="G842" s="2" t="s">
        <v>848</v>
      </c>
      <c r="H842" s="12" t="s">
        <v>849</v>
      </c>
      <c r="I842" s="86">
        <v>45027</v>
      </c>
      <c r="J842" s="86">
        <v>46123</v>
      </c>
      <c r="K842" s="12" t="s">
        <v>170</v>
      </c>
      <c r="L842" s="12" t="s">
        <v>205</v>
      </c>
    </row>
    <row r="843" spans="1:12">
      <c r="A843" s="12">
        <f t="shared" si="13"/>
        <v>841</v>
      </c>
      <c r="B843" s="12" t="s">
        <v>7110</v>
      </c>
      <c r="C843" s="12" t="s">
        <v>7111</v>
      </c>
      <c r="D843" s="85">
        <v>1343.94</v>
      </c>
      <c r="E843" s="6">
        <v>5577349</v>
      </c>
      <c r="F843" s="12" t="s">
        <v>7112</v>
      </c>
      <c r="G843" s="2" t="s">
        <v>755</v>
      </c>
      <c r="H843" s="12" t="s">
        <v>756</v>
      </c>
      <c r="I843" s="86">
        <v>45019</v>
      </c>
      <c r="J843" s="86">
        <v>46115</v>
      </c>
      <c r="K843" s="12" t="s">
        <v>375</v>
      </c>
      <c r="L843" s="12" t="s">
        <v>4135</v>
      </c>
    </row>
    <row r="844" spans="1:12">
      <c r="A844" s="12">
        <f t="shared" si="13"/>
        <v>842</v>
      </c>
      <c r="B844" s="12" t="s">
        <v>7113</v>
      </c>
      <c r="C844" s="12" t="s">
        <v>7114</v>
      </c>
      <c r="D844" s="85">
        <v>1282.31</v>
      </c>
      <c r="E844" s="6">
        <v>6864724</v>
      </c>
      <c r="F844" s="12" t="s">
        <v>7115</v>
      </c>
      <c r="G844" s="2" t="s">
        <v>755</v>
      </c>
      <c r="H844" s="12" t="s">
        <v>756</v>
      </c>
      <c r="I844" s="86">
        <v>45027</v>
      </c>
      <c r="J844" s="86">
        <v>46123</v>
      </c>
      <c r="K844" s="12" t="s">
        <v>1014</v>
      </c>
      <c r="L844" s="12" t="s">
        <v>3357</v>
      </c>
    </row>
    <row r="845" spans="1:12">
      <c r="A845" s="12">
        <f t="shared" si="13"/>
        <v>843</v>
      </c>
      <c r="B845" s="12" t="s">
        <v>7116</v>
      </c>
      <c r="C845" s="12" t="s">
        <v>7117</v>
      </c>
      <c r="D845" s="85">
        <v>5668.6</v>
      </c>
      <c r="E845" s="6">
        <v>6986579</v>
      </c>
      <c r="F845" s="12" t="s">
        <v>7118</v>
      </c>
      <c r="G845" s="2" t="s">
        <v>755</v>
      </c>
      <c r="H845" s="12" t="s">
        <v>756</v>
      </c>
      <c r="I845" s="86">
        <v>45033</v>
      </c>
      <c r="J845" s="86">
        <v>46129</v>
      </c>
      <c r="K845" s="12" t="s">
        <v>1014</v>
      </c>
      <c r="L845" s="12" t="s">
        <v>3357</v>
      </c>
    </row>
    <row r="846" spans="1:12">
      <c r="A846" s="12">
        <f t="shared" si="13"/>
        <v>844</v>
      </c>
      <c r="B846" s="12" t="s">
        <v>7119</v>
      </c>
      <c r="C846" s="12" t="s">
        <v>7120</v>
      </c>
      <c r="D846" s="85">
        <v>1556.33</v>
      </c>
      <c r="E846" s="6">
        <v>5429617</v>
      </c>
      <c r="F846" s="12" t="s">
        <v>5565</v>
      </c>
      <c r="G846" s="2" t="s">
        <v>755</v>
      </c>
      <c r="H846" s="12" t="s">
        <v>756</v>
      </c>
      <c r="I846" s="86">
        <v>45020</v>
      </c>
      <c r="J846" s="86">
        <v>46116</v>
      </c>
      <c r="K846" s="12" t="s">
        <v>1014</v>
      </c>
      <c r="L846" s="12" t="s">
        <v>1023</v>
      </c>
    </row>
    <row r="847" spans="1:12">
      <c r="A847" s="12">
        <f t="shared" si="13"/>
        <v>845</v>
      </c>
      <c r="B847" s="12" t="s">
        <v>7121</v>
      </c>
      <c r="C847" s="12" t="s">
        <v>1533</v>
      </c>
      <c r="D847" s="85">
        <v>552.98</v>
      </c>
      <c r="E847" s="6">
        <v>5577349</v>
      </c>
      <c r="F847" s="12" t="s">
        <v>7112</v>
      </c>
      <c r="G847" s="2" t="s">
        <v>755</v>
      </c>
      <c r="H847" s="12" t="s">
        <v>756</v>
      </c>
      <c r="I847" s="86">
        <v>45019</v>
      </c>
      <c r="J847" s="86">
        <v>46115</v>
      </c>
      <c r="K847" s="12" t="s">
        <v>375</v>
      </c>
      <c r="L847" s="12" t="s">
        <v>7122</v>
      </c>
    </row>
    <row r="848" spans="1:12">
      <c r="A848" s="12">
        <f t="shared" si="13"/>
        <v>846</v>
      </c>
      <c r="B848" s="12" t="s">
        <v>7123</v>
      </c>
      <c r="C848" s="12" t="s">
        <v>5076</v>
      </c>
      <c r="D848" s="85">
        <v>5461.82</v>
      </c>
      <c r="E848" s="6">
        <v>2047071</v>
      </c>
      <c r="F848" s="12" t="s">
        <v>7095</v>
      </c>
      <c r="G848" s="2" t="s">
        <v>755</v>
      </c>
      <c r="H848" s="12" t="s">
        <v>756</v>
      </c>
      <c r="I848" s="86">
        <v>45037</v>
      </c>
      <c r="J848" s="86">
        <v>46133</v>
      </c>
      <c r="K848" s="12" t="s">
        <v>1102</v>
      </c>
      <c r="L848" s="12" t="s">
        <v>3357</v>
      </c>
    </row>
    <row r="849" spans="1:12" ht="38.25">
      <c r="A849" s="12">
        <f t="shared" si="13"/>
        <v>847</v>
      </c>
      <c r="B849" s="12" t="s">
        <v>7124</v>
      </c>
      <c r="C849" s="12" t="s">
        <v>7125</v>
      </c>
      <c r="D849" s="85">
        <v>7249.93</v>
      </c>
      <c r="E849" s="6">
        <v>6454763</v>
      </c>
      <c r="F849" s="12" t="s">
        <v>3244</v>
      </c>
      <c r="G849" s="2" t="s">
        <v>848</v>
      </c>
      <c r="H849" s="12" t="s">
        <v>849</v>
      </c>
      <c r="I849" s="86">
        <v>45028</v>
      </c>
      <c r="J849" s="86">
        <v>46124</v>
      </c>
      <c r="K849" s="12" t="s">
        <v>170</v>
      </c>
      <c r="L849" s="12" t="s">
        <v>1426</v>
      </c>
    </row>
    <row r="850" spans="1:12">
      <c r="A850" s="12">
        <f t="shared" si="13"/>
        <v>848</v>
      </c>
      <c r="B850" s="12" t="s">
        <v>7126</v>
      </c>
      <c r="C850" s="12" t="s">
        <v>7127</v>
      </c>
      <c r="D850" s="85">
        <v>1044.6400000000001</v>
      </c>
      <c r="E850" s="6">
        <v>5352827</v>
      </c>
      <c r="F850" s="12" t="s">
        <v>3281</v>
      </c>
      <c r="G850" s="2" t="s">
        <v>755</v>
      </c>
      <c r="H850" s="12" t="s">
        <v>756</v>
      </c>
      <c r="I850" s="86">
        <v>45019</v>
      </c>
      <c r="J850" s="86">
        <v>46115</v>
      </c>
      <c r="K850" s="12" t="s">
        <v>1102</v>
      </c>
      <c r="L850" s="12" t="s">
        <v>836</v>
      </c>
    </row>
    <row r="851" spans="1:12">
      <c r="A851" s="12">
        <f t="shared" si="13"/>
        <v>849</v>
      </c>
      <c r="B851" s="12" t="s">
        <v>7128</v>
      </c>
      <c r="C851" s="12" t="s">
        <v>836</v>
      </c>
      <c r="D851" s="85">
        <v>2928.61</v>
      </c>
      <c r="E851" s="6">
        <v>5352827</v>
      </c>
      <c r="F851" s="12" t="s">
        <v>3281</v>
      </c>
      <c r="G851" s="2" t="s">
        <v>755</v>
      </c>
      <c r="H851" s="12" t="s">
        <v>756</v>
      </c>
      <c r="I851" s="86">
        <v>45019</v>
      </c>
      <c r="J851" s="86">
        <v>46115</v>
      </c>
      <c r="K851" s="12" t="s">
        <v>1102</v>
      </c>
      <c r="L851" s="12" t="s">
        <v>836</v>
      </c>
    </row>
    <row r="852" spans="1:12">
      <c r="A852" s="12">
        <f t="shared" si="13"/>
        <v>850</v>
      </c>
      <c r="B852" s="12" t="s">
        <v>7129</v>
      </c>
      <c r="C852" s="12" t="s">
        <v>5553</v>
      </c>
      <c r="D852" s="85">
        <v>2225.6999999999998</v>
      </c>
      <c r="E852" s="6">
        <v>6169309</v>
      </c>
      <c r="F852" s="12" t="s">
        <v>4463</v>
      </c>
      <c r="G852" s="2" t="s">
        <v>755</v>
      </c>
      <c r="H852" s="12" t="s">
        <v>756</v>
      </c>
      <c r="I852" s="86">
        <v>45033</v>
      </c>
      <c r="J852" s="86">
        <v>46129</v>
      </c>
      <c r="K852" s="12" t="s">
        <v>768</v>
      </c>
      <c r="L852" s="12" t="s">
        <v>769</v>
      </c>
    </row>
    <row r="853" spans="1:12">
      <c r="A853" s="12">
        <f t="shared" si="13"/>
        <v>851</v>
      </c>
      <c r="B853" s="12" t="s">
        <v>7130</v>
      </c>
      <c r="C853" s="12" t="s">
        <v>3222</v>
      </c>
      <c r="D853" s="85">
        <v>29.06</v>
      </c>
      <c r="E853" s="6">
        <v>6157971</v>
      </c>
      <c r="F853" s="12" t="s">
        <v>7131</v>
      </c>
      <c r="G853" s="2" t="s">
        <v>755</v>
      </c>
      <c r="H853" s="12" t="s">
        <v>756</v>
      </c>
      <c r="I853" s="86">
        <v>45027</v>
      </c>
      <c r="J853" s="86">
        <v>46123</v>
      </c>
      <c r="K853" s="12" t="s">
        <v>1014</v>
      </c>
      <c r="L853" s="12" t="s">
        <v>1699</v>
      </c>
    </row>
    <row r="854" spans="1:12">
      <c r="A854" s="12">
        <f t="shared" si="13"/>
        <v>852</v>
      </c>
      <c r="B854" s="12" t="s">
        <v>7132</v>
      </c>
      <c r="C854" s="12" t="s">
        <v>7133</v>
      </c>
      <c r="D854" s="85">
        <v>3586.12</v>
      </c>
      <c r="E854" s="6">
        <v>5118344</v>
      </c>
      <c r="F854" s="12" t="s">
        <v>6722</v>
      </c>
      <c r="G854" s="2" t="s">
        <v>755</v>
      </c>
      <c r="H854" s="12" t="s">
        <v>756</v>
      </c>
      <c r="I854" s="86">
        <v>45033</v>
      </c>
      <c r="J854" s="86">
        <v>46129</v>
      </c>
      <c r="K854" s="12" t="s">
        <v>1014</v>
      </c>
      <c r="L854" s="12" t="s">
        <v>3222</v>
      </c>
    </row>
    <row r="855" spans="1:12">
      <c r="A855" s="12">
        <f t="shared" si="13"/>
        <v>853</v>
      </c>
      <c r="B855" s="12" t="s">
        <v>7134</v>
      </c>
      <c r="C855" s="12" t="s">
        <v>7135</v>
      </c>
      <c r="D855" s="85">
        <v>658.57</v>
      </c>
      <c r="E855" s="6">
        <v>6980406</v>
      </c>
      <c r="F855" s="12" t="s">
        <v>7106</v>
      </c>
      <c r="G855" s="2" t="s">
        <v>755</v>
      </c>
      <c r="H855" s="12" t="s">
        <v>756</v>
      </c>
      <c r="I855" s="86">
        <v>45020</v>
      </c>
      <c r="J855" s="86">
        <v>46116</v>
      </c>
      <c r="K855" s="12" t="s">
        <v>293</v>
      </c>
      <c r="L855" s="12" t="s">
        <v>181</v>
      </c>
    </row>
    <row r="856" spans="1:12">
      <c r="A856" s="12">
        <f t="shared" si="13"/>
        <v>854</v>
      </c>
      <c r="B856" s="12" t="s">
        <v>7136</v>
      </c>
      <c r="C856" s="12" t="s">
        <v>7137</v>
      </c>
      <c r="D856" s="85">
        <v>1814.68</v>
      </c>
      <c r="E856" s="6">
        <v>6948413</v>
      </c>
      <c r="F856" s="12" t="s">
        <v>7010</v>
      </c>
      <c r="G856" s="2" t="s">
        <v>755</v>
      </c>
      <c r="H856" s="12" t="s">
        <v>756</v>
      </c>
      <c r="I856" s="86">
        <v>45065</v>
      </c>
      <c r="J856" s="86">
        <v>46161</v>
      </c>
      <c r="K856" s="12" t="s">
        <v>1014</v>
      </c>
      <c r="L856" s="12" t="s">
        <v>7138</v>
      </c>
    </row>
    <row r="857" spans="1:12">
      <c r="A857" s="12">
        <f t="shared" si="13"/>
        <v>855</v>
      </c>
      <c r="B857" s="12" t="s">
        <v>7139</v>
      </c>
      <c r="C857" s="12" t="s">
        <v>7140</v>
      </c>
      <c r="D857" s="85">
        <v>761.09</v>
      </c>
      <c r="E857" s="6">
        <v>5982936</v>
      </c>
      <c r="F857" s="12" t="s">
        <v>7034</v>
      </c>
      <c r="G857" s="2" t="s">
        <v>755</v>
      </c>
      <c r="H857" s="12" t="s">
        <v>756</v>
      </c>
      <c r="I857" s="86">
        <v>45056</v>
      </c>
      <c r="J857" s="86">
        <v>46152</v>
      </c>
      <c r="K857" s="12" t="s">
        <v>1014</v>
      </c>
      <c r="L857" s="12" t="s">
        <v>7138</v>
      </c>
    </row>
    <row r="858" spans="1:12">
      <c r="A858" s="12">
        <f t="shared" si="13"/>
        <v>856</v>
      </c>
      <c r="B858" s="12" t="s">
        <v>7141</v>
      </c>
      <c r="C858" s="12" t="s">
        <v>1251</v>
      </c>
      <c r="D858" s="85">
        <v>23374.48</v>
      </c>
      <c r="E858" s="6">
        <v>5951259</v>
      </c>
      <c r="F858" s="12" t="s">
        <v>6968</v>
      </c>
      <c r="G858" s="2" t="s">
        <v>755</v>
      </c>
      <c r="H858" s="12" t="s">
        <v>756</v>
      </c>
      <c r="I858" s="86">
        <v>45056</v>
      </c>
      <c r="J858" s="86">
        <v>46152</v>
      </c>
      <c r="K858" s="12" t="s">
        <v>1102</v>
      </c>
      <c r="L858" s="12" t="s">
        <v>1103</v>
      </c>
    </row>
    <row r="859" spans="1:12">
      <c r="A859" s="12">
        <f t="shared" si="13"/>
        <v>857</v>
      </c>
      <c r="B859" s="12" t="s">
        <v>7142</v>
      </c>
      <c r="C859" s="12" t="s">
        <v>7143</v>
      </c>
      <c r="D859" s="85">
        <v>968.39</v>
      </c>
      <c r="E859" s="6">
        <v>6948413</v>
      </c>
      <c r="F859" s="12" t="s">
        <v>7010</v>
      </c>
      <c r="G859" s="2" t="s">
        <v>755</v>
      </c>
      <c r="H859" s="12" t="s">
        <v>756</v>
      </c>
      <c r="I859" s="86">
        <v>45065</v>
      </c>
      <c r="J859" s="86">
        <v>46161</v>
      </c>
      <c r="K859" s="12" t="s">
        <v>1102</v>
      </c>
      <c r="L859" s="12" t="s">
        <v>1103</v>
      </c>
    </row>
    <row r="860" spans="1:12">
      <c r="A860" s="12">
        <f t="shared" si="13"/>
        <v>858</v>
      </c>
      <c r="B860" s="12" t="s">
        <v>7144</v>
      </c>
      <c r="C860" s="12" t="s">
        <v>7145</v>
      </c>
      <c r="D860" s="85">
        <v>1027.7</v>
      </c>
      <c r="E860" s="6">
        <v>5938031</v>
      </c>
      <c r="F860" s="12" t="s">
        <v>7146</v>
      </c>
      <c r="G860" s="2" t="s">
        <v>755</v>
      </c>
      <c r="H860" s="12" t="s">
        <v>756</v>
      </c>
      <c r="I860" s="86">
        <v>45069</v>
      </c>
      <c r="J860" s="86">
        <v>46165</v>
      </c>
      <c r="K860" s="12" t="s">
        <v>274</v>
      </c>
      <c r="L860" s="12" t="s">
        <v>7147</v>
      </c>
    </row>
    <row r="861" spans="1:12">
      <c r="A861" s="12">
        <f t="shared" si="13"/>
        <v>859</v>
      </c>
      <c r="B861" s="12" t="s">
        <v>7148</v>
      </c>
      <c r="C861" s="12" t="s">
        <v>7149</v>
      </c>
      <c r="D861" s="85">
        <v>429.73</v>
      </c>
      <c r="E861" s="6">
        <v>6847846</v>
      </c>
      <c r="F861" s="12" t="s">
        <v>7150</v>
      </c>
      <c r="G861" s="2" t="s">
        <v>755</v>
      </c>
      <c r="H861" s="12" t="s">
        <v>756</v>
      </c>
      <c r="I861" s="86">
        <v>45049</v>
      </c>
      <c r="J861" s="86">
        <v>46145</v>
      </c>
      <c r="K861" s="12" t="s">
        <v>293</v>
      </c>
      <c r="L861" s="12" t="s">
        <v>124</v>
      </c>
    </row>
    <row r="862" spans="1:12">
      <c r="A862" s="12">
        <f t="shared" si="13"/>
        <v>860</v>
      </c>
      <c r="B862" s="12" t="s">
        <v>7151</v>
      </c>
      <c r="C862" s="12" t="s">
        <v>7152</v>
      </c>
      <c r="D862" s="85">
        <v>449.33</v>
      </c>
      <c r="E862" s="6">
        <v>6948413</v>
      </c>
      <c r="F862" s="12" t="s">
        <v>7010</v>
      </c>
      <c r="G862" s="2" t="s">
        <v>755</v>
      </c>
      <c r="H862" s="12" t="s">
        <v>756</v>
      </c>
      <c r="I862" s="86">
        <v>45065</v>
      </c>
      <c r="J862" s="86">
        <v>46161</v>
      </c>
      <c r="K862" s="12" t="s">
        <v>274</v>
      </c>
      <c r="L862" s="12" t="s">
        <v>6728</v>
      </c>
    </row>
    <row r="863" spans="1:12">
      <c r="A863" s="12">
        <f t="shared" si="13"/>
        <v>861</v>
      </c>
      <c r="B863" s="12" t="s">
        <v>7153</v>
      </c>
      <c r="C863" s="12" t="s">
        <v>7154</v>
      </c>
      <c r="D863" s="85">
        <v>1072.52</v>
      </c>
      <c r="E863" s="6">
        <v>6969143</v>
      </c>
      <c r="F863" s="12" t="s">
        <v>7155</v>
      </c>
      <c r="G863" s="2" t="s">
        <v>755</v>
      </c>
      <c r="H863" s="12" t="s">
        <v>756</v>
      </c>
      <c r="I863" s="86">
        <v>45062</v>
      </c>
      <c r="J863" s="86">
        <v>46158</v>
      </c>
      <c r="K863" s="12" t="s">
        <v>293</v>
      </c>
      <c r="L863" s="12" t="s">
        <v>3681</v>
      </c>
    </row>
    <row r="864" spans="1:12">
      <c r="A864" s="12">
        <f t="shared" si="13"/>
        <v>862</v>
      </c>
      <c r="B864" s="12" t="s">
        <v>7156</v>
      </c>
      <c r="C864" s="12" t="s">
        <v>7157</v>
      </c>
      <c r="D864" s="85">
        <v>2002.77</v>
      </c>
      <c r="E864" s="6">
        <v>6507581</v>
      </c>
      <c r="F864" s="12" t="s">
        <v>7158</v>
      </c>
      <c r="G864" s="2" t="s">
        <v>755</v>
      </c>
      <c r="H864" s="12" t="s">
        <v>756</v>
      </c>
      <c r="I864" s="86">
        <v>45051</v>
      </c>
      <c r="J864" s="86">
        <v>46147</v>
      </c>
      <c r="K864" s="12" t="s">
        <v>836</v>
      </c>
      <c r="L864" s="12" t="s">
        <v>3649</v>
      </c>
    </row>
    <row r="865" spans="1:12">
      <c r="A865" s="12">
        <f t="shared" si="13"/>
        <v>863</v>
      </c>
      <c r="B865" s="12" t="s">
        <v>7159</v>
      </c>
      <c r="C865" s="12" t="s">
        <v>7160</v>
      </c>
      <c r="D865" s="85">
        <v>4556.18</v>
      </c>
      <c r="E865" s="6">
        <v>3613801</v>
      </c>
      <c r="F865" s="12" t="s">
        <v>7161</v>
      </c>
      <c r="G865" s="2" t="s">
        <v>755</v>
      </c>
      <c r="H865" s="12" t="s">
        <v>756</v>
      </c>
      <c r="I865" s="86">
        <v>45054</v>
      </c>
      <c r="J865" s="86">
        <v>46150</v>
      </c>
      <c r="K865" s="12" t="s">
        <v>293</v>
      </c>
      <c r="L865" s="12" t="s">
        <v>815</v>
      </c>
    </row>
    <row r="866" spans="1:12">
      <c r="A866" s="12">
        <f t="shared" si="13"/>
        <v>864</v>
      </c>
      <c r="B866" s="12" t="s">
        <v>7162</v>
      </c>
      <c r="C866" s="12" t="s">
        <v>7163</v>
      </c>
      <c r="D866" s="85">
        <v>1010.74</v>
      </c>
      <c r="E866" s="6">
        <v>2047071</v>
      </c>
      <c r="F866" s="12" t="s">
        <v>7095</v>
      </c>
      <c r="G866" s="2" t="s">
        <v>755</v>
      </c>
      <c r="H866" s="12" t="s">
        <v>756</v>
      </c>
      <c r="I866" s="86">
        <v>45064</v>
      </c>
      <c r="J866" s="86">
        <v>46160</v>
      </c>
      <c r="K866" s="12" t="s">
        <v>1242</v>
      </c>
      <c r="L866" s="12" t="s">
        <v>5059</v>
      </c>
    </row>
    <row r="867" spans="1:12">
      <c r="A867" s="12">
        <f t="shared" si="13"/>
        <v>865</v>
      </c>
      <c r="B867" s="12" t="s">
        <v>7164</v>
      </c>
      <c r="C867" s="12" t="s">
        <v>775</v>
      </c>
      <c r="D867" s="85">
        <v>1155.25</v>
      </c>
      <c r="E867" s="6">
        <v>5129184</v>
      </c>
      <c r="F867" s="12" t="s">
        <v>7165</v>
      </c>
      <c r="G867" s="2" t="s">
        <v>755</v>
      </c>
      <c r="H867" s="12" t="s">
        <v>756</v>
      </c>
      <c r="I867" s="86">
        <v>45069</v>
      </c>
      <c r="J867" s="86">
        <v>46165</v>
      </c>
      <c r="K867" s="12" t="s">
        <v>304</v>
      </c>
      <c r="L867" s="12" t="s">
        <v>777</v>
      </c>
    </row>
    <row r="868" spans="1:12">
      <c r="A868" s="12">
        <f t="shared" si="13"/>
        <v>866</v>
      </c>
      <c r="B868" s="12" t="s">
        <v>7166</v>
      </c>
      <c r="C868" s="12" t="s">
        <v>7167</v>
      </c>
      <c r="D868" s="85">
        <v>136.80000000000001</v>
      </c>
      <c r="E868" s="6">
        <v>2868687</v>
      </c>
      <c r="F868" s="12" t="s">
        <v>1446</v>
      </c>
      <c r="G868" s="2" t="s">
        <v>755</v>
      </c>
      <c r="H868" s="12" t="s">
        <v>756</v>
      </c>
      <c r="I868" s="86">
        <v>45079</v>
      </c>
      <c r="J868" s="86">
        <v>46175</v>
      </c>
      <c r="K868" s="12" t="s">
        <v>782</v>
      </c>
      <c r="L868" s="12" t="s">
        <v>783</v>
      </c>
    </row>
    <row r="869" spans="1:12">
      <c r="A869" s="12">
        <f t="shared" si="13"/>
        <v>867</v>
      </c>
      <c r="B869" s="12" t="s">
        <v>7168</v>
      </c>
      <c r="C869" s="12" t="s">
        <v>7169</v>
      </c>
      <c r="D869" s="85">
        <v>918.52</v>
      </c>
      <c r="E869" s="6">
        <v>6862845</v>
      </c>
      <c r="F869" s="12" t="s">
        <v>7170</v>
      </c>
      <c r="G869" s="2" t="s">
        <v>755</v>
      </c>
      <c r="H869" s="12" t="s">
        <v>756</v>
      </c>
      <c r="I869" s="86">
        <v>45069</v>
      </c>
      <c r="J869" s="86">
        <v>46165</v>
      </c>
      <c r="K869" s="12" t="s">
        <v>782</v>
      </c>
      <c r="L869" s="12" t="s">
        <v>5415</v>
      </c>
    </row>
    <row r="870" spans="1:12">
      <c r="A870" s="12">
        <f t="shared" si="13"/>
        <v>868</v>
      </c>
      <c r="B870" s="12" t="s">
        <v>7171</v>
      </c>
      <c r="C870" s="12" t="s">
        <v>7172</v>
      </c>
      <c r="D870" s="85">
        <v>98.12</v>
      </c>
      <c r="E870" s="6">
        <v>8339546</v>
      </c>
      <c r="F870" s="12" t="s">
        <v>7173</v>
      </c>
      <c r="G870" s="2" t="s">
        <v>755</v>
      </c>
      <c r="H870" s="12" t="s">
        <v>756</v>
      </c>
      <c r="I870" s="86">
        <v>45071</v>
      </c>
      <c r="J870" s="86">
        <v>46167</v>
      </c>
      <c r="K870" s="12" t="s">
        <v>170</v>
      </c>
      <c r="L870" s="12" t="s">
        <v>6060</v>
      </c>
    </row>
    <row r="871" spans="1:12">
      <c r="A871" s="12">
        <f t="shared" si="13"/>
        <v>869</v>
      </c>
      <c r="B871" s="12" t="s">
        <v>7174</v>
      </c>
      <c r="C871" s="12" t="s">
        <v>6701</v>
      </c>
      <c r="D871" s="85">
        <v>4123.55</v>
      </c>
      <c r="E871" s="6">
        <v>5425115</v>
      </c>
      <c r="F871" s="12" t="s">
        <v>7175</v>
      </c>
      <c r="G871" s="2" t="s">
        <v>755</v>
      </c>
      <c r="H871" s="12" t="s">
        <v>756</v>
      </c>
      <c r="I871" s="86">
        <v>45065</v>
      </c>
      <c r="J871" s="86">
        <v>46161</v>
      </c>
      <c r="K871" s="12" t="s">
        <v>233</v>
      </c>
      <c r="L871" s="12" t="s">
        <v>5031</v>
      </c>
    </row>
    <row r="872" spans="1:12">
      <c r="A872" s="12">
        <f t="shared" si="13"/>
        <v>870</v>
      </c>
      <c r="B872" s="12" t="s">
        <v>7176</v>
      </c>
      <c r="C872" s="12" t="s">
        <v>7177</v>
      </c>
      <c r="D872" s="85">
        <v>2020.92</v>
      </c>
      <c r="E872" s="6">
        <v>5586526</v>
      </c>
      <c r="F872" s="12" t="s">
        <v>5519</v>
      </c>
      <c r="G872" s="2" t="s">
        <v>755</v>
      </c>
      <c r="H872" s="12" t="s">
        <v>756</v>
      </c>
      <c r="I872" s="86">
        <v>45079</v>
      </c>
      <c r="J872" s="86">
        <v>46175</v>
      </c>
      <c r="K872" s="12" t="s">
        <v>233</v>
      </c>
      <c r="L872" s="12" t="s">
        <v>5031</v>
      </c>
    </row>
    <row r="873" spans="1:12">
      <c r="A873" s="12">
        <f t="shared" si="13"/>
        <v>871</v>
      </c>
      <c r="B873" s="12" t="s">
        <v>7178</v>
      </c>
      <c r="C873" s="12" t="s">
        <v>971</v>
      </c>
      <c r="D873" s="85">
        <v>3554.26</v>
      </c>
      <c r="E873" s="6">
        <v>6986579</v>
      </c>
      <c r="F873" s="12" t="s">
        <v>7118</v>
      </c>
      <c r="G873" s="2" t="s">
        <v>755</v>
      </c>
      <c r="H873" s="12" t="s">
        <v>756</v>
      </c>
      <c r="I873" s="86">
        <v>45092</v>
      </c>
      <c r="J873" s="86">
        <v>46188</v>
      </c>
      <c r="K873" s="12" t="s">
        <v>1102</v>
      </c>
      <c r="L873" s="12" t="s">
        <v>3628</v>
      </c>
    </row>
    <row r="874" spans="1:12">
      <c r="A874" s="12">
        <f t="shared" si="13"/>
        <v>872</v>
      </c>
      <c r="B874" s="12" t="s">
        <v>7179</v>
      </c>
      <c r="C874" s="12" t="s">
        <v>7180</v>
      </c>
      <c r="D874" s="85">
        <v>1031.68</v>
      </c>
      <c r="E874" s="6">
        <v>8383863</v>
      </c>
      <c r="F874" s="12" t="s">
        <v>7181</v>
      </c>
      <c r="G874" s="2" t="s">
        <v>755</v>
      </c>
      <c r="H874" s="12" t="s">
        <v>756</v>
      </c>
      <c r="I874" s="86">
        <v>45065</v>
      </c>
      <c r="J874" s="86">
        <v>46161</v>
      </c>
      <c r="K874" s="12" t="s">
        <v>293</v>
      </c>
      <c r="L874" s="12" t="s">
        <v>2290</v>
      </c>
    </row>
    <row r="875" spans="1:12">
      <c r="A875" s="12">
        <f t="shared" si="13"/>
        <v>873</v>
      </c>
      <c r="B875" s="12" t="s">
        <v>7182</v>
      </c>
      <c r="C875" s="12" t="s">
        <v>7183</v>
      </c>
      <c r="D875" s="85">
        <v>10730.89</v>
      </c>
      <c r="E875" s="6">
        <v>2047071</v>
      </c>
      <c r="F875" s="12" t="s">
        <v>7095</v>
      </c>
      <c r="G875" s="2" t="s">
        <v>755</v>
      </c>
      <c r="H875" s="12" t="s">
        <v>756</v>
      </c>
      <c r="I875" s="86">
        <v>45110</v>
      </c>
      <c r="J875" s="86">
        <v>46206</v>
      </c>
      <c r="K875" s="12" t="s">
        <v>1242</v>
      </c>
      <c r="L875" s="12" t="s">
        <v>1243</v>
      </c>
    </row>
    <row r="876" spans="1:12">
      <c r="A876" s="12">
        <f t="shared" si="13"/>
        <v>874</v>
      </c>
      <c r="B876" s="12" t="s">
        <v>7184</v>
      </c>
      <c r="C876" s="12" t="s">
        <v>7185</v>
      </c>
      <c r="D876" s="85">
        <v>7472.41</v>
      </c>
      <c r="E876" s="6">
        <v>2047071</v>
      </c>
      <c r="F876" s="12" t="s">
        <v>7095</v>
      </c>
      <c r="G876" s="2" t="s">
        <v>755</v>
      </c>
      <c r="H876" s="12" t="s">
        <v>756</v>
      </c>
      <c r="I876" s="86">
        <v>45110</v>
      </c>
      <c r="J876" s="86">
        <v>46206</v>
      </c>
      <c r="K876" s="12" t="s">
        <v>1242</v>
      </c>
      <c r="L876" s="12" t="s">
        <v>1243</v>
      </c>
    </row>
    <row r="877" spans="1:12">
      <c r="A877" s="12">
        <f t="shared" si="13"/>
        <v>875</v>
      </c>
      <c r="B877" s="12" t="s">
        <v>7186</v>
      </c>
      <c r="C877" s="12" t="s">
        <v>7187</v>
      </c>
      <c r="D877" s="85">
        <v>2657</v>
      </c>
      <c r="E877" s="6">
        <v>5979021</v>
      </c>
      <c r="F877" s="12" t="s">
        <v>6086</v>
      </c>
      <c r="G877" s="2" t="s">
        <v>755</v>
      </c>
      <c r="H877" s="12" t="s">
        <v>756</v>
      </c>
      <c r="I877" s="86">
        <v>45075</v>
      </c>
      <c r="J877" s="86">
        <v>46171</v>
      </c>
      <c r="K877" s="12" t="s">
        <v>1102</v>
      </c>
      <c r="L877" s="12" t="s">
        <v>1550</v>
      </c>
    </row>
    <row r="878" spans="1:12" ht="38.25">
      <c r="A878" s="12">
        <f t="shared" si="13"/>
        <v>876</v>
      </c>
      <c r="B878" s="12" t="s">
        <v>7188</v>
      </c>
      <c r="C878" s="12" t="s">
        <v>3703</v>
      </c>
      <c r="D878" s="85">
        <v>10060.9</v>
      </c>
      <c r="E878" s="6">
        <v>5287472</v>
      </c>
      <c r="F878" s="12" t="s">
        <v>7189</v>
      </c>
      <c r="G878" s="2" t="s">
        <v>766</v>
      </c>
      <c r="H878" s="12" t="s">
        <v>767</v>
      </c>
      <c r="I878" s="86">
        <v>45065</v>
      </c>
      <c r="J878" s="86">
        <v>46161</v>
      </c>
      <c r="K878" s="12" t="s">
        <v>304</v>
      </c>
      <c r="L878" s="12" t="s">
        <v>7190</v>
      </c>
    </row>
    <row r="879" spans="1:12">
      <c r="A879" s="12">
        <f t="shared" si="13"/>
        <v>877</v>
      </c>
      <c r="B879" s="12" t="s">
        <v>7191</v>
      </c>
      <c r="C879" s="12" t="s">
        <v>7192</v>
      </c>
      <c r="D879" s="85">
        <v>178.16</v>
      </c>
      <c r="E879" s="6">
        <v>6847196</v>
      </c>
      <c r="F879" s="12" t="s">
        <v>7193</v>
      </c>
      <c r="G879" s="2" t="s">
        <v>755</v>
      </c>
      <c r="H879" s="12" t="s">
        <v>756</v>
      </c>
      <c r="I879" s="86">
        <v>45065</v>
      </c>
      <c r="J879" s="86">
        <v>46161</v>
      </c>
      <c r="K879" s="12" t="s">
        <v>180</v>
      </c>
      <c r="L879" s="12" t="s">
        <v>927</v>
      </c>
    </row>
    <row r="880" spans="1:12">
      <c r="A880" s="12">
        <f t="shared" si="13"/>
        <v>878</v>
      </c>
      <c r="B880" s="12" t="s">
        <v>7194</v>
      </c>
      <c r="C880" s="12" t="s">
        <v>7195</v>
      </c>
      <c r="D880" s="85">
        <v>247.79</v>
      </c>
      <c r="E880" s="6">
        <v>5885345</v>
      </c>
      <c r="F880" s="12" t="s">
        <v>7196</v>
      </c>
      <c r="G880" s="2" t="s">
        <v>755</v>
      </c>
      <c r="H880" s="12" t="s">
        <v>756</v>
      </c>
      <c r="I880" s="86">
        <v>45065</v>
      </c>
      <c r="J880" s="86">
        <v>46161</v>
      </c>
      <c r="K880" s="12" t="s">
        <v>123</v>
      </c>
      <c r="L880" s="12" t="s">
        <v>272</v>
      </c>
    </row>
    <row r="881" spans="1:12">
      <c r="A881" s="12">
        <f t="shared" si="13"/>
        <v>879</v>
      </c>
      <c r="B881" s="12" t="s">
        <v>7197</v>
      </c>
      <c r="C881" s="12" t="s">
        <v>7198</v>
      </c>
      <c r="D881" s="85">
        <v>9712.52</v>
      </c>
      <c r="E881" s="6">
        <v>5938031</v>
      </c>
      <c r="F881" s="12" t="s">
        <v>7146</v>
      </c>
      <c r="G881" s="2" t="s">
        <v>755</v>
      </c>
      <c r="H881" s="12" t="s">
        <v>756</v>
      </c>
      <c r="I881" s="86">
        <v>45065</v>
      </c>
      <c r="J881" s="86">
        <v>46161</v>
      </c>
      <c r="K881" s="12" t="s">
        <v>1242</v>
      </c>
      <c r="L881" s="12" t="s">
        <v>1243</v>
      </c>
    </row>
    <row r="882" spans="1:12">
      <c r="A882" s="12">
        <f t="shared" si="13"/>
        <v>880</v>
      </c>
      <c r="B882" s="12" t="s">
        <v>7199</v>
      </c>
      <c r="C882" s="12" t="s">
        <v>2347</v>
      </c>
      <c r="D882" s="85">
        <v>535.82000000000005</v>
      </c>
      <c r="E882" s="6">
        <v>6420559</v>
      </c>
      <c r="F882" s="12" t="s">
        <v>7200</v>
      </c>
      <c r="G882" s="2" t="s">
        <v>755</v>
      </c>
      <c r="H882" s="12" t="s">
        <v>756</v>
      </c>
      <c r="I882" s="86">
        <v>45076</v>
      </c>
      <c r="J882" s="86">
        <v>46172</v>
      </c>
      <c r="K882" s="12" t="s">
        <v>293</v>
      </c>
      <c r="L882" s="12" t="s">
        <v>124</v>
      </c>
    </row>
    <row r="883" spans="1:12" ht="38.25">
      <c r="A883" s="12">
        <f t="shared" si="13"/>
        <v>881</v>
      </c>
      <c r="B883" s="12" t="s">
        <v>7201</v>
      </c>
      <c r="C883" s="12" t="s">
        <v>7202</v>
      </c>
      <c r="D883" s="85">
        <v>399.29</v>
      </c>
      <c r="E883" s="6">
        <v>5287472</v>
      </c>
      <c r="F883" s="12" t="s">
        <v>7189</v>
      </c>
      <c r="G883" s="2" t="s">
        <v>766</v>
      </c>
      <c r="H883" s="12" t="s">
        <v>767</v>
      </c>
      <c r="I883" s="86">
        <v>45083</v>
      </c>
      <c r="J883" s="86">
        <v>46179</v>
      </c>
      <c r="K883" s="12" t="s">
        <v>293</v>
      </c>
      <c r="L883" s="12" t="s">
        <v>815</v>
      </c>
    </row>
    <row r="884" spans="1:12">
      <c r="A884" s="12">
        <f t="shared" si="13"/>
        <v>882</v>
      </c>
      <c r="B884" s="12" t="s">
        <v>7203</v>
      </c>
      <c r="C884" s="12" t="s">
        <v>7204</v>
      </c>
      <c r="D884" s="85">
        <v>2043.72</v>
      </c>
      <c r="E884" s="6">
        <v>8336776</v>
      </c>
      <c r="F884" s="12" t="s">
        <v>7205</v>
      </c>
      <c r="G884" s="2" t="s">
        <v>755</v>
      </c>
      <c r="H884" s="12" t="s">
        <v>756</v>
      </c>
      <c r="I884" s="86">
        <v>45093</v>
      </c>
      <c r="J884" s="86">
        <v>46189</v>
      </c>
      <c r="K884" s="12" t="s">
        <v>170</v>
      </c>
      <c r="L884" s="12" t="s">
        <v>2450</v>
      </c>
    </row>
    <row r="885" spans="1:12">
      <c r="A885" s="12">
        <f t="shared" si="13"/>
        <v>883</v>
      </c>
      <c r="B885" s="12" t="s">
        <v>7206</v>
      </c>
      <c r="C885" s="12" t="s">
        <v>7207</v>
      </c>
      <c r="D885" s="85">
        <v>4049.16</v>
      </c>
      <c r="E885" s="6">
        <v>8336776</v>
      </c>
      <c r="F885" s="12" t="s">
        <v>7205</v>
      </c>
      <c r="G885" s="2" t="s">
        <v>755</v>
      </c>
      <c r="H885" s="12" t="s">
        <v>756</v>
      </c>
      <c r="I885" s="86">
        <v>45093</v>
      </c>
      <c r="J885" s="86">
        <v>46189</v>
      </c>
      <c r="K885" s="12" t="s">
        <v>170</v>
      </c>
      <c r="L885" s="12" t="s">
        <v>924</v>
      </c>
    </row>
    <row r="886" spans="1:12">
      <c r="A886" s="12">
        <f t="shared" si="13"/>
        <v>884</v>
      </c>
      <c r="B886" s="12" t="s">
        <v>7208</v>
      </c>
      <c r="C886" s="12" t="s">
        <v>5587</v>
      </c>
      <c r="D886" s="85">
        <v>10765</v>
      </c>
      <c r="E886" s="6">
        <v>6967167</v>
      </c>
      <c r="F886" s="12" t="s">
        <v>7209</v>
      </c>
      <c r="G886" s="2" t="s">
        <v>755</v>
      </c>
      <c r="H886" s="12" t="s">
        <v>756</v>
      </c>
      <c r="I886" s="86">
        <v>45093</v>
      </c>
      <c r="J886" s="86">
        <v>46189</v>
      </c>
      <c r="K886" s="12" t="s">
        <v>170</v>
      </c>
      <c r="L886" s="12" t="s">
        <v>2450</v>
      </c>
    </row>
    <row r="887" spans="1:12">
      <c r="A887" s="12">
        <f t="shared" si="13"/>
        <v>885</v>
      </c>
      <c r="B887" s="12" t="s">
        <v>7210</v>
      </c>
      <c r="C887" s="12" t="s">
        <v>7211</v>
      </c>
      <c r="D887" s="85">
        <v>4333.54</v>
      </c>
      <c r="E887" s="6">
        <v>6944884</v>
      </c>
      <c r="F887" s="12" t="s">
        <v>7212</v>
      </c>
      <c r="G887" s="2" t="s">
        <v>755</v>
      </c>
      <c r="H887" s="12" t="s">
        <v>756</v>
      </c>
      <c r="I887" s="86">
        <v>45105</v>
      </c>
      <c r="J887" s="86">
        <v>46201</v>
      </c>
      <c r="K887" s="12" t="s">
        <v>138</v>
      </c>
      <c r="L887" s="12" t="s">
        <v>1806</v>
      </c>
    </row>
    <row r="888" spans="1:12">
      <c r="A888" s="12">
        <f t="shared" si="13"/>
        <v>886</v>
      </c>
      <c r="B888" s="12" t="s">
        <v>7213</v>
      </c>
      <c r="C888" s="12" t="s">
        <v>7214</v>
      </c>
      <c r="D888" s="85">
        <v>1260.6300000000001</v>
      </c>
      <c r="E888" s="6">
        <v>6840337</v>
      </c>
      <c r="F888" s="12" t="s">
        <v>7215</v>
      </c>
      <c r="G888" s="2" t="s">
        <v>755</v>
      </c>
      <c r="H888" s="12" t="s">
        <v>756</v>
      </c>
      <c r="I888" s="86">
        <v>45092</v>
      </c>
      <c r="J888" s="86">
        <v>46188</v>
      </c>
      <c r="K888" s="12" t="s">
        <v>170</v>
      </c>
      <c r="L888" s="12" t="s">
        <v>802</v>
      </c>
    </row>
    <row r="889" spans="1:12">
      <c r="A889" s="12">
        <f t="shared" si="13"/>
        <v>887</v>
      </c>
      <c r="B889" s="12" t="s">
        <v>7216</v>
      </c>
      <c r="C889" s="12" t="s">
        <v>7217</v>
      </c>
      <c r="D889" s="85">
        <v>2799.8</v>
      </c>
      <c r="E889" s="6">
        <v>5429617</v>
      </c>
      <c r="F889" s="12" t="s">
        <v>5565</v>
      </c>
      <c r="G889" s="2" t="s">
        <v>755</v>
      </c>
      <c r="H889" s="12" t="s">
        <v>756</v>
      </c>
      <c r="I889" s="86">
        <v>45107</v>
      </c>
      <c r="J889" s="86">
        <v>46203</v>
      </c>
      <c r="K889" s="12" t="s">
        <v>1014</v>
      </c>
      <c r="L889" s="12" t="s">
        <v>3222</v>
      </c>
    </row>
    <row r="890" spans="1:12">
      <c r="A890" s="12">
        <f t="shared" si="13"/>
        <v>888</v>
      </c>
      <c r="B890" s="12" t="s">
        <v>7218</v>
      </c>
      <c r="C890" s="12" t="s">
        <v>7219</v>
      </c>
      <c r="D890" s="85">
        <v>2467.27</v>
      </c>
      <c r="E890" s="6">
        <v>6033407</v>
      </c>
      <c r="F890" s="12" t="s">
        <v>7220</v>
      </c>
      <c r="G890" s="2" t="s">
        <v>755</v>
      </c>
      <c r="H890" s="12" t="s">
        <v>756</v>
      </c>
      <c r="I890" s="86">
        <v>45110</v>
      </c>
      <c r="J890" s="86">
        <v>46206</v>
      </c>
      <c r="K890" s="12" t="s">
        <v>304</v>
      </c>
      <c r="L890" s="12" t="s">
        <v>1634</v>
      </c>
    </row>
    <row r="891" spans="1:12">
      <c r="A891" s="12">
        <f t="shared" si="13"/>
        <v>889</v>
      </c>
      <c r="B891" s="12" t="s">
        <v>7221</v>
      </c>
      <c r="C891" s="12" t="s">
        <v>7222</v>
      </c>
      <c r="D891" s="85">
        <v>188.21</v>
      </c>
      <c r="E891" s="6">
        <v>5991625</v>
      </c>
      <c r="F891" s="12" t="s">
        <v>5109</v>
      </c>
      <c r="G891" s="2" t="s">
        <v>755</v>
      </c>
      <c r="H891" s="12" t="s">
        <v>756</v>
      </c>
      <c r="I891" s="86">
        <v>45096</v>
      </c>
      <c r="J891" s="86">
        <v>46192</v>
      </c>
      <c r="K891" s="12" t="s">
        <v>304</v>
      </c>
      <c r="L891" s="12" t="s">
        <v>141</v>
      </c>
    </row>
    <row r="892" spans="1:12">
      <c r="A892" s="12">
        <f t="shared" si="13"/>
        <v>890</v>
      </c>
      <c r="B892" s="12" t="s">
        <v>7223</v>
      </c>
      <c r="C892" s="12" t="s">
        <v>7224</v>
      </c>
      <c r="D892" s="85">
        <v>1939.08</v>
      </c>
      <c r="E892" s="6">
        <v>5129184</v>
      </c>
      <c r="F892" s="12" t="s">
        <v>7165</v>
      </c>
      <c r="G892" s="2" t="s">
        <v>755</v>
      </c>
      <c r="H892" s="12" t="s">
        <v>756</v>
      </c>
      <c r="I892" s="86">
        <v>45082</v>
      </c>
      <c r="J892" s="86">
        <v>46178</v>
      </c>
      <c r="K892" s="12" t="s">
        <v>1536</v>
      </c>
      <c r="L892" s="12" t="s">
        <v>7225</v>
      </c>
    </row>
    <row r="893" spans="1:12">
      <c r="A893" s="12">
        <f t="shared" si="13"/>
        <v>891</v>
      </c>
      <c r="B893" s="12" t="s">
        <v>7226</v>
      </c>
      <c r="C893" s="12" t="s">
        <v>7227</v>
      </c>
      <c r="D893" s="85">
        <v>426.51</v>
      </c>
      <c r="E893" s="6">
        <v>5991625</v>
      </c>
      <c r="F893" s="12" t="s">
        <v>5109</v>
      </c>
      <c r="G893" s="2" t="s">
        <v>755</v>
      </c>
      <c r="H893" s="12" t="s">
        <v>756</v>
      </c>
      <c r="I893" s="86">
        <v>45096</v>
      </c>
      <c r="J893" s="86">
        <v>46192</v>
      </c>
      <c r="K893" s="12" t="s">
        <v>180</v>
      </c>
      <c r="L893" s="12" t="s">
        <v>927</v>
      </c>
    </row>
    <row r="894" spans="1:12">
      <c r="A894" s="12">
        <f t="shared" si="13"/>
        <v>892</v>
      </c>
      <c r="B894" s="12" t="s">
        <v>7228</v>
      </c>
      <c r="C894" s="12" t="s">
        <v>7229</v>
      </c>
      <c r="D894" s="85">
        <v>147.47</v>
      </c>
      <c r="E894" s="6">
        <v>8335079</v>
      </c>
      <c r="F894" s="12" t="s">
        <v>7230</v>
      </c>
      <c r="G894" s="2" t="s">
        <v>755</v>
      </c>
      <c r="H894" s="12" t="s">
        <v>756</v>
      </c>
      <c r="I894" s="86">
        <v>45085</v>
      </c>
      <c r="J894" s="86">
        <v>46181</v>
      </c>
      <c r="K894" s="12" t="s">
        <v>170</v>
      </c>
      <c r="L894" s="12" t="s">
        <v>1426</v>
      </c>
    </row>
    <row r="895" spans="1:12">
      <c r="A895" s="12">
        <f t="shared" si="13"/>
        <v>893</v>
      </c>
      <c r="B895" s="12" t="s">
        <v>7231</v>
      </c>
      <c r="C895" s="12" t="s">
        <v>7232</v>
      </c>
      <c r="D895" s="85">
        <v>13592.84</v>
      </c>
      <c r="E895" s="6">
        <v>5951259</v>
      </c>
      <c r="F895" s="12" t="s">
        <v>6968</v>
      </c>
      <c r="G895" s="2" t="s">
        <v>755</v>
      </c>
      <c r="H895" s="12" t="s">
        <v>756</v>
      </c>
      <c r="I895" s="86">
        <v>45089</v>
      </c>
      <c r="J895" s="86">
        <v>46185</v>
      </c>
      <c r="K895" s="12" t="s">
        <v>123</v>
      </c>
      <c r="L895" s="12" t="s">
        <v>2201</v>
      </c>
    </row>
    <row r="896" spans="1:12" ht="38.25">
      <c r="A896" s="12">
        <f t="shared" si="13"/>
        <v>894</v>
      </c>
      <c r="B896" s="12" t="s">
        <v>7233</v>
      </c>
      <c r="C896" s="12" t="s">
        <v>7234</v>
      </c>
      <c r="D896" s="85">
        <v>7251.18</v>
      </c>
      <c r="E896" s="6">
        <v>6776493</v>
      </c>
      <c r="F896" s="12" t="s">
        <v>6429</v>
      </c>
      <c r="G896" s="2" t="s">
        <v>848</v>
      </c>
      <c r="H896" s="12" t="s">
        <v>849</v>
      </c>
      <c r="I896" s="86">
        <v>44574</v>
      </c>
      <c r="J896" s="86">
        <v>45670</v>
      </c>
      <c r="K896" s="12" t="s">
        <v>138</v>
      </c>
      <c r="L896" s="12" t="s">
        <v>1806</v>
      </c>
    </row>
    <row r="897" spans="1:12">
      <c r="A897" s="12">
        <f t="shared" si="13"/>
        <v>895</v>
      </c>
      <c r="B897" s="12" t="s">
        <v>7235</v>
      </c>
      <c r="C897" s="12" t="s">
        <v>7236</v>
      </c>
      <c r="D897" s="85">
        <v>2279.81</v>
      </c>
      <c r="E897" s="6">
        <v>5973511</v>
      </c>
      <c r="F897" s="12" t="s">
        <v>7237</v>
      </c>
      <c r="G897" s="2" t="s">
        <v>755</v>
      </c>
      <c r="H897" s="12" t="s">
        <v>756</v>
      </c>
      <c r="I897" s="86">
        <v>42473</v>
      </c>
      <c r="J897" s="86">
        <v>45760</v>
      </c>
      <c r="K897" s="12" t="s">
        <v>274</v>
      </c>
      <c r="L897" s="12" t="s">
        <v>3186</v>
      </c>
    </row>
    <row r="898" spans="1:12">
      <c r="A898" s="12">
        <f t="shared" si="13"/>
        <v>896</v>
      </c>
      <c r="B898" s="12" t="s">
        <v>7238</v>
      </c>
      <c r="C898" s="12" t="s">
        <v>7239</v>
      </c>
      <c r="D898" s="85">
        <v>507.5</v>
      </c>
      <c r="E898" s="6">
        <v>6766099</v>
      </c>
      <c r="F898" s="12" t="s">
        <v>7240</v>
      </c>
      <c r="G898" s="2" t="s">
        <v>755</v>
      </c>
      <c r="H898" s="12" t="s">
        <v>756</v>
      </c>
      <c r="I898" s="86">
        <v>45104</v>
      </c>
      <c r="J898" s="86">
        <v>46200</v>
      </c>
      <c r="K898" s="12" t="s">
        <v>293</v>
      </c>
      <c r="L898" s="12" t="s">
        <v>815</v>
      </c>
    </row>
    <row r="899" spans="1:12">
      <c r="A899" s="12">
        <f t="shared" si="13"/>
        <v>897</v>
      </c>
      <c r="B899" s="12" t="s">
        <v>7241</v>
      </c>
      <c r="C899" s="12" t="s">
        <v>7242</v>
      </c>
      <c r="D899" s="85">
        <v>3734.59</v>
      </c>
      <c r="E899" s="6">
        <v>6812759</v>
      </c>
      <c r="F899" s="12" t="s">
        <v>7243</v>
      </c>
      <c r="G899" s="2" t="s">
        <v>755</v>
      </c>
      <c r="H899" s="12" t="s">
        <v>756</v>
      </c>
      <c r="I899" s="86">
        <v>45107</v>
      </c>
      <c r="J899" s="86">
        <v>46203</v>
      </c>
      <c r="K899" s="12" t="s">
        <v>1242</v>
      </c>
      <c r="L899" s="12" t="s">
        <v>1243</v>
      </c>
    </row>
    <row r="900" spans="1:12">
      <c r="A900" s="12">
        <f t="shared" si="13"/>
        <v>898</v>
      </c>
      <c r="B900" s="12" t="s">
        <v>7244</v>
      </c>
      <c r="C900" s="12" t="s">
        <v>7245</v>
      </c>
      <c r="D900" s="85">
        <v>7213.67</v>
      </c>
      <c r="E900" s="6">
        <v>6537669</v>
      </c>
      <c r="F900" s="12" t="s">
        <v>7246</v>
      </c>
      <c r="G900" s="2" t="s">
        <v>755</v>
      </c>
      <c r="H900" s="12" t="s">
        <v>756</v>
      </c>
      <c r="I900" s="86">
        <v>45098</v>
      </c>
      <c r="J900" s="86">
        <v>46194</v>
      </c>
      <c r="K900" s="12" t="s">
        <v>1102</v>
      </c>
      <c r="L900" s="12" t="s">
        <v>5589</v>
      </c>
    </row>
    <row r="901" spans="1:12">
      <c r="A901" s="12">
        <f t="shared" ref="A901:A964" si="14">A900+1</f>
        <v>899</v>
      </c>
      <c r="B901" s="12" t="s">
        <v>7247</v>
      </c>
      <c r="C901" s="12" t="s">
        <v>7248</v>
      </c>
      <c r="D901" s="85">
        <v>1308.1400000000001</v>
      </c>
      <c r="E901" s="6">
        <v>6774733</v>
      </c>
      <c r="F901" s="12" t="s">
        <v>7249</v>
      </c>
      <c r="G901" s="2" t="s">
        <v>755</v>
      </c>
      <c r="H901" s="12" t="s">
        <v>756</v>
      </c>
      <c r="I901" s="86">
        <v>45104</v>
      </c>
      <c r="J901" s="86">
        <v>46200</v>
      </c>
      <c r="K901" s="12" t="s">
        <v>2670</v>
      </c>
      <c r="L901" s="12" t="s">
        <v>7250</v>
      </c>
    </row>
    <row r="902" spans="1:12">
      <c r="A902" s="12">
        <f t="shared" si="14"/>
        <v>900</v>
      </c>
      <c r="B902" s="12" t="s">
        <v>7251</v>
      </c>
      <c r="C902" s="12" t="s">
        <v>7252</v>
      </c>
      <c r="D902" s="85">
        <v>64445.62</v>
      </c>
      <c r="E902" s="6">
        <v>4395832</v>
      </c>
      <c r="F902" s="12" t="s">
        <v>7253</v>
      </c>
      <c r="G902" s="2" t="s">
        <v>755</v>
      </c>
      <c r="H902" s="12" t="s">
        <v>756</v>
      </c>
      <c r="I902" s="86">
        <v>45096</v>
      </c>
      <c r="J902" s="86">
        <v>46192</v>
      </c>
      <c r="K902" s="12" t="s">
        <v>138</v>
      </c>
      <c r="L902" s="12" t="s">
        <v>7254</v>
      </c>
    </row>
    <row r="903" spans="1:12">
      <c r="A903" s="12">
        <f t="shared" si="14"/>
        <v>901</v>
      </c>
      <c r="B903" s="12" t="s">
        <v>7255</v>
      </c>
      <c r="C903" s="12" t="s">
        <v>4100</v>
      </c>
      <c r="D903" s="85">
        <v>1040.99</v>
      </c>
      <c r="E903" s="6">
        <v>6147232</v>
      </c>
      <c r="F903" s="12" t="s">
        <v>7256</v>
      </c>
      <c r="G903" s="2" t="s">
        <v>755</v>
      </c>
      <c r="H903" s="12" t="s">
        <v>756</v>
      </c>
      <c r="I903" s="86">
        <v>45090</v>
      </c>
      <c r="J903" s="86">
        <v>46186</v>
      </c>
      <c r="K903" s="12" t="s">
        <v>123</v>
      </c>
      <c r="L903" s="12" t="s">
        <v>1256</v>
      </c>
    </row>
    <row r="904" spans="1:12">
      <c r="A904" s="12">
        <f t="shared" si="14"/>
        <v>902</v>
      </c>
      <c r="B904" s="12" t="s">
        <v>7257</v>
      </c>
      <c r="C904" s="12" t="s">
        <v>7258</v>
      </c>
      <c r="D904" s="85">
        <v>6260.79</v>
      </c>
      <c r="E904" s="6">
        <v>5199913</v>
      </c>
      <c r="F904" s="12" t="s">
        <v>7062</v>
      </c>
      <c r="G904" s="2" t="s">
        <v>755</v>
      </c>
      <c r="H904" s="12" t="s">
        <v>756</v>
      </c>
      <c r="I904" s="86">
        <v>45090</v>
      </c>
      <c r="J904" s="86">
        <v>46186</v>
      </c>
      <c r="K904" s="12" t="s">
        <v>123</v>
      </c>
      <c r="L904" s="12" t="s">
        <v>1256</v>
      </c>
    </row>
    <row r="905" spans="1:12">
      <c r="A905" s="12">
        <f t="shared" si="14"/>
        <v>903</v>
      </c>
      <c r="B905" s="12" t="s">
        <v>7259</v>
      </c>
      <c r="C905" s="12" t="s">
        <v>7260</v>
      </c>
      <c r="D905" s="85">
        <v>1096.3699999999999</v>
      </c>
      <c r="E905" s="6">
        <v>6847196</v>
      </c>
      <c r="F905" s="12" t="s">
        <v>7193</v>
      </c>
      <c r="G905" s="2" t="s">
        <v>755</v>
      </c>
      <c r="H905" s="12" t="s">
        <v>756</v>
      </c>
      <c r="I905" s="86">
        <v>45098</v>
      </c>
      <c r="J905" s="86">
        <v>46194</v>
      </c>
      <c r="K905" s="12" t="s">
        <v>288</v>
      </c>
      <c r="L905" s="12" t="s">
        <v>2054</v>
      </c>
    </row>
    <row r="906" spans="1:12" ht="38.25">
      <c r="A906" s="12">
        <f t="shared" si="14"/>
        <v>904</v>
      </c>
      <c r="B906" s="12" t="s">
        <v>7261</v>
      </c>
      <c r="C906" s="12" t="s">
        <v>7262</v>
      </c>
      <c r="D906" s="85">
        <v>578.19000000000005</v>
      </c>
      <c r="E906" s="6">
        <v>2837129</v>
      </c>
      <c r="F906" s="12" t="s">
        <v>7102</v>
      </c>
      <c r="G906" s="2" t="s">
        <v>848</v>
      </c>
      <c r="H906" s="12" t="s">
        <v>849</v>
      </c>
      <c r="I906" s="86">
        <v>45090</v>
      </c>
      <c r="J906" s="86">
        <v>46186</v>
      </c>
      <c r="K906" s="12" t="s">
        <v>170</v>
      </c>
      <c r="L906" s="12" t="s">
        <v>205</v>
      </c>
    </row>
    <row r="907" spans="1:12">
      <c r="A907" s="12">
        <f t="shared" si="14"/>
        <v>905</v>
      </c>
      <c r="B907" s="12" t="s">
        <v>7263</v>
      </c>
      <c r="C907" s="12" t="s">
        <v>7264</v>
      </c>
      <c r="D907" s="85">
        <v>2260.67</v>
      </c>
      <c r="E907" s="6">
        <v>6033199</v>
      </c>
      <c r="F907" s="12" t="s">
        <v>7265</v>
      </c>
      <c r="G907" s="2" t="s">
        <v>755</v>
      </c>
      <c r="H907" s="12" t="s">
        <v>756</v>
      </c>
      <c r="I907" s="86">
        <v>45083</v>
      </c>
      <c r="J907" s="86">
        <v>46179</v>
      </c>
      <c r="K907" s="12" t="s">
        <v>1014</v>
      </c>
      <c r="L907" s="12" t="s">
        <v>7266</v>
      </c>
    </row>
    <row r="908" spans="1:12">
      <c r="A908" s="12">
        <f t="shared" si="14"/>
        <v>906</v>
      </c>
      <c r="B908" s="12" t="s">
        <v>7267</v>
      </c>
      <c r="C908" s="12" t="s">
        <v>7268</v>
      </c>
      <c r="D908" s="85">
        <v>24517.26</v>
      </c>
      <c r="E908" s="6">
        <v>2047071</v>
      </c>
      <c r="F908" s="12" t="s">
        <v>7095</v>
      </c>
      <c r="G908" s="2" t="s">
        <v>755</v>
      </c>
      <c r="H908" s="12" t="s">
        <v>756</v>
      </c>
      <c r="I908" s="86">
        <v>45110</v>
      </c>
      <c r="J908" s="86">
        <v>46206</v>
      </c>
      <c r="K908" s="12" t="s">
        <v>123</v>
      </c>
      <c r="L908" s="12" t="s">
        <v>2201</v>
      </c>
    </row>
    <row r="909" spans="1:12">
      <c r="A909" s="12">
        <f t="shared" si="14"/>
        <v>907</v>
      </c>
      <c r="B909" s="12" t="s">
        <v>7269</v>
      </c>
      <c r="C909" s="12" t="s">
        <v>7270</v>
      </c>
      <c r="D909" s="85">
        <v>3245.04</v>
      </c>
      <c r="E909" s="6">
        <v>5118344</v>
      </c>
      <c r="F909" s="12" t="s">
        <v>6722</v>
      </c>
      <c r="G909" s="2" t="s">
        <v>755</v>
      </c>
      <c r="H909" s="12" t="s">
        <v>756</v>
      </c>
      <c r="I909" s="86">
        <v>45104</v>
      </c>
      <c r="J909" s="86">
        <v>46200</v>
      </c>
      <c r="K909" s="12" t="s">
        <v>1014</v>
      </c>
      <c r="L909" s="12" t="s">
        <v>1023</v>
      </c>
    </row>
    <row r="910" spans="1:12">
      <c r="A910" s="12">
        <f t="shared" si="14"/>
        <v>908</v>
      </c>
      <c r="B910" s="12" t="s">
        <v>7271</v>
      </c>
      <c r="C910" s="12" t="s">
        <v>7272</v>
      </c>
      <c r="D910" s="85">
        <v>6630.94</v>
      </c>
      <c r="E910" s="6">
        <v>3623068</v>
      </c>
      <c r="F910" s="12" t="s">
        <v>7273</v>
      </c>
      <c r="G910" s="2" t="s">
        <v>755</v>
      </c>
      <c r="H910" s="12" t="s">
        <v>756</v>
      </c>
      <c r="I910" s="86">
        <v>45098</v>
      </c>
      <c r="J910" s="86">
        <v>46194</v>
      </c>
      <c r="K910" s="12" t="s">
        <v>768</v>
      </c>
      <c r="L910" s="12" t="s">
        <v>1042</v>
      </c>
    </row>
    <row r="911" spans="1:12">
      <c r="A911" s="12">
        <f t="shared" si="14"/>
        <v>909</v>
      </c>
      <c r="B911" s="12" t="s">
        <v>7274</v>
      </c>
      <c r="C911" s="12" t="s">
        <v>1461</v>
      </c>
      <c r="D911" s="85">
        <v>14247.18</v>
      </c>
      <c r="E911" s="6">
        <v>3623068</v>
      </c>
      <c r="F911" s="12" t="s">
        <v>7273</v>
      </c>
      <c r="G911" s="2" t="s">
        <v>755</v>
      </c>
      <c r="H911" s="12" t="s">
        <v>756</v>
      </c>
      <c r="I911" s="86">
        <v>45098</v>
      </c>
      <c r="J911" s="86">
        <v>46194</v>
      </c>
      <c r="K911" s="12" t="s">
        <v>1014</v>
      </c>
      <c r="L911" s="12" t="s">
        <v>1023</v>
      </c>
    </row>
    <row r="912" spans="1:12">
      <c r="A912" s="12">
        <f t="shared" si="14"/>
        <v>910</v>
      </c>
      <c r="B912" s="12" t="s">
        <v>7275</v>
      </c>
      <c r="C912" s="12" t="s">
        <v>7276</v>
      </c>
      <c r="D912" s="85">
        <v>1529.83</v>
      </c>
      <c r="E912" s="6">
        <v>6847226</v>
      </c>
      <c r="F912" s="12" t="s">
        <v>7277</v>
      </c>
      <c r="G912" s="2" t="s">
        <v>755</v>
      </c>
      <c r="H912" s="12" t="s">
        <v>756</v>
      </c>
      <c r="I912" s="86">
        <v>45105</v>
      </c>
      <c r="J912" s="86">
        <v>46201</v>
      </c>
      <c r="K912" s="12" t="s">
        <v>163</v>
      </c>
      <c r="L912" s="12" t="s">
        <v>1417</v>
      </c>
    </row>
    <row r="913" spans="1:12">
      <c r="A913" s="12">
        <f t="shared" si="14"/>
        <v>911</v>
      </c>
      <c r="B913" s="12" t="s">
        <v>7278</v>
      </c>
      <c r="C913" s="12" t="s">
        <v>7279</v>
      </c>
      <c r="D913" s="85">
        <v>593.88</v>
      </c>
      <c r="E913" s="6">
        <v>2597977</v>
      </c>
      <c r="F913" s="12" t="s">
        <v>2293</v>
      </c>
      <c r="G913" s="2" t="s">
        <v>755</v>
      </c>
      <c r="H913" s="12" t="s">
        <v>756</v>
      </c>
      <c r="I913" s="86">
        <v>45105</v>
      </c>
      <c r="J913" s="86">
        <v>46201</v>
      </c>
      <c r="K913" s="12" t="s">
        <v>163</v>
      </c>
      <c r="L913" s="12" t="s">
        <v>1417</v>
      </c>
    </row>
    <row r="914" spans="1:12">
      <c r="A914" s="12">
        <f t="shared" si="14"/>
        <v>912</v>
      </c>
      <c r="B914" s="12" t="s">
        <v>7280</v>
      </c>
      <c r="C914" s="12" t="s">
        <v>7281</v>
      </c>
      <c r="D914" s="85">
        <v>402.05</v>
      </c>
      <c r="E914" s="6">
        <v>5076285</v>
      </c>
      <c r="F914" s="12" t="s">
        <v>835</v>
      </c>
      <c r="G914" s="2" t="s">
        <v>755</v>
      </c>
      <c r="H914" s="12" t="s">
        <v>756</v>
      </c>
      <c r="I914" s="86">
        <v>45126</v>
      </c>
      <c r="J914" s="86">
        <v>46222</v>
      </c>
      <c r="K914" s="12" t="s">
        <v>1242</v>
      </c>
      <c r="L914" s="12" t="s">
        <v>1243</v>
      </c>
    </row>
    <row r="915" spans="1:12" ht="38.25">
      <c r="A915" s="12">
        <f t="shared" si="14"/>
        <v>913</v>
      </c>
      <c r="B915" s="12" t="s">
        <v>7282</v>
      </c>
      <c r="C915" s="12" t="s">
        <v>1499</v>
      </c>
      <c r="D915" s="85">
        <v>10135.11</v>
      </c>
      <c r="E915" s="6">
        <v>5287472</v>
      </c>
      <c r="F915" s="12" t="s">
        <v>7189</v>
      </c>
      <c r="G915" s="2" t="s">
        <v>766</v>
      </c>
      <c r="H915" s="12" t="s">
        <v>767</v>
      </c>
      <c r="I915" s="86">
        <v>45112</v>
      </c>
      <c r="J915" s="86">
        <v>46208</v>
      </c>
      <c r="K915" s="12" t="s">
        <v>1102</v>
      </c>
      <c r="L915" s="12" t="s">
        <v>1103</v>
      </c>
    </row>
    <row r="916" spans="1:12">
      <c r="A916" s="12">
        <f t="shared" si="14"/>
        <v>914</v>
      </c>
      <c r="B916" s="12" t="s">
        <v>7283</v>
      </c>
      <c r="C916" s="12" t="s">
        <v>2957</v>
      </c>
      <c r="D916" s="85">
        <v>14445.61</v>
      </c>
      <c r="E916" s="6">
        <v>8355738</v>
      </c>
      <c r="F916" s="12" t="s">
        <v>7284</v>
      </c>
      <c r="G916" s="2" t="s">
        <v>755</v>
      </c>
      <c r="H916" s="12" t="s">
        <v>756</v>
      </c>
      <c r="I916" s="86">
        <v>45126</v>
      </c>
      <c r="J916" s="86">
        <v>46222</v>
      </c>
      <c r="K916" s="12" t="s">
        <v>163</v>
      </c>
      <c r="L916" s="12" t="s">
        <v>1417</v>
      </c>
    </row>
    <row r="917" spans="1:12">
      <c r="A917" s="12">
        <f t="shared" si="14"/>
        <v>915</v>
      </c>
      <c r="B917" s="12" t="s">
        <v>7285</v>
      </c>
      <c r="C917" s="12" t="s">
        <v>7286</v>
      </c>
      <c r="D917" s="85">
        <v>7437.1</v>
      </c>
      <c r="E917" s="6">
        <v>6063918</v>
      </c>
      <c r="F917" s="12" t="s">
        <v>7287</v>
      </c>
      <c r="G917" s="2" t="s">
        <v>755</v>
      </c>
      <c r="H917" s="12" t="s">
        <v>756</v>
      </c>
      <c r="I917" s="86">
        <v>45126</v>
      </c>
      <c r="J917" s="86">
        <v>46222</v>
      </c>
      <c r="K917" s="12" t="s">
        <v>163</v>
      </c>
      <c r="L917" s="12" t="s">
        <v>1417</v>
      </c>
    </row>
    <row r="918" spans="1:12">
      <c r="A918" s="12">
        <f t="shared" si="14"/>
        <v>916</v>
      </c>
      <c r="B918" s="12" t="s">
        <v>7288</v>
      </c>
      <c r="C918" s="12" t="s">
        <v>2599</v>
      </c>
      <c r="D918" s="85">
        <v>6982.83</v>
      </c>
      <c r="E918" s="6">
        <v>8354049</v>
      </c>
      <c r="F918" s="12" t="s">
        <v>7289</v>
      </c>
      <c r="G918" s="2" t="s">
        <v>755</v>
      </c>
      <c r="H918" s="12" t="s">
        <v>756</v>
      </c>
      <c r="I918" s="86">
        <v>45112</v>
      </c>
      <c r="J918" s="86">
        <v>46208</v>
      </c>
      <c r="K918" s="12" t="s">
        <v>836</v>
      </c>
      <c r="L918" s="12" t="s">
        <v>3649</v>
      </c>
    </row>
    <row r="919" spans="1:12">
      <c r="A919" s="12">
        <f t="shared" si="14"/>
        <v>917</v>
      </c>
      <c r="B919" s="12" t="s">
        <v>7290</v>
      </c>
      <c r="C919" s="12" t="s">
        <v>7291</v>
      </c>
      <c r="D919" s="85">
        <v>8859.4699999999993</v>
      </c>
      <c r="E919" s="6">
        <v>5944767</v>
      </c>
      <c r="F919" s="12" t="s">
        <v>7292</v>
      </c>
      <c r="G919" s="2" t="s">
        <v>755</v>
      </c>
      <c r="H919" s="12" t="s">
        <v>756</v>
      </c>
      <c r="I919" s="86">
        <v>45124</v>
      </c>
      <c r="J919" s="86">
        <v>46220</v>
      </c>
      <c r="K919" s="12" t="s">
        <v>288</v>
      </c>
      <c r="L919" s="12" t="s">
        <v>2467</v>
      </c>
    </row>
    <row r="920" spans="1:12">
      <c r="A920" s="12">
        <f t="shared" si="14"/>
        <v>918</v>
      </c>
      <c r="B920" s="12" t="s">
        <v>7293</v>
      </c>
      <c r="C920" s="12" t="s">
        <v>7294</v>
      </c>
      <c r="D920" s="85">
        <v>3778.86</v>
      </c>
      <c r="E920" s="6">
        <v>6507581</v>
      </c>
      <c r="F920" s="12" t="s">
        <v>7158</v>
      </c>
      <c r="G920" s="2" t="s">
        <v>755</v>
      </c>
      <c r="H920" s="12" t="s">
        <v>756</v>
      </c>
      <c r="I920" s="86">
        <v>45126</v>
      </c>
      <c r="J920" s="86">
        <v>46222</v>
      </c>
      <c r="K920" s="12" t="s">
        <v>274</v>
      </c>
      <c r="L920" s="12" t="s">
        <v>4003</v>
      </c>
    </row>
    <row r="921" spans="1:12">
      <c r="A921" s="12">
        <f t="shared" si="14"/>
        <v>919</v>
      </c>
      <c r="B921" s="12" t="s">
        <v>7295</v>
      </c>
      <c r="C921" s="12" t="s">
        <v>1561</v>
      </c>
      <c r="D921" s="85">
        <v>5598.35</v>
      </c>
      <c r="E921" s="6">
        <v>6875025</v>
      </c>
      <c r="F921" s="12" t="s">
        <v>7296</v>
      </c>
      <c r="G921" s="2" t="s">
        <v>755</v>
      </c>
      <c r="H921" s="12" t="s">
        <v>756</v>
      </c>
      <c r="I921" s="86">
        <v>45114</v>
      </c>
      <c r="J921" s="86">
        <v>46210</v>
      </c>
      <c r="K921" s="12" t="s">
        <v>836</v>
      </c>
      <c r="L921" s="12" t="s">
        <v>7297</v>
      </c>
    </row>
    <row r="922" spans="1:12">
      <c r="A922" s="12">
        <f t="shared" si="14"/>
        <v>920</v>
      </c>
      <c r="B922" s="12" t="s">
        <v>7298</v>
      </c>
      <c r="C922" s="12" t="s">
        <v>4927</v>
      </c>
      <c r="D922" s="85">
        <v>3555.14</v>
      </c>
      <c r="E922" s="6">
        <v>5076285</v>
      </c>
      <c r="F922" s="12" t="s">
        <v>835</v>
      </c>
      <c r="G922" s="2" t="s">
        <v>755</v>
      </c>
      <c r="H922" s="12" t="s">
        <v>756</v>
      </c>
      <c r="I922" s="86">
        <v>45126</v>
      </c>
      <c r="J922" s="86">
        <v>46222</v>
      </c>
      <c r="K922" s="12" t="s">
        <v>274</v>
      </c>
      <c r="L922" s="12" t="s">
        <v>7299</v>
      </c>
    </row>
    <row r="923" spans="1:12">
      <c r="A923" s="12">
        <f t="shared" si="14"/>
        <v>921</v>
      </c>
      <c r="B923" s="12" t="s">
        <v>7300</v>
      </c>
      <c r="C923" s="12" t="s">
        <v>1461</v>
      </c>
      <c r="D923" s="85">
        <v>491.71</v>
      </c>
      <c r="E923" s="6">
        <v>6207359</v>
      </c>
      <c r="F923" s="12" t="s">
        <v>6685</v>
      </c>
      <c r="G923" s="2" t="s">
        <v>755</v>
      </c>
      <c r="H923" s="12" t="s">
        <v>756</v>
      </c>
      <c r="I923" s="86">
        <v>45161</v>
      </c>
      <c r="J923" s="86">
        <v>46257</v>
      </c>
      <c r="K923" s="12" t="s">
        <v>7301</v>
      </c>
      <c r="L923" s="12" t="s">
        <v>7302</v>
      </c>
    </row>
    <row r="924" spans="1:12">
      <c r="A924" s="12">
        <f t="shared" si="14"/>
        <v>922</v>
      </c>
      <c r="B924" s="12" t="s">
        <v>7303</v>
      </c>
      <c r="C924" s="12" t="s">
        <v>7304</v>
      </c>
      <c r="D924" s="85">
        <v>723.46</v>
      </c>
      <c r="E924" s="6">
        <v>6916686</v>
      </c>
      <c r="F924" s="12" t="s">
        <v>7305</v>
      </c>
      <c r="G924" s="2" t="s">
        <v>755</v>
      </c>
      <c r="H924" s="12" t="s">
        <v>756</v>
      </c>
      <c r="I924" s="86">
        <v>45147</v>
      </c>
      <c r="J924" s="86">
        <v>46243</v>
      </c>
      <c r="K924" s="12" t="s">
        <v>274</v>
      </c>
      <c r="L924" s="12" t="s">
        <v>1413</v>
      </c>
    </row>
    <row r="925" spans="1:12">
      <c r="A925" s="12">
        <f t="shared" si="14"/>
        <v>923</v>
      </c>
      <c r="B925" s="12" t="s">
        <v>7306</v>
      </c>
      <c r="C925" s="12" t="s">
        <v>1934</v>
      </c>
      <c r="D925" s="85">
        <v>1159.3</v>
      </c>
      <c r="E925" s="6">
        <v>3859797</v>
      </c>
      <c r="F925" s="12" t="s">
        <v>7307</v>
      </c>
      <c r="G925" s="2" t="s">
        <v>755</v>
      </c>
      <c r="H925" s="12" t="s">
        <v>756</v>
      </c>
      <c r="I925" s="86">
        <v>45124</v>
      </c>
      <c r="J925" s="86">
        <v>46220</v>
      </c>
      <c r="K925" s="12" t="s">
        <v>293</v>
      </c>
      <c r="L925" s="12" t="s">
        <v>2155</v>
      </c>
    </row>
    <row r="926" spans="1:12" ht="38.25">
      <c r="A926" s="12">
        <f t="shared" si="14"/>
        <v>924</v>
      </c>
      <c r="B926" s="12" t="s">
        <v>7308</v>
      </c>
      <c r="C926" s="12" t="s">
        <v>5649</v>
      </c>
      <c r="D926" s="85">
        <v>802.71</v>
      </c>
      <c r="E926" s="6">
        <v>6169325</v>
      </c>
      <c r="F926" s="12" t="s">
        <v>5650</v>
      </c>
      <c r="G926" s="2" t="s">
        <v>848</v>
      </c>
      <c r="H926" s="12" t="s">
        <v>849</v>
      </c>
      <c r="I926" s="86">
        <v>42488</v>
      </c>
      <c r="J926" s="86">
        <v>45775</v>
      </c>
      <c r="K926" s="12" t="s">
        <v>274</v>
      </c>
      <c r="L926" s="12" t="s">
        <v>874</v>
      </c>
    </row>
    <row r="927" spans="1:12" ht="38.25">
      <c r="A927" s="12">
        <f t="shared" si="14"/>
        <v>925</v>
      </c>
      <c r="B927" s="12" t="s">
        <v>7309</v>
      </c>
      <c r="C927" s="12" t="s">
        <v>2159</v>
      </c>
      <c r="D927" s="85">
        <v>1619.76</v>
      </c>
      <c r="E927" s="6">
        <v>8358362</v>
      </c>
      <c r="F927" s="12" t="s">
        <v>7023</v>
      </c>
      <c r="G927" s="2" t="s">
        <v>766</v>
      </c>
      <c r="H927" s="12" t="s">
        <v>767</v>
      </c>
      <c r="I927" s="86">
        <v>44951</v>
      </c>
      <c r="J927" s="86">
        <v>46047</v>
      </c>
      <c r="K927" s="12" t="s">
        <v>123</v>
      </c>
      <c r="L927" s="12" t="s">
        <v>2201</v>
      </c>
    </row>
    <row r="928" spans="1:12" ht="38.25">
      <c r="A928" s="12">
        <f t="shared" si="14"/>
        <v>926</v>
      </c>
      <c r="B928" s="12" t="s">
        <v>7310</v>
      </c>
      <c r="C928" s="12" t="s">
        <v>2159</v>
      </c>
      <c r="D928" s="85">
        <v>2299.88</v>
      </c>
      <c r="E928" s="6">
        <v>8358362</v>
      </c>
      <c r="F928" s="12" t="s">
        <v>7023</v>
      </c>
      <c r="G928" s="2" t="s">
        <v>766</v>
      </c>
      <c r="H928" s="12" t="s">
        <v>767</v>
      </c>
      <c r="I928" s="86">
        <v>44951</v>
      </c>
      <c r="J928" s="86">
        <v>46047</v>
      </c>
      <c r="K928" s="12" t="s">
        <v>123</v>
      </c>
      <c r="L928" s="12" t="s">
        <v>2201</v>
      </c>
    </row>
    <row r="929" spans="1:12">
      <c r="A929" s="12">
        <f t="shared" si="14"/>
        <v>927</v>
      </c>
      <c r="B929" s="12" t="s">
        <v>7311</v>
      </c>
      <c r="C929" s="12" t="s">
        <v>7312</v>
      </c>
      <c r="D929" s="85">
        <v>190.32</v>
      </c>
      <c r="E929" s="6">
        <v>6766129</v>
      </c>
      <c r="F929" s="12" t="s">
        <v>6892</v>
      </c>
      <c r="G929" s="2" t="s">
        <v>755</v>
      </c>
      <c r="H929" s="12" t="s">
        <v>756</v>
      </c>
      <c r="I929" s="86">
        <v>45156</v>
      </c>
      <c r="J929" s="86">
        <v>46252</v>
      </c>
      <c r="K929" s="12" t="s">
        <v>304</v>
      </c>
      <c r="L929" s="12" t="s">
        <v>1634</v>
      </c>
    </row>
    <row r="930" spans="1:12">
      <c r="A930" s="12">
        <f t="shared" si="14"/>
        <v>928</v>
      </c>
      <c r="B930" s="12" t="s">
        <v>7313</v>
      </c>
      <c r="C930" s="12" t="s">
        <v>7314</v>
      </c>
      <c r="D930" s="85">
        <v>991.78</v>
      </c>
      <c r="E930" s="6">
        <v>5253535</v>
      </c>
      <c r="F930" s="12" t="s">
        <v>6552</v>
      </c>
      <c r="G930" s="2" t="s">
        <v>755</v>
      </c>
      <c r="H930" s="12" t="s">
        <v>756</v>
      </c>
      <c r="I930" s="86">
        <v>45156</v>
      </c>
      <c r="J930" s="86">
        <v>46252</v>
      </c>
      <c r="K930" s="12" t="s">
        <v>293</v>
      </c>
      <c r="L930" s="12" t="s">
        <v>2290</v>
      </c>
    </row>
    <row r="931" spans="1:12">
      <c r="A931" s="12">
        <f t="shared" si="14"/>
        <v>929</v>
      </c>
      <c r="B931" s="12" t="s">
        <v>7315</v>
      </c>
      <c r="C931" s="12" t="s">
        <v>5406</v>
      </c>
      <c r="D931" s="85">
        <v>1038.99</v>
      </c>
      <c r="E931" s="6">
        <v>5636655</v>
      </c>
      <c r="F931" s="12" t="s">
        <v>5785</v>
      </c>
      <c r="G931" s="2" t="s">
        <v>755</v>
      </c>
      <c r="H931" s="12" t="s">
        <v>756</v>
      </c>
      <c r="I931" s="86">
        <v>45166</v>
      </c>
      <c r="J931" s="86">
        <v>46262</v>
      </c>
      <c r="K931" s="12" t="s">
        <v>293</v>
      </c>
      <c r="L931" s="12" t="s">
        <v>7316</v>
      </c>
    </row>
    <row r="932" spans="1:12">
      <c r="A932" s="12">
        <f t="shared" si="14"/>
        <v>930</v>
      </c>
      <c r="B932" s="12" t="s">
        <v>7317</v>
      </c>
      <c r="C932" s="12" t="s">
        <v>7318</v>
      </c>
      <c r="D932" s="85">
        <v>700.68</v>
      </c>
      <c r="E932" s="6">
        <v>6769012</v>
      </c>
      <c r="F932" s="12" t="s">
        <v>7319</v>
      </c>
      <c r="G932" s="2" t="s">
        <v>755</v>
      </c>
      <c r="H932" s="12" t="s">
        <v>756</v>
      </c>
      <c r="I932" s="86">
        <v>45168</v>
      </c>
      <c r="J932" s="86">
        <v>46264</v>
      </c>
      <c r="K932" s="12" t="s">
        <v>293</v>
      </c>
      <c r="L932" s="12" t="s">
        <v>794</v>
      </c>
    </row>
    <row r="933" spans="1:12">
      <c r="A933" s="12">
        <f t="shared" si="14"/>
        <v>931</v>
      </c>
      <c r="B933" s="12" t="s">
        <v>7320</v>
      </c>
      <c r="C933" s="12" t="s">
        <v>7321</v>
      </c>
      <c r="D933" s="85">
        <v>7535.74</v>
      </c>
      <c r="E933" s="6">
        <v>6472435</v>
      </c>
      <c r="F933" s="12" t="s">
        <v>7322</v>
      </c>
      <c r="G933" s="2" t="s">
        <v>755</v>
      </c>
      <c r="H933" s="12" t="s">
        <v>756</v>
      </c>
      <c r="I933" s="86">
        <v>45156</v>
      </c>
      <c r="J933" s="86">
        <v>46252</v>
      </c>
      <c r="K933" s="12" t="s">
        <v>1102</v>
      </c>
      <c r="L933" s="12" t="s">
        <v>1550</v>
      </c>
    </row>
    <row r="934" spans="1:12">
      <c r="A934" s="12">
        <f t="shared" si="14"/>
        <v>932</v>
      </c>
      <c r="B934" s="12" t="s">
        <v>7323</v>
      </c>
      <c r="C934" s="12" t="s">
        <v>7324</v>
      </c>
      <c r="D934" s="85">
        <v>1865.43</v>
      </c>
      <c r="E934" s="6">
        <v>8358176</v>
      </c>
      <c r="F934" s="12" t="s">
        <v>7325</v>
      </c>
      <c r="G934" s="2" t="s">
        <v>755</v>
      </c>
      <c r="H934" s="12" t="s">
        <v>756</v>
      </c>
      <c r="I934" s="86">
        <v>45091</v>
      </c>
      <c r="J934" s="86">
        <v>46187</v>
      </c>
      <c r="K934" s="12" t="s">
        <v>123</v>
      </c>
      <c r="L934" s="12" t="s">
        <v>790</v>
      </c>
    </row>
    <row r="935" spans="1:12">
      <c r="A935" s="12">
        <f t="shared" si="14"/>
        <v>933</v>
      </c>
      <c r="B935" s="12" t="s">
        <v>7326</v>
      </c>
      <c r="C935" s="12" t="s">
        <v>7327</v>
      </c>
      <c r="D935" s="85">
        <v>8184.74</v>
      </c>
      <c r="E935" s="6">
        <v>5253535</v>
      </c>
      <c r="F935" s="12" t="s">
        <v>6552</v>
      </c>
      <c r="G935" s="2" t="s">
        <v>755</v>
      </c>
      <c r="H935" s="12" t="s">
        <v>756</v>
      </c>
      <c r="I935" s="86">
        <v>45156</v>
      </c>
      <c r="J935" s="86">
        <v>46252</v>
      </c>
      <c r="K935" s="12" t="s">
        <v>288</v>
      </c>
      <c r="L935" s="12" t="s">
        <v>5433</v>
      </c>
    </row>
    <row r="936" spans="1:12">
      <c r="A936" s="12">
        <f t="shared" si="14"/>
        <v>934</v>
      </c>
      <c r="B936" s="12" t="s">
        <v>7328</v>
      </c>
      <c r="C936" s="12" t="s">
        <v>7329</v>
      </c>
      <c r="D936" s="85">
        <v>10241.11</v>
      </c>
      <c r="E936" s="6">
        <v>6875025</v>
      </c>
      <c r="F936" s="12" t="s">
        <v>7296</v>
      </c>
      <c r="G936" s="2" t="s">
        <v>755</v>
      </c>
      <c r="H936" s="12" t="s">
        <v>756</v>
      </c>
      <c r="I936" s="86">
        <v>45145</v>
      </c>
      <c r="J936" s="86">
        <v>46241</v>
      </c>
      <c r="K936" s="12" t="s">
        <v>288</v>
      </c>
      <c r="L936" s="12" t="s">
        <v>3774</v>
      </c>
    </row>
    <row r="937" spans="1:12">
      <c r="A937" s="12">
        <f t="shared" si="14"/>
        <v>935</v>
      </c>
      <c r="B937" s="12" t="s">
        <v>7330</v>
      </c>
      <c r="C937" s="12" t="s">
        <v>7331</v>
      </c>
      <c r="D937" s="85">
        <v>3619.23</v>
      </c>
      <c r="E937" s="6">
        <v>3327981</v>
      </c>
      <c r="F937" s="12" t="s">
        <v>7332</v>
      </c>
      <c r="G937" s="2" t="s">
        <v>755</v>
      </c>
      <c r="H937" s="12" t="s">
        <v>756</v>
      </c>
      <c r="I937" s="86">
        <v>45160</v>
      </c>
      <c r="J937" s="86">
        <v>46256</v>
      </c>
      <c r="K937" s="12" t="s">
        <v>170</v>
      </c>
      <c r="L937" s="12" t="s">
        <v>1023</v>
      </c>
    </row>
    <row r="938" spans="1:12">
      <c r="A938" s="12">
        <f t="shared" si="14"/>
        <v>936</v>
      </c>
      <c r="B938" s="12" t="s">
        <v>7333</v>
      </c>
      <c r="C938" s="12" t="s">
        <v>7334</v>
      </c>
      <c r="D938" s="85">
        <v>4357.01</v>
      </c>
      <c r="E938" s="6">
        <v>6451446</v>
      </c>
      <c r="F938" s="12" t="s">
        <v>7335</v>
      </c>
      <c r="G938" s="2" t="s">
        <v>755</v>
      </c>
      <c r="H938" s="12" t="s">
        <v>756</v>
      </c>
      <c r="I938" s="86">
        <v>45156</v>
      </c>
      <c r="J938" s="86">
        <v>46252</v>
      </c>
      <c r="K938" s="12" t="s">
        <v>163</v>
      </c>
      <c r="L938" s="12" t="s">
        <v>164</v>
      </c>
    </row>
    <row r="939" spans="1:12">
      <c r="A939" s="12">
        <f t="shared" si="14"/>
        <v>937</v>
      </c>
      <c r="B939" s="12" t="s">
        <v>7336</v>
      </c>
      <c r="C939" s="12" t="s">
        <v>7337</v>
      </c>
      <c r="D939" s="85">
        <v>11724.47</v>
      </c>
      <c r="E939" s="6">
        <v>8355738</v>
      </c>
      <c r="F939" s="12" t="s">
        <v>7284</v>
      </c>
      <c r="G939" s="2" t="s">
        <v>755</v>
      </c>
      <c r="H939" s="12" t="s">
        <v>756</v>
      </c>
      <c r="I939" s="86">
        <v>45156</v>
      </c>
      <c r="J939" s="86">
        <v>46252</v>
      </c>
      <c r="K939" s="12" t="s">
        <v>138</v>
      </c>
      <c r="L939" s="12" t="s">
        <v>7338</v>
      </c>
    </row>
    <row r="940" spans="1:12">
      <c r="A940" s="12">
        <f t="shared" si="14"/>
        <v>938</v>
      </c>
      <c r="B940" s="12" t="s">
        <v>7339</v>
      </c>
      <c r="C940" s="12" t="s">
        <v>7340</v>
      </c>
      <c r="D940" s="85">
        <v>13782.51</v>
      </c>
      <c r="E940" s="6">
        <v>6663931</v>
      </c>
      <c r="F940" s="12" t="s">
        <v>7341</v>
      </c>
      <c r="G940" s="2" t="s">
        <v>755</v>
      </c>
      <c r="H940" s="12" t="s">
        <v>756</v>
      </c>
      <c r="I940" s="86">
        <v>45167</v>
      </c>
      <c r="J940" s="86">
        <v>46263</v>
      </c>
      <c r="K940" s="12" t="s">
        <v>768</v>
      </c>
      <c r="L940" s="12" t="s">
        <v>7342</v>
      </c>
    </row>
    <row r="941" spans="1:12" ht="38.25">
      <c r="A941" s="12">
        <f t="shared" si="14"/>
        <v>939</v>
      </c>
      <c r="B941" s="12" t="s">
        <v>7343</v>
      </c>
      <c r="C941" s="12" t="s">
        <v>7344</v>
      </c>
      <c r="D941" s="85">
        <v>17497.57</v>
      </c>
      <c r="E941" s="6">
        <v>8365946</v>
      </c>
      <c r="F941" s="12" t="s">
        <v>6377</v>
      </c>
      <c r="G941" s="2" t="s">
        <v>848</v>
      </c>
      <c r="H941" s="12" t="s">
        <v>849</v>
      </c>
      <c r="I941" s="86">
        <v>45167</v>
      </c>
      <c r="J941" s="86">
        <v>46263</v>
      </c>
      <c r="K941" s="12" t="s">
        <v>138</v>
      </c>
      <c r="L941" s="12" t="s">
        <v>1806</v>
      </c>
    </row>
    <row r="942" spans="1:12">
      <c r="A942" s="12">
        <f t="shared" si="14"/>
        <v>940</v>
      </c>
      <c r="B942" s="12" t="s">
        <v>7345</v>
      </c>
      <c r="C942" s="12" t="s">
        <v>7346</v>
      </c>
      <c r="D942" s="85">
        <v>3661.08</v>
      </c>
      <c r="E942" s="6">
        <v>6299652</v>
      </c>
      <c r="F942" s="12" t="s">
        <v>7347</v>
      </c>
      <c r="G942" s="2" t="s">
        <v>755</v>
      </c>
      <c r="H942" s="12" t="s">
        <v>756</v>
      </c>
      <c r="I942" s="86">
        <v>45159</v>
      </c>
      <c r="J942" s="86">
        <v>46255</v>
      </c>
      <c r="K942" s="12" t="s">
        <v>768</v>
      </c>
      <c r="L942" s="12" t="s">
        <v>933</v>
      </c>
    </row>
    <row r="943" spans="1:12">
      <c r="A943" s="12">
        <f t="shared" si="14"/>
        <v>941</v>
      </c>
      <c r="B943" s="12" t="s">
        <v>7348</v>
      </c>
      <c r="C943" s="12" t="s">
        <v>1533</v>
      </c>
      <c r="D943" s="85">
        <v>13647.1</v>
      </c>
      <c r="E943" s="6">
        <v>6806597</v>
      </c>
      <c r="F943" s="12" t="s">
        <v>7349</v>
      </c>
      <c r="G943" s="2" t="s">
        <v>755</v>
      </c>
      <c r="H943" s="12" t="s">
        <v>756</v>
      </c>
      <c r="I943" s="86">
        <v>45156</v>
      </c>
      <c r="J943" s="86">
        <v>46252</v>
      </c>
      <c r="K943" s="12" t="s">
        <v>768</v>
      </c>
      <c r="L943" s="12" t="s">
        <v>933</v>
      </c>
    </row>
    <row r="944" spans="1:12">
      <c r="A944" s="12">
        <f t="shared" si="14"/>
        <v>942</v>
      </c>
      <c r="B944" s="12" t="s">
        <v>7350</v>
      </c>
      <c r="C944" s="12" t="s">
        <v>7351</v>
      </c>
      <c r="D944" s="85">
        <v>6603.38</v>
      </c>
      <c r="E944" s="6">
        <v>6033156</v>
      </c>
      <c r="F944" s="12" t="s">
        <v>7352</v>
      </c>
      <c r="G944" s="2" t="s">
        <v>755</v>
      </c>
      <c r="H944" s="12" t="s">
        <v>756</v>
      </c>
      <c r="I944" s="86">
        <v>45180</v>
      </c>
      <c r="J944" s="86">
        <v>46276</v>
      </c>
      <c r="K944" s="12" t="s">
        <v>1242</v>
      </c>
      <c r="L944" s="12" t="s">
        <v>7353</v>
      </c>
    </row>
    <row r="945" spans="1:12">
      <c r="A945" s="12">
        <f t="shared" si="14"/>
        <v>943</v>
      </c>
      <c r="B945" s="12" t="s">
        <v>7354</v>
      </c>
      <c r="C945" s="12" t="s">
        <v>3342</v>
      </c>
      <c r="D945" s="85">
        <v>5632</v>
      </c>
      <c r="E945" s="6">
        <v>5352827</v>
      </c>
      <c r="F945" s="12" t="s">
        <v>3281</v>
      </c>
      <c r="G945" s="2" t="s">
        <v>755</v>
      </c>
      <c r="H945" s="12" t="s">
        <v>756</v>
      </c>
      <c r="I945" s="86">
        <v>45145</v>
      </c>
      <c r="J945" s="86">
        <v>46241</v>
      </c>
      <c r="K945" s="12" t="s">
        <v>1242</v>
      </c>
      <c r="L945" s="12" t="s">
        <v>5384</v>
      </c>
    </row>
    <row r="946" spans="1:12">
      <c r="A946" s="12">
        <f t="shared" si="14"/>
        <v>944</v>
      </c>
      <c r="B946" s="12" t="s">
        <v>7355</v>
      </c>
      <c r="C946" s="12" t="s">
        <v>7356</v>
      </c>
      <c r="D946" s="85">
        <v>1777.27</v>
      </c>
      <c r="E946" s="6">
        <v>8400679</v>
      </c>
      <c r="F946" s="12" t="s">
        <v>7357</v>
      </c>
      <c r="G946" s="2" t="s">
        <v>755</v>
      </c>
      <c r="H946" s="12" t="s">
        <v>756</v>
      </c>
      <c r="I946" s="86">
        <v>45125</v>
      </c>
      <c r="J946" s="86">
        <v>46221</v>
      </c>
      <c r="K946" s="12" t="s">
        <v>123</v>
      </c>
      <c r="L946" s="12" t="s">
        <v>790</v>
      </c>
    </row>
    <row r="947" spans="1:12">
      <c r="A947" s="12">
        <f t="shared" si="14"/>
        <v>945</v>
      </c>
      <c r="B947" s="12" t="s">
        <v>7358</v>
      </c>
      <c r="C947" s="12" t="s">
        <v>7359</v>
      </c>
      <c r="D947" s="85">
        <v>32988.239999999998</v>
      </c>
      <c r="E947" s="6">
        <v>5253535</v>
      </c>
      <c r="F947" s="12" t="s">
        <v>6552</v>
      </c>
      <c r="G947" s="2" t="s">
        <v>755</v>
      </c>
      <c r="H947" s="12" t="s">
        <v>756</v>
      </c>
      <c r="I947" s="86">
        <v>45180</v>
      </c>
      <c r="J947" s="86">
        <v>46276</v>
      </c>
      <c r="K947" s="12" t="s">
        <v>123</v>
      </c>
      <c r="L947" s="12" t="s">
        <v>2201</v>
      </c>
    </row>
    <row r="948" spans="1:12">
      <c r="A948" s="12">
        <f t="shared" si="14"/>
        <v>946</v>
      </c>
      <c r="B948" s="12" t="s">
        <v>7360</v>
      </c>
      <c r="C948" s="12" t="s">
        <v>2192</v>
      </c>
      <c r="D948" s="85">
        <v>13408.58</v>
      </c>
      <c r="E948" s="6">
        <v>6708978</v>
      </c>
      <c r="F948" s="12" t="s">
        <v>7361</v>
      </c>
      <c r="G948" s="2" t="s">
        <v>755</v>
      </c>
      <c r="H948" s="12" t="s">
        <v>756</v>
      </c>
      <c r="I948" s="86">
        <v>45176</v>
      </c>
      <c r="J948" s="86">
        <v>46272</v>
      </c>
      <c r="K948" s="12" t="s">
        <v>138</v>
      </c>
      <c r="L948" s="12" t="s">
        <v>138</v>
      </c>
    </row>
    <row r="949" spans="1:12">
      <c r="A949" s="12">
        <f t="shared" si="14"/>
        <v>947</v>
      </c>
      <c r="B949" s="12" t="s">
        <v>7362</v>
      </c>
      <c r="C949" s="12" t="s">
        <v>1042</v>
      </c>
      <c r="D949" s="85">
        <v>8895.5499999999993</v>
      </c>
      <c r="E949" s="6">
        <v>5253535</v>
      </c>
      <c r="F949" s="12" t="s">
        <v>6552</v>
      </c>
      <c r="G949" s="2" t="s">
        <v>755</v>
      </c>
      <c r="H949" s="12" t="s">
        <v>756</v>
      </c>
      <c r="I949" s="86">
        <v>45180</v>
      </c>
      <c r="J949" s="86">
        <v>46276</v>
      </c>
      <c r="K949" s="12" t="s">
        <v>138</v>
      </c>
      <c r="L949" s="12" t="s">
        <v>1927</v>
      </c>
    </row>
    <row r="950" spans="1:12">
      <c r="A950" s="12">
        <f t="shared" si="14"/>
        <v>948</v>
      </c>
      <c r="B950" s="12" t="s">
        <v>7363</v>
      </c>
      <c r="C950" s="12" t="s">
        <v>7364</v>
      </c>
      <c r="D950" s="85">
        <v>13954.21</v>
      </c>
      <c r="E950" s="6">
        <v>5352827</v>
      </c>
      <c r="F950" s="12" t="s">
        <v>3281</v>
      </c>
      <c r="G950" s="2" t="s">
        <v>755</v>
      </c>
      <c r="H950" s="12" t="s">
        <v>756</v>
      </c>
      <c r="I950" s="86">
        <v>45180</v>
      </c>
      <c r="J950" s="86">
        <v>46276</v>
      </c>
      <c r="K950" s="12" t="s">
        <v>1242</v>
      </c>
      <c r="L950" s="12" t="s">
        <v>7365</v>
      </c>
    </row>
    <row r="951" spans="1:12">
      <c r="A951" s="12">
        <f t="shared" si="14"/>
        <v>949</v>
      </c>
      <c r="B951" s="12" t="s">
        <v>7366</v>
      </c>
      <c r="C951" s="12" t="s">
        <v>7367</v>
      </c>
      <c r="D951" s="85">
        <v>11544.57</v>
      </c>
      <c r="E951" s="6">
        <v>2871556</v>
      </c>
      <c r="F951" s="12" t="s">
        <v>7368</v>
      </c>
      <c r="G951" s="2" t="s">
        <v>755</v>
      </c>
      <c r="H951" s="12" t="s">
        <v>756</v>
      </c>
      <c r="I951" s="86">
        <v>45176</v>
      </c>
      <c r="J951" s="86">
        <v>46272</v>
      </c>
      <c r="K951" s="12" t="s">
        <v>123</v>
      </c>
      <c r="L951" s="12" t="s">
        <v>3411</v>
      </c>
    </row>
    <row r="952" spans="1:12">
      <c r="A952" s="12">
        <f t="shared" si="14"/>
        <v>950</v>
      </c>
      <c r="B952" s="12" t="s">
        <v>7369</v>
      </c>
      <c r="C952" s="12" t="s">
        <v>7370</v>
      </c>
      <c r="D952" s="85">
        <v>1077.29</v>
      </c>
      <c r="E952" s="6">
        <v>6271626</v>
      </c>
      <c r="F952" s="12" t="s">
        <v>7371</v>
      </c>
      <c r="G952" s="2" t="s">
        <v>755</v>
      </c>
      <c r="H952" s="12" t="s">
        <v>756</v>
      </c>
      <c r="I952" s="86">
        <v>45187</v>
      </c>
      <c r="J952" s="86">
        <v>46283</v>
      </c>
      <c r="K952" s="12" t="s">
        <v>274</v>
      </c>
      <c r="L952" s="12" t="s">
        <v>6563</v>
      </c>
    </row>
    <row r="953" spans="1:12">
      <c r="A953" s="12">
        <f t="shared" si="14"/>
        <v>951</v>
      </c>
      <c r="B953" s="12" t="s">
        <v>7372</v>
      </c>
      <c r="C953" s="12" t="s">
        <v>7373</v>
      </c>
      <c r="D953" s="85">
        <v>8096.84</v>
      </c>
      <c r="E953" s="6">
        <v>6927025</v>
      </c>
      <c r="F953" s="12" t="s">
        <v>7374</v>
      </c>
      <c r="G953" s="2" t="s">
        <v>755</v>
      </c>
      <c r="H953" s="12" t="s">
        <v>756</v>
      </c>
      <c r="I953" s="86">
        <v>45176</v>
      </c>
      <c r="J953" s="86">
        <v>46272</v>
      </c>
      <c r="K953" s="12" t="s">
        <v>288</v>
      </c>
      <c r="L953" s="12" t="s">
        <v>2697</v>
      </c>
    </row>
    <row r="954" spans="1:12">
      <c r="A954" s="12">
        <f t="shared" si="14"/>
        <v>952</v>
      </c>
      <c r="B954" s="12" t="s">
        <v>7375</v>
      </c>
      <c r="C954" s="12" t="s">
        <v>7376</v>
      </c>
      <c r="D954" s="85">
        <v>12471.98</v>
      </c>
      <c r="E954" s="6">
        <v>6927025</v>
      </c>
      <c r="F954" s="12" t="s">
        <v>7374</v>
      </c>
      <c r="G954" s="2" t="s">
        <v>755</v>
      </c>
      <c r="H954" s="12" t="s">
        <v>756</v>
      </c>
      <c r="I954" s="86">
        <v>45190</v>
      </c>
      <c r="J954" s="86">
        <v>46286</v>
      </c>
      <c r="K954" s="12" t="s">
        <v>288</v>
      </c>
      <c r="L954" s="12" t="s">
        <v>2697</v>
      </c>
    </row>
    <row r="955" spans="1:12">
      <c r="A955" s="12">
        <f t="shared" si="14"/>
        <v>953</v>
      </c>
      <c r="B955" s="12" t="s">
        <v>7377</v>
      </c>
      <c r="C955" s="12" t="s">
        <v>7378</v>
      </c>
      <c r="D955" s="85">
        <v>1426.25</v>
      </c>
      <c r="E955" s="6">
        <v>6131204</v>
      </c>
      <c r="F955" s="12" t="s">
        <v>7379</v>
      </c>
      <c r="G955" s="2" t="s">
        <v>755</v>
      </c>
      <c r="H955" s="12" t="s">
        <v>756</v>
      </c>
      <c r="I955" s="86">
        <v>45190</v>
      </c>
      <c r="J955" s="86">
        <v>46286</v>
      </c>
      <c r="K955" s="12" t="s">
        <v>304</v>
      </c>
      <c r="L955" s="12" t="s">
        <v>7380</v>
      </c>
    </row>
    <row r="956" spans="1:12">
      <c r="A956" s="12">
        <f t="shared" si="14"/>
        <v>954</v>
      </c>
      <c r="B956" s="12" t="s">
        <v>7381</v>
      </c>
      <c r="C956" s="12" t="s">
        <v>7382</v>
      </c>
      <c r="D956" s="85">
        <v>14210.82</v>
      </c>
      <c r="E956" s="6">
        <v>6033229</v>
      </c>
      <c r="F956" s="12" t="s">
        <v>7383</v>
      </c>
      <c r="G956" s="2" t="s">
        <v>755</v>
      </c>
      <c r="H956" s="12" t="s">
        <v>756</v>
      </c>
      <c r="I956" s="86">
        <v>45215</v>
      </c>
      <c r="J956" s="86">
        <v>46311</v>
      </c>
      <c r="K956" s="12" t="s">
        <v>1242</v>
      </c>
      <c r="L956" s="12" t="s">
        <v>1243</v>
      </c>
    </row>
    <row r="957" spans="1:12">
      <c r="A957" s="12">
        <f t="shared" si="14"/>
        <v>955</v>
      </c>
      <c r="B957" s="12" t="s">
        <v>7384</v>
      </c>
      <c r="C957" s="12" t="s">
        <v>2677</v>
      </c>
      <c r="D957" s="85">
        <v>25839.03</v>
      </c>
      <c r="E957" s="6">
        <v>5278309</v>
      </c>
      <c r="F957" s="12" t="s">
        <v>7385</v>
      </c>
      <c r="G957" s="2" t="s">
        <v>755</v>
      </c>
      <c r="H957" s="12" t="s">
        <v>756</v>
      </c>
      <c r="I957" s="86">
        <v>42135</v>
      </c>
      <c r="J957" s="86">
        <v>45460</v>
      </c>
      <c r="K957" s="12" t="s">
        <v>782</v>
      </c>
      <c r="L957" s="12" t="s">
        <v>7386</v>
      </c>
    </row>
    <row r="958" spans="1:12">
      <c r="A958" s="12">
        <f t="shared" si="14"/>
        <v>956</v>
      </c>
      <c r="B958" s="12" t="s">
        <v>7387</v>
      </c>
      <c r="C958" s="12" t="s">
        <v>7388</v>
      </c>
      <c r="D958" s="85">
        <v>12635.75</v>
      </c>
      <c r="E958" s="6">
        <v>5278309</v>
      </c>
      <c r="F958" s="12" t="s">
        <v>7385</v>
      </c>
      <c r="G958" s="2" t="s">
        <v>755</v>
      </c>
      <c r="H958" s="12" t="s">
        <v>756</v>
      </c>
      <c r="I958" s="86">
        <v>42135</v>
      </c>
      <c r="J958" s="86">
        <v>45460</v>
      </c>
      <c r="K958" s="12" t="s">
        <v>288</v>
      </c>
      <c r="L958" s="12" t="s">
        <v>7389</v>
      </c>
    </row>
    <row r="959" spans="1:12">
      <c r="A959" s="12">
        <f t="shared" si="14"/>
        <v>957</v>
      </c>
      <c r="B959" s="12" t="s">
        <v>7390</v>
      </c>
      <c r="C959" s="12" t="s">
        <v>5170</v>
      </c>
      <c r="D959" s="85">
        <v>5414.05</v>
      </c>
      <c r="E959" s="6">
        <v>6331475</v>
      </c>
      <c r="F959" s="12" t="s">
        <v>7391</v>
      </c>
      <c r="G959" s="2" t="s">
        <v>755</v>
      </c>
      <c r="H959" s="12" t="s">
        <v>756</v>
      </c>
      <c r="I959" s="86">
        <v>44347</v>
      </c>
      <c r="J959" s="86">
        <v>45443</v>
      </c>
      <c r="K959" s="12" t="s">
        <v>138</v>
      </c>
      <c r="L959" s="12" t="s">
        <v>1806</v>
      </c>
    </row>
    <row r="960" spans="1:12">
      <c r="A960" s="12">
        <f t="shared" si="14"/>
        <v>958</v>
      </c>
      <c r="B960" s="12" t="s">
        <v>7392</v>
      </c>
      <c r="C960" s="12" t="s">
        <v>2677</v>
      </c>
      <c r="D960" s="85">
        <v>4555.9799999999996</v>
      </c>
      <c r="E960" s="6">
        <v>6207359</v>
      </c>
      <c r="F960" s="12" t="s">
        <v>6685</v>
      </c>
      <c r="G960" s="2" t="s">
        <v>755</v>
      </c>
      <c r="H960" s="12" t="s">
        <v>756</v>
      </c>
      <c r="I960" s="86">
        <v>45246</v>
      </c>
      <c r="J960" s="86">
        <v>46342</v>
      </c>
      <c r="K960" s="12" t="s">
        <v>288</v>
      </c>
      <c r="L960" s="12" t="s">
        <v>2697</v>
      </c>
    </row>
    <row r="961" spans="1:12">
      <c r="A961" s="12">
        <f t="shared" si="14"/>
        <v>959</v>
      </c>
      <c r="B961" s="12" t="s">
        <v>7393</v>
      </c>
      <c r="C961" s="12" t="s">
        <v>7394</v>
      </c>
      <c r="D961" s="85">
        <v>7143.88</v>
      </c>
      <c r="E961" s="6">
        <v>8404453</v>
      </c>
      <c r="F961" s="12" t="s">
        <v>7395</v>
      </c>
      <c r="G961" s="2" t="s">
        <v>755</v>
      </c>
      <c r="H961" s="12" t="s">
        <v>756</v>
      </c>
      <c r="I961" s="86">
        <v>45232</v>
      </c>
      <c r="J961" s="86">
        <v>46328</v>
      </c>
      <c r="K961" s="12" t="s">
        <v>288</v>
      </c>
      <c r="L961" s="12" t="s">
        <v>7396</v>
      </c>
    </row>
    <row r="962" spans="1:12">
      <c r="A962" s="12">
        <f t="shared" si="14"/>
        <v>960</v>
      </c>
      <c r="B962" s="12" t="s">
        <v>7397</v>
      </c>
      <c r="C962" s="12" t="s">
        <v>1389</v>
      </c>
      <c r="D962" s="85">
        <v>1105.17</v>
      </c>
      <c r="E962" s="6">
        <v>8404445</v>
      </c>
      <c r="F962" s="12" t="s">
        <v>7398</v>
      </c>
      <c r="G962" s="2" t="s">
        <v>755</v>
      </c>
      <c r="H962" s="12" t="s">
        <v>756</v>
      </c>
      <c r="I962" s="86">
        <v>45230</v>
      </c>
      <c r="J962" s="86">
        <v>46326</v>
      </c>
      <c r="K962" s="12" t="s">
        <v>288</v>
      </c>
      <c r="L962" s="12" t="s">
        <v>7396</v>
      </c>
    </row>
    <row r="963" spans="1:12">
      <c r="A963" s="12">
        <f t="shared" si="14"/>
        <v>961</v>
      </c>
      <c r="B963" s="12" t="s">
        <v>7399</v>
      </c>
      <c r="C963" s="12" t="s">
        <v>7400</v>
      </c>
      <c r="D963" s="85">
        <v>559.97</v>
      </c>
      <c r="E963" s="6">
        <v>5739837</v>
      </c>
      <c r="F963" s="12" t="s">
        <v>7401</v>
      </c>
      <c r="G963" s="2" t="s">
        <v>755</v>
      </c>
      <c r="H963" s="12" t="s">
        <v>756</v>
      </c>
      <c r="I963" s="86">
        <v>45215</v>
      </c>
      <c r="J963" s="86">
        <v>46311</v>
      </c>
      <c r="K963" s="12" t="s">
        <v>293</v>
      </c>
      <c r="L963" s="12" t="s">
        <v>4201</v>
      </c>
    </row>
    <row r="964" spans="1:12">
      <c r="A964" s="12">
        <f t="shared" si="14"/>
        <v>962</v>
      </c>
      <c r="B964" s="12" t="s">
        <v>7402</v>
      </c>
      <c r="C964" s="12" t="s">
        <v>7403</v>
      </c>
      <c r="D964" s="85">
        <v>1505.57</v>
      </c>
      <c r="E964" s="6">
        <v>5810086</v>
      </c>
      <c r="F964" s="12" t="s">
        <v>7404</v>
      </c>
      <c r="G964" s="2" t="s">
        <v>755</v>
      </c>
      <c r="H964" s="12" t="s">
        <v>756</v>
      </c>
      <c r="I964" s="86">
        <v>45230</v>
      </c>
      <c r="J964" s="86">
        <v>46326</v>
      </c>
      <c r="K964" s="12" t="s">
        <v>288</v>
      </c>
      <c r="L964" s="12" t="s">
        <v>5433</v>
      </c>
    </row>
    <row r="965" spans="1:12">
      <c r="A965" s="12">
        <f t="shared" ref="A965:A1007" si="15">A964+1</f>
        <v>963</v>
      </c>
      <c r="B965" s="12" t="s">
        <v>7405</v>
      </c>
      <c r="C965" s="12" t="s">
        <v>5998</v>
      </c>
      <c r="D965" s="85">
        <v>7712.72</v>
      </c>
      <c r="E965" s="6">
        <v>5739837</v>
      </c>
      <c r="F965" s="12" t="s">
        <v>7401</v>
      </c>
      <c r="G965" s="2" t="s">
        <v>755</v>
      </c>
      <c r="H965" s="12" t="s">
        <v>756</v>
      </c>
      <c r="I965" s="86">
        <v>45215</v>
      </c>
      <c r="J965" s="86">
        <v>46311</v>
      </c>
      <c r="K965" s="12" t="s">
        <v>293</v>
      </c>
      <c r="L965" s="12" t="s">
        <v>7406</v>
      </c>
    </row>
    <row r="966" spans="1:12">
      <c r="A966" s="12">
        <f t="shared" si="15"/>
        <v>964</v>
      </c>
      <c r="B966" s="12" t="s">
        <v>7407</v>
      </c>
      <c r="C966" s="12" t="s">
        <v>7408</v>
      </c>
      <c r="D966" s="85">
        <v>8777.1</v>
      </c>
      <c r="E966" s="6">
        <v>8405883</v>
      </c>
      <c r="F966" s="12" t="s">
        <v>7409</v>
      </c>
      <c r="G966" s="2" t="s">
        <v>755</v>
      </c>
      <c r="H966" s="12" t="s">
        <v>756</v>
      </c>
      <c r="I966" s="86">
        <v>45230</v>
      </c>
      <c r="J966" s="86">
        <v>46326</v>
      </c>
      <c r="K966" s="12" t="s">
        <v>836</v>
      </c>
      <c r="L966" s="12" t="s">
        <v>305</v>
      </c>
    </row>
    <row r="967" spans="1:12">
      <c r="A967" s="12">
        <f t="shared" si="15"/>
        <v>965</v>
      </c>
      <c r="B967" s="12" t="s">
        <v>7410</v>
      </c>
      <c r="C967" s="12" t="s">
        <v>7411</v>
      </c>
      <c r="D967" s="85">
        <v>4844.1099999999997</v>
      </c>
      <c r="E967" s="6">
        <v>5810086</v>
      </c>
      <c r="F967" s="12" t="s">
        <v>7404</v>
      </c>
      <c r="G967" s="2" t="s">
        <v>755</v>
      </c>
      <c r="H967" s="12" t="s">
        <v>756</v>
      </c>
      <c r="I967" s="86">
        <v>45215</v>
      </c>
      <c r="J967" s="86">
        <v>46311</v>
      </c>
      <c r="K967" s="12" t="s">
        <v>288</v>
      </c>
      <c r="L967" s="12" t="s">
        <v>902</v>
      </c>
    </row>
    <row r="968" spans="1:12">
      <c r="A968" s="12">
        <f t="shared" si="15"/>
        <v>966</v>
      </c>
      <c r="B968" s="12" t="s">
        <v>7412</v>
      </c>
      <c r="C968" s="12" t="s">
        <v>7413</v>
      </c>
      <c r="D968" s="85">
        <v>1752.44</v>
      </c>
      <c r="E968" s="6">
        <v>6470556</v>
      </c>
      <c r="F968" s="12" t="s">
        <v>5159</v>
      </c>
      <c r="G968" s="2" t="s">
        <v>755</v>
      </c>
      <c r="H968" s="12" t="s">
        <v>756</v>
      </c>
      <c r="I968" s="86">
        <v>45230</v>
      </c>
      <c r="J968" s="86">
        <v>46326</v>
      </c>
      <c r="K968" s="12" t="s">
        <v>782</v>
      </c>
      <c r="L968" s="12" t="s">
        <v>2889</v>
      </c>
    </row>
    <row r="969" spans="1:12">
      <c r="A969" s="12">
        <f t="shared" si="15"/>
        <v>967</v>
      </c>
      <c r="B969" s="12" t="s">
        <v>7414</v>
      </c>
      <c r="C969" s="12" t="s">
        <v>7415</v>
      </c>
      <c r="D969" s="85">
        <v>20197.97</v>
      </c>
      <c r="E969" s="6">
        <v>6131204</v>
      </c>
      <c r="F969" s="12" t="s">
        <v>7379</v>
      </c>
      <c r="G969" s="2" t="s">
        <v>755</v>
      </c>
      <c r="H969" s="12" t="s">
        <v>756</v>
      </c>
      <c r="I969" s="86">
        <v>45230</v>
      </c>
      <c r="J969" s="86">
        <v>46326</v>
      </c>
      <c r="K969" s="12" t="s">
        <v>768</v>
      </c>
      <c r="L969" s="12" t="s">
        <v>4690</v>
      </c>
    </row>
    <row r="970" spans="1:12" ht="38.25">
      <c r="A970" s="12">
        <f t="shared" si="15"/>
        <v>968</v>
      </c>
      <c r="B970" s="12" t="s">
        <v>7416</v>
      </c>
      <c r="C970" s="12" t="s">
        <v>7145</v>
      </c>
      <c r="D970" s="85">
        <v>1814.82</v>
      </c>
      <c r="E970" s="6">
        <v>5101492</v>
      </c>
      <c r="F970" s="12" t="s">
        <v>7417</v>
      </c>
      <c r="G970" s="2" t="s">
        <v>848</v>
      </c>
      <c r="H970" s="12" t="s">
        <v>849</v>
      </c>
      <c r="I970" s="86">
        <v>45204</v>
      </c>
      <c r="J970" s="86">
        <v>46300</v>
      </c>
      <c r="K970" s="12" t="s">
        <v>375</v>
      </c>
      <c r="L970" s="12" t="s">
        <v>1892</v>
      </c>
    </row>
    <row r="971" spans="1:12">
      <c r="A971" s="12">
        <f t="shared" si="15"/>
        <v>969</v>
      </c>
      <c r="B971" s="12" t="s">
        <v>7418</v>
      </c>
      <c r="C971" s="12" t="s">
        <v>7419</v>
      </c>
      <c r="D971" s="85">
        <v>5841.07</v>
      </c>
      <c r="E971" s="6">
        <v>8332517</v>
      </c>
      <c r="F971" s="12" t="s">
        <v>7420</v>
      </c>
      <c r="G971" s="2" t="s">
        <v>755</v>
      </c>
      <c r="H971" s="12" t="s">
        <v>756</v>
      </c>
      <c r="I971" s="86">
        <v>45231</v>
      </c>
      <c r="J971" s="86">
        <v>46327</v>
      </c>
      <c r="K971" s="12" t="s">
        <v>170</v>
      </c>
      <c r="L971" s="12" t="s">
        <v>2450</v>
      </c>
    </row>
    <row r="972" spans="1:12">
      <c r="A972" s="12">
        <f t="shared" si="15"/>
        <v>970</v>
      </c>
      <c r="B972" s="12" t="s">
        <v>7421</v>
      </c>
      <c r="C972" s="12" t="s">
        <v>2382</v>
      </c>
      <c r="D972" s="85">
        <v>6922.62</v>
      </c>
      <c r="E972" s="6">
        <v>5364051</v>
      </c>
      <c r="F972" s="12" t="s">
        <v>7422</v>
      </c>
      <c r="G972" s="2" t="s">
        <v>755</v>
      </c>
      <c r="H972" s="12" t="s">
        <v>756</v>
      </c>
      <c r="I972" s="86">
        <v>45230</v>
      </c>
      <c r="J972" s="86">
        <v>46326</v>
      </c>
      <c r="K972" s="12" t="s">
        <v>138</v>
      </c>
      <c r="L972" s="12" t="s">
        <v>1806</v>
      </c>
    </row>
    <row r="973" spans="1:12">
      <c r="A973" s="12">
        <f t="shared" si="15"/>
        <v>971</v>
      </c>
      <c r="B973" s="12" t="s">
        <v>7423</v>
      </c>
      <c r="C973" s="12" t="s">
        <v>7424</v>
      </c>
      <c r="D973" s="85">
        <v>7105.99</v>
      </c>
      <c r="E973" s="6">
        <v>6114504</v>
      </c>
      <c r="F973" s="12" t="s">
        <v>7425</v>
      </c>
      <c r="G973" s="2" t="s">
        <v>755</v>
      </c>
      <c r="H973" s="12" t="s">
        <v>756</v>
      </c>
      <c r="I973" s="86">
        <v>45238</v>
      </c>
      <c r="J973" s="86">
        <v>46334</v>
      </c>
      <c r="K973" s="12" t="s">
        <v>375</v>
      </c>
      <c r="L973" s="12" t="s">
        <v>7122</v>
      </c>
    </row>
    <row r="974" spans="1:12">
      <c r="A974" s="12">
        <f t="shared" si="15"/>
        <v>972</v>
      </c>
      <c r="B974" s="12" t="s">
        <v>7426</v>
      </c>
      <c r="C974" s="12" t="s">
        <v>7427</v>
      </c>
      <c r="D974" s="85">
        <v>2221.2800000000002</v>
      </c>
      <c r="E974" s="6">
        <v>6835236</v>
      </c>
      <c r="F974" s="12" t="s">
        <v>7428</v>
      </c>
      <c r="G974" s="2" t="s">
        <v>755</v>
      </c>
      <c r="H974" s="12" t="s">
        <v>756</v>
      </c>
      <c r="I974" s="86">
        <v>45238</v>
      </c>
      <c r="J974" s="86">
        <v>46334</v>
      </c>
      <c r="K974" s="12" t="s">
        <v>163</v>
      </c>
      <c r="L974" s="12" t="s">
        <v>1417</v>
      </c>
    </row>
    <row r="975" spans="1:12">
      <c r="A975" s="12">
        <f t="shared" si="15"/>
        <v>973</v>
      </c>
      <c r="B975" s="12" t="s">
        <v>7429</v>
      </c>
      <c r="C975" s="12" t="s">
        <v>7430</v>
      </c>
      <c r="D975" s="85">
        <v>1098.48</v>
      </c>
      <c r="E975" s="6">
        <v>5364051</v>
      </c>
      <c r="F975" s="12" t="s">
        <v>7422</v>
      </c>
      <c r="G975" s="2" t="s">
        <v>755</v>
      </c>
      <c r="H975" s="12" t="s">
        <v>756</v>
      </c>
      <c r="I975" s="86">
        <v>45230</v>
      </c>
      <c r="J975" s="86">
        <v>46326</v>
      </c>
      <c r="K975" s="12" t="s">
        <v>138</v>
      </c>
      <c r="L975" s="12" t="s">
        <v>1806</v>
      </c>
    </row>
    <row r="976" spans="1:12">
      <c r="A976" s="12">
        <f t="shared" si="15"/>
        <v>974</v>
      </c>
      <c r="B976" s="12" t="s">
        <v>7431</v>
      </c>
      <c r="C976" s="12" t="s">
        <v>7432</v>
      </c>
      <c r="D976" s="85">
        <v>3746.06</v>
      </c>
      <c r="E976" s="6">
        <v>6423922</v>
      </c>
      <c r="F976" s="12" t="s">
        <v>4975</v>
      </c>
      <c r="G976" s="2" t="s">
        <v>755</v>
      </c>
      <c r="H976" s="12" t="s">
        <v>756</v>
      </c>
      <c r="I976" s="86">
        <v>45238</v>
      </c>
      <c r="J976" s="86">
        <v>46334</v>
      </c>
      <c r="K976" s="12" t="s">
        <v>1102</v>
      </c>
      <c r="L976" s="12" t="s">
        <v>5589</v>
      </c>
    </row>
    <row r="977" spans="1:12" ht="38.25">
      <c r="A977" s="12">
        <f t="shared" si="15"/>
        <v>975</v>
      </c>
      <c r="B977" s="12" t="s">
        <v>7433</v>
      </c>
      <c r="C977" s="12" t="s">
        <v>7434</v>
      </c>
      <c r="D977" s="85">
        <v>23544.46</v>
      </c>
      <c r="E977" s="6">
        <v>5026016</v>
      </c>
      <c r="F977" s="12" t="s">
        <v>7435</v>
      </c>
      <c r="G977" s="2" t="s">
        <v>848</v>
      </c>
      <c r="H977" s="12" t="s">
        <v>849</v>
      </c>
      <c r="I977" s="86">
        <v>45231</v>
      </c>
      <c r="J977" s="86">
        <v>46327</v>
      </c>
      <c r="K977" s="12" t="s">
        <v>123</v>
      </c>
      <c r="L977" s="12" t="s">
        <v>6783</v>
      </c>
    </row>
    <row r="978" spans="1:12">
      <c r="A978" s="12">
        <f t="shared" si="15"/>
        <v>976</v>
      </c>
      <c r="B978" s="12" t="s">
        <v>7436</v>
      </c>
      <c r="C978" s="12" t="s">
        <v>7437</v>
      </c>
      <c r="D978" s="85">
        <v>8502.92</v>
      </c>
      <c r="E978" s="6">
        <v>5118344</v>
      </c>
      <c r="F978" s="12" t="s">
        <v>6722</v>
      </c>
      <c r="G978" s="2" t="s">
        <v>755</v>
      </c>
      <c r="H978" s="12" t="s">
        <v>756</v>
      </c>
      <c r="I978" s="86">
        <v>45230</v>
      </c>
      <c r="J978" s="86">
        <v>46326</v>
      </c>
      <c r="K978" s="12" t="s">
        <v>288</v>
      </c>
      <c r="L978" s="12" t="s">
        <v>1038</v>
      </c>
    </row>
    <row r="979" spans="1:12">
      <c r="A979" s="12">
        <f t="shared" si="15"/>
        <v>977</v>
      </c>
      <c r="B979" s="12" t="s">
        <v>7438</v>
      </c>
      <c r="C979" s="12" t="s">
        <v>7439</v>
      </c>
      <c r="D979" s="85">
        <v>7123.43</v>
      </c>
      <c r="E979" s="6">
        <v>5810086</v>
      </c>
      <c r="F979" s="12" t="s">
        <v>7404</v>
      </c>
      <c r="G979" s="2" t="s">
        <v>755</v>
      </c>
      <c r="H979" s="12" t="s">
        <v>756</v>
      </c>
      <c r="I979" s="86">
        <v>45230</v>
      </c>
      <c r="J979" s="86">
        <v>46326</v>
      </c>
      <c r="K979" s="12" t="s">
        <v>288</v>
      </c>
      <c r="L979" s="12" t="s">
        <v>902</v>
      </c>
    </row>
    <row r="980" spans="1:12">
      <c r="A980" s="12">
        <f t="shared" si="15"/>
        <v>978</v>
      </c>
      <c r="B980" s="12" t="s">
        <v>7440</v>
      </c>
      <c r="C980" s="12" t="s">
        <v>7441</v>
      </c>
      <c r="D980" s="85">
        <v>22952.83</v>
      </c>
      <c r="E980" s="6">
        <v>8381216</v>
      </c>
      <c r="F980" s="12" t="s">
        <v>7442</v>
      </c>
      <c r="G980" s="2" t="s">
        <v>755</v>
      </c>
      <c r="H980" s="12" t="s">
        <v>756</v>
      </c>
      <c r="I980" s="86">
        <v>45238</v>
      </c>
      <c r="J980" s="86">
        <v>46334</v>
      </c>
      <c r="K980" s="12" t="s">
        <v>1014</v>
      </c>
      <c r="L980" s="12" t="s">
        <v>3357</v>
      </c>
    </row>
    <row r="981" spans="1:12">
      <c r="A981" s="12">
        <f t="shared" si="15"/>
        <v>979</v>
      </c>
      <c r="B981" s="12" t="s">
        <v>7443</v>
      </c>
      <c r="C981" s="12" t="s">
        <v>7444</v>
      </c>
      <c r="D981" s="85">
        <v>2858.79</v>
      </c>
      <c r="E981" s="6">
        <v>8381216</v>
      </c>
      <c r="F981" s="12" t="s">
        <v>7442</v>
      </c>
      <c r="G981" s="2" t="s">
        <v>755</v>
      </c>
      <c r="H981" s="12" t="s">
        <v>756</v>
      </c>
      <c r="I981" s="86">
        <v>45238</v>
      </c>
      <c r="J981" s="86">
        <v>46334</v>
      </c>
      <c r="K981" s="12" t="s">
        <v>1014</v>
      </c>
      <c r="L981" s="12" t="s">
        <v>3357</v>
      </c>
    </row>
    <row r="982" spans="1:12">
      <c r="A982" s="12">
        <f t="shared" si="15"/>
        <v>980</v>
      </c>
      <c r="B982" s="12" t="s">
        <v>7445</v>
      </c>
      <c r="C982" s="12" t="s">
        <v>7446</v>
      </c>
      <c r="D982" s="85">
        <v>6982.66</v>
      </c>
      <c r="E982" s="6">
        <v>5287707</v>
      </c>
      <c r="F982" s="12" t="s">
        <v>7447</v>
      </c>
      <c r="G982" s="2" t="s">
        <v>755</v>
      </c>
      <c r="H982" s="12" t="s">
        <v>756</v>
      </c>
      <c r="I982" s="86">
        <v>45230</v>
      </c>
      <c r="J982" s="86">
        <v>46326</v>
      </c>
      <c r="K982" s="12" t="s">
        <v>768</v>
      </c>
      <c r="L982" s="12" t="s">
        <v>3235</v>
      </c>
    </row>
    <row r="983" spans="1:12">
      <c r="A983" s="12">
        <f t="shared" si="15"/>
        <v>981</v>
      </c>
      <c r="B983" s="12" t="s">
        <v>7448</v>
      </c>
      <c r="C983" s="12" t="s">
        <v>7449</v>
      </c>
      <c r="D983" s="85">
        <v>7793.97</v>
      </c>
      <c r="E983" s="6">
        <v>6782302</v>
      </c>
      <c r="F983" s="12" t="s">
        <v>7450</v>
      </c>
      <c r="G983" s="2" t="s">
        <v>755</v>
      </c>
      <c r="H983" s="12" t="s">
        <v>756</v>
      </c>
      <c r="I983" s="86">
        <v>45230</v>
      </c>
      <c r="J983" s="86">
        <v>46326</v>
      </c>
      <c r="K983" s="12" t="s">
        <v>375</v>
      </c>
      <c r="L983" s="12" t="s">
        <v>893</v>
      </c>
    </row>
    <row r="984" spans="1:12">
      <c r="A984" s="12">
        <f t="shared" si="15"/>
        <v>982</v>
      </c>
      <c r="B984" s="12" t="s">
        <v>7451</v>
      </c>
      <c r="C984" s="12" t="s">
        <v>7452</v>
      </c>
      <c r="D984" s="85">
        <v>1111.47</v>
      </c>
      <c r="E984" s="6">
        <v>8332614</v>
      </c>
      <c r="F984" s="12" t="s">
        <v>7453</v>
      </c>
      <c r="G984" s="2" t="s">
        <v>755</v>
      </c>
      <c r="H984" s="12" t="s">
        <v>756</v>
      </c>
      <c r="I984" s="86">
        <v>45258</v>
      </c>
      <c r="J984" s="86">
        <v>46354</v>
      </c>
      <c r="K984" s="12" t="s">
        <v>170</v>
      </c>
      <c r="L984" s="12" t="s">
        <v>205</v>
      </c>
    </row>
    <row r="985" spans="1:12">
      <c r="A985" s="12">
        <f t="shared" si="15"/>
        <v>983</v>
      </c>
      <c r="B985" s="12" t="s">
        <v>7454</v>
      </c>
      <c r="C985" s="12" t="s">
        <v>1514</v>
      </c>
      <c r="D985" s="85">
        <v>2948.06</v>
      </c>
      <c r="E985" s="6">
        <v>6065287</v>
      </c>
      <c r="F985" s="12" t="s">
        <v>7455</v>
      </c>
      <c r="G985" s="2" t="s">
        <v>755</v>
      </c>
      <c r="H985" s="12" t="s">
        <v>756</v>
      </c>
      <c r="I985" s="86">
        <v>45274</v>
      </c>
      <c r="J985" s="86">
        <v>46370</v>
      </c>
      <c r="K985" s="12" t="s">
        <v>170</v>
      </c>
      <c r="L985" s="12" t="s">
        <v>205</v>
      </c>
    </row>
    <row r="986" spans="1:12">
      <c r="A986" s="12">
        <f t="shared" si="15"/>
        <v>984</v>
      </c>
      <c r="B986" s="12" t="s">
        <v>7456</v>
      </c>
      <c r="C986" s="12" t="s">
        <v>7457</v>
      </c>
      <c r="D986" s="85">
        <v>2611.2600000000002</v>
      </c>
      <c r="E986" s="6">
        <v>3623068</v>
      </c>
      <c r="F986" s="12" t="s">
        <v>7273</v>
      </c>
      <c r="G986" s="2" t="s">
        <v>755</v>
      </c>
      <c r="H986" s="12" t="s">
        <v>756</v>
      </c>
      <c r="I986" s="86">
        <v>45258</v>
      </c>
      <c r="J986" s="86">
        <v>46354</v>
      </c>
      <c r="K986" s="12" t="s">
        <v>163</v>
      </c>
      <c r="L986" s="12" t="s">
        <v>5447</v>
      </c>
    </row>
    <row r="987" spans="1:12">
      <c r="A987" s="12">
        <f t="shared" si="15"/>
        <v>985</v>
      </c>
      <c r="B987" s="12" t="s">
        <v>7458</v>
      </c>
      <c r="C987" s="12" t="s">
        <v>7459</v>
      </c>
      <c r="D987" s="85">
        <v>5607.16</v>
      </c>
      <c r="E987" s="6">
        <v>6718612</v>
      </c>
      <c r="F987" s="12" t="s">
        <v>7460</v>
      </c>
      <c r="G987" s="2" t="s">
        <v>755</v>
      </c>
      <c r="H987" s="12" t="s">
        <v>756</v>
      </c>
      <c r="I987" s="86">
        <v>45271</v>
      </c>
      <c r="J987" s="86">
        <v>46367</v>
      </c>
      <c r="K987" s="12" t="s">
        <v>138</v>
      </c>
      <c r="L987" s="12" t="s">
        <v>1806</v>
      </c>
    </row>
    <row r="988" spans="1:12">
      <c r="A988" s="12">
        <f t="shared" si="15"/>
        <v>986</v>
      </c>
      <c r="B988" s="12" t="s">
        <v>7461</v>
      </c>
      <c r="C988" s="12" t="s">
        <v>7462</v>
      </c>
      <c r="D988" s="85">
        <v>10449.129999999999</v>
      </c>
      <c r="E988" s="6">
        <v>8377553</v>
      </c>
      <c r="F988" s="12" t="s">
        <v>7463</v>
      </c>
      <c r="G988" s="2" t="s">
        <v>755</v>
      </c>
      <c r="H988" s="12" t="s">
        <v>756</v>
      </c>
      <c r="I988" s="86">
        <v>45274</v>
      </c>
      <c r="J988" s="86">
        <v>46370</v>
      </c>
      <c r="K988" s="12" t="s">
        <v>163</v>
      </c>
      <c r="L988" s="12" t="s">
        <v>6813</v>
      </c>
    </row>
    <row r="989" spans="1:12">
      <c r="A989" s="12">
        <f t="shared" si="15"/>
        <v>987</v>
      </c>
      <c r="B989" s="12" t="s">
        <v>7464</v>
      </c>
      <c r="C989" s="12" t="s">
        <v>2732</v>
      </c>
      <c r="D989" s="85">
        <v>9087.41</v>
      </c>
      <c r="E989" s="6">
        <v>5529123</v>
      </c>
      <c r="F989" s="12" t="s">
        <v>5811</v>
      </c>
      <c r="G989" s="2" t="s">
        <v>755</v>
      </c>
      <c r="H989" s="12" t="s">
        <v>756</v>
      </c>
      <c r="I989" s="86">
        <v>45264</v>
      </c>
      <c r="J989" s="86">
        <v>46360</v>
      </c>
      <c r="K989" s="12" t="s">
        <v>163</v>
      </c>
      <c r="L989" s="12" t="s">
        <v>6813</v>
      </c>
    </row>
    <row r="990" spans="1:12">
      <c r="A990" s="12">
        <f t="shared" si="15"/>
        <v>988</v>
      </c>
      <c r="B990" s="12" t="s">
        <v>7465</v>
      </c>
      <c r="C990" s="12" t="s">
        <v>7466</v>
      </c>
      <c r="D990" s="85">
        <v>6285.15</v>
      </c>
      <c r="E990" s="6">
        <v>6065287</v>
      </c>
      <c r="F990" s="12" t="s">
        <v>7455</v>
      </c>
      <c r="G990" s="2" t="s">
        <v>755</v>
      </c>
      <c r="H990" s="12" t="s">
        <v>756</v>
      </c>
      <c r="I990" s="86">
        <v>45274</v>
      </c>
      <c r="J990" s="86">
        <v>46370</v>
      </c>
      <c r="K990" s="12" t="s">
        <v>163</v>
      </c>
      <c r="L990" s="12" t="s">
        <v>2891</v>
      </c>
    </row>
    <row r="991" spans="1:12">
      <c r="A991" s="12">
        <f t="shared" si="15"/>
        <v>989</v>
      </c>
      <c r="B991" s="12" t="s">
        <v>7467</v>
      </c>
      <c r="C991" s="12" t="s">
        <v>7468</v>
      </c>
      <c r="D991" s="85">
        <v>714.25</v>
      </c>
      <c r="E991" s="6">
        <v>8374066</v>
      </c>
      <c r="F991" s="12" t="s">
        <v>7469</v>
      </c>
      <c r="G991" s="2" t="s">
        <v>755</v>
      </c>
      <c r="H991" s="12" t="s">
        <v>756</v>
      </c>
      <c r="I991" s="86">
        <v>45274</v>
      </c>
      <c r="J991" s="86">
        <v>46370</v>
      </c>
      <c r="K991" s="12" t="s">
        <v>768</v>
      </c>
      <c r="L991" s="12" t="s">
        <v>1042</v>
      </c>
    </row>
    <row r="992" spans="1:12">
      <c r="A992" s="12">
        <f t="shared" si="15"/>
        <v>990</v>
      </c>
      <c r="B992" s="12" t="s">
        <v>7470</v>
      </c>
      <c r="C992" s="12" t="s">
        <v>7471</v>
      </c>
      <c r="D992" s="85">
        <v>6427.61</v>
      </c>
      <c r="E992" s="6">
        <v>8381216</v>
      </c>
      <c r="F992" s="12" t="s">
        <v>7442</v>
      </c>
      <c r="G992" s="2" t="s">
        <v>755</v>
      </c>
      <c r="H992" s="12" t="s">
        <v>756</v>
      </c>
      <c r="I992" s="86">
        <v>45258</v>
      </c>
      <c r="J992" s="86">
        <v>46354</v>
      </c>
      <c r="K992" s="12" t="s">
        <v>1014</v>
      </c>
      <c r="L992" s="12" t="s">
        <v>1023</v>
      </c>
    </row>
    <row r="993" spans="1:12">
      <c r="A993" s="12">
        <f t="shared" si="15"/>
        <v>991</v>
      </c>
      <c r="B993" s="12" t="s">
        <v>7472</v>
      </c>
      <c r="C993" s="12" t="s">
        <v>7473</v>
      </c>
      <c r="D993" s="85">
        <v>3322.34</v>
      </c>
      <c r="E993" s="6">
        <v>5287707</v>
      </c>
      <c r="F993" s="12" t="s">
        <v>7447</v>
      </c>
      <c r="G993" s="2" t="s">
        <v>755</v>
      </c>
      <c r="H993" s="12" t="s">
        <v>756</v>
      </c>
      <c r="I993" s="86">
        <v>45272</v>
      </c>
      <c r="J993" s="86">
        <v>46368</v>
      </c>
      <c r="K993" s="12" t="s">
        <v>138</v>
      </c>
      <c r="L993" s="12" t="s">
        <v>1806</v>
      </c>
    </row>
    <row r="994" spans="1:12">
      <c r="A994" s="12">
        <f t="shared" si="15"/>
        <v>992</v>
      </c>
      <c r="B994" s="12" t="s">
        <v>7474</v>
      </c>
      <c r="C994" s="12" t="s">
        <v>7475</v>
      </c>
      <c r="D994" s="85">
        <v>5153.62</v>
      </c>
      <c r="E994" s="6">
        <v>6718612</v>
      </c>
      <c r="F994" s="12" t="s">
        <v>7460</v>
      </c>
      <c r="G994" s="2" t="s">
        <v>755</v>
      </c>
      <c r="H994" s="12" t="s">
        <v>756</v>
      </c>
      <c r="I994" s="86">
        <v>45271</v>
      </c>
      <c r="J994" s="86">
        <v>46367</v>
      </c>
      <c r="K994" s="12" t="s">
        <v>138</v>
      </c>
      <c r="L994" s="12" t="s">
        <v>1806</v>
      </c>
    </row>
    <row r="995" spans="1:12">
      <c r="A995" s="12">
        <f t="shared" si="15"/>
        <v>993</v>
      </c>
      <c r="B995" s="12" t="s">
        <v>7476</v>
      </c>
      <c r="C995" s="12" t="s">
        <v>7477</v>
      </c>
      <c r="D995" s="85">
        <v>69.12</v>
      </c>
      <c r="E995" s="6">
        <v>6718612</v>
      </c>
      <c r="F995" s="12" t="s">
        <v>7460</v>
      </c>
      <c r="G995" s="2" t="s">
        <v>755</v>
      </c>
      <c r="H995" s="12" t="s">
        <v>756</v>
      </c>
      <c r="I995" s="86">
        <v>45271</v>
      </c>
      <c r="J995" s="86">
        <v>46367</v>
      </c>
      <c r="K995" s="12" t="s">
        <v>1014</v>
      </c>
      <c r="L995" s="12" t="s">
        <v>1699</v>
      </c>
    </row>
    <row r="996" spans="1:12">
      <c r="A996" s="12">
        <f t="shared" si="15"/>
        <v>994</v>
      </c>
      <c r="B996" s="12" t="s">
        <v>7478</v>
      </c>
      <c r="C996" s="12" t="s">
        <v>7479</v>
      </c>
      <c r="D996" s="85">
        <v>10215.64</v>
      </c>
      <c r="E996" s="6">
        <v>8381216</v>
      </c>
      <c r="F996" s="12" t="s">
        <v>7442</v>
      </c>
      <c r="G996" s="2" t="s">
        <v>755</v>
      </c>
      <c r="H996" s="12" t="s">
        <v>756</v>
      </c>
      <c r="I996" s="86">
        <v>45258</v>
      </c>
      <c r="J996" s="86">
        <v>46354</v>
      </c>
      <c r="K996" s="12" t="s">
        <v>163</v>
      </c>
      <c r="L996" s="12" t="s">
        <v>2891</v>
      </c>
    </row>
    <row r="997" spans="1:12">
      <c r="A997" s="12">
        <f t="shared" si="15"/>
        <v>995</v>
      </c>
      <c r="B997" s="12" t="s">
        <v>7480</v>
      </c>
      <c r="C997" s="12" t="s">
        <v>3580</v>
      </c>
      <c r="D997" s="85">
        <v>3590.65</v>
      </c>
      <c r="E997" s="6">
        <v>5460441</v>
      </c>
      <c r="F997" s="12" t="s">
        <v>7481</v>
      </c>
      <c r="G997" s="2" t="s">
        <v>755</v>
      </c>
      <c r="H997" s="12" t="s">
        <v>756</v>
      </c>
      <c r="I997" s="86">
        <v>45264</v>
      </c>
      <c r="J997" s="86">
        <v>46360</v>
      </c>
      <c r="K997" s="12" t="s">
        <v>163</v>
      </c>
      <c r="L997" s="12" t="s">
        <v>7482</v>
      </c>
    </row>
    <row r="998" spans="1:12">
      <c r="A998" s="12">
        <f t="shared" si="15"/>
        <v>996</v>
      </c>
      <c r="B998" s="12" t="s">
        <v>7483</v>
      </c>
      <c r="C998" s="12" t="s">
        <v>7484</v>
      </c>
      <c r="D998" s="85">
        <v>4699.07</v>
      </c>
      <c r="E998" s="6">
        <v>6875025</v>
      </c>
      <c r="F998" s="12" t="s">
        <v>7296</v>
      </c>
      <c r="G998" s="2" t="s">
        <v>755</v>
      </c>
      <c r="H998" s="12" t="s">
        <v>756</v>
      </c>
      <c r="I998" s="86">
        <v>45271</v>
      </c>
      <c r="J998" s="86">
        <v>46367</v>
      </c>
      <c r="K998" s="12" t="s">
        <v>1242</v>
      </c>
      <c r="L998" s="12" t="s">
        <v>5384</v>
      </c>
    </row>
    <row r="999" spans="1:12">
      <c r="A999" s="12">
        <f t="shared" si="15"/>
        <v>997</v>
      </c>
      <c r="B999" s="12" t="s">
        <v>7485</v>
      </c>
      <c r="C999" s="12" t="s">
        <v>3040</v>
      </c>
      <c r="D999" s="85">
        <v>6389.89</v>
      </c>
      <c r="E999" s="6">
        <v>6550371</v>
      </c>
      <c r="F999" s="12" t="s">
        <v>5610</v>
      </c>
      <c r="G999" s="2" t="s">
        <v>755</v>
      </c>
      <c r="H999" s="12" t="s">
        <v>756</v>
      </c>
      <c r="I999" s="86">
        <v>45285</v>
      </c>
      <c r="J999" s="86">
        <v>46381</v>
      </c>
      <c r="K999" s="12" t="s">
        <v>274</v>
      </c>
      <c r="L999" s="12" t="s">
        <v>4003</v>
      </c>
    </row>
    <row r="1000" spans="1:12">
      <c r="A1000" s="12">
        <f t="shared" si="15"/>
        <v>998</v>
      </c>
      <c r="B1000" s="12" t="s">
        <v>7486</v>
      </c>
      <c r="C1000" s="12" t="s">
        <v>7487</v>
      </c>
      <c r="D1000" s="85">
        <v>235.29</v>
      </c>
      <c r="E1000" s="6">
        <v>8374066</v>
      </c>
      <c r="F1000" s="12" t="s">
        <v>7469</v>
      </c>
      <c r="G1000" s="2" t="s">
        <v>755</v>
      </c>
      <c r="H1000" s="12" t="s">
        <v>756</v>
      </c>
      <c r="I1000" s="86">
        <v>45274</v>
      </c>
      <c r="J1000" s="86">
        <v>46370</v>
      </c>
      <c r="K1000" s="12" t="s">
        <v>304</v>
      </c>
      <c r="L1000" s="12" t="s">
        <v>1634</v>
      </c>
    </row>
    <row r="1001" spans="1:12">
      <c r="A1001" s="12">
        <f t="shared" si="15"/>
        <v>999</v>
      </c>
      <c r="B1001" s="12" t="s">
        <v>7488</v>
      </c>
      <c r="C1001" s="12" t="s">
        <v>1797</v>
      </c>
      <c r="D1001" s="85">
        <v>7897.42</v>
      </c>
      <c r="E1001" s="6">
        <v>6718612</v>
      </c>
      <c r="F1001" s="12" t="s">
        <v>7460</v>
      </c>
      <c r="G1001" s="2" t="s">
        <v>755</v>
      </c>
      <c r="H1001" s="12" t="s">
        <v>756</v>
      </c>
      <c r="I1001" s="86">
        <v>45271</v>
      </c>
      <c r="J1001" s="86">
        <v>46367</v>
      </c>
      <c r="K1001" s="12" t="s">
        <v>123</v>
      </c>
      <c r="L1001" s="12" t="s">
        <v>1256</v>
      </c>
    </row>
    <row r="1002" spans="1:12">
      <c r="A1002" s="12">
        <f t="shared" si="15"/>
        <v>1000</v>
      </c>
      <c r="B1002" s="12" t="s">
        <v>7489</v>
      </c>
      <c r="C1002" s="12" t="s">
        <v>7490</v>
      </c>
      <c r="D1002" s="85">
        <v>726.19</v>
      </c>
      <c r="E1002" s="6">
        <v>6637833</v>
      </c>
      <c r="F1002" s="12" t="s">
        <v>5216</v>
      </c>
      <c r="G1002" s="2" t="s">
        <v>755</v>
      </c>
      <c r="H1002" s="12" t="s">
        <v>756</v>
      </c>
      <c r="I1002" s="86">
        <v>45286</v>
      </c>
      <c r="J1002" s="86">
        <v>46382</v>
      </c>
      <c r="K1002" s="12" t="s">
        <v>123</v>
      </c>
      <c r="L1002" s="12" t="s">
        <v>7491</v>
      </c>
    </row>
    <row r="1003" spans="1:12">
      <c r="A1003" s="12">
        <f t="shared" si="15"/>
        <v>1001</v>
      </c>
      <c r="B1003" s="12" t="s">
        <v>7492</v>
      </c>
      <c r="C1003" s="12" t="s">
        <v>7493</v>
      </c>
      <c r="D1003" s="85">
        <v>711.09</v>
      </c>
      <c r="E1003" s="6">
        <v>8351945</v>
      </c>
      <c r="F1003" s="12" t="s">
        <v>7494</v>
      </c>
      <c r="G1003" s="2" t="s">
        <v>755</v>
      </c>
      <c r="H1003" s="12" t="s">
        <v>756</v>
      </c>
      <c r="I1003" s="86">
        <v>45278</v>
      </c>
      <c r="J1003" s="86">
        <v>46374</v>
      </c>
      <c r="K1003" s="12" t="s">
        <v>1518</v>
      </c>
      <c r="L1003" s="12" t="s">
        <v>7495</v>
      </c>
    </row>
    <row r="1004" spans="1:12">
      <c r="A1004" s="12">
        <f t="shared" si="15"/>
        <v>1002</v>
      </c>
      <c r="B1004" s="12" t="s">
        <v>7496</v>
      </c>
      <c r="C1004" s="12" t="s">
        <v>4426</v>
      </c>
      <c r="D1004" s="85">
        <v>7725</v>
      </c>
      <c r="E1004" s="6">
        <v>6708978</v>
      </c>
      <c r="F1004" s="12" t="s">
        <v>7361</v>
      </c>
      <c r="G1004" s="2" t="s">
        <v>755</v>
      </c>
      <c r="H1004" s="12" t="s">
        <v>756</v>
      </c>
      <c r="I1004" s="86">
        <v>45282</v>
      </c>
      <c r="J1004" s="86">
        <v>46378</v>
      </c>
      <c r="K1004" s="12" t="s">
        <v>293</v>
      </c>
      <c r="L1004" s="12" t="s">
        <v>7497</v>
      </c>
    </row>
    <row r="1005" spans="1:12">
      <c r="A1005" s="12">
        <f t="shared" si="15"/>
        <v>1003</v>
      </c>
      <c r="B1005" s="12" t="s">
        <v>7498</v>
      </c>
      <c r="C1005" s="12" t="s">
        <v>7499</v>
      </c>
      <c r="D1005" s="85">
        <v>851.69</v>
      </c>
      <c r="E1005" s="6">
        <v>6198414</v>
      </c>
      <c r="F1005" s="12" t="s">
        <v>7500</v>
      </c>
      <c r="G1005" s="2" t="s">
        <v>755</v>
      </c>
      <c r="H1005" s="12" t="s">
        <v>756</v>
      </c>
      <c r="I1005" s="86">
        <v>45282</v>
      </c>
      <c r="J1005" s="86">
        <v>46378</v>
      </c>
      <c r="K1005" s="12" t="s">
        <v>123</v>
      </c>
      <c r="L1005" s="12" t="s">
        <v>1472</v>
      </c>
    </row>
    <row r="1006" spans="1:12">
      <c r="A1006" s="12">
        <f t="shared" si="15"/>
        <v>1004</v>
      </c>
      <c r="B1006" s="12" t="s">
        <v>7501</v>
      </c>
      <c r="C1006" s="12" t="s">
        <v>7502</v>
      </c>
      <c r="D1006" s="85">
        <v>4014.52</v>
      </c>
      <c r="E1006" s="6">
        <v>5551595</v>
      </c>
      <c r="F1006" s="12" t="s">
        <v>7503</v>
      </c>
      <c r="G1006" s="2" t="s">
        <v>755</v>
      </c>
      <c r="H1006" s="12" t="s">
        <v>756</v>
      </c>
      <c r="I1006" s="86">
        <v>45287</v>
      </c>
      <c r="J1006" s="86">
        <v>46383</v>
      </c>
      <c r="K1006" s="12" t="s">
        <v>836</v>
      </c>
      <c r="L1006" s="12" t="s">
        <v>1386</v>
      </c>
    </row>
    <row r="1007" spans="1:12" ht="38.25">
      <c r="A1007" s="12">
        <f t="shared" si="15"/>
        <v>1005</v>
      </c>
      <c r="B1007" s="12" t="s">
        <v>7504</v>
      </c>
      <c r="C1007" s="12" t="s">
        <v>6382</v>
      </c>
      <c r="D1007" s="85">
        <v>63252.2</v>
      </c>
      <c r="E1007" s="6">
        <v>6473806</v>
      </c>
      <c r="F1007" s="12" t="s">
        <v>7505</v>
      </c>
      <c r="G1007" s="2" t="s">
        <v>848</v>
      </c>
      <c r="H1007" s="12" t="s">
        <v>849</v>
      </c>
      <c r="I1007" s="86">
        <v>43468</v>
      </c>
      <c r="J1007" s="86">
        <v>45660</v>
      </c>
      <c r="K1007" s="12" t="s">
        <v>138</v>
      </c>
      <c r="L1007" s="12" t="s">
        <v>7506</v>
      </c>
    </row>
  </sheetData>
  <autoFilter ref="A2:M1007" xr:uid="{55DB7EB6-AF31-4EBC-B8E3-BD0BBA1E72CF}"/>
  <mergeCells count="1">
    <mergeCell ref="A1:M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11B8-F7FE-40B3-955F-E2CC7069922C}">
  <sheetPr>
    <tabColor rgb="FF006432"/>
  </sheetPr>
  <dimension ref="A1:I245"/>
  <sheetViews>
    <sheetView workbookViewId="0">
      <selection activeCell="G3" sqref="G3"/>
    </sheetView>
  </sheetViews>
  <sheetFormatPr defaultRowHeight="15"/>
  <cols>
    <col min="1" max="1" width="5.42578125" customWidth="1"/>
    <col min="2" max="2" width="11.42578125" customWidth="1"/>
    <col min="3" max="3" width="19.5703125" customWidth="1"/>
    <col min="4" max="4" width="12.140625" customWidth="1"/>
    <col min="5" max="5" width="14.28515625" customWidth="1"/>
    <col min="6" max="6" width="16" customWidth="1"/>
    <col min="7" max="7" width="22.42578125" customWidth="1"/>
    <col min="8" max="8" width="11.85546875" style="8" customWidth="1"/>
    <col min="9" max="9" width="12.7109375" style="8" customWidth="1"/>
  </cols>
  <sheetData>
    <row r="1" spans="1:9" ht="16.5" thickBot="1">
      <c r="A1" s="26" t="s">
        <v>7507</v>
      </c>
      <c r="B1" s="26"/>
      <c r="C1" s="26"/>
      <c r="D1" s="26"/>
      <c r="E1" s="26"/>
      <c r="F1" s="26"/>
      <c r="G1" s="15"/>
      <c r="H1" s="103"/>
      <c r="I1" s="103"/>
    </row>
    <row r="2" spans="1:9" ht="7.5" customHeight="1" thickTop="1">
      <c r="D2" s="254"/>
      <c r="E2" s="8"/>
      <c r="F2" s="8"/>
    </row>
    <row r="3" spans="1:9" ht="25.5">
      <c r="A3" s="46" t="s">
        <v>114</v>
      </c>
      <c r="B3" s="46" t="s">
        <v>740</v>
      </c>
      <c r="C3" s="46" t="s">
        <v>742</v>
      </c>
      <c r="D3" s="255" t="s">
        <v>743</v>
      </c>
      <c r="E3" s="46" t="s">
        <v>371</v>
      </c>
      <c r="F3" s="46" t="s">
        <v>7508</v>
      </c>
      <c r="G3" s="46" t="s">
        <v>745</v>
      </c>
      <c r="H3" s="46" t="s">
        <v>748</v>
      </c>
      <c r="I3" s="46" t="s">
        <v>749</v>
      </c>
    </row>
    <row r="4" spans="1:9">
      <c r="A4" s="10">
        <v>1</v>
      </c>
      <c r="B4" s="12" t="s">
        <v>5162</v>
      </c>
      <c r="C4" s="12" t="s">
        <v>2296</v>
      </c>
      <c r="D4" s="85">
        <v>8546.9500000000007</v>
      </c>
      <c r="E4" s="12" t="s">
        <v>375</v>
      </c>
      <c r="F4" s="12" t="s">
        <v>2649</v>
      </c>
      <c r="G4" s="12" t="s">
        <v>5005</v>
      </c>
      <c r="H4" s="84">
        <v>44928</v>
      </c>
      <c r="I4" s="84">
        <v>55886</v>
      </c>
    </row>
    <row r="5" spans="1:9">
      <c r="A5" s="10">
        <v>2</v>
      </c>
      <c r="B5" s="12" t="s">
        <v>5169</v>
      </c>
      <c r="C5" s="12" t="s">
        <v>5170</v>
      </c>
      <c r="D5" s="85">
        <v>154.29</v>
      </c>
      <c r="E5" s="12" t="s">
        <v>138</v>
      </c>
      <c r="F5" s="12" t="s">
        <v>1806</v>
      </c>
      <c r="G5" s="12" t="s">
        <v>5171</v>
      </c>
      <c r="H5" s="84">
        <v>45028</v>
      </c>
      <c r="I5" s="84">
        <v>55986</v>
      </c>
    </row>
    <row r="6" spans="1:9">
      <c r="A6" s="10">
        <f>A5+1</f>
        <v>3</v>
      </c>
      <c r="B6" s="12" t="s">
        <v>5177</v>
      </c>
      <c r="C6" s="12" t="s">
        <v>1315</v>
      </c>
      <c r="D6" s="85">
        <v>244.53</v>
      </c>
      <c r="E6" s="12" t="s">
        <v>1014</v>
      </c>
      <c r="F6" s="12" t="s">
        <v>3222</v>
      </c>
      <c r="G6" s="12" t="s">
        <v>5178</v>
      </c>
      <c r="H6" s="84">
        <v>45042</v>
      </c>
      <c r="I6" s="84">
        <v>56000</v>
      </c>
    </row>
    <row r="7" spans="1:9">
      <c r="A7" s="10">
        <f t="shared" ref="A7:A70" si="0">A6+1</f>
        <v>4</v>
      </c>
      <c r="B7" s="12" t="s">
        <v>5179</v>
      </c>
      <c r="C7" s="12" t="s">
        <v>1956</v>
      </c>
      <c r="D7" s="85">
        <v>295.70999999999998</v>
      </c>
      <c r="E7" s="12" t="s">
        <v>375</v>
      </c>
      <c r="F7" s="12" t="s">
        <v>1279</v>
      </c>
      <c r="G7" s="12" t="s">
        <v>5180</v>
      </c>
      <c r="H7" s="84">
        <v>45061</v>
      </c>
      <c r="I7" s="84">
        <v>56019</v>
      </c>
    </row>
    <row r="8" spans="1:9">
      <c r="A8" s="10">
        <f t="shared" si="0"/>
        <v>5</v>
      </c>
      <c r="B8" s="12" t="s">
        <v>5181</v>
      </c>
      <c r="C8" s="12" t="s">
        <v>5182</v>
      </c>
      <c r="D8" s="85">
        <v>144.83000000000001</v>
      </c>
      <c r="E8" s="12" t="s">
        <v>274</v>
      </c>
      <c r="F8" s="12" t="s">
        <v>275</v>
      </c>
      <c r="G8" s="12" t="s">
        <v>801</v>
      </c>
      <c r="H8" s="84">
        <v>45079</v>
      </c>
      <c r="I8" s="84">
        <v>56037</v>
      </c>
    </row>
    <row r="9" spans="1:9">
      <c r="A9" s="10">
        <f t="shared" si="0"/>
        <v>6</v>
      </c>
      <c r="B9" s="12" t="s">
        <v>5186</v>
      </c>
      <c r="C9" s="12" t="s">
        <v>5187</v>
      </c>
      <c r="D9" s="85">
        <v>2048.73</v>
      </c>
      <c r="E9" s="12" t="s">
        <v>274</v>
      </c>
      <c r="F9" s="12" t="s">
        <v>944</v>
      </c>
      <c r="G9" s="12" t="s">
        <v>5188</v>
      </c>
      <c r="H9" s="84">
        <v>45103</v>
      </c>
      <c r="I9" s="84">
        <v>56061</v>
      </c>
    </row>
    <row r="10" spans="1:9">
      <c r="A10" s="10">
        <f t="shared" si="0"/>
        <v>7</v>
      </c>
      <c r="B10" s="12" t="s">
        <v>5189</v>
      </c>
      <c r="C10" s="12" t="s">
        <v>5190</v>
      </c>
      <c r="D10" s="85">
        <v>1356.39</v>
      </c>
      <c r="E10" s="12" t="s">
        <v>1102</v>
      </c>
      <c r="F10" s="12" t="s">
        <v>1103</v>
      </c>
      <c r="G10" s="12" t="s">
        <v>1335</v>
      </c>
      <c r="H10" s="84">
        <v>45113</v>
      </c>
      <c r="I10" s="84">
        <v>56071</v>
      </c>
    </row>
    <row r="11" spans="1:9">
      <c r="A11" s="10">
        <f t="shared" si="0"/>
        <v>8</v>
      </c>
      <c r="B11" s="12" t="s">
        <v>5191</v>
      </c>
      <c r="C11" s="12" t="s">
        <v>5192</v>
      </c>
      <c r="D11" s="85">
        <v>1593.7</v>
      </c>
      <c r="E11" s="12" t="s">
        <v>1102</v>
      </c>
      <c r="F11" s="12" t="s">
        <v>1103</v>
      </c>
      <c r="G11" s="12" t="s">
        <v>1335</v>
      </c>
      <c r="H11" s="84">
        <v>45113</v>
      </c>
      <c r="I11" s="84">
        <v>56071</v>
      </c>
    </row>
    <row r="12" spans="1:9">
      <c r="A12" s="10">
        <f t="shared" si="0"/>
        <v>9</v>
      </c>
      <c r="B12" s="12" t="s">
        <v>5193</v>
      </c>
      <c r="C12" s="12" t="s">
        <v>7509</v>
      </c>
      <c r="D12" s="85">
        <v>964.42</v>
      </c>
      <c r="E12" s="12" t="s">
        <v>304</v>
      </c>
      <c r="F12" s="12" t="s">
        <v>1634</v>
      </c>
      <c r="G12" s="12" t="s">
        <v>4760</v>
      </c>
      <c r="H12" s="84">
        <v>45114</v>
      </c>
      <c r="I12" s="84">
        <v>56072</v>
      </c>
    </row>
    <row r="13" spans="1:9">
      <c r="A13" s="10">
        <f t="shared" si="0"/>
        <v>10</v>
      </c>
      <c r="B13" s="12" t="s">
        <v>5194</v>
      </c>
      <c r="C13" s="12" t="s">
        <v>5195</v>
      </c>
      <c r="D13" s="85">
        <v>146.86000000000001</v>
      </c>
      <c r="E13" s="12" t="s">
        <v>123</v>
      </c>
      <c r="F13" s="12" t="s">
        <v>836</v>
      </c>
      <c r="G13" s="12" t="s">
        <v>5196</v>
      </c>
      <c r="H13" s="84">
        <v>45125</v>
      </c>
      <c r="I13" s="84">
        <v>56083</v>
      </c>
    </row>
    <row r="14" spans="1:9">
      <c r="A14" s="10">
        <f t="shared" si="0"/>
        <v>11</v>
      </c>
      <c r="B14" s="12" t="s">
        <v>5200</v>
      </c>
      <c r="C14" s="12" t="s">
        <v>4426</v>
      </c>
      <c r="D14" s="85">
        <v>26.49</v>
      </c>
      <c r="E14" s="12" t="s">
        <v>293</v>
      </c>
      <c r="F14" s="12" t="s">
        <v>294</v>
      </c>
      <c r="G14" s="12" t="s">
        <v>5201</v>
      </c>
      <c r="H14" s="84">
        <v>45148</v>
      </c>
      <c r="I14" s="84">
        <v>56106</v>
      </c>
    </row>
    <row r="15" spans="1:9">
      <c r="A15" s="10">
        <f t="shared" si="0"/>
        <v>12</v>
      </c>
      <c r="B15" s="12" t="s">
        <v>5202</v>
      </c>
      <c r="C15" s="12" t="s">
        <v>3004</v>
      </c>
      <c r="D15" s="85">
        <v>498.69</v>
      </c>
      <c r="E15" s="12" t="s">
        <v>293</v>
      </c>
      <c r="F15" s="12" t="s">
        <v>294</v>
      </c>
      <c r="G15" s="12" t="s">
        <v>5201</v>
      </c>
      <c r="H15" s="84">
        <v>45148</v>
      </c>
      <c r="I15" s="84">
        <v>56106</v>
      </c>
    </row>
    <row r="16" spans="1:9">
      <c r="A16" s="10">
        <f t="shared" si="0"/>
        <v>13</v>
      </c>
      <c r="B16" s="12" t="s">
        <v>5203</v>
      </c>
      <c r="C16" s="12" t="s">
        <v>4117</v>
      </c>
      <c r="D16" s="85">
        <v>543.27</v>
      </c>
      <c r="E16" s="12" t="s">
        <v>293</v>
      </c>
      <c r="F16" s="12" t="s">
        <v>3681</v>
      </c>
      <c r="G16" s="12" t="s">
        <v>5204</v>
      </c>
      <c r="H16" s="84">
        <v>45159</v>
      </c>
      <c r="I16" s="84">
        <v>56117</v>
      </c>
    </row>
    <row r="17" spans="1:9">
      <c r="A17" s="10">
        <f t="shared" si="0"/>
        <v>14</v>
      </c>
      <c r="B17" s="12" t="s">
        <v>5208</v>
      </c>
      <c r="C17" s="12" t="s">
        <v>4266</v>
      </c>
      <c r="D17" s="85">
        <v>2315.14</v>
      </c>
      <c r="E17" s="12" t="s">
        <v>274</v>
      </c>
      <c r="F17" s="12" t="s">
        <v>3914</v>
      </c>
      <c r="G17" s="12" t="s">
        <v>5209</v>
      </c>
      <c r="H17" s="84">
        <v>45173</v>
      </c>
      <c r="I17" s="84">
        <v>56131</v>
      </c>
    </row>
    <row r="18" spans="1:9">
      <c r="A18" s="10">
        <f t="shared" si="0"/>
        <v>15</v>
      </c>
      <c r="B18" s="12" t="s">
        <v>5210</v>
      </c>
      <c r="C18" s="12" t="s">
        <v>5211</v>
      </c>
      <c r="D18" s="85">
        <v>4065.97</v>
      </c>
      <c r="E18" s="12" t="s">
        <v>163</v>
      </c>
      <c r="F18" s="12" t="s">
        <v>5213</v>
      </c>
      <c r="G18" s="12" t="s">
        <v>5212</v>
      </c>
      <c r="H18" s="84">
        <v>45195</v>
      </c>
      <c r="I18" s="84">
        <v>56153</v>
      </c>
    </row>
    <row r="19" spans="1:9">
      <c r="A19" s="10">
        <f t="shared" si="0"/>
        <v>16</v>
      </c>
      <c r="B19" s="12" t="s">
        <v>5214</v>
      </c>
      <c r="C19" s="12" t="s">
        <v>5215</v>
      </c>
      <c r="D19" s="85">
        <v>465.49</v>
      </c>
      <c r="E19" s="12" t="s">
        <v>180</v>
      </c>
      <c r="F19" s="12" t="s">
        <v>927</v>
      </c>
      <c r="G19" s="12" t="s">
        <v>5216</v>
      </c>
      <c r="H19" s="84">
        <v>45211</v>
      </c>
      <c r="I19" s="84">
        <v>56169</v>
      </c>
    </row>
    <row r="20" spans="1:9">
      <c r="A20" s="10">
        <f t="shared" si="0"/>
        <v>17</v>
      </c>
      <c r="B20" s="12" t="s">
        <v>5217</v>
      </c>
      <c r="C20" s="12" t="s">
        <v>5218</v>
      </c>
      <c r="D20" s="85">
        <v>738.42</v>
      </c>
      <c r="E20" s="12" t="s">
        <v>123</v>
      </c>
      <c r="F20" s="12" t="s">
        <v>272</v>
      </c>
      <c r="G20" s="12" t="s">
        <v>5219</v>
      </c>
      <c r="H20" s="84">
        <v>45218</v>
      </c>
      <c r="I20" s="84">
        <v>56176</v>
      </c>
    </row>
    <row r="21" spans="1:9">
      <c r="A21" s="10">
        <f t="shared" si="0"/>
        <v>18</v>
      </c>
      <c r="B21" s="12" t="s">
        <v>5223</v>
      </c>
      <c r="C21" s="12" t="s">
        <v>1389</v>
      </c>
      <c r="D21" s="85">
        <v>2293.36</v>
      </c>
      <c r="E21" s="12" t="s">
        <v>170</v>
      </c>
      <c r="F21" s="12" t="s">
        <v>205</v>
      </c>
      <c r="G21" s="12" t="s">
        <v>5224</v>
      </c>
      <c r="H21" s="84">
        <v>45233</v>
      </c>
      <c r="I21" s="84">
        <v>56191</v>
      </c>
    </row>
    <row r="22" spans="1:9">
      <c r="A22" s="10">
        <f t="shared" si="0"/>
        <v>19</v>
      </c>
      <c r="B22" s="12" t="s">
        <v>5226</v>
      </c>
      <c r="C22" s="12" t="s">
        <v>1979</v>
      </c>
      <c r="D22" s="85">
        <v>193.16</v>
      </c>
      <c r="E22" s="12" t="s">
        <v>375</v>
      </c>
      <c r="F22" s="12" t="s">
        <v>944</v>
      </c>
      <c r="G22" s="12" t="s">
        <v>5227</v>
      </c>
      <c r="H22" s="84">
        <v>45257</v>
      </c>
      <c r="I22" s="84">
        <v>56215</v>
      </c>
    </row>
    <row r="23" spans="1:9">
      <c r="A23" s="10">
        <f t="shared" si="0"/>
        <v>20</v>
      </c>
      <c r="B23" s="12" t="s">
        <v>5228</v>
      </c>
      <c r="C23" s="12" t="s">
        <v>2296</v>
      </c>
      <c r="D23" s="85">
        <v>5029.7</v>
      </c>
      <c r="E23" s="12" t="s">
        <v>375</v>
      </c>
      <c r="F23" s="12" t="s">
        <v>2550</v>
      </c>
      <c r="G23" s="12" t="s">
        <v>5229</v>
      </c>
      <c r="H23" s="84">
        <v>45180</v>
      </c>
      <c r="I23" s="84">
        <v>56138</v>
      </c>
    </row>
    <row r="24" spans="1:9">
      <c r="A24" s="10">
        <f t="shared" si="0"/>
        <v>21</v>
      </c>
      <c r="B24" s="12" t="s">
        <v>5230</v>
      </c>
      <c r="C24" s="12" t="s">
        <v>1323</v>
      </c>
      <c r="D24" s="85">
        <v>974.53</v>
      </c>
      <c r="E24" s="12" t="s">
        <v>768</v>
      </c>
      <c r="F24" s="12" t="s">
        <v>1198</v>
      </c>
      <c r="G24" s="12" t="s">
        <v>1197</v>
      </c>
      <c r="H24" s="84">
        <v>45229</v>
      </c>
      <c r="I24" s="84">
        <v>56187</v>
      </c>
    </row>
    <row r="25" spans="1:9">
      <c r="A25" s="10">
        <f t="shared" si="0"/>
        <v>22</v>
      </c>
      <c r="B25" s="12" t="s">
        <v>5231</v>
      </c>
      <c r="C25" s="12" t="s">
        <v>2302</v>
      </c>
      <c r="D25" s="85">
        <v>91.45</v>
      </c>
      <c r="E25" s="12" t="s">
        <v>836</v>
      </c>
      <c r="F25" s="12" t="s">
        <v>837</v>
      </c>
      <c r="G25" s="12" t="s">
        <v>1678</v>
      </c>
      <c r="H25" s="84">
        <v>45273</v>
      </c>
      <c r="I25" s="84">
        <v>56231</v>
      </c>
    </row>
    <row r="26" spans="1:9">
      <c r="A26" s="10">
        <f t="shared" si="0"/>
        <v>23</v>
      </c>
      <c r="B26" s="12" t="s">
        <v>5232</v>
      </c>
      <c r="C26" s="12" t="s">
        <v>5233</v>
      </c>
      <c r="D26" s="85">
        <v>963.4</v>
      </c>
      <c r="E26" s="12" t="s">
        <v>170</v>
      </c>
      <c r="F26" s="12" t="s">
        <v>1023</v>
      </c>
      <c r="G26" s="12" t="s">
        <v>5234</v>
      </c>
      <c r="H26" s="84">
        <v>45278</v>
      </c>
      <c r="I26" s="84">
        <v>56236</v>
      </c>
    </row>
    <row r="27" spans="1:9">
      <c r="A27" s="10">
        <f t="shared" si="0"/>
        <v>24</v>
      </c>
      <c r="B27" s="12" t="s">
        <v>5235</v>
      </c>
      <c r="C27" s="12" t="s">
        <v>5236</v>
      </c>
      <c r="D27" s="85">
        <v>227.59</v>
      </c>
      <c r="E27" s="12" t="s">
        <v>304</v>
      </c>
      <c r="F27" s="12" t="s">
        <v>1634</v>
      </c>
      <c r="G27" s="12" t="s">
        <v>5237</v>
      </c>
      <c r="H27" s="84">
        <v>45279</v>
      </c>
      <c r="I27" s="84">
        <v>56237</v>
      </c>
    </row>
    <row r="28" spans="1:9">
      <c r="A28" s="10">
        <f t="shared" si="0"/>
        <v>25</v>
      </c>
      <c r="B28" s="12" t="s">
        <v>5238</v>
      </c>
      <c r="C28" s="12" t="s">
        <v>4117</v>
      </c>
      <c r="D28" s="85">
        <v>706.09</v>
      </c>
      <c r="E28" s="12" t="s">
        <v>836</v>
      </c>
      <c r="F28" s="12" t="s">
        <v>837</v>
      </c>
      <c r="G28" s="12" t="s">
        <v>5239</v>
      </c>
      <c r="H28" s="84">
        <v>45280</v>
      </c>
      <c r="I28" s="84">
        <v>56238</v>
      </c>
    </row>
    <row r="29" spans="1:9">
      <c r="A29" s="10">
        <f t="shared" si="0"/>
        <v>26</v>
      </c>
      <c r="B29" s="12" t="s">
        <v>6719</v>
      </c>
      <c r="C29" s="12" t="s">
        <v>3259</v>
      </c>
      <c r="D29" s="85">
        <v>38951.67</v>
      </c>
      <c r="E29" s="12" t="s">
        <v>233</v>
      </c>
      <c r="F29" s="12" t="s">
        <v>1300</v>
      </c>
      <c r="G29" s="12" t="s">
        <v>1150</v>
      </c>
      <c r="H29" s="84">
        <v>44984</v>
      </c>
      <c r="I29" s="84">
        <v>46080</v>
      </c>
    </row>
    <row r="30" spans="1:9">
      <c r="A30" s="10">
        <f t="shared" si="0"/>
        <v>27</v>
      </c>
      <c r="B30" s="12" t="s">
        <v>6961</v>
      </c>
      <c r="C30" s="12" t="s">
        <v>6962</v>
      </c>
      <c r="D30" s="85">
        <v>259.3</v>
      </c>
      <c r="E30" s="12" t="s">
        <v>170</v>
      </c>
      <c r="F30" s="12" t="s">
        <v>205</v>
      </c>
      <c r="G30" s="12" t="s">
        <v>6963</v>
      </c>
      <c r="H30" s="84">
        <v>44953</v>
      </c>
      <c r="I30" s="84">
        <v>46049</v>
      </c>
    </row>
    <row r="31" spans="1:9">
      <c r="A31" s="10">
        <f t="shared" si="0"/>
        <v>28</v>
      </c>
      <c r="B31" s="12" t="s">
        <v>6964</v>
      </c>
      <c r="C31" s="12" t="s">
        <v>6965</v>
      </c>
      <c r="D31" s="85">
        <v>447.19</v>
      </c>
      <c r="E31" s="12" t="s">
        <v>170</v>
      </c>
      <c r="F31" s="12" t="s">
        <v>205</v>
      </c>
      <c r="G31" s="12" t="s">
        <v>6963</v>
      </c>
      <c r="H31" s="84">
        <v>44953</v>
      </c>
      <c r="I31" s="84">
        <v>46049</v>
      </c>
    </row>
    <row r="32" spans="1:9">
      <c r="A32" s="10">
        <f t="shared" si="0"/>
        <v>29</v>
      </c>
      <c r="B32" s="12" t="s">
        <v>6966</v>
      </c>
      <c r="C32" s="12" t="s">
        <v>6967</v>
      </c>
      <c r="D32" s="85">
        <v>1098.72</v>
      </c>
      <c r="E32" s="12" t="s">
        <v>170</v>
      </c>
      <c r="F32" s="12" t="s">
        <v>924</v>
      </c>
      <c r="G32" s="12" t="s">
        <v>6968</v>
      </c>
      <c r="H32" s="84">
        <v>44942</v>
      </c>
      <c r="I32" s="84">
        <v>46038</v>
      </c>
    </row>
    <row r="33" spans="1:9">
      <c r="A33" s="10">
        <f t="shared" si="0"/>
        <v>30</v>
      </c>
      <c r="B33" s="12" t="s">
        <v>6969</v>
      </c>
      <c r="C33" s="12" t="s">
        <v>933</v>
      </c>
      <c r="D33" s="85">
        <v>6388.83</v>
      </c>
      <c r="E33" s="12" t="s">
        <v>170</v>
      </c>
      <c r="F33" s="12" t="s">
        <v>2444</v>
      </c>
      <c r="G33" s="12" t="s">
        <v>6970</v>
      </c>
      <c r="H33" s="84">
        <v>44942</v>
      </c>
      <c r="I33" s="84">
        <v>46038</v>
      </c>
    </row>
    <row r="34" spans="1:9">
      <c r="A34" s="10">
        <f t="shared" si="0"/>
        <v>31</v>
      </c>
      <c r="B34" s="12" t="s">
        <v>6971</v>
      </c>
      <c r="C34" s="12" t="s">
        <v>6972</v>
      </c>
      <c r="D34" s="85">
        <v>2944.51</v>
      </c>
      <c r="E34" s="12" t="s">
        <v>138</v>
      </c>
      <c r="F34" s="12" t="s">
        <v>1806</v>
      </c>
      <c r="G34" s="12" t="s">
        <v>6973</v>
      </c>
      <c r="H34" s="84">
        <v>44942</v>
      </c>
      <c r="I34" s="84">
        <v>46038</v>
      </c>
    </row>
    <row r="35" spans="1:9">
      <c r="A35" s="10">
        <f t="shared" si="0"/>
        <v>32</v>
      </c>
      <c r="B35" s="12" t="s">
        <v>6974</v>
      </c>
      <c r="C35" s="12" t="s">
        <v>6975</v>
      </c>
      <c r="D35" s="85">
        <v>2217.2800000000002</v>
      </c>
      <c r="E35" s="12" t="s">
        <v>375</v>
      </c>
      <c r="F35" s="12" t="s">
        <v>6107</v>
      </c>
      <c r="G35" s="12" t="s">
        <v>6976</v>
      </c>
      <c r="H35" s="84">
        <v>44943</v>
      </c>
      <c r="I35" s="84">
        <v>46039</v>
      </c>
    </row>
    <row r="36" spans="1:9">
      <c r="A36" s="10">
        <f t="shared" si="0"/>
        <v>33</v>
      </c>
      <c r="B36" s="12" t="s">
        <v>6977</v>
      </c>
      <c r="C36" s="12" t="s">
        <v>6978</v>
      </c>
      <c r="D36" s="85">
        <v>10558.97</v>
      </c>
      <c r="E36" s="12" t="s">
        <v>1102</v>
      </c>
      <c r="F36" s="12" t="s">
        <v>1103</v>
      </c>
      <c r="G36" s="12" t="s">
        <v>6979</v>
      </c>
      <c r="H36" s="84">
        <v>44942</v>
      </c>
      <c r="I36" s="84">
        <v>46038</v>
      </c>
    </row>
    <row r="37" spans="1:9">
      <c r="A37" s="10">
        <f t="shared" si="0"/>
        <v>34</v>
      </c>
      <c r="B37" s="12" t="s">
        <v>6980</v>
      </c>
      <c r="C37" s="12" t="s">
        <v>6981</v>
      </c>
      <c r="D37" s="85">
        <v>5577.49</v>
      </c>
      <c r="E37" s="12" t="s">
        <v>274</v>
      </c>
      <c r="F37" s="12" t="s">
        <v>790</v>
      </c>
      <c r="G37" s="12" t="s">
        <v>5099</v>
      </c>
      <c r="H37" s="84">
        <v>44951</v>
      </c>
      <c r="I37" s="84">
        <v>46047</v>
      </c>
    </row>
    <row r="38" spans="1:9">
      <c r="A38" s="10">
        <f t="shared" si="0"/>
        <v>35</v>
      </c>
      <c r="B38" s="12" t="s">
        <v>6982</v>
      </c>
      <c r="C38" s="12" t="s">
        <v>6983</v>
      </c>
      <c r="D38" s="85">
        <v>402.19</v>
      </c>
      <c r="E38" s="12" t="s">
        <v>836</v>
      </c>
      <c r="F38" s="12" t="s">
        <v>3048</v>
      </c>
      <c r="G38" s="12" t="s">
        <v>6984</v>
      </c>
      <c r="H38" s="84">
        <v>44942</v>
      </c>
      <c r="I38" s="84">
        <v>46038</v>
      </c>
    </row>
    <row r="39" spans="1:9">
      <c r="A39" s="10">
        <f t="shared" si="0"/>
        <v>36</v>
      </c>
      <c r="B39" s="12" t="s">
        <v>6985</v>
      </c>
      <c r="C39" s="12" t="s">
        <v>6986</v>
      </c>
      <c r="D39" s="85">
        <v>2502.04</v>
      </c>
      <c r="E39" s="12" t="s">
        <v>1102</v>
      </c>
      <c r="F39" s="12" t="s">
        <v>2761</v>
      </c>
      <c r="G39" s="12" t="s">
        <v>6987</v>
      </c>
      <c r="H39" s="84">
        <v>44950</v>
      </c>
      <c r="I39" s="6" t="s">
        <v>6988</v>
      </c>
    </row>
    <row r="40" spans="1:9">
      <c r="A40" s="10">
        <f t="shared" si="0"/>
        <v>37</v>
      </c>
      <c r="B40" s="12" t="s">
        <v>6989</v>
      </c>
      <c r="C40" s="12" t="s">
        <v>6990</v>
      </c>
      <c r="D40" s="85">
        <v>403.57</v>
      </c>
      <c r="E40" s="12" t="s">
        <v>1102</v>
      </c>
      <c r="F40" s="12" t="s">
        <v>2761</v>
      </c>
      <c r="G40" s="12" t="s">
        <v>6968</v>
      </c>
      <c r="H40" s="84">
        <v>44942</v>
      </c>
      <c r="I40" s="84">
        <v>46038</v>
      </c>
    </row>
    <row r="41" spans="1:9">
      <c r="A41" s="10">
        <f t="shared" si="0"/>
        <v>38</v>
      </c>
      <c r="B41" s="12" t="s">
        <v>6991</v>
      </c>
      <c r="C41" s="12" t="s">
        <v>6992</v>
      </c>
      <c r="D41" s="85">
        <v>8062.16</v>
      </c>
      <c r="E41" s="12" t="s">
        <v>1102</v>
      </c>
      <c r="F41" s="12" t="s">
        <v>1550</v>
      </c>
      <c r="G41" s="12" t="s">
        <v>5099</v>
      </c>
      <c r="H41" s="84">
        <v>44986</v>
      </c>
      <c r="I41" s="84">
        <v>46082</v>
      </c>
    </row>
    <row r="42" spans="1:9">
      <c r="A42" s="10">
        <f t="shared" si="0"/>
        <v>39</v>
      </c>
      <c r="B42" s="12" t="s">
        <v>6993</v>
      </c>
      <c r="C42" s="12" t="s">
        <v>6994</v>
      </c>
      <c r="D42" s="85">
        <v>326.43</v>
      </c>
      <c r="E42" s="12" t="s">
        <v>304</v>
      </c>
      <c r="F42" s="12" t="s">
        <v>305</v>
      </c>
      <c r="G42" s="12" t="s">
        <v>6995</v>
      </c>
      <c r="H42" s="84">
        <v>44964</v>
      </c>
      <c r="I42" s="84">
        <v>46060</v>
      </c>
    </row>
    <row r="43" spans="1:9">
      <c r="A43" s="10">
        <f t="shared" si="0"/>
        <v>40</v>
      </c>
      <c r="B43" s="12" t="s">
        <v>6996</v>
      </c>
      <c r="C43" s="12" t="s">
        <v>6997</v>
      </c>
      <c r="D43" s="85">
        <v>869.24</v>
      </c>
      <c r="E43" s="12" t="s">
        <v>180</v>
      </c>
      <c r="F43" s="12" t="s">
        <v>927</v>
      </c>
      <c r="G43" s="12" t="s">
        <v>6696</v>
      </c>
      <c r="H43" s="84">
        <v>44970</v>
      </c>
      <c r="I43" s="84">
        <v>46066</v>
      </c>
    </row>
    <row r="44" spans="1:9">
      <c r="A44" s="10">
        <f t="shared" si="0"/>
        <v>41</v>
      </c>
      <c r="B44" s="12" t="s">
        <v>6998</v>
      </c>
      <c r="C44" s="12" t="s">
        <v>6367</v>
      </c>
      <c r="D44" s="85">
        <v>339.02</v>
      </c>
      <c r="E44" s="12" t="s">
        <v>782</v>
      </c>
      <c r="F44" s="12" t="s">
        <v>289</v>
      </c>
      <c r="G44" s="12" t="s">
        <v>6999</v>
      </c>
      <c r="H44" s="84">
        <v>44953</v>
      </c>
      <c r="I44" s="84">
        <v>46049</v>
      </c>
    </row>
    <row r="45" spans="1:9">
      <c r="A45" s="10">
        <f t="shared" si="0"/>
        <v>42</v>
      </c>
      <c r="B45" s="12" t="s">
        <v>7000</v>
      </c>
      <c r="C45" s="12" t="s">
        <v>3004</v>
      </c>
      <c r="D45" s="85">
        <v>672.56</v>
      </c>
      <c r="E45" s="12" t="s">
        <v>782</v>
      </c>
      <c r="F45" s="12" t="s">
        <v>7001</v>
      </c>
      <c r="G45" s="12" t="s">
        <v>6999</v>
      </c>
      <c r="H45" s="84">
        <v>44953</v>
      </c>
      <c r="I45" s="84">
        <v>46049</v>
      </c>
    </row>
    <row r="46" spans="1:9">
      <c r="A46" s="10">
        <f t="shared" si="0"/>
        <v>43</v>
      </c>
      <c r="B46" s="12" t="s">
        <v>7002</v>
      </c>
      <c r="C46" s="12" t="s">
        <v>7003</v>
      </c>
      <c r="D46" s="85">
        <v>1226.8</v>
      </c>
      <c r="E46" s="12" t="s">
        <v>205</v>
      </c>
      <c r="F46" s="12" t="s">
        <v>206</v>
      </c>
      <c r="G46" s="12" t="s">
        <v>7004</v>
      </c>
      <c r="H46" s="84">
        <v>44964</v>
      </c>
      <c r="I46" s="84">
        <v>46060</v>
      </c>
    </row>
    <row r="47" spans="1:9">
      <c r="A47" s="10">
        <f t="shared" si="0"/>
        <v>44</v>
      </c>
      <c r="B47" s="12" t="s">
        <v>7005</v>
      </c>
      <c r="C47" s="12" t="s">
        <v>7006</v>
      </c>
      <c r="D47" s="85">
        <v>96.76</v>
      </c>
      <c r="E47" s="12" t="s">
        <v>205</v>
      </c>
      <c r="F47" s="12" t="s">
        <v>206</v>
      </c>
      <c r="G47" s="12" t="s">
        <v>7007</v>
      </c>
      <c r="H47" s="84">
        <v>44964</v>
      </c>
      <c r="I47" s="84">
        <v>46060</v>
      </c>
    </row>
    <row r="48" spans="1:9">
      <c r="A48" s="10">
        <f t="shared" si="0"/>
        <v>45</v>
      </c>
      <c r="B48" s="12" t="s">
        <v>7008</v>
      </c>
      <c r="C48" s="12" t="s">
        <v>7009</v>
      </c>
      <c r="D48" s="85">
        <v>440.64</v>
      </c>
      <c r="E48" s="12" t="s">
        <v>288</v>
      </c>
      <c r="F48" s="12" t="s">
        <v>902</v>
      </c>
      <c r="G48" s="12" t="s">
        <v>7010</v>
      </c>
      <c r="H48" s="84">
        <v>44964</v>
      </c>
      <c r="I48" s="84">
        <v>46060</v>
      </c>
    </row>
    <row r="49" spans="1:9">
      <c r="A49" s="10">
        <f t="shared" si="0"/>
        <v>46</v>
      </c>
      <c r="B49" s="12" t="s">
        <v>7011</v>
      </c>
      <c r="C49" s="12" t="s">
        <v>7012</v>
      </c>
      <c r="D49" s="85">
        <v>83.21</v>
      </c>
      <c r="E49" s="12" t="s">
        <v>233</v>
      </c>
      <c r="F49" s="12" t="s">
        <v>5031</v>
      </c>
      <c r="G49" s="12" t="s">
        <v>7013</v>
      </c>
      <c r="H49" s="84">
        <v>44980</v>
      </c>
      <c r="I49" s="84">
        <v>46076</v>
      </c>
    </row>
    <row r="50" spans="1:9">
      <c r="A50" s="10">
        <f t="shared" si="0"/>
        <v>47</v>
      </c>
      <c r="B50" s="12" t="s">
        <v>7014</v>
      </c>
      <c r="C50" s="12" t="s">
        <v>7015</v>
      </c>
      <c r="D50" s="85">
        <v>1806.39</v>
      </c>
      <c r="E50" s="12" t="s">
        <v>293</v>
      </c>
      <c r="F50" s="12" t="s">
        <v>1826</v>
      </c>
      <c r="G50" s="12" t="s">
        <v>7016</v>
      </c>
      <c r="H50" s="84">
        <v>44964</v>
      </c>
      <c r="I50" s="84">
        <v>46060</v>
      </c>
    </row>
    <row r="51" spans="1:9">
      <c r="A51" s="10">
        <f t="shared" si="0"/>
        <v>48</v>
      </c>
      <c r="B51" s="12" t="s">
        <v>7017</v>
      </c>
      <c r="C51" s="12" t="s">
        <v>1825</v>
      </c>
      <c r="D51" s="85">
        <v>756.68</v>
      </c>
      <c r="E51" s="12" t="s">
        <v>293</v>
      </c>
      <c r="F51" s="12" t="s">
        <v>1826</v>
      </c>
      <c r="G51" s="12" t="s">
        <v>6730</v>
      </c>
      <c r="H51" s="84">
        <v>44952</v>
      </c>
      <c r="I51" s="84">
        <v>46048</v>
      </c>
    </row>
    <row r="52" spans="1:9">
      <c r="A52" s="10">
        <f t="shared" si="0"/>
        <v>49</v>
      </c>
      <c r="B52" s="12" t="s">
        <v>7018</v>
      </c>
      <c r="C52" s="12" t="s">
        <v>2023</v>
      </c>
      <c r="D52" s="85">
        <v>4449.7299999999996</v>
      </c>
      <c r="E52" s="12" t="s">
        <v>170</v>
      </c>
      <c r="F52" s="12" t="s">
        <v>802</v>
      </c>
      <c r="G52" s="12" t="s">
        <v>7019</v>
      </c>
      <c r="H52" s="84">
        <v>44970</v>
      </c>
      <c r="I52" s="84">
        <v>46066</v>
      </c>
    </row>
    <row r="53" spans="1:9">
      <c r="A53" s="10">
        <f t="shared" si="0"/>
        <v>50</v>
      </c>
      <c r="B53" s="12" t="s">
        <v>7020</v>
      </c>
      <c r="C53" s="12" t="s">
        <v>7021</v>
      </c>
      <c r="D53" s="85">
        <v>32043.8</v>
      </c>
      <c r="E53" s="12" t="s">
        <v>123</v>
      </c>
      <c r="F53" s="12" t="s">
        <v>1058</v>
      </c>
      <c r="G53" s="12" t="s">
        <v>3281</v>
      </c>
      <c r="H53" s="84">
        <v>44966</v>
      </c>
      <c r="I53" s="84">
        <v>46062</v>
      </c>
    </row>
    <row r="54" spans="1:9">
      <c r="A54" s="10">
        <f t="shared" si="0"/>
        <v>51</v>
      </c>
      <c r="B54" s="12" t="s">
        <v>7022</v>
      </c>
      <c r="C54" s="12" t="s">
        <v>2159</v>
      </c>
      <c r="D54" s="85">
        <v>18431.32</v>
      </c>
      <c r="E54" s="12" t="s">
        <v>7024</v>
      </c>
      <c r="F54" s="12" t="s">
        <v>7025</v>
      </c>
      <c r="G54" s="12" t="s">
        <v>7023</v>
      </c>
      <c r="H54" s="84">
        <v>44951</v>
      </c>
      <c r="I54" s="84">
        <v>46047</v>
      </c>
    </row>
    <row r="55" spans="1:9">
      <c r="A55" s="10">
        <f t="shared" si="0"/>
        <v>52</v>
      </c>
      <c r="B55" s="12" t="s">
        <v>7026</v>
      </c>
      <c r="C55" s="12" t="s">
        <v>7027</v>
      </c>
      <c r="D55" s="85">
        <v>1407.18</v>
      </c>
      <c r="E55" s="12" t="s">
        <v>293</v>
      </c>
      <c r="F55" s="12" t="s">
        <v>124</v>
      </c>
      <c r="G55" s="12" t="s">
        <v>7028</v>
      </c>
      <c r="H55" s="84">
        <v>44970</v>
      </c>
      <c r="I55" s="84">
        <v>46066</v>
      </c>
    </row>
    <row r="56" spans="1:9">
      <c r="A56" s="10">
        <f t="shared" si="0"/>
        <v>53</v>
      </c>
      <c r="B56" s="12" t="s">
        <v>7029</v>
      </c>
      <c r="C56" s="12" t="s">
        <v>7030</v>
      </c>
      <c r="D56" s="85">
        <v>307.14</v>
      </c>
      <c r="E56" s="12" t="s">
        <v>123</v>
      </c>
      <c r="F56" s="12" t="s">
        <v>3411</v>
      </c>
      <c r="G56" s="12" t="s">
        <v>7031</v>
      </c>
      <c r="H56" s="84">
        <v>44966</v>
      </c>
      <c r="I56" s="84">
        <v>46062</v>
      </c>
    </row>
    <row r="57" spans="1:9">
      <c r="A57" s="10">
        <f t="shared" si="0"/>
        <v>54</v>
      </c>
      <c r="B57" s="12" t="s">
        <v>7032</v>
      </c>
      <c r="C57" s="12" t="s">
        <v>7033</v>
      </c>
      <c r="D57" s="85">
        <v>942.78</v>
      </c>
      <c r="E57" s="12" t="s">
        <v>1102</v>
      </c>
      <c r="F57" s="12" t="s">
        <v>5669</v>
      </c>
      <c r="G57" s="12" t="s">
        <v>7034</v>
      </c>
      <c r="H57" s="84">
        <v>44966</v>
      </c>
      <c r="I57" s="84">
        <v>46062</v>
      </c>
    </row>
    <row r="58" spans="1:9">
      <c r="A58" s="10">
        <f t="shared" si="0"/>
        <v>55</v>
      </c>
      <c r="B58" s="12" t="s">
        <v>7035</v>
      </c>
      <c r="C58" s="12" t="s">
        <v>7036</v>
      </c>
      <c r="D58" s="85">
        <v>822.44</v>
      </c>
      <c r="E58" s="12" t="s">
        <v>1102</v>
      </c>
      <c r="F58" s="12" t="s">
        <v>5589</v>
      </c>
      <c r="G58" s="12" t="s">
        <v>7031</v>
      </c>
      <c r="H58" s="84">
        <v>44966</v>
      </c>
      <c r="I58" s="84">
        <v>46062</v>
      </c>
    </row>
    <row r="59" spans="1:9">
      <c r="A59" s="10">
        <f t="shared" si="0"/>
        <v>56</v>
      </c>
      <c r="B59" s="12" t="s">
        <v>7037</v>
      </c>
      <c r="C59" s="12" t="s">
        <v>7038</v>
      </c>
      <c r="D59" s="85">
        <v>11772.16</v>
      </c>
      <c r="E59" s="12" t="s">
        <v>1102</v>
      </c>
      <c r="F59" s="12" t="s">
        <v>5589</v>
      </c>
      <c r="G59" s="12" t="s">
        <v>6689</v>
      </c>
      <c r="H59" s="84">
        <v>44970</v>
      </c>
      <c r="I59" s="84">
        <v>46066</v>
      </c>
    </row>
    <row r="60" spans="1:9">
      <c r="A60" s="10">
        <f t="shared" si="0"/>
        <v>57</v>
      </c>
      <c r="B60" s="12" t="s">
        <v>7039</v>
      </c>
      <c r="C60" s="12" t="s">
        <v>4406</v>
      </c>
      <c r="D60" s="85">
        <v>14436.68</v>
      </c>
      <c r="E60" s="12" t="s">
        <v>1102</v>
      </c>
      <c r="F60" s="12" t="s">
        <v>5589</v>
      </c>
      <c r="G60" s="12" t="s">
        <v>6689</v>
      </c>
      <c r="H60" s="84">
        <v>44970</v>
      </c>
      <c r="I60" s="84">
        <v>46066</v>
      </c>
    </row>
    <row r="61" spans="1:9">
      <c r="A61" s="10">
        <f t="shared" si="0"/>
        <v>58</v>
      </c>
      <c r="B61" s="12" t="s">
        <v>7040</v>
      </c>
      <c r="C61" s="12" t="s">
        <v>2738</v>
      </c>
      <c r="D61" s="85">
        <v>3136.65</v>
      </c>
      <c r="E61" s="12" t="s">
        <v>274</v>
      </c>
      <c r="F61" s="12" t="s">
        <v>982</v>
      </c>
      <c r="G61" s="12" t="s">
        <v>1333</v>
      </c>
      <c r="H61" s="84">
        <v>44973</v>
      </c>
      <c r="I61" s="84">
        <v>46069</v>
      </c>
    </row>
    <row r="62" spans="1:9">
      <c r="A62" s="10">
        <f t="shared" si="0"/>
        <v>59</v>
      </c>
      <c r="B62" s="12" t="s">
        <v>7041</v>
      </c>
      <c r="C62" s="12" t="s">
        <v>7042</v>
      </c>
      <c r="D62" s="85">
        <v>4283.6000000000004</v>
      </c>
      <c r="E62" s="12" t="s">
        <v>274</v>
      </c>
      <c r="F62" s="12" t="s">
        <v>982</v>
      </c>
      <c r="G62" s="12" t="s">
        <v>1333</v>
      </c>
      <c r="H62" s="84">
        <v>44973</v>
      </c>
      <c r="I62" s="84">
        <v>46069</v>
      </c>
    </row>
    <row r="63" spans="1:9">
      <c r="A63" s="10">
        <f t="shared" si="0"/>
        <v>60</v>
      </c>
      <c r="B63" s="12" t="s">
        <v>7043</v>
      </c>
      <c r="C63" s="12" t="s">
        <v>7044</v>
      </c>
      <c r="D63" s="85">
        <v>4094.29</v>
      </c>
      <c r="E63" s="12" t="s">
        <v>288</v>
      </c>
      <c r="F63" s="12" t="s">
        <v>3320</v>
      </c>
      <c r="G63" s="12" t="s">
        <v>7045</v>
      </c>
      <c r="H63" s="84">
        <v>44970</v>
      </c>
      <c r="I63" s="84">
        <v>46066</v>
      </c>
    </row>
    <row r="64" spans="1:9">
      <c r="A64" s="10">
        <f t="shared" si="0"/>
        <v>61</v>
      </c>
      <c r="B64" s="12" t="s">
        <v>7046</v>
      </c>
      <c r="C64" s="12" t="s">
        <v>856</v>
      </c>
      <c r="D64" s="85">
        <v>4450.05</v>
      </c>
      <c r="E64" s="12" t="s">
        <v>288</v>
      </c>
      <c r="F64" s="12" t="s">
        <v>7047</v>
      </c>
      <c r="G64" s="12" t="s">
        <v>7045</v>
      </c>
      <c r="H64" s="84">
        <v>44970</v>
      </c>
      <c r="I64" s="84">
        <v>46066</v>
      </c>
    </row>
    <row r="65" spans="1:9">
      <c r="A65" s="10">
        <f t="shared" si="0"/>
        <v>62</v>
      </c>
      <c r="B65" s="12" t="s">
        <v>7048</v>
      </c>
      <c r="C65" s="12" t="s">
        <v>7049</v>
      </c>
      <c r="D65" s="85">
        <v>141.38999999999999</v>
      </c>
      <c r="E65" s="12" t="s">
        <v>180</v>
      </c>
      <c r="F65" s="12" t="s">
        <v>927</v>
      </c>
      <c r="G65" s="12" t="s">
        <v>7031</v>
      </c>
      <c r="H65" s="84">
        <v>44966</v>
      </c>
      <c r="I65" s="84">
        <v>46062</v>
      </c>
    </row>
    <row r="66" spans="1:9">
      <c r="A66" s="10">
        <f t="shared" si="0"/>
        <v>63</v>
      </c>
      <c r="B66" s="12" t="s">
        <v>7050</v>
      </c>
      <c r="C66" s="12" t="s">
        <v>7051</v>
      </c>
      <c r="D66" s="85">
        <v>126.01</v>
      </c>
      <c r="E66" s="12" t="s">
        <v>782</v>
      </c>
      <c r="F66" s="12" t="s">
        <v>233</v>
      </c>
      <c r="G66" s="12" t="s">
        <v>7052</v>
      </c>
      <c r="H66" s="84">
        <v>44973</v>
      </c>
      <c r="I66" s="84">
        <v>46069</v>
      </c>
    </row>
    <row r="67" spans="1:9">
      <c r="A67" s="10">
        <f t="shared" si="0"/>
        <v>64</v>
      </c>
      <c r="B67" s="12" t="s">
        <v>7053</v>
      </c>
      <c r="C67" s="12" t="s">
        <v>7054</v>
      </c>
      <c r="D67" s="85">
        <v>1608.75</v>
      </c>
      <c r="E67" s="12" t="s">
        <v>782</v>
      </c>
      <c r="F67" s="12" t="s">
        <v>5596</v>
      </c>
      <c r="G67" s="12" t="s">
        <v>7055</v>
      </c>
      <c r="H67" s="84">
        <v>44964</v>
      </c>
      <c r="I67" s="84">
        <v>46060</v>
      </c>
    </row>
    <row r="68" spans="1:9">
      <c r="A68" s="10">
        <f t="shared" si="0"/>
        <v>65</v>
      </c>
      <c r="B68" s="12" t="s">
        <v>7056</v>
      </c>
      <c r="C68" s="12" t="s">
        <v>7057</v>
      </c>
      <c r="D68" s="85">
        <v>27.43</v>
      </c>
      <c r="E68" s="12" t="s">
        <v>782</v>
      </c>
      <c r="F68" s="12" t="s">
        <v>2842</v>
      </c>
      <c r="G68" s="12" t="s">
        <v>6756</v>
      </c>
      <c r="H68" s="84">
        <v>44973</v>
      </c>
      <c r="I68" s="84">
        <v>46069</v>
      </c>
    </row>
    <row r="69" spans="1:9">
      <c r="A69" s="10">
        <f t="shared" si="0"/>
        <v>66</v>
      </c>
      <c r="B69" s="12" t="s">
        <v>7058</v>
      </c>
      <c r="C69" s="12" t="s">
        <v>2975</v>
      </c>
      <c r="D69" s="85">
        <v>27194.14</v>
      </c>
      <c r="E69" s="12" t="s">
        <v>7059</v>
      </c>
      <c r="F69" s="12" t="s">
        <v>7060</v>
      </c>
      <c r="G69" s="12" t="s">
        <v>7013</v>
      </c>
      <c r="H69" s="84">
        <v>45005</v>
      </c>
      <c r="I69" s="84">
        <v>46101</v>
      </c>
    </row>
    <row r="70" spans="1:9">
      <c r="A70" s="10">
        <f t="shared" si="0"/>
        <v>67</v>
      </c>
      <c r="B70" s="12" t="s">
        <v>7061</v>
      </c>
      <c r="C70" s="12" t="s">
        <v>1080</v>
      </c>
      <c r="D70" s="85">
        <v>9155.56</v>
      </c>
      <c r="E70" s="12" t="s">
        <v>170</v>
      </c>
      <c r="F70" s="12" t="s">
        <v>1426</v>
      </c>
      <c r="G70" s="12" t="s">
        <v>7062</v>
      </c>
      <c r="H70" s="84">
        <v>44970</v>
      </c>
      <c r="I70" s="84">
        <v>46066</v>
      </c>
    </row>
    <row r="71" spans="1:9">
      <c r="A71" s="10">
        <f t="shared" ref="A71:A134" si="1">A70+1</f>
        <v>68</v>
      </c>
      <c r="B71" s="12" t="s">
        <v>7063</v>
      </c>
      <c r="C71" s="12" t="s">
        <v>7064</v>
      </c>
      <c r="D71" s="85">
        <v>43.23</v>
      </c>
      <c r="E71" s="12" t="s">
        <v>375</v>
      </c>
      <c r="F71" s="12" t="s">
        <v>1085</v>
      </c>
      <c r="G71" s="12" t="s">
        <v>5099</v>
      </c>
      <c r="H71" s="84">
        <v>44986</v>
      </c>
      <c r="I71" s="84">
        <v>46082</v>
      </c>
    </row>
    <row r="72" spans="1:9">
      <c r="A72" s="10">
        <f t="shared" si="1"/>
        <v>69</v>
      </c>
      <c r="B72" s="12" t="s">
        <v>7065</v>
      </c>
      <c r="C72" s="12" t="s">
        <v>7066</v>
      </c>
      <c r="D72" s="85">
        <v>2887.03</v>
      </c>
      <c r="E72" s="12" t="s">
        <v>375</v>
      </c>
      <c r="F72" s="12" t="s">
        <v>1279</v>
      </c>
      <c r="G72" s="12" t="s">
        <v>7067</v>
      </c>
      <c r="H72" s="84">
        <v>44985</v>
      </c>
      <c r="I72" s="84">
        <v>46081</v>
      </c>
    </row>
    <row r="73" spans="1:9">
      <c r="A73" s="10">
        <f t="shared" si="1"/>
        <v>70</v>
      </c>
      <c r="B73" s="12" t="s">
        <v>7068</v>
      </c>
      <c r="C73" s="12" t="s">
        <v>7069</v>
      </c>
      <c r="D73" s="85">
        <v>1127.73</v>
      </c>
      <c r="E73" s="12" t="s">
        <v>375</v>
      </c>
      <c r="F73" s="12" t="s">
        <v>1892</v>
      </c>
      <c r="G73" s="12" t="s">
        <v>6995</v>
      </c>
      <c r="H73" s="84">
        <v>44985</v>
      </c>
      <c r="I73" s="84">
        <v>46081</v>
      </c>
    </row>
    <row r="74" spans="1:9">
      <c r="A74" s="10">
        <f t="shared" si="1"/>
        <v>71</v>
      </c>
      <c r="B74" s="12" t="s">
        <v>7070</v>
      </c>
      <c r="C74" s="12" t="s">
        <v>7071</v>
      </c>
      <c r="D74" s="85">
        <v>704.88</v>
      </c>
      <c r="E74" s="12" t="s">
        <v>293</v>
      </c>
      <c r="F74" s="12" t="s">
        <v>3681</v>
      </c>
      <c r="G74" s="12" t="s">
        <v>6696</v>
      </c>
      <c r="H74" s="84">
        <v>44973</v>
      </c>
      <c r="I74" s="84">
        <v>46069</v>
      </c>
    </row>
    <row r="75" spans="1:9">
      <c r="A75" s="10">
        <f t="shared" si="1"/>
        <v>72</v>
      </c>
      <c r="B75" s="12" t="s">
        <v>7072</v>
      </c>
      <c r="C75" s="12" t="s">
        <v>7073</v>
      </c>
      <c r="D75" s="85">
        <v>987.87</v>
      </c>
      <c r="E75" s="12" t="s">
        <v>293</v>
      </c>
      <c r="F75" s="12" t="s">
        <v>815</v>
      </c>
      <c r="G75" s="12" t="s">
        <v>7074</v>
      </c>
      <c r="H75" s="84">
        <v>44973</v>
      </c>
      <c r="I75" s="84">
        <v>46069</v>
      </c>
    </row>
    <row r="76" spans="1:9">
      <c r="A76" s="10">
        <f t="shared" si="1"/>
        <v>73</v>
      </c>
      <c r="B76" s="12" t="s">
        <v>7075</v>
      </c>
      <c r="C76" s="12" t="s">
        <v>7076</v>
      </c>
      <c r="D76" s="85">
        <v>1512.44</v>
      </c>
      <c r="E76" s="12" t="s">
        <v>123</v>
      </c>
      <c r="F76" s="12" t="s">
        <v>836</v>
      </c>
      <c r="G76" s="12" t="s">
        <v>7031</v>
      </c>
      <c r="H76" s="84">
        <v>44966</v>
      </c>
      <c r="I76" s="84">
        <v>46062</v>
      </c>
    </row>
    <row r="77" spans="1:9">
      <c r="A77" s="10">
        <f t="shared" si="1"/>
        <v>74</v>
      </c>
      <c r="B77" s="12" t="s">
        <v>7077</v>
      </c>
      <c r="C77" s="12" t="s">
        <v>7078</v>
      </c>
      <c r="D77" s="85">
        <v>1190.33</v>
      </c>
      <c r="E77" s="12" t="s">
        <v>293</v>
      </c>
      <c r="F77" s="12" t="s">
        <v>815</v>
      </c>
      <c r="G77" s="12" t="s">
        <v>7031</v>
      </c>
      <c r="H77" s="84">
        <v>44966</v>
      </c>
      <c r="I77" s="84">
        <v>46062</v>
      </c>
    </row>
    <row r="78" spans="1:9">
      <c r="A78" s="10">
        <f t="shared" si="1"/>
        <v>75</v>
      </c>
      <c r="B78" s="12" t="s">
        <v>7079</v>
      </c>
      <c r="C78" s="12" t="s">
        <v>2133</v>
      </c>
      <c r="D78" s="85">
        <v>437.68</v>
      </c>
      <c r="E78" s="12" t="s">
        <v>1097</v>
      </c>
      <c r="F78" s="12" t="s">
        <v>1999</v>
      </c>
      <c r="G78" s="12" t="s">
        <v>7031</v>
      </c>
      <c r="H78" s="84">
        <v>44966</v>
      </c>
      <c r="I78" s="84">
        <v>46062</v>
      </c>
    </row>
    <row r="79" spans="1:9">
      <c r="A79" s="10">
        <f t="shared" si="1"/>
        <v>76</v>
      </c>
      <c r="B79" s="12" t="s">
        <v>7080</v>
      </c>
      <c r="C79" s="12" t="s">
        <v>7081</v>
      </c>
      <c r="D79" s="85">
        <v>725.51</v>
      </c>
      <c r="E79" s="12" t="s">
        <v>123</v>
      </c>
      <c r="F79" s="12" t="s">
        <v>2876</v>
      </c>
      <c r="G79" s="12" t="s">
        <v>3281</v>
      </c>
      <c r="H79" s="84">
        <v>44986</v>
      </c>
      <c r="I79" s="84">
        <v>46082</v>
      </c>
    </row>
    <row r="80" spans="1:9">
      <c r="A80" s="10">
        <f t="shared" si="1"/>
        <v>77</v>
      </c>
      <c r="B80" s="12" t="s">
        <v>7082</v>
      </c>
      <c r="C80" s="12" t="s">
        <v>7083</v>
      </c>
      <c r="D80" s="85">
        <v>4520.96</v>
      </c>
      <c r="E80" s="12" t="s">
        <v>782</v>
      </c>
      <c r="F80" s="12" t="s">
        <v>289</v>
      </c>
      <c r="G80" s="12" t="s">
        <v>5565</v>
      </c>
      <c r="H80" s="84">
        <v>44985</v>
      </c>
      <c r="I80" s="84">
        <v>46081</v>
      </c>
    </row>
    <row r="81" spans="1:9">
      <c r="A81" s="10">
        <f t="shared" si="1"/>
        <v>78</v>
      </c>
      <c r="B81" s="12" t="s">
        <v>7089</v>
      </c>
      <c r="C81" s="12" t="s">
        <v>7090</v>
      </c>
      <c r="D81" s="85">
        <v>122.03</v>
      </c>
      <c r="E81" s="12" t="s">
        <v>836</v>
      </c>
      <c r="F81" s="12" t="s">
        <v>7092</v>
      </c>
      <c r="G81" s="12" t="s">
        <v>7091</v>
      </c>
      <c r="H81" s="84">
        <v>45029</v>
      </c>
      <c r="I81" s="84">
        <v>46125</v>
      </c>
    </row>
    <row r="82" spans="1:9">
      <c r="A82" s="10">
        <f t="shared" si="1"/>
        <v>79</v>
      </c>
      <c r="B82" s="12" t="s">
        <v>7093</v>
      </c>
      <c r="C82" s="12" t="s">
        <v>7094</v>
      </c>
      <c r="D82" s="85">
        <v>3012.2</v>
      </c>
      <c r="E82" s="12" t="s">
        <v>782</v>
      </c>
      <c r="F82" s="12" t="s">
        <v>7096</v>
      </c>
      <c r="G82" s="12" t="s">
        <v>7095</v>
      </c>
      <c r="H82" s="84">
        <v>45037</v>
      </c>
      <c r="I82" s="84">
        <v>46133</v>
      </c>
    </row>
    <row r="83" spans="1:9">
      <c r="A83" s="10">
        <f t="shared" si="1"/>
        <v>80</v>
      </c>
      <c r="B83" s="12" t="s">
        <v>7097</v>
      </c>
      <c r="C83" s="12" t="s">
        <v>7098</v>
      </c>
      <c r="D83" s="85">
        <v>6694.34</v>
      </c>
      <c r="E83" s="12" t="s">
        <v>233</v>
      </c>
      <c r="F83" s="12" t="s">
        <v>2644</v>
      </c>
      <c r="G83" s="12" t="s">
        <v>7099</v>
      </c>
      <c r="H83" s="84">
        <v>45021</v>
      </c>
      <c r="I83" s="84">
        <v>46117</v>
      </c>
    </row>
    <row r="84" spans="1:9">
      <c r="A84" s="10">
        <f t="shared" si="1"/>
        <v>81</v>
      </c>
      <c r="B84" s="12" t="s">
        <v>7100</v>
      </c>
      <c r="C84" s="12" t="s">
        <v>7101</v>
      </c>
      <c r="D84" s="85">
        <v>511.48</v>
      </c>
      <c r="E84" s="12" t="s">
        <v>170</v>
      </c>
      <c r="F84" s="12" t="s">
        <v>205</v>
      </c>
      <c r="G84" s="12" t="s">
        <v>7102</v>
      </c>
      <c r="H84" s="84">
        <v>45028</v>
      </c>
      <c r="I84" s="84">
        <v>46124</v>
      </c>
    </row>
    <row r="85" spans="1:9">
      <c r="A85" s="10">
        <f t="shared" si="1"/>
        <v>82</v>
      </c>
      <c r="B85" s="12" t="s">
        <v>7103</v>
      </c>
      <c r="C85" s="12" t="s">
        <v>2510</v>
      </c>
      <c r="D85" s="85">
        <v>594.54999999999995</v>
      </c>
      <c r="E85" s="12" t="s">
        <v>170</v>
      </c>
      <c r="F85" s="12" t="s">
        <v>205</v>
      </c>
      <c r="G85" s="12" t="s">
        <v>7102</v>
      </c>
      <c r="H85" s="84">
        <v>45028</v>
      </c>
      <c r="I85" s="84">
        <v>46124</v>
      </c>
    </row>
    <row r="86" spans="1:9">
      <c r="A86" s="10">
        <f t="shared" si="1"/>
        <v>83</v>
      </c>
      <c r="B86" s="12" t="s">
        <v>7104</v>
      </c>
      <c r="C86" s="12" t="s">
        <v>7105</v>
      </c>
      <c r="D86" s="85">
        <v>744.8</v>
      </c>
      <c r="E86" s="12" t="s">
        <v>170</v>
      </c>
      <c r="F86" s="12" t="s">
        <v>205</v>
      </c>
      <c r="G86" s="12" t="s">
        <v>7106</v>
      </c>
      <c r="H86" s="84">
        <v>45020</v>
      </c>
      <c r="I86" s="84">
        <v>46116</v>
      </c>
    </row>
    <row r="87" spans="1:9">
      <c r="A87" s="10">
        <f t="shared" si="1"/>
        <v>84</v>
      </c>
      <c r="B87" s="12" t="s">
        <v>7107</v>
      </c>
      <c r="C87" s="12" t="s">
        <v>7108</v>
      </c>
      <c r="D87" s="85">
        <v>1408.1</v>
      </c>
      <c r="E87" s="12" t="s">
        <v>170</v>
      </c>
      <c r="F87" s="12" t="s">
        <v>205</v>
      </c>
      <c r="G87" s="12" t="s">
        <v>7109</v>
      </c>
      <c r="H87" s="84">
        <v>45027</v>
      </c>
      <c r="I87" s="84">
        <v>46123</v>
      </c>
    </row>
    <row r="88" spans="1:9">
      <c r="A88" s="10">
        <f t="shared" si="1"/>
        <v>85</v>
      </c>
      <c r="B88" s="12" t="s">
        <v>7110</v>
      </c>
      <c r="C88" s="12" t="s">
        <v>7111</v>
      </c>
      <c r="D88" s="85">
        <v>1343.94</v>
      </c>
      <c r="E88" s="12" t="s">
        <v>375</v>
      </c>
      <c r="F88" s="12" t="s">
        <v>4135</v>
      </c>
      <c r="G88" s="12" t="s">
        <v>7112</v>
      </c>
      <c r="H88" s="84">
        <v>45019</v>
      </c>
      <c r="I88" s="84">
        <v>46115</v>
      </c>
    </row>
    <row r="89" spans="1:9">
      <c r="A89" s="10">
        <f t="shared" si="1"/>
        <v>86</v>
      </c>
      <c r="B89" s="12" t="s">
        <v>7113</v>
      </c>
      <c r="C89" s="12" t="s">
        <v>7114</v>
      </c>
      <c r="D89" s="85">
        <v>1282.31</v>
      </c>
      <c r="E89" s="12" t="s">
        <v>1014</v>
      </c>
      <c r="F89" s="12" t="s">
        <v>3357</v>
      </c>
      <c r="G89" s="12" t="s">
        <v>7115</v>
      </c>
      <c r="H89" s="84">
        <v>45027</v>
      </c>
      <c r="I89" s="84">
        <v>46123</v>
      </c>
    </row>
    <row r="90" spans="1:9">
      <c r="A90" s="10">
        <f t="shared" si="1"/>
        <v>87</v>
      </c>
      <c r="B90" s="12" t="s">
        <v>7116</v>
      </c>
      <c r="C90" s="12" t="s">
        <v>7117</v>
      </c>
      <c r="D90" s="85">
        <v>5668.6</v>
      </c>
      <c r="E90" s="12" t="s">
        <v>1014</v>
      </c>
      <c r="F90" s="12" t="s">
        <v>3357</v>
      </c>
      <c r="G90" s="12" t="s">
        <v>7118</v>
      </c>
      <c r="H90" s="84">
        <v>45033</v>
      </c>
      <c r="I90" s="84">
        <v>46129</v>
      </c>
    </row>
    <row r="91" spans="1:9">
      <c r="A91" s="10">
        <f t="shared" si="1"/>
        <v>88</v>
      </c>
      <c r="B91" s="12" t="s">
        <v>7119</v>
      </c>
      <c r="C91" s="12" t="s">
        <v>7120</v>
      </c>
      <c r="D91" s="85">
        <v>1556.33</v>
      </c>
      <c r="E91" s="12" t="s">
        <v>1014</v>
      </c>
      <c r="F91" s="12" t="s">
        <v>1023</v>
      </c>
      <c r="G91" s="12" t="s">
        <v>5565</v>
      </c>
      <c r="H91" s="84">
        <v>45020</v>
      </c>
      <c r="I91" s="84">
        <v>46116</v>
      </c>
    </row>
    <row r="92" spans="1:9">
      <c r="A92" s="10">
        <f t="shared" si="1"/>
        <v>89</v>
      </c>
      <c r="B92" s="12" t="s">
        <v>7121</v>
      </c>
      <c r="C92" s="12" t="s">
        <v>1533</v>
      </c>
      <c r="D92" s="85">
        <v>552.98</v>
      </c>
      <c r="E92" s="12" t="s">
        <v>375</v>
      </c>
      <c r="F92" s="12" t="s">
        <v>7122</v>
      </c>
      <c r="G92" s="12" t="s">
        <v>7112</v>
      </c>
      <c r="H92" s="84">
        <v>45019</v>
      </c>
      <c r="I92" s="84">
        <v>46115</v>
      </c>
    </row>
    <row r="93" spans="1:9">
      <c r="A93" s="10">
        <f t="shared" si="1"/>
        <v>90</v>
      </c>
      <c r="B93" s="12" t="s">
        <v>7123</v>
      </c>
      <c r="C93" s="12" t="s">
        <v>5076</v>
      </c>
      <c r="D93" s="85">
        <v>5461.82</v>
      </c>
      <c r="E93" s="12" t="s">
        <v>1102</v>
      </c>
      <c r="F93" s="12" t="s">
        <v>3357</v>
      </c>
      <c r="G93" s="12" t="s">
        <v>7095</v>
      </c>
      <c r="H93" s="84">
        <v>45037</v>
      </c>
      <c r="I93" s="84">
        <v>46133</v>
      </c>
    </row>
    <row r="94" spans="1:9">
      <c r="A94" s="10">
        <f t="shared" si="1"/>
        <v>91</v>
      </c>
      <c r="B94" s="12" t="s">
        <v>7124</v>
      </c>
      <c r="C94" s="12" t="s">
        <v>7125</v>
      </c>
      <c r="D94" s="85">
        <v>7249.93</v>
      </c>
      <c r="E94" s="12" t="s">
        <v>170</v>
      </c>
      <c r="F94" s="12" t="s">
        <v>1426</v>
      </c>
      <c r="G94" s="12" t="s">
        <v>3244</v>
      </c>
      <c r="H94" s="84">
        <v>45028</v>
      </c>
      <c r="I94" s="84">
        <v>46124</v>
      </c>
    </row>
    <row r="95" spans="1:9">
      <c r="A95" s="10">
        <f t="shared" si="1"/>
        <v>92</v>
      </c>
      <c r="B95" s="12" t="s">
        <v>7126</v>
      </c>
      <c r="C95" s="12" t="s">
        <v>7127</v>
      </c>
      <c r="D95" s="85">
        <v>1044.6400000000001</v>
      </c>
      <c r="E95" s="12" t="s">
        <v>1102</v>
      </c>
      <c r="F95" s="12" t="s">
        <v>836</v>
      </c>
      <c r="G95" s="12" t="s">
        <v>3281</v>
      </c>
      <c r="H95" s="84">
        <v>45019</v>
      </c>
      <c r="I95" s="84">
        <v>46115</v>
      </c>
    </row>
    <row r="96" spans="1:9">
      <c r="A96" s="10">
        <f t="shared" si="1"/>
        <v>93</v>
      </c>
      <c r="B96" s="12" t="s">
        <v>7128</v>
      </c>
      <c r="C96" s="12" t="s">
        <v>836</v>
      </c>
      <c r="D96" s="85">
        <v>2928.61</v>
      </c>
      <c r="E96" s="12" t="s">
        <v>1102</v>
      </c>
      <c r="F96" s="12" t="s">
        <v>836</v>
      </c>
      <c r="G96" s="12" t="s">
        <v>3281</v>
      </c>
      <c r="H96" s="84">
        <v>45019</v>
      </c>
      <c r="I96" s="84">
        <v>46115</v>
      </c>
    </row>
    <row r="97" spans="1:9">
      <c r="A97" s="10">
        <f t="shared" si="1"/>
        <v>94</v>
      </c>
      <c r="B97" s="12" t="s">
        <v>7129</v>
      </c>
      <c r="C97" s="12" t="s">
        <v>5553</v>
      </c>
      <c r="D97" s="85">
        <v>2225.6999999999998</v>
      </c>
      <c r="E97" s="12" t="s">
        <v>768</v>
      </c>
      <c r="F97" s="12" t="s">
        <v>769</v>
      </c>
      <c r="G97" s="12" t="s">
        <v>4463</v>
      </c>
      <c r="H97" s="84">
        <v>45033</v>
      </c>
      <c r="I97" s="84">
        <v>46129</v>
      </c>
    </row>
    <row r="98" spans="1:9">
      <c r="A98" s="10">
        <f t="shared" si="1"/>
        <v>95</v>
      </c>
      <c r="B98" s="12" t="s">
        <v>7130</v>
      </c>
      <c r="C98" s="12" t="s">
        <v>3222</v>
      </c>
      <c r="D98" s="85">
        <v>29.06</v>
      </c>
      <c r="E98" s="12" t="s">
        <v>1014</v>
      </c>
      <c r="F98" s="12" t="s">
        <v>1699</v>
      </c>
      <c r="G98" s="12" t="s">
        <v>7131</v>
      </c>
      <c r="H98" s="84">
        <v>45027</v>
      </c>
      <c r="I98" s="84">
        <v>46123</v>
      </c>
    </row>
    <row r="99" spans="1:9">
      <c r="A99" s="10">
        <f t="shared" si="1"/>
        <v>96</v>
      </c>
      <c r="B99" s="12" t="s">
        <v>7132</v>
      </c>
      <c r="C99" s="12" t="s">
        <v>7133</v>
      </c>
      <c r="D99" s="85">
        <v>3586.12</v>
      </c>
      <c r="E99" s="12" t="s">
        <v>1014</v>
      </c>
      <c r="F99" s="12" t="s">
        <v>3222</v>
      </c>
      <c r="G99" s="12" t="s">
        <v>6722</v>
      </c>
      <c r="H99" s="84">
        <v>45033</v>
      </c>
      <c r="I99" s="84">
        <v>46129</v>
      </c>
    </row>
    <row r="100" spans="1:9">
      <c r="A100" s="10">
        <f t="shared" si="1"/>
        <v>97</v>
      </c>
      <c r="B100" s="12" t="s">
        <v>7134</v>
      </c>
      <c r="C100" s="12" t="s">
        <v>7135</v>
      </c>
      <c r="D100" s="85">
        <v>658.57</v>
      </c>
      <c r="E100" s="12" t="s">
        <v>293</v>
      </c>
      <c r="F100" s="12" t="s">
        <v>181</v>
      </c>
      <c r="G100" s="12" t="s">
        <v>7106</v>
      </c>
      <c r="H100" s="84">
        <v>45020</v>
      </c>
      <c r="I100" s="84">
        <v>46116</v>
      </c>
    </row>
    <row r="101" spans="1:9">
      <c r="A101" s="10">
        <f t="shared" si="1"/>
        <v>98</v>
      </c>
      <c r="B101" s="12" t="s">
        <v>7136</v>
      </c>
      <c r="C101" s="12" t="s">
        <v>7137</v>
      </c>
      <c r="D101" s="85">
        <v>1814.68</v>
      </c>
      <c r="E101" s="12" t="s">
        <v>1014</v>
      </c>
      <c r="F101" s="12" t="s">
        <v>7138</v>
      </c>
      <c r="G101" s="12" t="s">
        <v>7010</v>
      </c>
      <c r="H101" s="84">
        <v>45065</v>
      </c>
      <c r="I101" s="84">
        <v>46161</v>
      </c>
    </row>
    <row r="102" spans="1:9">
      <c r="A102" s="10">
        <f t="shared" si="1"/>
        <v>99</v>
      </c>
      <c r="B102" s="12" t="s">
        <v>7139</v>
      </c>
      <c r="C102" s="12" t="s">
        <v>7140</v>
      </c>
      <c r="D102" s="85">
        <v>761.09</v>
      </c>
      <c r="E102" s="12" t="s">
        <v>1014</v>
      </c>
      <c r="F102" s="12" t="s">
        <v>7138</v>
      </c>
      <c r="G102" s="12" t="s">
        <v>7034</v>
      </c>
      <c r="H102" s="84">
        <v>45056</v>
      </c>
      <c r="I102" s="84">
        <v>46152</v>
      </c>
    </row>
    <row r="103" spans="1:9">
      <c r="A103" s="10">
        <f t="shared" si="1"/>
        <v>100</v>
      </c>
      <c r="B103" s="12" t="s">
        <v>7141</v>
      </c>
      <c r="C103" s="12" t="s">
        <v>1251</v>
      </c>
      <c r="D103" s="85">
        <v>23374.48</v>
      </c>
      <c r="E103" s="12" t="s">
        <v>1102</v>
      </c>
      <c r="F103" s="12" t="s">
        <v>1103</v>
      </c>
      <c r="G103" s="12" t="s">
        <v>6968</v>
      </c>
      <c r="H103" s="84">
        <v>45056</v>
      </c>
      <c r="I103" s="84">
        <v>46152</v>
      </c>
    </row>
    <row r="104" spans="1:9">
      <c r="A104" s="10">
        <f t="shared" si="1"/>
        <v>101</v>
      </c>
      <c r="B104" s="12" t="s">
        <v>7142</v>
      </c>
      <c r="C104" s="12" t="s">
        <v>7143</v>
      </c>
      <c r="D104" s="85">
        <v>968.39</v>
      </c>
      <c r="E104" s="12" t="s">
        <v>1102</v>
      </c>
      <c r="F104" s="12" t="s">
        <v>1103</v>
      </c>
      <c r="G104" s="12" t="s">
        <v>7010</v>
      </c>
      <c r="H104" s="84">
        <v>45065</v>
      </c>
      <c r="I104" s="84">
        <v>46161</v>
      </c>
    </row>
    <row r="105" spans="1:9">
      <c r="A105" s="10">
        <f t="shared" si="1"/>
        <v>102</v>
      </c>
      <c r="B105" s="12" t="s">
        <v>7144</v>
      </c>
      <c r="C105" s="12" t="s">
        <v>7145</v>
      </c>
      <c r="D105" s="85">
        <v>1027.7</v>
      </c>
      <c r="E105" s="12" t="s">
        <v>274</v>
      </c>
      <c r="F105" s="12" t="s">
        <v>7147</v>
      </c>
      <c r="G105" s="12" t="s">
        <v>7146</v>
      </c>
      <c r="H105" s="84">
        <v>45069</v>
      </c>
      <c r="I105" s="84">
        <v>46165</v>
      </c>
    </row>
    <row r="106" spans="1:9">
      <c r="A106" s="10">
        <f t="shared" si="1"/>
        <v>103</v>
      </c>
      <c r="B106" s="12" t="s">
        <v>7148</v>
      </c>
      <c r="C106" s="12" t="s">
        <v>7149</v>
      </c>
      <c r="D106" s="85">
        <v>429.73</v>
      </c>
      <c r="E106" s="12" t="s">
        <v>293</v>
      </c>
      <c r="F106" s="12" t="s">
        <v>124</v>
      </c>
      <c r="G106" s="12" t="s">
        <v>7150</v>
      </c>
      <c r="H106" s="84">
        <v>45049</v>
      </c>
      <c r="I106" s="84">
        <v>46145</v>
      </c>
    </row>
    <row r="107" spans="1:9">
      <c r="A107" s="10">
        <f t="shared" si="1"/>
        <v>104</v>
      </c>
      <c r="B107" s="12" t="s">
        <v>7151</v>
      </c>
      <c r="C107" s="12" t="s">
        <v>7152</v>
      </c>
      <c r="D107" s="85">
        <v>449.33</v>
      </c>
      <c r="E107" s="12" t="s">
        <v>274</v>
      </c>
      <c r="F107" s="12" t="s">
        <v>6728</v>
      </c>
      <c r="G107" s="12" t="s">
        <v>7010</v>
      </c>
      <c r="H107" s="84">
        <v>45065</v>
      </c>
      <c r="I107" s="84">
        <v>46161</v>
      </c>
    </row>
    <row r="108" spans="1:9">
      <c r="A108" s="10">
        <f t="shared" si="1"/>
        <v>105</v>
      </c>
      <c r="B108" s="12" t="s">
        <v>7153</v>
      </c>
      <c r="C108" s="12" t="s">
        <v>7154</v>
      </c>
      <c r="D108" s="85">
        <v>1072.52</v>
      </c>
      <c r="E108" s="12" t="s">
        <v>293</v>
      </c>
      <c r="F108" s="12" t="s">
        <v>3681</v>
      </c>
      <c r="G108" s="12" t="s">
        <v>7155</v>
      </c>
      <c r="H108" s="84">
        <v>45062</v>
      </c>
      <c r="I108" s="84">
        <v>46158</v>
      </c>
    </row>
    <row r="109" spans="1:9">
      <c r="A109" s="10">
        <f t="shared" si="1"/>
        <v>106</v>
      </c>
      <c r="B109" s="12" t="s">
        <v>7156</v>
      </c>
      <c r="C109" s="12" t="s">
        <v>7157</v>
      </c>
      <c r="D109" s="85">
        <v>2002.77</v>
      </c>
      <c r="E109" s="12" t="s">
        <v>836</v>
      </c>
      <c r="F109" s="12" t="s">
        <v>3649</v>
      </c>
      <c r="G109" s="12" t="s">
        <v>7158</v>
      </c>
      <c r="H109" s="84">
        <v>45051</v>
      </c>
      <c r="I109" s="84">
        <v>46147</v>
      </c>
    </row>
    <row r="110" spans="1:9">
      <c r="A110" s="10">
        <f t="shared" si="1"/>
        <v>107</v>
      </c>
      <c r="B110" s="12" t="s">
        <v>7159</v>
      </c>
      <c r="C110" s="12" t="s">
        <v>7160</v>
      </c>
      <c r="D110" s="85">
        <v>4556.18</v>
      </c>
      <c r="E110" s="12" t="s">
        <v>293</v>
      </c>
      <c r="F110" s="12" t="s">
        <v>815</v>
      </c>
      <c r="G110" s="12" t="s">
        <v>7161</v>
      </c>
      <c r="H110" s="84">
        <v>45054</v>
      </c>
      <c r="I110" s="84">
        <v>46150</v>
      </c>
    </row>
    <row r="111" spans="1:9">
      <c r="A111" s="10">
        <f t="shared" si="1"/>
        <v>108</v>
      </c>
      <c r="B111" s="12" t="s">
        <v>7162</v>
      </c>
      <c r="C111" s="12" t="s">
        <v>7163</v>
      </c>
      <c r="D111" s="85">
        <v>1010.74</v>
      </c>
      <c r="E111" s="12" t="s">
        <v>1242</v>
      </c>
      <c r="F111" s="12" t="s">
        <v>5059</v>
      </c>
      <c r="G111" s="12" t="s">
        <v>7095</v>
      </c>
      <c r="H111" s="84">
        <v>45064</v>
      </c>
      <c r="I111" s="84">
        <v>46160</v>
      </c>
    </row>
    <row r="112" spans="1:9">
      <c r="A112" s="10">
        <f t="shared" si="1"/>
        <v>109</v>
      </c>
      <c r="B112" s="12" t="s">
        <v>7164</v>
      </c>
      <c r="C112" s="12" t="s">
        <v>775</v>
      </c>
      <c r="D112" s="85">
        <v>1155.25</v>
      </c>
      <c r="E112" s="12" t="s">
        <v>304</v>
      </c>
      <c r="F112" s="12" t="s">
        <v>777</v>
      </c>
      <c r="G112" s="12" t="s">
        <v>7165</v>
      </c>
      <c r="H112" s="84">
        <v>45069</v>
      </c>
      <c r="I112" s="84">
        <v>46165</v>
      </c>
    </row>
    <row r="113" spans="1:9">
      <c r="A113" s="10">
        <f t="shared" si="1"/>
        <v>110</v>
      </c>
      <c r="B113" s="12" t="s">
        <v>7166</v>
      </c>
      <c r="C113" s="12" t="s">
        <v>7167</v>
      </c>
      <c r="D113" s="85">
        <v>136.80000000000001</v>
      </c>
      <c r="E113" s="12" t="s">
        <v>782</v>
      </c>
      <c r="F113" s="12" t="s">
        <v>783</v>
      </c>
      <c r="G113" s="12" t="s">
        <v>1446</v>
      </c>
      <c r="H113" s="84">
        <v>45079</v>
      </c>
      <c r="I113" s="84">
        <v>46175</v>
      </c>
    </row>
    <row r="114" spans="1:9">
      <c r="A114" s="10">
        <f t="shared" si="1"/>
        <v>111</v>
      </c>
      <c r="B114" s="12" t="s">
        <v>7168</v>
      </c>
      <c r="C114" s="12" t="s">
        <v>7169</v>
      </c>
      <c r="D114" s="85">
        <v>918.52</v>
      </c>
      <c r="E114" s="12" t="s">
        <v>782</v>
      </c>
      <c r="F114" s="12" t="s">
        <v>5415</v>
      </c>
      <c r="G114" s="12" t="s">
        <v>7170</v>
      </c>
      <c r="H114" s="84">
        <v>45069</v>
      </c>
      <c r="I114" s="84">
        <v>46165</v>
      </c>
    </row>
    <row r="115" spans="1:9">
      <c r="A115" s="10">
        <f t="shared" si="1"/>
        <v>112</v>
      </c>
      <c r="B115" s="12" t="s">
        <v>7171</v>
      </c>
      <c r="C115" s="12" t="s">
        <v>7172</v>
      </c>
      <c r="D115" s="85">
        <v>98.12</v>
      </c>
      <c r="E115" s="12" t="s">
        <v>170</v>
      </c>
      <c r="F115" s="12" t="s">
        <v>6060</v>
      </c>
      <c r="G115" s="12" t="s">
        <v>7173</v>
      </c>
      <c r="H115" s="84">
        <v>45071</v>
      </c>
      <c r="I115" s="84">
        <v>46167</v>
      </c>
    </row>
    <row r="116" spans="1:9">
      <c r="A116" s="10">
        <f t="shared" si="1"/>
        <v>113</v>
      </c>
      <c r="B116" s="12" t="s">
        <v>7174</v>
      </c>
      <c r="C116" s="12" t="s">
        <v>6701</v>
      </c>
      <c r="D116" s="85">
        <v>4123.55</v>
      </c>
      <c r="E116" s="12" t="s">
        <v>233</v>
      </c>
      <c r="F116" s="12" t="s">
        <v>5031</v>
      </c>
      <c r="G116" s="12" t="s">
        <v>7175</v>
      </c>
      <c r="H116" s="84">
        <v>45065</v>
      </c>
      <c r="I116" s="84">
        <v>46161</v>
      </c>
    </row>
    <row r="117" spans="1:9">
      <c r="A117" s="10">
        <f t="shared" si="1"/>
        <v>114</v>
      </c>
      <c r="B117" s="12" t="s">
        <v>7176</v>
      </c>
      <c r="C117" s="12" t="s">
        <v>7177</v>
      </c>
      <c r="D117" s="85">
        <v>2020.92</v>
      </c>
      <c r="E117" s="12" t="s">
        <v>233</v>
      </c>
      <c r="F117" s="12" t="s">
        <v>5031</v>
      </c>
      <c r="G117" s="12" t="s">
        <v>5519</v>
      </c>
      <c r="H117" s="84">
        <v>45079</v>
      </c>
      <c r="I117" s="84">
        <v>46175</v>
      </c>
    </row>
    <row r="118" spans="1:9">
      <c r="A118" s="10">
        <f t="shared" si="1"/>
        <v>115</v>
      </c>
      <c r="B118" s="12" t="s">
        <v>7178</v>
      </c>
      <c r="C118" s="12" t="s">
        <v>971</v>
      </c>
      <c r="D118" s="85">
        <v>3554.26</v>
      </c>
      <c r="E118" s="12" t="s">
        <v>1102</v>
      </c>
      <c r="F118" s="12" t="s">
        <v>3628</v>
      </c>
      <c r="G118" s="12" t="s">
        <v>7118</v>
      </c>
      <c r="H118" s="84">
        <v>45092</v>
      </c>
      <c r="I118" s="84">
        <v>46188</v>
      </c>
    </row>
    <row r="119" spans="1:9">
      <c r="A119" s="10">
        <f t="shared" si="1"/>
        <v>116</v>
      </c>
      <c r="B119" s="12" t="s">
        <v>7179</v>
      </c>
      <c r="C119" s="12" t="s">
        <v>7180</v>
      </c>
      <c r="D119" s="85">
        <v>1031.68</v>
      </c>
      <c r="E119" s="12" t="s">
        <v>293</v>
      </c>
      <c r="F119" s="12" t="s">
        <v>2290</v>
      </c>
      <c r="G119" s="12" t="s">
        <v>7181</v>
      </c>
      <c r="H119" s="84">
        <v>45065</v>
      </c>
      <c r="I119" s="84">
        <v>46161</v>
      </c>
    </row>
    <row r="120" spans="1:9">
      <c r="A120" s="10">
        <f t="shared" si="1"/>
        <v>117</v>
      </c>
      <c r="B120" s="12" t="s">
        <v>7182</v>
      </c>
      <c r="C120" s="12" t="s">
        <v>7183</v>
      </c>
      <c r="D120" s="85">
        <v>10730.89</v>
      </c>
      <c r="E120" s="12" t="s">
        <v>1242</v>
      </c>
      <c r="F120" s="12" t="s">
        <v>1243</v>
      </c>
      <c r="G120" s="12" t="s">
        <v>7095</v>
      </c>
      <c r="H120" s="84">
        <v>45110</v>
      </c>
      <c r="I120" s="84">
        <v>46206</v>
      </c>
    </row>
    <row r="121" spans="1:9">
      <c r="A121" s="10">
        <f t="shared" si="1"/>
        <v>118</v>
      </c>
      <c r="B121" s="12" t="s">
        <v>7184</v>
      </c>
      <c r="C121" s="12" t="s">
        <v>7185</v>
      </c>
      <c r="D121" s="85">
        <v>7472.41</v>
      </c>
      <c r="E121" s="12" t="s">
        <v>1242</v>
      </c>
      <c r="F121" s="12" t="s">
        <v>1243</v>
      </c>
      <c r="G121" s="12" t="s">
        <v>7095</v>
      </c>
      <c r="H121" s="84">
        <v>45110</v>
      </c>
      <c r="I121" s="84">
        <v>46206</v>
      </c>
    </row>
    <row r="122" spans="1:9">
      <c r="A122" s="10">
        <f t="shared" si="1"/>
        <v>119</v>
      </c>
      <c r="B122" s="12" t="s">
        <v>7186</v>
      </c>
      <c r="C122" s="12" t="s">
        <v>7187</v>
      </c>
      <c r="D122" s="85">
        <v>2657</v>
      </c>
      <c r="E122" s="12" t="s">
        <v>1102</v>
      </c>
      <c r="F122" s="12" t="s">
        <v>1550</v>
      </c>
      <c r="G122" s="12" t="s">
        <v>6086</v>
      </c>
      <c r="H122" s="84">
        <v>45075</v>
      </c>
      <c r="I122" s="84">
        <v>46171</v>
      </c>
    </row>
    <row r="123" spans="1:9">
      <c r="A123" s="10">
        <f t="shared" si="1"/>
        <v>120</v>
      </c>
      <c r="B123" s="12" t="s">
        <v>7188</v>
      </c>
      <c r="C123" s="12" t="s">
        <v>3703</v>
      </c>
      <c r="D123" s="85">
        <v>10060.9</v>
      </c>
      <c r="E123" s="12" t="s">
        <v>304</v>
      </c>
      <c r="F123" s="12" t="s">
        <v>7190</v>
      </c>
      <c r="G123" s="12" t="s">
        <v>7189</v>
      </c>
      <c r="H123" s="84">
        <v>45065</v>
      </c>
      <c r="I123" s="84">
        <v>46161</v>
      </c>
    </row>
    <row r="124" spans="1:9">
      <c r="A124" s="10">
        <f t="shared" si="1"/>
        <v>121</v>
      </c>
      <c r="B124" s="12" t="s">
        <v>7191</v>
      </c>
      <c r="C124" s="12" t="s">
        <v>7192</v>
      </c>
      <c r="D124" s="85">
        <v>178.16</v>
      </c>
      <c r="E124" s="12" t="s">
        <v>180</v>
      </c>
      <c r="F124" s="12" t="s">
        <v>927</v>
      </c>
      <c r="G124" s="12" t="s">
        <v>7193</v>
      </c>
      <c r="H124" s="84">
        <v>45065</v>
      </c>
      <c r="I124" s="84">
        <v>46161</v>
      </c>
    </row>
    <row r="125" spans="1:9">
      <c r="A125" s="10">
        <f t="shared" si="1"/>
        <v>122</v>
      </c>
      <c r="B125" s="12" t="s">
        <v>7194</v>
      </c>
      <c r="C125" s="12" t="s">
        <v>7195</v>
      </c>
      <c r="D125" s="85">
        <v>247.79</v>
      </c>
      <c r="E125" s="12" t="s">
        <v>123</v>
      </c>
      <c r="F125" s="12" t="s">
        <v>272</v>
      </c>
      <c r="G125" s="12" t="s">
        <v>7196</v>
      </c>
      <c r="H125" s="84">
        <v>45065</v>
      </c>
      <c r="I125" s="84">
        <v>46161</v>
      </c>
    </row>
    <row r="126" spans="1:9">
      <c r="A126" s="10">
        <f t="shared" si="1"/>
        <v>123</v>
      </c>
      <c r="B126" s="12" t="s">
        <v>7197</v>
      </c>
      <c r="C126" s="12" t="s">
        <v>7198</v>
      </c>
      <c r="D126" s="85">
        <v>9712.52</v>
      </c>
      <c r="E126" s="12" t="s">
        <v>1242</v>
      </c>
      <c r="F126" s="12" t="s">
        <v>1243</v>
      </c>
      <c r="G126" s="12" t="s">
        <v>7146</v>
      </c>
      <c r="H126" s="84">
        <v>45065</v>
      </c>
      <c r="I126" s="84">
        <v>46161</v>
      </c>
    </row>
    <row r="127" spans="1:9">
      <c r="A127" s="10">
        <f t="shared" si="1"/>
        <v>124</v>
      </c>
      <c r="B127" s="12" t="s">
        <v>7199</v>
      </c>
      <c r="C127" s="12" t="s">
        <v>2347</v>
      </c>
      <c r="D127" s="85">
        <v>535.82000000000005</v>
      </c>
      <c r="E127" s="12" t="s">
        <v>293</v>
      </c>
      <c r="F127" s="12" t="s">
        <v>124</v>
      </c>
      <c r="G127" s="12" t="s">
        <v>7200</v>
      </c>
      <c r="H127" s="84">
        <v>45076</v>
      </c>
      <c r="I127" s="84">
        <v>46172</v>
      </c>
    </row>
    <row r="128" spans="1:9">
      <c r="A128" s="10">
        <f t="shared" si="1"/>
        <v>125</v>
      </c>
      <c r="B128" s="12" t="s">
        <v>7201</v>
      </c>
      <c r="C128" s="12" t="s">
        <v>7202</v>
      </c>
      <c r="D128" s="85">
        <v>399.29</v>
      </c>
      <c r="E128" s="12" t="s">
        <v>293</v>
      </c>
      <c r="F128" s="12" t="s">
        <v>815</v>
      </c>
      <c r="G128" s="12" t="s">
        <v>7189</v>
      </c>
      <c r="H128" s="84">
        <v>45083</v>
      </c>
      <c r="I128" s="84">
        <v>46179</v>
      </c>
    </row>
    <row r="129" spans="1:9">
      <c r="A129" s="10">
        <f t="shared" si="1"/>
        <v>126</v>
      </c>
      <c r="B129" s="12" t="s">
        <v>7203</v>
      </c>
      <c r="C129" s="12" t="s">
        <v>7204</v>
      </c>
      <c r="D129" s="85">
        <v>2043.72</v>
      </c>
      <c r="E129" s="12" t="s">
        <v>170</v>
      </c>
      <c r="F129" s="12" t="s">
        <v>2450</v>
      </c>
      <c r="G129" s="12" t="s">
        <v>7205</v>
      </c>
      <c r="H129" s="84">
        <v>45093</v>
      </c>
      <c r="I129" s="84">
        <v>46189</v>
      </c>
    </row>
    <row r="130" spans="1:9">
      <c r="A130" s="10">
        <f t="shared" si="1"/>
        <v>127</v>
      </c>
      <c r="B130" s="12" t="s">
        <v>7206</v>
      </c>
      <c r="C130" s="12" t="s">
        <v>7207</v>
      </c>
      <c r="D130" s="85">
        <v>4049.16</v>
      </c>
      <c r="E130" s="12" t="s">
        <v>170</v>
      </c>
      <c r="F130" s="12" t="s">
        <v>924</v>
      </c>
      <c r="G130" s="12" t="s">
        <v>7205</v>
      </c>
      <c r="H130" s="84">
        <v>45093</v>
      </c>
      <c r="I130" s="84">
        <v>46189</v>
      </c>
    </row>
    <row r="131" spans="1:9">
      <c r="A131" s="10">
        <f t="shared" si="1"/>
        <v>128</v>
      </c>
      <c r="B131" s="12" t="s">
        <v>7208</v>
      </c>
      <c r="C131" s="12" t="s">
        <v>5587</v>
      </c>
      <c r="D131" s="85">
        <v>10765</v>
      </c>
      <c r="E131" s="12" t="s">
        <v>170</v>
      </c>
      <c r="F131" s="12" t="s">
        <v>2450</v>
      </c>
      <c r="G131" s="12" t="s">
        <v>7209</v>
      </c>
      <c r="H131" s="84">
        <v>45093</v>
      </c>
      <c r="I131" s="84">
        <v>46189</v>
      </c>
    </row>
    <row r="132" spans="1:9">
      <c r="A132" s="10">
        <f t="shared" si="1"/>
        <v>129</v>
      </c>
      <c r="B132" s="12" t="s">
        <v>7210</v>
      </c>
      <c r="C132" s="12" t="s">
        <v>7211</v>
      </c>
      <c r="D132" s="85">
        <v>4333.54</v>
      </c>
      <c r="E132" s="12" t="s">
        <v>138</v>
      </c>
      <c r="F132" s="12" t="s">
        <v>1806</v>
      </c>
      <c r="G132" s="12" t="s">
        <v>7212</v>
      </c>
      <c r="H132" s="84">
        <v>45105</v>
      </c>
      <c r="I132" s="84">
        <v>46201</v>
      </c>
    </row>
    <row r="133" spans="1:9">
      <c r="A133" s="10">
        <f t="shared" si="1"/>
        <v>130</v>
      </c>
      <c r="B133" s="12" t="s">
        <v>7213</v>
      </c>
      <c r="C133" s="12" t="s">
        <v>7214</v>
      </c>
      <c r="D133" s="85">
        <v>1260.6300000000001</v>
      </c>
      <c r="E133" s="12" t="s">
        <v>170</v>
      </c>
      <c r="F133" s="12" t="s">
        <v>802</v>
      </c>
      <c r="G133" s="12" t="s">
        <v>7215</v>
      </c>
      <c r="H133" s="84">
        <v>45092</v>
      </c>
      <c r="I133" s="84">
        <v>46188</v>
      </c>
    </row>
    <row r="134" spans="1:9">
      <c r="A134" s="10">
        <f t="shared" si="1"/>
        <v>131</v>
      </c>
      <c r="B134" s="12" t="s">
        <v>7216</v>
      </c>
      <c r="C134" s="12" t="s">
        <v>7217</v>
      </c>
      <c r="D134" s="85">
        <v>2799.8</v>
      </c>
      <c r="E134" s="12" t="s">
        <v>1014</v>
      </c>
      <c r="F134" s="12" t="s">
        <v>3222</v>
      </c>
      <c r="G134" s="12" t="s">
        <v>5565</v>
      </c>
      <c r="H134" s="84">
        <v>45107</v>
      </c>
      <c r="I134" s="84">
        <v>46203</v>
      </c>
    </row>
    <row r="135" spans="1:9">
      <c r="A135" s="10">
        <f t="shared" ref="A135:A198" si="2">A134+1</f>
        <v>132</v>
      </c>
      <c r="B135" s="12" t="s">
        <v>7218</v>
      </c>
      <c r="C135" s="12" t="s">
        <v>7219</v>
      </c>
      <c r="D135" s="85">
        <v>2467.27</v>
      </c>
      <c r="E135" s="12" t="s">
        <v>304</v>
      </c>
      <c r="F135" s="12" t="s">
        <v>1634</v>
      </c>
      <c r="G135" s="12" t="s">
        <v>7220</v>
      </c>
      <c r="H135" s="84">
        <v>45110</v>
      </c>
      <c r="I135" s="84">
        <v>46206</v>
      </c>
    </row>
    <row r="136" spans="1:9">
      <c r="A136" s="10">
        <f t="shared" si="2"/>
        <v>133</v>
      </c>
      <c r="B136" s="12" t="s">
        <v>7221</v>
      </c>
      <c r="C136" s="12" t="s">
        <v>7222</v>
      </c>
      <c r="D136" s="85">
        <v>188.21</v>
      </c>
      <c r="E136" s="12" t="s">
        <v>304</v>
      </c>
      <c r="F136" s="12" t="s">
        <v>141</v>
      </c>
      <c r="G136" s="12" t="s">
        <v>5109</v>
      </c>
      <c r="H136" s="84">
        <v>45096</v>
      </c>
      <c r="I136" s="84">
        <v>46192</v>
      </c>
    </row>
    <row r="137" spans="1:9">
      <c r="A137" s="10">
        <f t="shared" si="2"/>
        <v>134</v>
      </c>
      <c r="B137" s="12" t="s">
        <v>7223</v>
      </c>
      <c r="C137" s="12" t="s">
        <v>7224</v>
      </c>
      <c r="D137" s="85">
        <v>1939.08</v>
      </c>
      <c r="E137" s="12" t="s">
        <v>1536</v>
      </c>
      <c r="F137" s="12" t="s">
        <v>7225</v>
      </c>
      <c r="G137" s="12" t="s">
        <v>7165</v>
      </c>
      <c r="H137" s="84">
        <v>45082</v>
      </c>
      <c r="I137" s="84">
        <v>46178</v>
      </c>
    </row>
    <row r="138" spans="1:9">
      <c r="A138" s="10">
        <f t="shared" si="2"/>
        <v>135</v>
      </c>
      <c r="B138" s="12" t="s">
        <v>7226</v>
      </c>
      <c r="C138" s="12" t="s">
        <v>7227</v>
      </c>
      <c r="D138" s="85">
        <v>426.51</v>
      </c>
      <c r="E138" s="12" t="s">
        <v>180</v>
      </c>
      <c r="F138" s="12" t="s">
        <v>927</v>
      </c>
      <c r="G138" s="12" t="s">
        <v>5109</v>
      </c>
      <c r="H138" s="84">
        <v>45096</v>
      </c>
      <c r="I138" s="84">
        <v>46192</v>
      </c>
    </row>
    <row r="139" spans="1:9">
      <c r="A139" s="10">
        <f t="shared" si="2"/>
        <v>136</v>
      </c>
      <c r="B139" s="12" t="s">
        <v>7228</v>
      </c>
      <c r="C139" s="12" t="s">
        <v>7229</v>
      </c>
      <c r="D139" s="85">
        <v>147.47</v>
      </c>
      <c r="E139" s="12" t="s">
        <v>170</v>
      </c>
      <c r="F139" s="12" t="s">
        <v>1426</v>
      </c>
      <c r="G139" s="12" t="s">
        <v>7230</v>
      </c>
      <c r="H139" s="84">
        <v>45085</v>
      </c>
      <c r="I139" s="84">
        <v>46181</v>
      </c>
    </row>
    <row r="140" spans="1:9">
      <c r="A140" s="10">
        <f t="shared" si="2"/>
        <v>137</v>
      </c>
      <c r="B140" s="12" t="s">
        <v>7231</v>
      </c>
      <c r="C140" s="12" t="s">
        <v>7232</v>
      </c>
      <c r="D140" s="85">
        <v>13592.84</v>
      </c>
      <c r="E140" s="12" t="s">
        <v>123</v>
      </c>
      <c r="F140" s="12" t="s">
        <v>2201</v>
      </c>
      <c r="G140" s="12" t="s">
        <v>6968</v>
      </c>
      <c r="H140" s="84">
        <v>45089</v>
      </c>
      <c r="I140" s="84">
        <v>46185</v>
      </c>
    </row>
    <row r="141" spans="1:9">
      <c r="A141" s="10">
        <f t="shared" si="2"/>
        <v>138</v>
      </c>
      <c r="B141" s="12" t="s">
        <v>7238</v>
      </c>
      <c r="C141" s="12" t="s">
        <v>7239</v>
      </c>
      <c r="D141" s="85">
        <v>507.5</v>
      </c>
      <c r="E141" s="12" t="s">
        <v>293</v>
      </c>
      <c r="F141" s="12" t="s">
        <v>815</v>
      </c>
      <c r="G141" s="12" t="s">
        <v>7240</v>
      </c>
      <c r="H141" s="84">
        <v>45104</v>
      </c>
      <c r="I141" s="84">
        <v>46200</v>
      </c>
    </row>
    <row r="142" spans="1:9">
      <c r="A142" s="10">
        <f t="shared" si="2"/>
        <v>139</v>
      </c>
      <c r="B142" s="12" t="s">
        <v>7241</v>
      </c>
      <c r="C142" s="12" t="s">
        <v>7242</v>
      </c>
      <c r="D142" s="85">
        <v>3734.59</v>
      </c>
      <c r="E142" s="12" t="s">
        <v>1242</v>
      </c>
      <c r="F142" s="12" t="s">
        <v>1243</v>
      </c>
      <c r="G142" s="12" t="s">
        <v>7243</v>
      </c>
      <c r="H142" s="84">
        <v>45107</v>
      </c>
      <c r="I142" s="84">
        <v>46203</v>
      </c>
    </row>
    <row r="143" spans="1:9">
      <c r="A143" s="10">
        <f t="shared" si="2"/>
        <v>140</v>
      </c>
      <c r="B143" s="12" t="s">
        <v>7244</v>
      </c>
      <c r="C143" s="12" t="s">
        <v>7245</v>
      </c>
      <c r="D143" s="85">
        <v>7213.67</v>
      </c>
      <c r="E143" s="12" t="s">
        <v>1102</v>
      </c>
      <c r="F143" s="12" t="s">
        <v>5589</v>
      </c>
      <c r="G143" s="12" t="s">
        <v>7246</v>
      </c>
      <c r="H143" s="84">
        <v>45098</v>
      </c>
      <c r="I143" s="84">
        <v>46194</v>
      </c>
    </row>
    <row r="144" spans="1:9">
      <c r="A144" s="10">
        <f t="shared" si="2"/>
        <v>141</v>
      </c>
      <c r="B144" s="12" t="s">
        <v>7247</v>
      </c>
      <c r="C144" s="12" t="s">
        <v>7248</v>
      </c>
      <c r="D144" s="85">
        <v>1308.1400000000001</v>
      </c>
      <c r="E144" s="12" t="s">
        <v>2670</v>
      </c>
      <c r="F144" s="12" t="s">
        <v>7250</v>
      </c>
      <c r="G144" s="12" t="s">
        <v>7249</v>
      </c>
      <c r="H144" s="84">
        <v>45104</v>
      </c>
      <c r="I144" s="84">
        <v>46200</v>
      </c>
    </row>
    <row r="145" spans="1:9">
      <c r="A145" s="10">
        <f t="shared" si="2"/>
        <v>142</v>
      </c>
      <c r="B145" s="12" t="s">
        <v>7251</v>
      </c>
      <c r="C145" s="12" t="s">
        <v>7252</v>
      </c>
      <c r="D145" s="85">
        <v>64445.62</v>
      </c>
      <c r="E145" s="12" t="s">
        <v>138</v>
      </c>
      <c r="F145" s="12" t="s">
        <v>7254</v>
      </c>
      <c r="G145" s="12" t="s">
        <v>7253</v>
      </c>
      <c r="H145" s="84">
        <v>45096</v>
      </c>
      <c r="I145" s="84">
        <v>46192</v>
      </c>
    </row>
    <row r="146" spans="1:9">
      <c r="A146" s="10">
        <f t="shared" si="2"/>
        <v>143</v>
      </c>
      <c r="B146" s="12" t="s">
        <v>7255</v>
      </c>
      <c r="C146" s="12" t="s">
        <v>4100</v>
      </c>
      <c r="D146" s="85">
        <v>1040.99</v>
      </c>
      <c r="E146" s="12" t="s">
        <v>123</v>
      </c>
      <c r="F146" s="12" t="s">
        <v>1256</v>
      </c>
      <c r="G146" s="12" t="s">
        <v>7256</v>
      </c>
      <c r="H146" s="84">
        <v>45090</v>
      </c>
      <c r="I146" s="84">
        <v>46186</v>
      </c>
    </row>
    <row r="147" spans="1:9">
      <c r="A147" s="10">
        <f t="shared" si="2"/>
        <v>144</v>
      </c>
      <c r="B147" s="12" t="s">
        <v>7257</v>
      </c>
      <c r="C147" s="12" t="s">
        <v>7258</v>
      </c>
      <c r="D147" s="85">
        <v>6260.79</v>
      </c>
      <c r="E147" s="12" t="s">
        <v>123</v>
      </c>
      <c r="F147" s="12" t="s">
        <v>1256</v>
      </c>
      <c r="G147" s="12" t="s">
        <v>7062</v>
      </c>
      <c r="H147" s="84">
        <v>45090</v>
      </c>
      <c r="I147" s="84">
        <v>46186</v>
      </c>
    </row>
    <row r="148" spans="1:9">
      <c r="A148" s="10">
        <f t="shared" si="2"/>
        <v>145</v>
      </c>
      <c r="B148" s="12" t="s">
        <v>7259</v>
      </c>
      <c r="C148" s="12" t="s">
        <v>7260</v>
      </c>
      <c r="D148" s="85">
        <v>1096.3699999999999</v>
      </c>
      <c r="E148" s="12" t="s">
        <v>288</v>
      </c>
      <c r="F148" s="12" t="s">
        <v>2054</v>
      </c>
      <c r="G148" s="12" t="s">
        <v>7193</v>
      </c>
      <c r="H148" s="84">
        <v>45098</v>
      </c>
      <c r="I148" s="84">
        <v>46194</v>
      </c>
    </row>
    <row r="149" spans="1:9">
      <c r="A149" s="10">
        <f t="shared" si="2"/>
        <v>146</v>
      </c>
      <c r="B149" s="12" t="s">
        <v>7261</v>
      </c>
      <c r="C149" s="12" t="s">
        <v>7262</v>
      </c>
      <c r="D149" s="85">
        <v>578.19000000000005</v>
      </c>
      <c r="E149" s="12" t="s">
        <v>170</v>
      </c>
      <c r="F149" s="12" t="s">
        <v>205</v>
      </c>
      <c r="G149" s="12" t="s">
        <v>7102</v>
      </c>
      <c r="H149" s="84">
        <v>45090</v>
      </c>
      <c r="I149" s="84">
        <v>46186</v>
      </c>
    </row>
    <row r="150" spans="1:9">
      <c r="A150" s="10">
        <f t="shared" si="2"/>
        <v>147</v>
      </c>
      <c r="B150" s="12" t="s">
        <v>7263</v>
      </c>
      <c r="C150" s="12" t="s">
        <v>7264</v>
      </c>
      <c r="D150" s="85">
        <v>2260.67</v>
      </c>
      <c r="E150" s="12" t="s">
        <v>1014</v>
      </c>
      <c r="F150" s="12" t="s">
        <v>7266</v>
      </c>
      <c r="G150" s="12" t="s">
        <v>7265</v>
      </c>
      <c r="H150" s="84">
        <v>45083</v>
      </c>
      <c r="I150" s="84">
        <v>46179</v>
      </c>
    </row>
    <row r="151" spans="1:9">
      <c r="A151" s="10">
        <f t="shared" si="2"/>
        <v>148</v>
      </c>
      <c r="B151" s="12" t="s">
        <v>7267</v>
      </c>
      <c r="C151" s="12" t="s">
        <v>7268</v>
      </c>
      <c r="D151" s="85">
        <v>24517.26</v>
      </c>
      <c r="E151" s="12" t="s">
        <v>123</v>
      </c>
      <c r="F151" s="12" t="s">
        <v>2201</v>
      </c>
      <c r="G151" s="12" t="s">
        <v>7095</v>
      </c>
      <c r="H151" s="84">
        <v>45110</v>
      </c>
      <c r="I151" s="84">
        <v>46206</v>
      </c>
    </row>
    <row r="152" spans="1:9">
      <c r="A152" s="10">
        <f t="shared" si="2"/>
        <v>149</v>
      </c>
      <c r="B152" s="12" t="s">
        <v>7269</v>
      </c>
      <c r="C152" s="12" t="s">
        <v>7270</v>
      </c>
      <c r="D152" s="85">
        <v>3245.04</v>
      </c>
      <c r="E152" s="12" t="s">
        <v>1014</v>
      </c>
      <c r="F152" s="12" t="s">
        <v>1023</v>
      </c>
      <c r="G152" s="12" t="s">
        <v>6722</v>
      </c>
      <c r="H152" s="84">
        <v>45104</v>
      </c>
      <c r="I152" s="84">
        <v>46200</v>
      </c>
    </row>
    <row r="153" spans="1:9">
      <c r="A153" s="10">
        <f t="shared" si="2"/>
        <v>150</v>
      </c>
      <c r="B153" s="12" t="s">
        <v>7271</v>
      </c>
      <c r="C153" s="12" t="s">
        <v>7272</v>
      </c>
      <c r="D153" s="85">
        <v>6630.94</v>
      </c>
      <c r="E153" s="12" t="s">
        <v>768</v>
      </c>
      <c r="F153" s="12" t="s">
        <v>1042</v>
      </c>
      <c r="G153" s="12" t="s">
        <v>7273</v>
      </c>
      <c r="H153" s="84">
        <v>45098</v>
      </c>
      <c r="I153" s="84">
        <v>46194</v>
      </c>
    </row>
    <row r="154" spans="1:9">
      <c r="A154" s="10">
        <f t="shared" si="2"/>
        <v>151</v>
      </c>
      <c r="B154" s="12" t="s">
        <v>7274</v>
      </c>
      <c r="C154" s="12" t="s">
        <v>1461</v>
      </c>
      <c r="D154" s="85">
        <v>14247.18</v>
      </c>
      <c r="E154" s="12" t="s">
        <v>1014</v>
      </c>
      <c r="F154" s="12" t="s">
        <v>1023</v>
      </c>
      <c r="G154" s="12" t="s">
        <v>7273</v>
      </c>
      <c r="H154" s="84">
        <v>45098</v>
      </c>
      <c r="I154" s="84">
        <v>46194</v>
      </c>
    </row>
    <row r="155" spans="1:9">
      <c r="A155" s="10">
        <f t="shared" si="2"/>
        <v>152</v>
      </c>
      <c r="B155" s="12" t="s">
        <v>7275</v>
      </c>
      <c r="C155" s="12" t="s">
        <v>7276</v>
      </c>
      <c r="D155" s="85">
        <v>1529.83</v>
      </c>
      <c r="E155" s="12" t="s">
        <v>163</v>
      </c>
      <c r="F155" s="12" t="s">
        <v>1417</v>
      </c>
      <c r="G155" s="12" t="s">
        <v>7277</v>
      </c>
      <c r="H155" s="84">
        <v>45105</v>
      </c>
      <c r="I155" s="84">
        <v>46201</v>
      </c>
    </row>
    <row r="156" spans="1:9">
      <c r="A156" s="10">
        <f t="shared" si="2"/>
        <v>153</v>
      </c>
      <c r="B156" s="12" t="s">
        <v>7278</v>
      </c>
      <c r="C156" s="12" t="s">
        <v>7279</v>
      </c>
      <c r="D156" s="85">
        <v>593.88</v>
      </c>
      <c r="E156" s="12" t="s">
        <v>163</v>
      </c>
      <c r="F156" s="12" t="s">
        <v>1417</v>
      </c>
      <c r="G156" s="12" t="s">
        <v>2293</v>
      </c>
      <c r="H156" s="84">
        <v>45105</v>
      </c>
      <c r="I156" s="84">
        <v>46201</v>
      </c>
    </row>
    <row r="157" spans="1:9">
      <c r="A157" s="10">
        <f t="shared" si="2"/>
        <v>154</v>
      </c>
      <c r="B157" s="12" t="s">
        <v>7280</v>
      </c>
      <c r="C157" s="12" t="s">
        <v>7281</v>
      </c>
      <c r="D157" s="85">
        <v>402.05</v>
      </c>
      <c r="E157" s="12" t="s">
        <v>1242</v>
      </c>
      <c r="F157" s="12" t="s">
        <v>1243</v>
      </c>
      <c r="G157" s="12" t="s">
        <v>835</v>
      </c>
      <c r="H157" s="84">
        <v>45126</v>
      </c>
      <c r="I157" s="84">
        <v>46222</v>
      </c>
    </row>
    <row r="158" spans="1:9">
      <c r="A158" s="10">
        <f t="shared" si="2"/>
        <v>155</v>
      </c>
      <c r="B158" s="12" t="s">
        <v>7282</v>
      </c>
      <c r="C158" s="12" t="s">
        <v>1499</v>
      </c>
      <c r="D158" s="85">
        <v>10135.11</v>
      </c>
      <c r="E158" s="12" t="s">
        <v>1102</v>
      </c>
      <c r="F158" s="12" t="s">
        <v>1103</v>
      </c>
      <c r="G158" s="12" t="s">
        <v>7189</v>
      </c>
      <c r="H158" s="84">
        <v>45112</v>
      </c>
      <c r="I158" s="84">
        <v>46208</v>
      </c>
    </row>
    <row r="159" spans="1:9">
      <c r="A159" s="10">
        <f t="shared" si="2"/>
        <v>156</v>
      </c>
      <c r="B159" s="12" t="s">
        <v>7283</v>
      </c>
      <c r="C159" s="12" t="s">
        <v>2957</v>
      </c>
      <c r="D159" s="85">
        <v>14445.61</v>
      </c>
      <c r="E159" s="12" t="s">
        <v>163</v>
      </c>
      <c r="F159" s="12" t="s">
        <v>1417</v>
      </c>
      <c r="G159" s="12" t="s">
        <v>7284</v>
      </c>
      <c r="H159" s="84">
        <v>45126</v>
      </c>
      <c r="I159" s="84">
        <v>46222</v>
      </c>
    </row>
    <row r="160" spans="1:9">
      <c r="A160" s="10">
        <f t="shared" si="2"/>
        <v>157</v>
      </c>
      <c r="B160" s="12" t="s">
        <v>7285</v>
      </c>
      <c r="C160" s="12" t="s">
        <v>7286</v>
      </c>
      <c r="D160" s="85">
        <v>7437.1</v>
      </c>
      <c r="E160" s="12" t="s">
        <v>163</v>
      </c>
      <c r="F160" s="12" t="s">
        <v>1417</v>
      </c>
      <c r="G160" s="12" t="s">
        <v>7287</v>
      </c>
      <c r="H160" s="84">
        <v>45126</v>
      </c>
      <c r="I160" s="84">
        <v>46222</v>
      </c>
    </row>
    <row r="161" spans="1:9">
      <c r="A161" s="10">
        <f t="shared" si="2"/>
        <v>158</v>
      </c>
      <c r="B161" s="12" t="s">
        <v>7288</v>
      </c>
      <c r="C161" s="12" t="s">
        <v>2599</v>
      </c>
      <c r="D161" s="85">
        <v>6982.83</v>
      </c>
      <c r="E161" s="12" t="s">
        <v>836</v>
      </c>
      <c r="F161" s="12" t="s">
        <v>3649</v>
      </c>
      <c r="G161" s="12" t="s">
        <v>7289</v>
      </c>
      <c r="H161" s="84">
        <v>45112</v>
      </c>
      <c r="I161" s="84">
        <v>46208</v>
      </c>
    </row>
    <row r="162" spans="1:9">
      <c r="A162" s="10">
        <f t="shared" si="2"/>
        <v>159</v>
      </c>
      <c r="B162" s="12" t="s">
        <v>7290</v>
      </c>
      <c r="C162" s="12" t="s">
        <v>7291</v>
      </c>
      <c r="D162" s="85">
        <v>8859.4699999999993</v>
      </c>
      <c r="E162" s="12" t="s">
        <v>288</v>
      </c>
      <c r="F162" s="12" t="s">
        <v>2467</v>
      </c>
      <c r="G162" s="12" t="s">
        <v>7292</v>
      </c>
      <c r="H162" s="84">
        <v>45124</v>
      </c>
      <c r="I162" s="84">
        <v>46220</v>
      </c>
    </row>
    <row r="163" spans="1:9">
      <c r="A163" s="10">
        <f t="shared" si="2"/>
        <v>160</v>
      </c>
      <c r="B163" s="12" t="s">
        <v>7293</v>
      </c>
      <c r="C163" s="12" t="s">
        <v>7294</v>
      </c>
      <c r="D163" s="85">
        <v>3778.86</v>
      </c>
      <c r="E163" s="12" t="s">
        <v>274</v>
      </c>
      <c r="F163" s="12" t="s">
        <v>4003</v>
      </c>
      <c r="G163" s="12" t="s">
        <v>7158</v>
      </c>
      <c r="H163" s="84">
        <v>45126</v>
      </c>
      <c r="I163" s="84">
        <v>46222</v>
      </c>
    </row>
    <row r="164" spans="1:9">
      <c r="A164" s="10">
        <f t="shared" si="2"/>
        <v>161</v>
      </c>
      <c r="B164" s="12" t="s">
        <v>7295</v>
      </c>
      <c r="C164" s="12" t="s">
        <v>1561</v>
      </c>
      <c r="D164" s="85">
        <v>5598.35</v>
      </c>
      <c r="E164" s="12" t="s">
        <v>836</v>
      </c>
      <c r="F164" s="12" t="s">
        <v>7297</v>
      </c>
      <c r="G164" s="12" t="s">
        <v>7296</v>
      </c>
      <c r="H164" s="84">
        <v>45114</v>
      </c>
      <c r="I164" s="84">
        <v>46210</v>
      </c>
    </row>
    <row r="165" spans="1:9">
      <c r="A165" s="10">
        <f t="shared" si="2"/>
        <v>162</v>
      </c>
      <c r="B165" s="12" t="s">
        <v>7298</v>
      </c>
      <c r="C165" s="12" t="s">
        <v>4927</v>
      </c>
      <c r="D165" s="85">
        <v>3555.14</v>
      </c>
      <c r="E165" s="12" t="s">
        <v>274</v>
      </c>
      <c r="F165" s="12" t="s">
        <v>7299</v>
      </c>
      <c r="G165" s="12" t="s">
        <v>835</v>
      </c>
      <c r="H165" s="84">
        <v>45126</v>
      </c>
      <c r="I165" s="84">
        <v>46222</v>
      </c>
    </row>
    <row r="166" spans="1:9">
      <c r="A166" s="10">
        <f t="shared" si="2"/>
        <v>163</v>
      </c>
      <c r="B166" s="12" t="s">
        <v>7300</v>
      </c>
      <c r="C166" s="12" t="s">
        <v>1461</v>
      </c>
      <c r="D166" s="85">
        <v>491.71</v>
      </c>
      <c r="E166" s="12" t="s">
        <v>7301</v>
      </c>
      <c r="F166" s="12" t="s">
        <v>7302</v>
      </c>
      <c r="G166" s="12" t="s">
        <v>6685</v>
      </c>
      <c r="H166" s="84">
        <v>45161</v>
      </c>
      <c r="I166" s="84">
        <v>46257</v>
      </c>
    </row>
    <row r="167" spans="1:9">
      <c r="A167" s="10">
        <f t="shared" si="2"/>
        <v>164</v>
      </c>
      <c r="B167" s="12" t="s">
        <v>7303</v>
      </c>
      <c r="C167" s="12" t="s">
        <v>7304</v>
      </c>
      <c r="D167" s="85">
        <v>723.46</v>
      </c>
      <c r="E167" s="12" t="s">
        <v>274</v>
      </c>
      <c r="F167" s="12" t="s">
        <v>1413</v>
      </c>
      <c r="G167" s="12" t="s">
        <v>7305</v>
      </c>
      <c r="H167" s="84">
        <v>45147</v>
      </c>
      <c r="I167" s="84">
        <v>46243</v>
      </c>
    </row>
    <row r="168" spans="1:9">
      <c r="A168" s="10">
        <f t="shared" si="2"/>
        <v>165</v>
      </c>
      <c r="B168" s="12" t="s">
        <v>7306</v>
      </c>
      <c r="C168" s="12" t="s">
        <v>1934</v>
      </c>
      <c r="D168" s="85">
        <v>1159.3</v>
      </c>
      <c r="E168" s="12" t="s">
        <v>293</v>
      </c>
      <c r="F168" s="12" t="s">
        <v>2155</v>
      </c>
      <c r="G168" s="12" t="s">
        <v>7307</v>
      </c>
      <c r="H168" s="84">
        <v>45124</v>
      </c>
      <c r="I168" s="84">
        <v>46220</v>
      </c>
    </row>
    <row r="169" spans="1:9">
      <c r="A169" s="10">
        <f t="shared" si="2"/>
        <v>166</v>
      </c>
      <c r="B169" s="12" t="s">
        <v>7309</v>
      </c>
      <c r="C169" s="12" t="s">
        <v>2159</v>
      </c>
      <c r="D169" s="85">
        <v>1619.76</v>
      </c>
      <c r="E169" s="12" t="s">
        <v>123</v>
      </c>
      <c r="F169" s="12" t="s">
        <v>2201</v>
      </c>
      <c r="G169" s="12" t="s">
        <v>7023</v>
      </c>
      <c r="H169" s="84">
        <v>44951</v>
      </c>
      <c r="I169" s="84">
        <v>46047</v>
      </c>
    </row>
    <row r="170" spans="1:9">
      <c r="A170" s="10">
        <f t="shared" si="2"/>
        <v>167</v>
      </c>
      <c r="B170" s="12" t="s">
        <v>7310</v>
      </c>
      <c r="C170" s="12" t="s">
        <v>2159</v>
      </c>
      <c r="D170" s="85">
        <v>2299.88</v>
      </c>
      <c r="E170" s="12" t="s">
        <v>123</v>
      </c>
      <c r="F170" s="12" t="s">
        <v>2201</v>
      </c>
      <c r="G170" s="12" t="s">
        <v>7023</v>
      </c>
      <c r="H170" s="84">
        <v>44951</v>
      </c>
      <c r="I170" s="84">
        <v>46047</v>
      </c>
    </row>
    <row r="171" spans="1:9">
      <c r="A171" s="10">
        <f t="shared" si="2"/>
        <v>168</v>
      </c>
      <c r="B171" s="12" t="s">
        <v>7311</v>
      </c>
      <c r="C171" s="12" t="s">
        <v>7312</v>
      </c>
      <c r="D171" s="85">
        <v>190.32</v>
      </c>
      <c r="E171" s="12" t="s">
        <v>304</v>
      </c>
      <c r="F171" s="12" t="s">
        <v>1634</v>
      </c>
      <c r="G171" s="12" t="s">
        <v>6892</v>
      </c>
      <c r="H171" s="84">
        <v>45156</v>
      </c>
      <c r="I171" s="84">
        <v>46252</v>
      </c>
    </row>
    <row r="172" spans="1:9">
      <c r="A172" s="10">
        <f t="shared" si="2"/>
        <v>169</v>
      </c>
      <c r="B172" s="12" t="s">
        <v>7313</v>
      </c>
      <c r="C172" s="12" t="s">
        <v>7314</v>
      </c>
      <c r="D172" s="85">
        <v>991.78</v>
      </c>
      <c r="E172" s="12" t="s">
        <v>293</v>
      </c>
      <c r="F172" s="12" t="s">
        <v>2290</v>
      </c>
      <c r="G172" s="12" t="s">
        <v>6552</v>
      </c>
      <c r="H172" s="84">
        <v>45156</v>
      </c>
      <c r="I172" s="84">
        <v>46252</v>
      </c>
    </row>
    <row r="173" spans="1:9">
      <c r="A173" s="10">
        <f t="shared" si="2"/>
        <v>170</v>
      </c>
      <c r="B173" s="12" t="s">
        <v>7315</v>
      </c>
      <c r="C173" s="12" t="s">
        <v>5406</v>
      </c>
      <c r="D173" s="85">
        <v>1038.99</v>
      </c>
      <c r="E173" s="12" t="s">
        <v>293</v>
      </c>
      <c r="F173" s="12" t="s">
        <v>7316</v>
      </c>
      <c r="G173" s="12" t="s">
        <v>5785</v>
      </c>
      <c r="H173" s="84">
        <v>45166</v>
      </c>
      <c r="I173" s="84">
        <v>46262</v>
      </c>
    </row>
    <row r="174" spans="1:9">
      <c r="A174" s="10">
        <f t="shared" si="2"/>
        <v>171</v>
      </c>
      <c r="B174" s="12" t="s">
        <v>7317</v>
      </c>
      <c r="C174" s="12" t="s">
        <v>7318</v>
      </c>
      <c r="D174" s="85">
        <v>700.68</v>
      </c>
      <c r="E174" s="12" t="s">
        <v>293</v>
      </c>
      <c r="F174" s="12" t="s">
        <v>794</v>
      </c>
      <c r="G174" s="12" t="s">
        <v>7319</v>
      </c>
      <c r="H174" s="84">
        <v>45168</v>
      </c>
      <c r="I174" s="84">
        <v>46264</v>
      </c>
    </row>
    <row r="175" spans="1:9">
      <c r="A175" s="10">
        <f t="shared" si="2"/>
        <v>172</v>
      </c>
      <c r="B175" s="12" t="s">
        <v>7320</v>
      </c>
      <c r="C175" s="12" t="s">
        <v>7321</v>
      </c>
      <c r="D175" s="85">
        <v>7535.74</v>
      </c>
      <c r="E175" s="12" t="s">
        <v>1102</v>
      </c>
      <c r="F175" s="12" t="s">
        <v>1550</v>
      </c>
      <c r="G175" s="12" t="s">
        <v>7322</v>
      </c>
      <c r="H175" s="84">
        <v>45156</v>
      </c>
      <c r="I175" s="84">
        <v>46252</v>
      </c>
    </row>
    <row r="176" spans="1:9">
      <c r="A176" s="10">
        <f t="shared" si="2"/>
        <v>173</v>
      </c>
      <c r="B176" s="12" t="s">
        <v>7323</v>
      </c>
      <c r="C176" s="12" t="s">
        <v>7324</v>
      </c>
      <c r="D176" s="85">
        <v>1865.43</v>
      </c>
      <c r="E176" s="12" t="s">
        <v>123</v>
      </c>
      <c r="F176" s="12" t="s">
        <v>790</v>
      </c>
      <c r="G176" s="12" t="s">
        <v>7325</v>
      </c>
      <c r="H176" s="84">
        <v>45091</v>
      </c>
      <c r="I176" s="84">
        <v>46187</v>
      </c>
    </row>
    <row r="177" spans="1:9">
      <c r="A177" s="10">
        <f t="shared" si="2"/>
        <v>174</v>
      </c>
      <c r="B177" s="12" t="s">
        <v>7326</v>
      </c>
      <c r="C177" s="12" t="s">
        <v>7327</v>
      </c>
      <c r="D177" s="85">
        <v>8184.74</v>
      </c>
      <c r="E177" s="12" t="s">
        <v>288</v>
      </c>
      <c r="F177" s="12" t="s">
        <v>5433</v>
      </c>
      <c r="G177" s="12" t="s">
        <v>6552</v>
      </c>
      <c r="H177" s="84">
        <v>45156</v>
      </c>
      <c r="I177" s="84">
        <v>46252</v>
      </c>
    </row>
    <row r="178" spans="1:9">
      <c r="A178" s="10">
        <f t="shared" si="2"/>
        <v>175</v>
      </c>
      <c r="B178" s="12" t="s">
        <v>7328</v>
      </c>
      <c r="C178" s="12" t="s">
        <v>7329</v>
      </c>
      <c r="D178" s="85">
        <v>10241.11</v>
      </c>
      <c r="E178" s="12" t="s">
        <v>288</v>
      </c>
      <c r="F178" s="12" t="s">
        <v>3774</v>
      </c>
      <c r="G178" s="12" t="s">
        <v>7296</v>
      </c>
      <c r="H178" s="84">
        <v>45145</v>
      </c>
      <c r="I178" s="84">
        <v>46241</v>
      </c>
    </row>
    <row r="179" spans="1:9">
      <c r="A179" s="10">
        <f t="shared" si="2"/>
        <v>176</v>
      </c>
      <c r="B179" s="12" t="s">
        <v>7330</v>
      </c>
      <c r="C179" s="12" t="s">
        <v>7331</v>
      </c>
      <c r="D179" s="85">
        <v>3619.23</v>
      </c>
      <c r="E179" s="12" t="s">
        <v>170</v>
      </c>
      <c r="F179" s="12" t="s">
        <v>1023</v>
      </c>
      <c r="G179" s="12" t="s">
        <v>7332</v>
      </c>
      <c r="H179" s="84">
        <v>45160</v>
      </c>
      <c r="I179" s="84">
        <v>46256</v>
      </c>
    </row>
    <row r="180" spans="1:9">
      <c r="A180" s="10">
        <f t="shared" si="2"/>
        <v>177</v>
      </c>
      <c r="B180" s="12" t="s">
        <v>7333</v>
      </c>
      <c r="C180" s="12" t="s">
        <v>7334</v>
      </c>
      <c r="D180" s="85">
        <v>4357.01</v>
      </c>
      <c r="E180" s="12" t="s">
        <v>163</v>
      </c>
      <c r="F180" s="12" t="s">
        <v>164</v>
      </c>
      <c r="G180" s="12" t="s">
        <v>7335</v>
      </c>
      <c r="H180" s="84">
        <v>45156</v>
      </c>
      <c r="I180" s="84">
        <v>46252</v>
      </c>
    </row>
    <row r="181" spans="1:9">
      <c r="A181" s="10">
        <f t="shared" si="2"/>
        <v>178</v>
      </c>
      <c r="B181" s="12" t="s">
        <v>7336</v>
      </c>
      <c r="C181" s="12" t="s">
        <v>7337</v>
      </c>
      <c r="D181" s="85">
        <v>11724.47</v>
      </c>
      <c r="E181" s="12" t="s">
        <v>138</v>
      </c>
      <c r="F181" s="12" t="s">
        <v>7338</v>
      </c>
      <c r="G181" s="12" t="s">
        <v>7284</v>
      </c>
      <c r="H181" s="84">
        <v>45156</v>
      </c>
      <c r="I181" s="84">
        <v>46252</v>
      </c>
    </row>
    <row r="182" spans="1:9">
      <c r="A182" s="10">
        <f t="shared" si="2"/>
        <v>179</v>
      </c>
      <c r="B182" s="12" t="s">
        <v>7339</v>
      </c>
      <c r="C182" s="12" t="s">
        <v>7340</v>
      </c>
      <c r="D182" s="85">
        <v>13782.51</v>
      </c>
      <c r="E182" s="12" t="s">
        <v>768</v>
      </c>
      <c r="F182" s="12" t="s">
        <v>7342</v>
      </c>
      <c r="G182" s="12" t="s">
        <v>7341</v>
      </c>
      <c r="H182" s="84">
        <v>45167</v>
      </c>
      <c r="I182" s="84">
        <v>46263</v>
      </c>
    </row>
    <row r="183" spans="1:9">
      <c r="A183" s="10">
        <f t="shared" si="2"/>
        <v>180</v>
      </c>
      <c r="B183" s="12" t="s">
        <v>7343</v>
      </c>
      <c r="C183" s="12" t="s">
        <v>7344</v>
      </c>
      <c r="D183" s="85">
        <v>17497.57</v>
      </c>
      <c r="E183" s="12" t="s">
        <v>138</v>
      </c>
      <c r="F183" s="12" t="s">
        <v>1806</v>
      </c>
      <c r="G183" s="12" t="s">
        <v>6377</v>
      </c>
      <c r="H183" s="84">
        <v>45167</v>
      </c>
      <c r="I183" s="84">
        <v>46263</v>
      </c>
    </row>
    <row r="184" spans="1:9">
      <c r="A184" s="10">
        <f t="shared" si="2"/>
        <v>181</v>
      </c>
      <c r="B184" s="12" t="s">
        <v>7345</v>
      </c>
      <c r="C184" s="12" t="s">
        <v>7346</v>
      </c>
      <c r="D184" s="85">
        <v>3661.08</v>
      </c>
      <c r="E184" s="12" t="s">
        <v>768</v>
      </c>
      <c r="F184" s="12" t="s">
        <v>933</v>
      </c>
      <c r="G184" s="12" t="s">
        <v>7347</v>
      </c>
      <c r="H184" s="84">
        <v>45159</v>
      </c>
      <c r="I184" s="84">
        <v>46255</v>
      </c>
    </row>
    <row r="185" spans="1:9">
      <c r="A185" s="10">
        <f t="shared" si="2"/>
        <v>182</v>
      </c>
      <c r="B185" s="12" t="s">
        <v>7348</v>
      </c>
      <c r="C185" s="12" t="s">
        <v>1533</v>
      </c>
      <c r="D185" s="85">
        <v>13647.1</v>
      </c>
      <c r="E185" s="12" t="s">
        <v>768</v>
      </c>
      <c r="F185" s="12" t="s">
        <v>933</v>
      </c>
      <c r="G185" s="12" t="s">
        <v>7349</v>
      </c>
      <c r="H185" s="84">
        <v>45156</v>
      </c>
      <c r="I185" s="84">
        <v>46252</v>
      </c>
    </row>
    <row r="186" spans="1:9">
      <c r="A186" s="10">
        <f t="shared" si="2"/>
        <v>183</v>
      </c>
      <c r="B186" s="12" t="s">
        <v>7350</v>
      </c>
      <c r="C186" s="12" t="s">
        <v>7351</v>
      </c>
      <c r="D186" s="85">
        <v>6603.38</v>
      </c>
      <c r="E186" s="12" t="s">
        <v>1242</v>
      </c>
      <c r="F186" s="12" t="s">
        <v>7353</v>
      </c>
      <c r="G186" s="12" t="s">
        <v>7352</v>
      </c>
      <c r="H186" s="84">
        <v>45180</v>
      </c>
      <c r="I186" s="84">
        <v>46276</v>
      </c>
    </row>
    <row r="187" spans="1:9">
      <c r="A187" s="10">
        <f t="shared" si="2"/>
        <v>184</v>
      </c>
      <c r="B187" s="12" t="s">
        <v>7354</v>
      </c>
      <c r="C187" s="12" t="s">
        <v>3342</v>
      </c>
      <c r="D187" s="85">
        <v>5632</v>
      </c>
      <c r="E187" s="12" t="s">
        <v>1242</v>
      </c>
      <c r="F187" s="12" t="s">
        <v>5384</v>
      </c>
      <c r="G187" s="12" t="s">
        <v>3281</v>
      </c>
      <c r="H187" s="84">
        <v>45145</v>
      </c>
      <c r="I187" s="84">
        <v>46241</v>
      </c>
    </row>
    <row r="188" spans="1:9">
      <c r="A188" s="10">
        <f t="shared" si="2"/>
        <v>185</v>
      </c>
      <c r="B188" s="12" t="s">
        <v>7355</v>
      </c>
      <c r="C188" s="12" t="s">
        <v>7356</v>
      </c>
      <c r="D188" s="85">
        <v>1777.27</v>
      </c>
      <c r="E188" s="12" t="s">
        <v>123</v>
      </c>
      <c r="F188" s="12" t="s">
        <v>790</v>
      </c>
      <c r="G188" s="12" t="s">
        <v>7357</v>
      </c>
      <c r="H188" s="84">
        <v>45125</v>
      </c>
      <c r="I188" s="84">
        <v>46221</v>
      </c>
    </row>
    <row r="189" spans="1:9">
      <c r="A189" s="10">
        <f t="shared" si="2"/>
        <v>186</v>
      </c>
      <c r="B189" s="12" t="s">
        <v>7358</v>
      </c>
      <c r="C189" s="12" t="s">
        <v>7359</v>
      </c>
      <c r="D189" s="85">
        <v>32988.239999999998</v>
      </c>
      <c r="E189" s="12" t="s">
        <v>123</v>
      </c>
      <c r="F189" s="12" t="s">
        <v>2201</v>
      </c>
      <c r="G189" s="12" t="s">
        <v>6552</v>
      </c>
      <c r="H189" s="84">
        <v>45180</v>
      </c>
      <c r="I189" s="84">
        <v>46276</v>
      </c>
    </row>
    <row r="190" spans="1:9">
      <c r="A190" s="10">
        <f t="shared" si="2"/>
        <v>187</v>
      </c>
      <c r="B190" s="12" t="s">
        <v>7360</v>
      </c>
      <c r="C190" s="12" t="s">
        <v>2192</v>
      </c>
      <c r="D190" s="85">
        <v>13408.58</v>
      </c>
      <c r="E190" s="12" t="s">
        <v>138</v>
      </c>
      <c r="F190" s="12" t="s">
        <v>138</v>
      </c>
      <c r="G190" s="12" t="s">
        <v>7361</v>
      </c>
      <c r="H190" s="84">
        <v>45176</v>
      </c>
      <c r="I190" s="84">
        <v>46272</v>
      </c>
    </row>
    <row r="191" spans="1:9">
      <c r="A191" s="10">
        <f t="shared" si="2"/>
        <v>188</v>
      </c>
      <c r="B191" s="12" t="s">
        <v>7362</v>
      </c>
      <c r="C191" s="12" t="s">
        <v>1042</v>
      </c>
      <c r="D191" s="85">
        <v>8895.5499999999993</v>
      </c>
      <c r="E191" s="12" t="s">
        <v>138</v>
      </c>
      <c r="F191" s="12" t="s">
        <v>1927</v>
      </c>
      <c r="G191" s="12" t="s">
        <v>6552</v>
      </c>
      <c r="H191" s="84">
        <v>45180</v>
      </c>
      <c r="I191" s="84">
        <v>46276</v>
      </c>
    </row>
    <row r="192" spans="1:9">
      <c r="A192" s="10">
        <f t="shared" si="2"/>
        <v>189</v>
      </c>
      <c r="B192" s="12" t="s">
        <v>7363</v>
      </c>
      <c r="C192" s="12" t="s">
        <v>7364</v>
      </c>
      <c r="D192" s="85">
        <v>13954.21</v>
      </c>
      <c r="E192" s="12" t="s">
        <v>1242</v>
      </c>
      <c r="F192" s="12" t="s">
        <v>7365</v>
      </c>
      <c r="G192" s="12" t="s">
        <v>3281</v>
      </c>
      <c r="H192" s="84">
        <v>45180</v>
      </c>
      <c r="I192" s="84">
        <v>46276</v>
      </c>
    </row>
    <row r="193" spans="1:9">
      <c r="A193" s="10">
        <f t="shared" si="2"/>
        <v>190</v>
      </c>
      <c r="B193" s="12" t="s">
        <v>7366</v>
      </c>
      <c r="C193" s="12" t="s">
        <v>7367</v>
      </c>
      <c r="D193" s="85">
        <v>11544.57</v>
      </c>
      <c r="E193" s="12" t="s">
        <v>123</v>
      </c>
      <c r="F193" s="12" t="s">
        <v>3411</v>
      </c>
      <c r="G193" s="12" t="s">
        <v>7368</v>
      </c>
      <c r="H193" s="84">
        <v>45176</v>
      </c>
      <c r="I193" s="84">
        <v>46272</v>
      </c>
    </row>
    <row r="194" spans="1:9">
      <c r="A194" s="10">
        <f t="shared" si="2"/>
        <v>191</v>
      </c>
      <c r="B194" s="12" t="s">
        <v>7369</v>
      </c>
      <c r="C194" s="12" t="s">
        <v>7370</v>
      </c>
      <c r="D194" s="85">
        <v>1077.29</v>
      </c>
      <c r="E194" s="12" t="s">
        <v>274</v>
      </c>
      <c r="F194" s="12" t="s">
        <v>6563</v>
      </c>
      <c r="G194" s="12" t="s">
        <v>7371</v>
      </c>
      <c r="H194" s="84">
        <v>45187</v>
      </c>
      <c r="I194" s="84">
        <v>46283</v>
      </c>
    </row>
    <row r="195" spans="1:9">
      <c r="A195" s="10">
        <f t="shared" si="2"/>
        <v>192</v>
      </c>
      <c r="B195" s="12" t="s">
        <v>7372</v>
      </c>
      <c r="C195" s="12" t="s">
        <v>7373</v>
      </c>
      <c r="D195" s="85">
        <v>8096.84</v>
      </c>
      <c r="E195" s="12" t="s">
        <v>288</v>
      </c>
      <c r="F195" s="12" t="s">
        <v>2697</v>
      </c>
      <c r="G195" s="12" t="s">
        <v>7374</v>
      </c>
      <c r="H195" s="84">
        <v>45176</v>
      </c>
      <c r="I195" s="84">
        <v>46272</v>
      </c>
    </row>
    <row r="196" spans="1:9">
      <c r="A196" s="10">
        <f t="shared" si="2"/>
        <v>193</v>
      </c>
      <c r="B196" s="12" t="s">
        <v>7375</v>
      </c>
      <c r="C196" s="12" t="s">
        <v>7376</v>
      </c>
      <c r="D196" s="85">
        <v>12471.98</v>
      </c>
      <c r="E196" s="12" t="s">
        <v>288</v>
      </c>
      <c r="F196" s="12" t="s">
        <v>2697</v>
      </c>
      <c r="G196" s="12" t="s">
        <v>7374</v>
      </c>
      <c r="H196" s="84">
        <v>45190</v>
      </c>
      <c r="I196" s="84">
        <v>46286</v>
      </c>
    </row>
    <row r="197" spans="1:9">
      <c r="A197" s="10">
        <f t="shared" si="2"/>
        <v>194</v>
      </c>
      <c r="B197" s="12" t="s">
        <v>7377</v>
      </c>
      <c r="C197" s="12" t="s">
        <v>7378</v>
      </c>
      <c r="D197" s="85">
        <v>1426.25</v>
      </c>
      <c r="E197" s="12" t="s">
        <v>304</v>
      </c>
      <c r="F197" s="12" t="s">
        <v>7380</v>
      </c>
      <c r="G197" s="12" t="s">
        <v>7379</v>
      </c>
      <c r="H197" s="84">
        <v>45190</v>
      </c>
      <c r="I197" s="84">
        <v>46286</v>
      </c>
    </row>
    <row r="198" spans="1:9">
      <c r="A198" s="10">
        <f t="shared" si="2"/>
        <v>195</v>
      </c>
      <c r="B198" s="12" t="s">
        <v>7381</v>
      </c>
      <c r="C198" s="12" t="s">
        <v>7382</v>
      </c>
      <c r="D198" s="85">
        <v>14210.82</v>
      </c>
      <c r="E198" s="12" t="s">
        <v>1242</v>
      </c>
      <c r="F198" s="12" t="s">
        <v>1243</v>
      </c>
      <c r="G198" s="12" t="s">
        <v>7383</v>
      </c>
      <c r="H198" s="84">
        <v>45215</v>
      </c>
      <c r="I198" s="84">
        <v>46311</v>
      </c>
    </row>
    <row r="199" spans="1:9">
      <c r="A199" s="10">
        <f t="shared" ref="A199:A245" si="3">A198+1</f>
        <v>196</v>
      </c>
      <c r="B199" s="12" t="s">
        <v>7392</v>
      </c>
      <c r="C199" s="12" t="s">
        <v>2677</v>
      </c>
      <c r="D199" s="85">
        <v>4555.9799999999996</v>
      </c>
      <c r="E199" s="12" t="s">
        <v>288</v>
      </c>
      <c r="F199" s="12" t="s">
        <v>2697</v>
      </c>
      <c r="G199" s="12" t="s">
        <v>6685</v>
      </c>
      <c r="H199" s="84">
        <v>45246</v>
      </c>
      <c r="I199" s="84">
        <v>46342</v>
      </c>
    </row>
    <row r="200" spans="1:9">
      <c r="A200" s="10">
        <f t="shared" si="3"/>
        <v>197</v>
      </c>
      <c r="B200" s="12" t="s">
        <v>7393</v>
      </c>
      <c r="C200" s="12" t="s">
        <v>7394</v>
      </c>
      <c r="D200" s="85">
        <v>7143.88</v>
      </c>
      <c r="E200" s="12" t="s">
        <v>288</v>
      </c>
      <c r="F200" s="12" t="s">
        <v>7396</v>
      </c>
      <c r="G200" s="12" t="s">
        <v>7395</v>
      </c>
      <c r="H200" s="84">
        <v>45232</v>
      </c>
      <c r="I200" s="84">
        <v>46328</v>
      </c>
    </row>
    <row r="201" spans="1:9">
      <c r="A201" s="10">
        <f t="shared" si="3"/>
        <v>198</v>
      </c>
      <c r="B201" s="12" t="s">
        <v>7397</v>
      </c>
      <c r="C201" s="12" t="s">
        <v>1389</v>
      </c>
      <c r="D201" s="85">
        <v>1105.17</v>
      </c>
      <c r="E201" s="12" t="s">
        <v>288</v>
      </c>
      <c r="F201" s="12" t="s">
        <v>7396</v>
      </c>
      <c r="G201" s="12" t="s">
        <v>7398</v>
      </c>
      <c r="H201" s="84">
        <v>45230</v>
      </c>
      <c r="I201" s="84">
        <v>46326</v>
      </c>
    </row>
    <row r="202" spans="1:9">
      <c r="A202" s="10">
        <f t="shared" si="3"/>
        <v>199</v>
      </c>
      <c r="B202" s="12" t="s">
        <v>7399</v>
      </c>
      <c r="C202" s="12" t="s">
        <v>7400</v>
      </c>
      <c r="D202" s="85">
        <v>559.97</v>
      </c>
      <c r="E202" s="12" t="s">
        <v>293</v>
      </c>
      <c r="F202" s="12" t="s">
        <v>4201</v>
      </c>
      <c r="G202" s="12" t="s">
        <v>7401</v>
      </c>
      <c r="H202" s="84">
        <v>45215</v>
      </c>
      <c r="I202" s="84">
        <v>46311</v>
      </c>
    </row>
    <row r="203" spans="1:9">
      <c r="A203" s="10">
        <f t="shared" si="3"/>
        <v>200</v>
      </c>
      <c r="B203" s="12" t="s">
        <v>7402</v>
      </c>
      <c r="C203" s="12" t="s">
        <v>7403</v>
      </c>
      <c r="D203" s="85">
        <v>1505.57</v>
      </c>
      <c r="E203" s="12" t="s">
        <v>288</v>
      </c>
      <c r="F203" s="12" t="s">
        <v>5433</v>
      </c>
      <c r="G203" s="12" t="s">
        <v>7404</v>
      </c>
      <c r="H203" s="84">
        <v>45230</v>
      </c>
      <c r="I203" s="84">
        <v>46326</v>
      </c>
    </row>
    <row r="204" spans="1:9">
      <c r="A204" s="10">
        <f t="shared" si="3"/>
        <v>201</v>
      </c>
      <c r="B204" s="12" t="s">
        <v>7405</v>
      </c>
      <c r="C204" s="12" t="s">
        <v>5998</v>
      </c>
      <c r="D204" s="85">
        <v>7712.72</v>
      </c>
      <c r="E204" s="12" t="s">
        <v>293</v>
      </c>
      <c r="F204" s="12" t="s">
        <v>7406</v>
      </c>
      <c r="G204" s="12" t="s">
        <v>7401</v>
      </c>
      <c r="H204" s="84">
        <v>45215</v>
      </c>
      <c r="I204" s="84">
        <v>46311</v>
      </c>
    </row>
    <row r="205" spans="1:9">
      <c r="A205" s="10">
        <f t="shared" si="3"/>
        <v>202</v>
      </c>
      <c r="B205" s="12" t="s">
        <v>7407</v>
      </c>
      <c r="C205" s="12" t="s">
        <v>7408</v>
      </c>
      <c r="D205" s="85">
        <v>8777.1</v>
      </c>
      <c r="E205" s="12" t="s">
        <v>836</v>
      </c>
      <c r="F205" s="12" t="s">
        <v>305</v>
      </c>
      <c r="G205" s="12" t="s">
        <v>7409</v>
      </c>
      <c r="H205" s="84">
        <v>45230</v>
      </c>
      <c r="I205" s="84">
        <v>46326</v>
      </c>
    </row>
    <row r="206" spans="1:9">
      <c r="A206" s="10">
        <f t="shared" si="3"/>
        <v>203</v>
      </c>
      <c r="B206" s="12" t="s">
        <v>7410</v>
      </c>
      <c r="C206" s="12" t="s">
        <v>7411</v>
      </c>
      <c r="D206" s="85">
        <v>4844.1099999999997</v>
      </c>
      <c r="E206" s="12" t="s">
        <v>288</v>
      </c>
      <c r="F206" s="12" t="s">
        <v>902</v>
      </c>
      <c r="G206" s="12" t="s">
        <v>7404</v>
      </c>
      <c r="H206" s="84">
        <v>45215</v>
      </c>
      <c r="I206" s="84">
        <v>46311</v>
      </c>
    </row>
    <row r="207" spans="1:9">
      <c r="A207" s="10">
        <f t="shared" si="3"/>
        <v>204</v>
      </c>
      <c r="B207" s="12" t="s">
        <v>7412</v>
      </c>
      <c r="C207" s="12" t="s">
        <v>7413</v>
      </c>
      <c r="D207" s="85">
        <v>1752.44</v>
      </c>
      <c r="E207" s="12" t="s">
        <v>782</v>
      </c>
      <c r="F207" s="12" t="s">
        <v>2889</v>
      </c>
      <c r="G207" s="12" t="s">
        <v>5159</v>
      </c>
      <c r="H207" s="84">
        <v>45230</v>
      </c>
      <c r="I207" s="84">
        <v>46326</v>
      </c>
    </row>
    <row r="208" spans="1:9">
      <c r="A208" s="10">
        <f t="shared" si="3"/>
        <v>205</v>
      </c>
      <c r="B208" s="12" t="s">
        <v>7414</v>
      </c>
      <c r="C208" s="12" t="s">
        <v>7415</v>
      </c>
      <c r="D208" s="85">
        <v>20197.97</v>
      </c>
      <c r="E208" s="12" t="s">
        <v>768</v>
      </c>
      <c r="F208" s="12" t="s">
        <v>4690</v>
      </c>
      <c r="G208" s="12" t="s">
        <v>7379</v>
      </c>
      <c r="H208" s="84">
        <v>45230</v>
      </c>
      <c r="I208" s="84">
        <v>46326</v>
      </c>
    </row>
    <row r="209" spans="1:9">
      <c r="A209" s="10">
        <f t="shared" si="3"/>
        <v>206</v>
      </c>
      <c r="B209" s="12" t="s">
        <v>7416</v>
      </c>
      <c r="C209" s="12" t="s">
        <v>7145</v>
      </c>
      <c r="D209" s="85">
        <v>1814.82</v>
      </c>
      <c r="E209" s="12" t="s">
        <v>375</v>
      </c>
      <c r="F209" s="12" t="s">
        <v>1892</v>
      </c>
      <c r="G209" s="12" t="s">
        <v>7417</v>
      </c>
      <c r="H209" s="84">
        <v>45204</v>
      </c>
      <c r="I209" s="84">
        <v>46300</v>
      </c>
    </row>
    <row r="210" spans="1:9">
      <c r="A210" s="10">
        <f t="shared" si="3"/>
        <v>207</v>
      </c>
      <c r="B210" s="12" t="s">
        <v>7418</v>
      </c>
      <c r="C210" s="12" t="s">
        <v>7419</v>
      </c>
      <c r="D210" s="85">
        <v>5841.07</v>
      </c>
      <c r="E210" s="12" t="s">
        <v>170</v>
      </c>
      <c r="F210" s="12" t="s">
        <v>2450</v>
      </c>
      <c r="G210" s="12" t="s">
        <v>7420</v>
      </c>
      <c r="H210" s="84">
        <v>45231</v>
      </c>
      <c r="I210" s="84">
        <v>46327</v>
      </c>
    </row>
    <row r="211" spans="1:9">
      <c r="A211" s="10">
        <f t="shared" si="3"/>
        <v>208</v>
      </c>
      <c r="B211" s="12" t="s">
        <v>7421</v>
      </c>
      <c r="C211" s="12" t="s">
        <v>2382</v>
      </c>
      <c r="D211" s="85">
        <v>6922.62</v>
      </c>
      <c r="E211" s="12" t="s">
        <v>138</v>
      </c>
      <c r="F211" s="12" t="s">
        <v>1806</v>
      </c>
      <c r="G211" s="12" t="s">
        <v>7422</v>
      </c>
      <c r="H211" s="84">
        <v>45230</v>
      </c>
      <c r="I211" s="84">
        <v>46326</v>
      </c>
    </row>
    <row r="212" spans="1:9">
      <c r="A212" s="10">
        <f t="shared" si="3"/>
        <v>209</v>
      </c>
      <c r="B212" s="12" t="s">
        <v>7423</v>
      </c>
      <c r="C212" s="12" t="s">
        <v>7424</v>
      </c>
      <c r="D212" s="85">
        <v>7105.99</v>
      </c>
      <c r="E212" s="12" t="s">
        <v>375</v>
      </c>
      <c r="F212" s="12" t="s">
        <v>7122</v>
      </c>
      <c r="G212" s="12" t="s">
        <v>7425</v>
      </c>
      <c r="H212" s="84">
        <v>45238</v>
      </c>
      <c r="I212" s="84">
        <v>46334</v>
      </c>
    </row>
    <row r="213" spans="1:9">
      <c r="A213" s="10">
        <f t="shared" si="3"/>
        <v>210</v>
      </c>
      <c r="B213" s="12" t="s">
        <v>7426</v>
      </c>
      <c r="C213" s="12" t="s">
        <v>7427</v>
      </c>
      <c r="D213" s="85">
        <v>2221.2800000000002</v>
      </c>
      <c r="E213" s="12" t="s">
        <v>163</v>
      </c>
      <c r="F213" s="12" t="s">
        <v>1417</v>
      </c>
      <c r="G213" s="12" t="s">
        <v>7428</v>
      </c>
      <c r="H213" s="84">
        <v>45238</v>
      </c>
      <c r="I213" s="84">
        <v>46334</v>
      </c>
    </row>
    <row r="214" spans="1:9">
      <c r="A214" s="10">
        <f t="shared" si="3"/>
        <v>211</v>
      </c>
      <c r="B214" s="12" t="s">
        <v>7429</v>
      </c>
      <c r="C214" s="12" t="s">
        <v>7430</v>
      </c>
      <c r="D214" s="85">
        <v>1098.48</v>
      </c>
      <c r="E214" s="12" t="s">
        <v>138</v>
      </c>
      <c r="F214" s="12" t="s">
        <v>1806</v>
      </c>
      <c r="G214" s="12" t="s">
        <v>7422</v>
      </c>
      <c r="H214" s="84">
        <v>45230</v>
      </c>
      <c r="I214" s="84">
        <v>46326</v>
      </c>
    </row>
    <row r="215" spans="1:9">
      <c r="A215" s="10">
        <f t="shared" si="3"/>
        <v>212</v>
      </c>
      <c r="B215" s="12" t="s">
        <v>7431</v>
      </c>
      <c r="C215" s="12" t="s">
        <v>7432</v>
      </c>
      <c r="D215" s="85">
        <v>3746.06</v>
      </c>
      <c r="E215" s="12" t="s">
        <v>1102</v>
      </c>
      <c r="F215" s="12" t="s">
        <v>5589</v>
      </c>
      <c r="G215" s="12" t="s">
        <v>4975</v>
      </c>
      <c r="H215" s="84">
        <v>45238</v>
      </c>
      <c r="I215" s="84">
        <v>46334</v>
      </c>
    </row>
    <row r="216" spans="1:9">
      <c r="A216" s="10">
        <f t="shared" si="3"/>
        <v>213</v>
      </c>
      <c r="B216" s="12" t="s">
        <v>7433</v>
      </c>
      <c r="C216" s="12" t="s">
        <v>7434</v>
      </c>
      <c r="D216" s="85">
        <v>23544.46</v>
      </c>
      <c r="E216" s="12" t="s">
        <v>123</v>
      </c>
      <c r="F216" s="12" t="s">
        <v>6783</v>
      </c>
      <c r="G216" s="12" t="s">
        <v>7435</v>
      </c>
      <c r="H216" s="84">
        <v>45231</v>
      </c>
      <c r="I216" s="84">
        <v>46327</v>
      </c>
    </row>
    <row r="217" spans="1:9">
      <c r="A217" s="10">
        <f t="shared" si="3"/>
        <v>214</v>
      </c>
      <c r="B217" s="12" t="s">
        <v>7436</v>
      </c>
      <c r="C217" s="12" t="s">
        <v>7437</v>
      </c>
      <c r="D217" s="85">
        <v>8502.92</v>
      </c>
      <c r="E217" s="12" t="s">
        <v>288</v>
      </c>
      <c r="F217" s="12" t="s">
        <v>1038</v>
      </c>
      <c r="G217" s="12" t="s">
        <v>6722</v>
      </c>
      <c r="H217" s="84">
        <v>45230</v>
      </c>
      <c r="I217" s="84">
        <v>46326</v>
      </c>
    </row>
    <row r="218" spans="1:9">
      <c r="A218" s="10">
        <f t="shared" si="3"/>
        <v>215</v>
      </c>
      <c r="B218" s="12" t="s">
        <v>7438</v>
      </c>
      <c r="C218" s="12" t="s">
        <v>7439</v>
      </c>
      <c r="D218" s="85">
        <v>7123.43</v>
      </c>
      <c r="E218" s="12" t="s">
        <v>288</v>
      </c>
      <c r="F218" s="12" t="s">
        <v>902</v>
      </c>
      <c r="G218" s="12" t="s">
        <v>7404</v>
      </c>
      <c r="H218" s="84">
        <v>45230</v>
      </c>
      <c r="I218" s="84">
        <v>46326</v>
      </c>
    </row>
    <row r="219" spans="1:9">
      <c r="A219" s="10">
        <f t="shared" si="3"/>
        <v>216</v>
      </c>
      <c r="B219" s="12" t="s">
        <v>7440</v>
      </c>
      <c r="C219" s="12" t="s">
        <v>7441</v>
      </c>
      <c r="D219" s="85">
        <v>22952.83</v>
      </c>
      <c r="E219" s="12" t="s">
        <v>1014</v>
      </c>
      <c r="F219" s="12" t="s">
        <v>3357</v>
      </c>
      <c r="G219" s="12" t="s">
        <v>7442</v>
      </c>
      <c r="H219" s="84">
        <v>45238</v>
      </c>
      <c r="I219" s="84">
        <v>46334</v>
      </c>
    </row>
    <row r="220" spans="1:9">
      <c r="A220" s="10">
        <f t="shared" si="3"/>
        <v>217</v>
      </c>
      <c r="B220" s="12" t="s">
        <v>7443</v>
      </c>
      <c r="C220" s="12" t="s">
        <v>7444</v>
      </c>
      <c r="D220" s="85">
        <v>2858.79</v>
      </c>
      <c r="E220" s="12" t="s">
        <v>1014</v>
      </c>
      <c r="F220" s="12" t="s">
        <v>3357</v>
      </c>
      <c r="G220" s="12" t="s">
        <v>7442</v>
      </c>
      <c r="H220" s="84">
        <v>45238</v>
      </c>
      <c r="I220" s="84">
        <v>46334</v>
      </c>
    </row>
    <row r="221" spans="1:9">
      <c r="A221" s="10">
        <f t="shared" si="3"/>
        <v>218</v>
      </c>
      <c r="B221" s="12" t="s">
        <v>7445</v>
      </c>
      <c r="C221" s="12" t="s">
        <v>7446</v>
      </c>
      <c r="D221" s="85">
        <v>6982.66</v>
      </c>
      <c r="E221" s="12" t="s">
        <v>768</v>
      </c>
      <c r="F221" s="12" t="s">
        <v>3235</v>
      </c>
      <c r="G221" s="12" t="s">
        <v>7447</v>
      </c>
      <c r="H221" s="84">
        <v>45230</v>
      </c>
      <c r="I221" s="84">
        <v>46326</v>
      </c>
    </row>
    <row r="222" spans="1:9">
      <c r="A222" s="10">
        <f t="shared" si="3"/>
        <v>219</v>
      </c>
      <c r="B222" s="12" t="s">
        <v>7448</v>
      </c>
      <c r="C222" s="12" t="s">
        <v>7449</v>
      </c>
      <c r="D222" s="85">
        <v>7793.97</v>
      </c>
      <c r="E222" s="12" t="s">
        <v>375</v>
      </c>
      <c r="F222" s="12" t="s">
        <v>893</v>
      </c>
      <c r="G222" s="12" t="s">
        <v>7450</v>
      </c>
      <c r="H222" s="84">
        <v>45230</v>
      </c>
      <c r="I222" s="84">
        <v>46326</v>
      </c>
    </row>
    <row r="223" spans="1:9">
      <c r="A223" s="10">
        <f t="shared" si="3"/>
        <v>220</v>
      </c>
      <c r="B223" s="12" t="s">
        <v>7451</v>
      </c>
      <c r="C223" s="12" t="s">
        <v>7452</v>
      </c>
      <c r="D223" s="85">
        <v>1111.47</v>
      </c>
      <c r="E223" s="12" t="s">
        <v>170</v>
      </c>
      <c r="F223" s="12" t="s">
        <v>205</v>
      </c>
      <c r="G223" s="12" t="s">
        <v>7453</v>
      </c>
      <c r="H223" s="84">
        <v>45258</v>
      </c>
      <c r="I223" s="84">
        <v>46354</v>
      </c>
    </row>
    <row r="224" spans="1:9">
      <c r="A224" s="10">
        <f t="shared" si="3"/>
        <v>221</v>
      </c>
      <c r="B224" s="12" t="s">
        <v>7454</v>
      </c>
      <c r="C224" s="12" t="s">
        <v>1514</v>
      </c>
      <c r="D224" s="85">
        <v>2948.06</v>
      </c>
      <c r="E224" s="12" t="s">
        <v>170</v>
      </c>
      <c r="F224" s="12" t="s">
        <v>205</v>
      </c>
      <c r="G224" s="12" t="s">
        <v>7455</v>
      </c>
      <c r="H224" s="84">
        <v>45274</v>
      </c>
      <c r="I224" s="84">
        <v>46370</v>
      </c>
    </row>
    <row r="225" spans="1:9">
      <c r="A225" s="10">
        <f t="shared" si="3"/>
        <v>222</v>
      </c>
      <c r="B225" s="12" t="s">
        <v>7456</v>
      </c>
      <c r="C225" s="12" t="s">
        <v>7457</v>
      </c>
      <c r="D225" s="85">
        <v>2611.2600000000002</v>
      </c>
      <c r="E225" s="12" t="s">
        <v>163</v>
      </c>
      <c r="F225" s="12" t="s">
        <v>5447</v>
      </c>
      <c r="G225" s="12" t="s">
        <v>7273</v>
      </c>
      <c r="H225" s="84">
        <v>45258</v>
      </c>
      <c r="I225" s="84">
        <v>46354</v>
      </c>
    </row>
    <row r="226" spans="1:9">
      <c r="A226" s="10">
        <f t="shared" si="3"/>
        <v>223</v>
      </c>
      <c r="B226" s="12" t="s">
        <v>7458</v>
      </c>
      <c r="C226" s="12" t="s">
        <v>7459</v>
      </c>
      <c r="D226" s="85">
        <v>5607.16</v>
      </c>
      <c r="E226" s="12" t="s">
        <v>138</v>
      </c>
      <c r="F226" s="12" t="s">
        <v>1806</v>
      </c>
      <c r="G226" s="12" t="s">
        <v>7460</v>
      </c>
      <c r="H226" s="84">
        <v>45271</v>
      </c>
      <c r="I226" s="84">
        <v>46367</v>
      </c>
    </row>
    <row r="227" spans="1:9">
      <c r="A227" s="10">
        <f t="shared" si="3"/>
        <v>224</v>
      </c>
      <c r="B227" s="12" t="s">
        <v>7461</v>
      </c>
      <c r="C227" s="12" t="s">
        <v>7462</v>
      </c>
      <c r="D227" s="85">
        <v>10449.129999999999</v>
      </c>
      <c r="E227" s="12" t="s">
        <v>163</v>
      </c>
      <c r="F227" s="12" t="s">
        <v>6813</v>
      </c>
      <c r="G227" s="12" t="s">
        <v>7463</v>
      </c>
      <c r="H227" s="84">
        <v>45274</v>
      </c>
      <c r="I227" s="84">
        <v>46370</v>
      </c>
    </row>
    <row r="228" spans="1:9">
      <c r="A228" s="10">
        <f t="shared" si="3"/>
        <v>225</v>
      </c>
      <c r="B228" s="12" t="s">
        <v>7464</v>
      </c>
      <c r="C228" s="12" t="s">
        <v>2732</v>
      </c>
      <c r="D228" s="85">
        <v>9087.41</v>
      </c>
      <c r="E228" s="12" t="s">
        <v>163</v>
      </c>
      <c r="F228" s="12" t="s">
        <v>6813</v>
      </c>
      <c r="G228" s="12" t="s">
        <v>5811</v>
      </c>
      <c r="H228" s="84">
        <v>45264</v>
      </c>
      <c r="I228" s="84">
        <v>46360</v>
      </c>
    </row>
    <row r="229" spans="1:9">
      <c r="A229" s="10">
        <f t="shared" si="3"/>
        <v>226</v>
      </c>
      <c r="B229" s="12" t="s">
        <v>7465</v>
      </c>
      <c r="C229" s="12" t="s">
        <v>7466</v>
      </c>
      <c r="D229" s="85">
        <v>6285.15</v>
      </c>
      <c r="E229" s="12" t="s">
        <v>163</v>
      </c>
      <c r="F229" s="12" t="s">
        <v>2891</v>
      </c>
      <c r="G229" s="12" t="s">
        <v>7455</v>
      </c>
      <c r="H229" s="84">
        <v>45274</v>
      </c>
      <c r="I229" s="84">
        <v>46370</v>
      </c>
    </row>
    <row r="230" spans="1:9">
      <c r="A230" s="10">
        <f t="shared" si="3"/>
        <v>227</v>
      </c>
      <c r="B230" s="12" t="s">
        <v>7467</v>
      </c>
      <c r="C230" s="12" t="s">
        <v>7468</v>
      </c>
      <c r="D230" s="85">
        <v>714.25</v>
      </c>
      <c r="E230" s="12" t="s">
        <v>768</v>
      </c>
      <c r="F230" s="12" t="s">
        <v>1042</v>
      </c>
      <c r="G230" s="12" t="s">
        <v>7469</v>
      </c>
      <c r="H230" s="84">
        <v>45274</v>
      </c>
      <c r="I230" s="84">
        <v>46370</v>
      </c>
    </row>
    <row r="231" spans="1:9">
      <c r="A231" s="10">
        <f t="shared" si="3"/>
        <v>228</v>
      </c>
      <c r="B231" s="12" t="s">
        <v>7470</v>
      </c>
      <c r="C231" s="12" t="s">
        <v>7471</v>
      </c>
      <c r="D231" s="85">
        <v>6427.61</v>
      </c>
      <c r="E231" s="12" t="s">
        <v>1014</v>
      </c>
      <c r="F231" s="12" t="s">
        <v>1023</v>
      </c>
      <c r="G231" s="12" t="s">
        <v>7442</v>
      </c>
      <c r="H231" s="84">
        <v>45258</v>
      </c>
      <c r="I231" s="84">
        <v>46354</v>
      </c>
    </row>
    <row r="232" spans="1:9">
      <c r="A232" s="10">
        <f t="shared" si="3"/>
        <v>229</v>
      </c>
      <c r="B232" s="12" t="s">
        <v>7472</v>
      </c>
      <c r="C232" s="12" t="s">
        <v>7473</v>
      </c>
      <c r="D232" s="85">
        <v>3322.34</v>
      </c>
      <c r="E232" s="12" t="s">
        <v>138</v>
      </c>
      <c r="F232" s="12" t="s">
        <v>1806</v>
      </c>
      <c r="G232" s="12" t="s">
        <v>7447</v>
      </c>
      <c r="H232" s="84">
        <v>45272</v>
      </c>
      <c r="I232" s="84">
        <v>46368</v>
      </c>
    </row>
    <row r="233" spans="1:9">
      <c r="A233" s="10">
        <f t="shared" si="3"/>
        <v>230</v>
      </c>
      <c r="B233" s="12" t="s">
        <v>7474</v>
      </c>
      <c r="C233" s="12" t="s">
        <v>7475</v>
      </c>
      <c r="D233" s="85">
        <v>5153.62</v>
      </c>
      <c r="E233" s="12" t="s">
        <v>138</v>
      </c>
      <c r="F233" s="12" t="s">
        <v>1806</v>
      </c>
      <c r="G233" s="12" t="s">
        <v>7460</v>
      </c>
      <c r="H233" s="84">
        <v>45271</v>
      </c>
      <c r="I233" s="84">
        <v>46367</v>
      </c>
    </row>
    <row r="234" spans="1:9">
      <c r="A234" s="10">
        <f t="shared" si="3"/>
        <v>231</v>
      </c>
      <c r="B234" s="12" t="s">
        <v>7476</v>
      </c>
      <c r="C234" s="12" t="s">
        <v>7477</v>
      </c>
      <c r="D234" s="85">
        <v>69.12</v>
      </c>
      <c r="E234" s="12" t="s">
        <v>1014</v>
      </c>
      <c r="F234" s="12" t="s">
        <v>1699</v>
      </c>
      <c r="G234" s="12" t="s">
        <v>7460</v>
      </c>
      <c r="H234" s="84">
        <v>45271</v>
      </c>
      <c r="I234" s="84">
        <v>46367</v>
      </c>
    </row>
    <row r="235" spans="1:9">
      <c r="A235" s="10">
        <f t="shared" si="3"/>
        <v>232</v>
      </c>
      <c r="B235" s="12" t="s">
        <v>7478</v>
      </c>
      <c r="C235" s="12" t="s">
        <v>7479</v>
      </c>
      <c r="D235" s="85">
        <v>10215.64</v>
      </c>
      <c r="E235" s="12" t="s">
        <v>163</v>
      </c>
      <c r="F235" s="12" t="s">
        <v>2891</v>
      </c>
      <c r="G235" s="12" t="s">
        <v>7442</v>
      </c>
      <c r="H235" s="84">
        <v>45258</v>
      </c>
      <c r="I235" s="84">
        <v>46354</v>
      </c>
    </row>
    <row r="236" spans="1:9">
      <c r="A236" s="10">
        <f t="shared" si="3"/>
        <v>233</v>
      </c>
      <c r="B236" s="12" t="s">
        <v>7480</v>
      </c>
      <c r="C236" s="12" t="s">
        <v>3580</v>
      </c>
      <c r="D236" s="85">
        <v>3590.65</v>
      </c>
      <c r="E236" s="12" t="s">
        <v>163</v>
      </c>
      <c r="F236" s="12" t="s">
        <v>7482</v>
      </c>
      <c r="G236" s="12" t="s">
        <v>7481</v>
      </c>
      <c r="H236" s="84">
        <v>45264</v>
      </c>
      <c r="I236" s="84">
        <v>46360</v>
      </c>
    </row>
    <row r="237" spans="1:9">
      <c r="A237" s="10">
        <f t="shared" si="3"/>
        <v>234</v>
      </c>
      <c r="B237" s="12" t="s">
        <v>7483</v>
      </c>
      <c r="C237" s="12" t="s">
        <v>7484</v>
      </c>
      <c r="D237" s="85">
        <v>4699.07</v>
      </c>
      <c r="E237" s="12" t="s">
        <v>1242</v>
      </c>
      <c r="F237" s="12" t="s">
        <v>5384</v>
      </c>
      <c r="G237" s="12" t="s">
        <v>7296</v>
      </c>
      <c r="H237" s="84">
        <v>45271</v>
      </c>
      <c r="I237" s="84">
        <v>46367</v>
      </c>
    </row>
    <row r="238" spans="1:9">
      <c r="A238" s="10">
        <f t="shared" si="3"/>
        <v>235</v>
      </c>
      <c r="B238" s="12" t="s">
        <v>7485</v>
      </c>
      <c r="C238" s="12" t="s">
        <v>3040</v>
      </c>
      <c r="D238" s="85">
        <v>6389.89</v>
      </c>
      <c r="E238" s="12" t="s">
        <v>274</v>
      </c>
      <c r="F238" s="12" t="s">
        <v>4003</v>
      </c>
      <c r="G238" s="12" t="s">
        <v>5610</v>
      </c>
      <c r="H238" s="84">
        <v>45285</v>
      </c>
      <c r="I238" s="84">
        <v>46381</v>
      </c>
    </row>
    <row r="239" spans="1:9">
      <c r="A239" s="10">
        <f t="shared" si="3"/>
        <v>236</v>
      </c>
      <c r="B239" s="12" t="s">
        <v>7486</v>
      </c>
      <c r="C239" s="12" t="s">
        <v>7487</v>
      </c>
      <c r="D239" s="85">
        <v>235.29</v>
      </c>
      <c r="E239" s="12" t="s">
        <v>304</v>
      </c>
      <c r="F239" s="12" t="s">
        <v>1634</v>
      </c>
      <c r="G239" s="12" t="s">
        <v>7469</v>
      </c>
      <c r="H239" s="84">
        <v>45274</v>
      </c>
      <c r="I239" s="84">
        <v>46370</v>
      </c>
    </row>
    <row r="240" spans="1:9">
      <c r="A240" s="10">
        <f t="shared" si="3"/>
        <v>237</v>
      </c>
      <c r="B240" s="12" t="s">
        <v>7488</v>
      </c>
      <c r="C240" s="12" t="s">
        <v>1797</v>
      </c>
      <c r="D240" s="85">
        <v>7897.42</v>
      </c>
      <c r="E240" s="12" t="s">
        <v>123</v>
      </c>
      <c r="F240" s="12" t="s">
        <v>1256</v>
      </c>
      <c r="G240" s="12" t="s">
        <v>7460</v>
      </c>
      <c r="H240" s="84">
        <v>45271</v>
      </c>
      <c r="I240" s="84">
        <v>46367</v>
      </c>
    </row>
    <row r="241" spans="1:9">
      <c r="A241" s="10">
        <f t="shared" si="3"/>
        <v>238</v>
      </c>
      <c r="B241" s="12" t="s">
        <v>7489</v>
      </c>
      <c r="C241" s="12" t="s">
        <v>7490</v>
      </c>
      <c r="D241" s="85">
        <v>726.19</v>
      </c>
      <c r="E241" s="12" t="s">
        <v>123</v>
      </c>
      <c r="F241" s="12" t="s">
        <v>7491</v>
      </c>
      <c r="G241" s="12" t="s">
        <v>5216</v>
      </c>
      <c r="H241" s="84">
        <v>45286</v>
      </c>
      <c r="I241" s="84">
        <v>46382</v>
      </c>
    </row>
    <row r="242" spans="1:9">
      <c r="A242" s="10">
        <f t="shared" si="3"/>
        <v>239</v>
      </c>
      <c r="B242" s="12" t="s">
        <v>7492</v>
      </c>
      <c r="C242" s="12" t="s">
        <v>7493</v>
      </c>
      <c r="D242" s="85">
        <v>711.09</v>
      </c>
      <c r="E242" s="12" t="s">
        <v>1518</v>
      </c>
      <c r="F242" s="12" t="s">
        <v>7495</v>
      </c>
      <c r="G242" s="12" t="s">
        <v>7494</v>
      </c>
      <c r="H242" s="84">
        <v>45278</v>
      </c>
      <c r="I242" s="84">
        <v>46374</v>
      </c>
    </row>
    <row r="243" spans="1:9">
      <c r="A243" s="10">
        <f t="shared" si="3"/>
        <v>240</v>
      </c>
      <c r="B243" s="12" t="s">
        <v>7496</v>
      </c>
      <c r="C243" s="12" t="s">
        <v>4426</v>
      </c>
      <c r="D243" s="85">
        <v>7725</v>
      </c>
      <c r="E243" s="12" t="s">
        <v>293</v>
      </c>
      <c r="F243" s="12" t="s">
        <v>7497</v>
      </c>
      <c r="G243" s="12" t="s">
        <v>7361</v>
      </c>
      <c r="H243" s="84">
        <v>45282</v>
      </c>
      <c r="I243" s="84">
        <v>46378</v>
      </c>
    </row>
    <row r="244" spans="1:9">
      <c r="A244" s="10">
        <f t="shared" si="3"/>
        <v>241</v>
      </c>
      <c r="B244" s="12" t="s">
        <v>7498</v>
      </c>
      <c r="C244" s="12" t="s">
        <v>7499</v>
      </c>
      <c r="D244" s="85">
        <v>851.69</v>
      </c>
      <c r="E244" s="12" t="s">
        <v>123</v>
      </c>
      <c r="F244" s="12" t="s">
        <v>1472</v>
      </c>
      <c r="G244" s="12" t="s">
        <v>7500</v>
      </c>
      <c r="H244" s="84">
        <v>45282</v>
      </c>
      <c r="I244" s="84">
        <v>46378</v>
      </c>
    </row>
    <row r="245" spans="1:9">
      <c r="A245" s="10">
        <f t="shared" si="3"/>
        <v>242</v>
      </c>
      <c r="B245" s="12" t="s">
        <v>7501</v>
      </c>
      <c r="C245" s="12" t="s">
        <v>7502</v>
      </c>
      <c r="D245" s="85">
        <v>4014.52</v>
      </c>
      <c r="E245" s="12" t="s">
        <v>836</v>
      </c>
      <c r="F245" s="12" t="s">
        <v>1386</v>
      </c>
      <c r="G245" s="12" t="s">
        <v>7503</v>
      </c>
      <c r="H245" s="84">
        <v>45287</v>
      </c>
      <c r="I245" s="84">
        <v>46383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E36C-045B-44B5-AE3E-C3559A90A4E9}">
  <sheetPr>
    <tabColor rgb="FF006432"/>
  </sheetPr>
  <dimension ref="A1:M75"/>
  <sheetViews>
    <sheetView workbookViewId="0">
      <selection activeCell="G3" sqref="G3"/>
    </sheetView>
  </sheetViews>
  <sheetFormatPr defaultRowHeight="15"/>
  <cols>
    <col min="1" max="1" width="3" bestFit="1" customWidth="1"/>
    <col min="2" max="2" width="17.42578125" bestFit="1" customWidth="1"/>
    <col min="3" max="3" width="33" bestFit="1" customWidth="1"/>
    <col min="4" max="5" width="9.140625" bestFit="1" customWidth="1"/>
    <col min="6" max="6" width="27" bestFit="1" customWidth="1"/>
    <col min="7" max="7" width="28.85546875" customWidth="1"/>
    <col min="8" max="8" width="9.5703125" style="5" customWidth="1"/>
    <col min="9" max="11" width="10.140625" bestFit="1" customWidth="1"/>
    <col min="12" max="12" width="11.85546875" bestFit="1" customWidth="1"/>
    <col min="13" max="13" width="14.42578125" bestFit="1" customWidth="1"/>
  </cols>
  <sheetData>
    <row r="1" spans="1:13" ht="16.5" thickBot="1">
      <c r="A1" s="641" t="s">
        <v>7510</v>
      </c>
      <c r="B1" s="641"/>
      <c r="C1" s="641"/>
      <c r="D1" s="641"/>
      <c r="E1" s="641"/>
      <c r="F1" s="641"/>
      <c r="G1" s="641"/>
      <c r="H1" s="641"/>
      <c r="I1" s="641"/>
      <c r="J1" s="641"/>
      <c r="K1" s="641"/>
      <c r="L1" s="641"/>
      <c r="M1" s="641"/>
    </row>
    <row r="2" spans="1:13" ht="4.5" customHeight="1" thickTop="1"/>
    <row r="3" spans="1:13" ht="38.25">
      <c r="A3" s="46" t="s">
        <v>114</v>
      </c>
      <c r="B3" s="46" t="s">
        <v>7511</v>
      </c>
      <c r="C3" s="46" t="s">
        <v>742</v>
      </c>
      <c r="D3" s="46" t="s">
        <v>743</v>
      </c>
      <c r="E3" s="46" t="s">
        <v>7512</v>
      </c>
      <c r="F3" s="46" t="s">
        <v>745</v>
      </c>
      <c r="G3" s="46" t="s">
        <v>746</v>
      </c>
      <c r="H3" s="46" t="s">
        <v>5241</v>
      </c>
      <c r="I3" s="46" t="s">
        <v>7513</v>
      </c>
      <c r="J3" s="46" t="s">
        <v>748</v>
      </c>
      <c r="K3" s="46" t="s">
        <v>749</v>
      </c>
      <c r="L3" s="46" t="s">
        <v>7514</v>
      </c>
      <c r="M3" s="46" t="s">
        <v>7508</v>
      </c>
    </row>
    <row r="4" spans="1:13">
      <c r="A4" s="6">
        <v>1</v>
      </c>
      <c r="B4" s="10" t="s">
        <v>7515</v>
      </c>
      <c r="C4" s="10" t="s">
        <v>1042</v>
      </c>
      <c r="D4" s="79">
        <v>3.36</v>
      </c>
      <c r="E4" s="79">
        <v>3.36</v>
      </c>
      <c r="F4" s="10" t="s">
        <v>7516</v>
      </c>
      <c r="G4" s="10" t="s">
        <v>755</v>
      </c>
      <c r="H4" s="6">
        <v>2025752</v>
      </c>
      <c r="I4" s="80">
        <v>45260</v>
      </c>
      <c r="J4" s="80">
        <v>34292</v>
      </c>
      <c r="K4" s="80">
        <v>45249</v>
      </c>
      <c r="L4" s="10" t="s">
        <v>1097</v>
      </c>
      <c r="M4" s="10" t="s">
        <v>1579</v>
      </c>
    </row>
    <row r="5" spans="1:13">
      <c r="A5" s="6">
        <v>2</v>
      </c>
      <c r="B5" s="10" t="s">
        <v>7517</v>
      </c>
      <c r="C5" s="10" t="s">
        <v>7518</v>
      </c>
      <c r="D5" s="79">
        <v>29.12</v>
      </c>
      <c r="E5" s="79">
        <v>29.12</v>
      </c>
      <c r="F5" s="10" t="s">
        <v>7519</v>
      </c>
      <c r="G5" s="10" t="s">
        <v>7520</v>
      </c>
      <c r="H5" s="6">
        <v>2330008</v>
      </c>
      <c r="I5" s="80">
        <v>45168</v>
      </c>
      <c r="J5" s="80">
        <v>38559</v>
      </c>
      <c r="K5" s="80">
        <v>45168</v>
      </c>
      <c r="L5" s="10" t="s">
        <v>1097</v>
      </c>
      <c r="M5" s="10" t="s">
        <v>1745</v>
      </c>
    </row>
    <row r="6" spans="1:13">
      <c r="A6" s="6">
        <v>3</v>
      </c>
      <c r="B6" s="10" t="s">
        <v>7521</v>
      </c>
      <c r="C6" s="10" t="s">
        <v>7522</v>
      </c>
      <c r="D6" s="79">
        <v>539.59</v>
      </c>
      <c r="E6" s="79">
        <v>539.59</v>
      </c>
      <c r="F6" s="10" t="s">
        <v>7523</v>
      </c>
      <c r="G6" s="10" t="s">
        <v>755</v>
      </c>
      <c r="H6" s="6">
        <v>3010309</v>
      </c>
      <c r="I6" s="80">
        <v>44963</v>
      </c>
      <c r="J6" s="80">
        <v>37314</v>
      </c>
      <c r="K6" s="80">
        <v>49493</v>
      </c>
      <c r="L6" s="10" t="s">
        <v>1097</v>
      </c>
      <c r="M6" s="10" t="s">
        <v>1098</v>
      </c>
    </row>
    <row r="7" spans="1:13">
      <c r="A7" s="6">
        <v>4</v>
      </c>
      <c r="B7" s="10" t="s">
        <v>7524</v>
      </c>
      <c r="C7" s="10" t="s">
        <v>3390</v>
      </c>
      <c r="D7" s="79">
        <v>48.87</v>
      </c>
      <c r="E7" s="79">
        <v>48.87</v>
      </c>
      <c r="F7" s="10" t="s">
        <v>3391</v>
      </c>
      <c r="G7" s="10" t="s">
        <v>755</v>
      </c>
      <c r="H7" s="6">
        <v>5148014</v>
      </c>
      <c r="I7" s="80">
        <v>44963</v>
      </c>
      <c r="J7" s="80">
        <v>38488</v>
      </c>
      <c r="K7" s="80">
        <v>50476</v>
      </c>
      <c r="L7" s="10" t="s">
        <v>1097</v>
      </c>
      <c r="M7" s="10" t="s">
        <v>1098</v>
      </c>
    </row>
    <row r="8" spans="1:13">
      <c r="A8" s="6">
        <v>5</v>
      </c>
      <c r="B8" s="10" t="s">
        <v>7525</v>
      </c>
      <c r="C8" s="10" t="s">
        <v>7526</v>
      </c>
      <c r="D8" s="79">
        <v>59.81</v>
      </c>
      <c r="E8" s="79">
        <v>59.81</v>
      </c>
      <c r="F8" s="10" t="s">
        <v>7527</v>
      </c>
      <c r="G8" s="10" t="s">
        <v>755</v>
      </c>
      <c r="H8" s="6">
        <v>2716682</v>
      </c>
      <c r="I8" s="80">
        <v>45266</v>
      </c>
      <c r="J8" s="80">
        <v>36643</v>
      </c>
      <c r="K8" s="80">
        <v>45266</v>
      </c>
      <c r="L8" s="10" t="s">
        <v>768</v>
      </c>
      <c r="M8" s="10" t="s">
        <v>769</v>
      </c>
    </row>
    <row r="9" spans="1:13">
      <c r="A9" s="6">
        <v>6</v>
      </c>
      <c r="B9" s="10" t="s">
        <v>7528</v>
      </c>
      <c r="C9" s="10" t="s">
        <v>7529</v>
      </c>
      <c r="D9" s="79">
        <v>99.79</v>
      </c>
      <c r="E9" s="79">
        <v>99.79</v>
      </c>
      <c r="F9" s="10" t="s">
        <v>7527</v>
      </c>
      <c r="G9" s="10" t="s">
        <v>755</v>
      </c>
      <c r="H9" s="6">
        <v>2716682</v>
      </c>
      <c r="I9" s="80">
        <v>45266</v>
      </c>
      <c r="J9" s="80">
        <v>37369</v>
      </c>
      <c r="K9" s="80">
        <v>45266</v>
      </c>
      <c r="L9" s="10" t="s">
        <v>768</v>
      </c>
      <c r="M9" s="10" t="s">
        <v>769</v>
      </c>
    </row>
    <row r="10" spans="1:13">
      <c r="A10" s="6">
        <v>7</v>
      </c>
      <c r="B10" s="10" t="s">
        <v>7530</v>
      </c>
      <c r="C10" s="10" t="s">
        <v>7531</v>
      </c>
      <c r="D10" s="79">
        <v>1906.47</v>
      </c>
      <c r="E10" s="79">
        <v>1906.47</v>
      </c>
      <c r="F10" s="10" t="s">
        <v>1347</v>
      </c>
      <c r="G10" s="10" t="s">
        <v>755</v>
      </c>
      <c r="H10" s="6">
        <v>2554518</v>
      </c>
      <c r="I10" s="80">
        <v>45126</v>
      </c>
      <c r="J10" s="80">
        <v>42122</v>
      </c>
      <c r="K10" s="80">
        <v>45126</v>
      </c>
      <c r="L10" s="10" t="s">
        <v>768</v>
      </c>
      <c r="M10" s="10" t="s">
        <v>1198</v>
      </c>
    </row>
    <row r="11" spans="1:13">
      <c r="A11" s="6">
        <v>8</v>
      </c>
      <c r="B11" s="10" t="s">
        <v>7532</v>
      </c>
      <c r="C11" s="10" t="s">
        <v>1323</v>
      </c>
      <c r="D11" s="79">
        <v>2979.7</v>
      </c>
      <c r="E11" s="79">
        <v>2979.7</v>
      </c>
      <c r="F11" s="10" t="s">
        <v>1197</v>
      </c>
      <c r="G11" s="10" t="s">
        <v>755</v>
      </c>
      <c r="H11" s="6">
        <v>5407761</v>
      </c>
      <c r="I11" s="80">
        <v>45230</v>
      </c>
      <c r="J11" s="80">
        <v>39790</v>
      </c>
      <c r="K11" s="80">
        <v>44173</v>
      </c>
      <c r="L11" s="10" t="s">
        <v>768</v>
      </c>
      <c r="M11" s="10" t="s">
        <v>1198</v>
      </c>
    </row>
    <row r="12" spans="1:13">
      <c r="A12" s="6">
        <v>9</v>
      </c>
      <c r="B12" s="10" t="s">
        <v>7533</v>
      </c>
      <c r="C12" s="10" t="s">
        <v>4759</v>
      </c>
      <c r="D12" s="79">
        <v>0.82</v>
      </c>
      <c r="E12" s="79">
        <v>3219.35</v>
      </c>
      <c r="F12" s="10" t="s">
        <v>4760</v>
      </c>
      <c r="G12" s="10" t="s">
        <v>848</v>
      </c>
      <c r="H12" s="6">
        <v>6128963</v>
      </c>
      <c r="I12" s="80">
        <v>45126</v>
      </c>
      <c r="J12" s="80">
        <v>37894</v>
      </c>
      <c r="K12" s="80">
        <v>44241</v>
      </c>
      <c r="L12" s="10" t="s">
        <v>836</v>
      </c>
      <c r="M12" s="10" t="s">
        <v>837</v>
      </c>
    </row>
    <row r="13" spans="1:13">
      <c r="A13" s="6">
        <v>10</v>
      </c>
      <c r="B13" s="10" t="s">
        <v>7534</v>
      </c>
      <c r="C13" s="10" t="s">
        <v>2754</v>
      </c>
      <c r="D13" s="79">
        <v>767.91</v>
      </c>
      <c r="E13" s="79">
        <v>767.91</v>
      </c>
      <c r="F13" s="10" t="s">
        <v>7535</v>
      </c>
      <c r="G13" s="10" t="s">
        <v>848</v>
      </c>
      <c r="H13" s="6">
        <v>6004296</v>
      </c>
      <c r="I13" s="80">
        <v>45126</v>
      </c>
      <c r="J13" s="80">
        <v>42517</v>
      </c>
      <c r="K13" s="80">
        <v>45126</v>
      </c>
      <c r="L13" s="10" t="s">
        <v>836</v>
      </c>
      <c r="M13" s="10" t="s">
        <v>837</v>
      </c>
    </row>
    <row r="14" spans="1:13">
      <c r="A14" s="6">
        <v>11</v>
      </c>
      <c r="B14" s="10" t="s">
        <v>7536</v>
      </c>
      <c r="C14" s="10" t="s">
        <v>1174</v>
      </c>
      <c r="D14" s="79">
        <v>1229.1500000000001</v>
      </c>
      <c r="E14" s="79">
        <v>1229.1500000000001</v>
      </c>
      <c r="F14" s="10" t="s">
        <v>1175</v>
      </c>
      <c r="G14" s="10" t="s">
        <v>848</v>
      </c>
      <c r="H14" s="6">
        <v>5182212</v>
      </c>
      <c r="I14" s="80">
        <v>45229</v>
      </c>
      <c r="J14" s="80">
        <v>38965</v>
      </c>
      <c r="K14" s="80">
        <v>45229</v>
      </c>
      <c r="L14" s="10" t="s">
        <v>836</v>
      </c>
      <c r="M14" s="10" t="s">
        <v>305</v>
      </c>
    </row>
    <row r="15" spans="1:13">
      <c r="A15" s="6">
        <v>12</v>
      </c>
      <c r="B15" s="10" t="s">
        <v>7537</v>
      </c>
      <c r="C15" s="10" t="s">
        <v>2740</v>
      </c>
      <c r="D15" s="79">
        <v>90</v>
      </c>
      <c r="E15" s="79">
        <v>90</v>
      </c>
      <c r="F15" s="10" t="s">
        <v>2741</v>
      </c>
      <c r="G15" s="10" t="s">
        <v>755</v>
      </c>
      <c r="H15" s="6">
        <v>2670232</v>
      </c>
      <c r="I15" s="80">
        <v>45021</v>
      </c>
      <c r="J15" s="80">
        <v>40227</v>
      </c>
      <c r="K15" s="80">
        <v>45021</v>
      </c>
      <c r="L15" s="10" t="s">
        <v>836</v>
      </c>
      <c r="M15" s="10" t="s">
        <v>304</v>
      </c>
    </row>
    <row r="16" spans="1:13">
      <c r="A16" s="6">
        <v>13</v>
      </c>
      <c r="B16" s="10" t="s">
        <v>7538</v>
      </c>
      <c r="C16" s="10" t="s">
        <v>7539</v>
      </c>
      <c r="D16" s="79">
        <v>702.77</v>
      </c>
      <c r="E16" s="79">
        <v>702.77</v>
      </c>
      <c r="F16" s="10" t="s">
        <v>7540</v>
      </c>
      <c r="G16" s="10" t="s">
        <v>755</v>
      </c>
      <c r="H16" s="6">
        <v>6165451</v>
      </c>
      <c r="I16" s="80">
        <v>45203</v>
      </c>
      <c r="J16" s="80">
        <v>43011</v>
      </c>
      <c r="K16" s="80">
        <v>45202</v>
      </c>
      <c r="L16" s="10" t="s">
        <v>1014</v>
      </c>
      <c r="M16" s="10" t="s">
        <v>3357</v>
      </c>
    </row>
    <row r="17" spans="1:13">
      <c r="A17" s="6">
        <v>14</v>
      </c>
      <c r="B17" s="10" t="s">
        <v>7541</v>
      </c>
      <c r="C17" s="10" t="s">
        <v>7542</v>
      </c>
      <c r="D17" s="79">
        <v>4401.22</v>
      </c>
      <c r="E17" s="79">
        <v>4401.22</v>
      </c>
      <c r="F17" s="10" t="s">
        <v>7543</v>
      </c>
      <c r="G17" s="10" t="s">
        <v>755</v>
      </c>
      <c r="H17" s="6">
        <v>5387787</v>
      </c>
      <c r="I17" s="80">
        <v>44984</v>
      </c>
      <c r="J17" s="80">
        <v>42788</v>
      </c>
      <c r="K17" s="80">
        <v>44979</v>
      </c>
      <c r="L17" s="10" t="s">
        <v>1014</v>
      </c>
      <c r="M17" s="10" t="s">
        <v>2825</v>
      </c>
    </row>
    <row r="18" spans="1:13">
      <c r="A18" s="6">
        <v>15</v>
      </c>
      <c r="B18" s="10" t="s">
        <v>7544</v>
      </c>
      <c r="C18" s="10" t="s">
        <v>5104</v>
      </c>
      <c r="D18" s="79">
        <v>6158.24</v>
      </c>
      <c r="E18" s="79">
        <v>6158.24</v>
      </c>
      <c r="F18" s="10" t="s">
        <v>7545</v>
      </c>
      <c r="G18" s="10" t="s">
        <v>848</v>
      </c>
      <c r="H18" s="6">
        <v>6314082</v>
      </c>
      <c r="I18" s="80">
        <v>45160</v>
      </c>
      <c r="J18" s="80">
        <v>42963</v>
      </c>
      <c r="K18" s="80">
        <v>45154</v>
      </c>
      <c r="L18" s="10" t="s">
        <v>1014</v>
      </c>
      <c r="M18" s="10" t="s">
        <v>2391</v>
      </c>
    </row>
    <row r="19" spans="1:13">
      <c r="A19" s="6">
        <v>16</v>
      </c>
      <c r="B19" s="10" t="s">
        <v>7546</v>
      </c>
      <c r="C19" s="10" t="s">
        <v>2255</v>
      </c>
      <c r="D19" s="79">
        <v>31.25</v>
      </c>
      <c r="E19" s="79">
        <v>31.25</v>
      </c>
      <c r="F19" s="10" t="s">
        <v>7547</v>
      </c>
      <c r="G19" s="10" t="s">
        <v>755</v>
      </c>
      <c r="H19" s="6">
        <v>2039389</v>
      </c>
      <c r="I19" s="80">
        <v>45111</v>
      </c>
      <c r="J19" s="80">
        <v>37032</v>
      </c>
      <c r="K19" s="80">
        <v>45111</v>
      </c>
      <c r="L19" s="10" t="s">
        <v>170</v>
      </c>
      <c r="M19" s="10" t="s">
        <v>807</v>
      </c>
    </row>
    <row r="20" spans="1:13">
      <c r="A20" s="6">
        <v>17</v>
      </c>
      <c r="B20" s="10" t="s">
        <v>7548</v>
      </c>
      <c r="C20" s="10" t="s">
        <v>1953</v>
      </c>
      <c r="D20" s="79">
        <v>3570.35</v>
      </c>
      <c r="E20" s="79">
        <v>3570.35</v>
      </c>
      <c r="F20" s="10" t="s">
        <v>4365</v>
      </c>
      <c r="G20" s="10" t="s">
        <v>766</v>
      </c>
      <c r="H20" s="6">
        <v>6172768</v>
      </c>
      <c r="I20" s="80">
        <v>45077</v>
      </c>
      <c r="J20" s="80">
        <v>42885</v>
      </c>
      <c r="K20" s="80">
        <v>45076</v>
      </c>
      <c r="L20" s="10" t="s">
        <v>170</v>
      </c>
      <c r="M20" s="10" t="s">
        <v>171</v>
      </c>
    </row>
    <row r="21" spans="1:13">
      <c r="A21" s="6">
        <v>18</v>
      </c>
      <c r="B21" s="10" t="s">
        <v>7549</v>
      </c>
      <c r="C21" s="10" t="s">
        <v>7550</v>
      </c>
      <c r="D21" s="79">
        <v>9147.42</v>
      </c>
      <c r="E21" s="79">
        <v>9147.42</v>
      </c>
      <c r="F21" s="10" t="s">
        <v>7551</v>
      </c>
      <c r="G21" s="10" t="s">
        <v>755</v>
      </c>
      <c r="H21" s="6">
        <v>5308917</v>
      </c>
      <c r="I21" s="80">
        <v>45236</v>
      </c>
      <c r="J21" s="80">
        <v>42115</v>
      </c>
      <c r="K21" s="80">
        <v>44307</v>
      </c>
      <c r="L21" s="10" t="s">
        <v>170</v>
      </c>
      <c r="M21" s="10" t="s">
        <v>1738</v>
      </c>
    </row>
    <row r="22" spans="1:13">
      <c r="A22" s="6">
        <v>19</v>
      </c>
      <c r="B22" s="10" t="s">
        <v>7552</v>
      </c>
      <c r="C22" s="10" t="s">
        <v>7553</v>
      </c>
      <c r="D22" s="79">
        <v>4765.1099999999997</v>
      </c>
      <c r="E22" s="79">
        <v>14078.24</v>
      </c>
      <c r="F22" s="10" t="s">
        <v>5532</v>
      </c>
      <c r="G22" s="10" t="s">
        <v>755</v>
      </c>
      <c r="H22" s="6">
        <v>5150884</v>
      </c>
      <c r="I22" s="80">
        <v>44942</v>
      </c>
      <c r="J22" s="80">
        <v>40542</v>
      </c>
      <c r="K22" s="80">
        <v>44942</v>
      </c>
      <c r="L22" s="10" t="s">
        <v>170</v>
      </c>
      <c r="M22" s="10" t="s">
        <v>280</v>
      </c>
    </row>
    <row r="23" spans="1:13">
      <c r="A23" s="6">
        <v>20</v>
      </c>
      <c r="B23" s="10" t="s">
        <v>7554</v>
      </c>
      <c r="C23" s="10" t="s">
        <v>7555</v>
      </c>
      <c r="D23" s="79">
        <v>11692.43</v>
      </c>
      <c r="E23" s="79">
        <v>11692.43</v>
      </c>
      <c r="F23" s="10" t="s">
        <v>7556</v>
      </c>
      <c r="G23" s="10" t="s">
        <v>766</v>
      </c>
      <c r="H23" s="6">
        <v>5077834</v>
      </c>
      <c r="I23" s="80">
        <v>45064</v>
      </c>
      <c r="J23" s="80">
        <v>38170</v>
      </c>
      <c r="K23" s="80">
        <v>45064</v>
      </c>
      <c r="L23" s="10" t="s">
        <v>170</v>
      </c>
      <c r="M23" s="10" t="s">
        <v>924</v>
      </c>
    </row>
    <row r="24" spans="1:13">
      <c r="A24" s="6">
        <v>21</v>
      </c>
      <c r="B24" s="10" t="s">
        <v>7552</v>
      </c>
      <c r="C24" s="10" t="s">
        <v>7553</v>
      </c>
      <c r="D24" s="79">
        <v>9313.1299999999992</v>
      </c>
      <c r="E24" s="79">
        <v>14078.24</v>
      </c>
      <c r="F24" s="10" t="s">
        <v>5532</v>
      </c>
      <c r="G24" s="10" t="s">
        <v>755</v>
      </c>
      <c r="H24" s="6">
        <v>5150884</v>
      </c>
      <c r="I24" s="80">
        <v>44942</v>
      </c>
      <c r="J24" s="80">
        <v>40542</v>
      </c>
      <c r="K24" s="80">
        <v>44942</v>
      </c>
      <c r="L24" s="10" t="s">
        <v>170</v>
      </c>
      <c r="M24" s="10" t="s">
        <v>924</v>
      </c>
    </row>
    <row r="25" spans="1:13">
      <c r="A25" s="6">
        <v>22</v>
      </c>
      <c r="B25" s="10" t="s">
        <v>7557</v>
      </c>
      <c r="C25" s="10" t="s">
        <v>7553</v>
      </c>
      <c r="D25" s="79">
        <v>6838.27</v>
      </c>
      <c r="E25" s="79">
        <v>6838.27</v>
      </c>
      <c r="F25" s="10" t="s">
        <v>5532</v>
      </c>
      <c r="G25" s="10" t="s">
        <v>755</v>
      </c>
      <c r="H25" s="6">
        <v>5150884</v>
      </c>
      <c r="I25" s="80">
        <v>44942</v>
      </c>
      <c r="J25" s="80">
        <v>40542</v>
      </c>
      <c r="K25" s="80">
        <v>44942</v>
      </c>
      <c r="L25" s="10" t="s">
        <v>170</v>
      </c>
      <c r="M25" s="10" t="s">
        <v>924</v>
      </c>
    </row>
    <row r="26" spans="1:13">
      <c r="A26" s="6">
        <v>23</v>
      </c>
      <c r="B26" s="10" t="s">
        <v>7558</v>
      </c>
      <c r="C26" s="10" t="s">
        <v>7559</v>
      </c>
      <c r="D26" s="79">
        <v>2826.39</v>
      </c>
      <c r="E26" s="79">
        <v>2826.39</v>
      </c>
      <c r="F26" s="10" t="s">
        <v>7560</v>
      </c>
      <c r="G26" s="10" t="s">
        <v>755</v>
      </c>
      <c r="H26" s="6">
        <v>5528089</v>
      </c>
      <c r="I26" s="80">
        <v>45126</v>
      </c>
      <c r="J26" s="80">
        <v>44711</v>
      </c>
      <c r="K26" s="80">
        <v>45126</v>
      </c>
      <c r="L26" s="10" t="s">
        <v>170</v>
      </c>
      <c r="M26" s="10" t="s">
        <v>2450</v>
      </c>
    </row>
    <row r="27" spans="1:13">
      <c r="A27" s="6">
        <v>24</v>
      </c>
      <c r="B27" s="10" t="s">
        <v>7561</v>
      </c>
      <c r="C27" s="10" t="s">
        <v>1389</v>
      </c>
      <c r="D27" s="79">
        <v>39.32</v>
      </c>
      <c r="E27" s="79">
        <v>39.32</v>
      </c>
      <c r="F27" s="10" t="s">
        <v>5224</v>
      </c>
      <c r="G27" s="10" t="s">
        <v>848</v>
      </c>
      <c r="H27" s="6">
        <v>5120365</v>
      </c>
      <c r="I27" s="80">
        <v>45231</v>
      </c>
      <c r="J27" s="80">
        <v>39833</v>
      </c>
      <c r="K27" s="80">
        <v>44427</v>
      </c>
      <c r="L27" s="10" t="s">
        <v>170</v>
      </c>
      <c r="M27" s="10" t="s">
        <v>205</v>
      </c>
    </row>
    <row r="28" spans="1:13">
      <c r="A28" s="6">
        <v>25</v>
      </c>
      <c r="B28" s="10" t="s">
        <v>7562</v>
      </c>
      <c r="C28" s="10" t="s">
        <v>1389</v>
      </c>
      <c r="D28" s="79">
        <v>9.49</v>
      </c>
      <c r="E28" s="79">
        <v>9.49</v>
      </c>
      <c r="F28" s="10" t="s">
        <v>5224</v>
      </c>
      <c r="G28" s="10" t="s">
        <v>848</v>
      </c>
      <c r="H28" s="6">
        <v>5120365</v>
      </c>
      <c r="I28" s="80">
        <v>45230</v>
      </c>
      <c r="J28" s="80">
        <v>39833</v>
      </c>
      <c r="K28" s="80">
        <v>44427</v>
      </c>
      <c r="L28" s="10" t="s">
        <v>170</v>
      </c>
      <c r="M28" s="10" t="s">
        <v>205</v>
      </c>
    </row>
    <row r="29" spans="1:13">
      <c r="A29" s="6">
        <v>26</v>
      </c>
      <c r="B29" s="10" t="s">
        <v>7563</v>
      </c>
      <c r="C29" s="10" t="s">
        <v>5233</v>
      </c>
      <c r="D29" s="79">
        <v>118.49</v>
      </c>
      <c r="E29" s="79">
        <v>118.49</v>
      </c>
      <c r="F29" s="10" t="s">
        <v>5234</v>
      </c>
      <c r="G29" s="10" t="s">
        <v>755</v>
      </c>
      <c r="H29" s="6">
        <v>5194997</v>
      </c>
      <c r="I29" s="80">
        <v>45279</v>
      </c>
      <c r="J29" s="80">
        <v>40046</v>
      </c>
      <c r="K29" s="80">
        <v>44429</v>
      </c>
      <c r="L29" s="10" t="s">
        <v>170</v>
      </c>
      <c r="M29" s="10" t="s">
        <v>1023</v>
      </c>
    </row>
    <row r="30" spans="1:13">
      <c r="A30" s="6">
        <v>27</v>
      </c>
      <c r="B30" s="10" t="s">
        <v>7564</v>
      </c>
      <c r="C30" s="10" t="s">
        <v>1779</v>
      </c>
      <c r="D30" s="79">
        <v>107.89</v>
      </c>
      <c r="E30" s="79">
        <v>107.89</v>
      </c>
      <c r="F30" s="10" t="s">
        <v>1081</v>
      </c>
      <c r="G30" s="10" t="s">
        <v>914</v>
      </c>
      <c r="H30" s="6">
        <v>2011239</v>
      </c>
      <c r="I30" s="80">
        <v>44995</v>
      </c>
      <c r="J30" s="80">
        <v>42401</v>
      </c>
      <c r="K30" s="80">
        <v>44995</v>
      </c>
      <c r="L30" s="10" t="s">
        <v>123</v>
      </c>
      <c r="M30" s="10" t="s">
        <v>272</v>
      </c>
    </row>
    <row r="31" spans="1:13">
      <c r="A31" s="6">
        <v>28</v>
      </c>
      <c r="B31" s="10" t="s">
        <v>7565</v>
      </c>
      <c r="C31" s="10" t="s">
        <v>7566</v>
      </c>
      <c r="D31" s="79">
        <v>484.19</v>
      </c>
      <c r="E31" s="79">
        <v>484.19</v>
      </c>
      <c r="F31" s="10" t="s">
        <v>7567</v>
      </c>
      <c r="G31" s="10" t="s">
        <v>755</v>
      </c>
      <c r="H31" s="6">
        <v>5156246</v>
      </c>
      <c r="I31" s="80">
        <v>45180</v>
      </c>
      <c r="J31" s="80">
        <v>41123</v>
      </c>
      <c r="K31" s="80">
        <v>45180</v>
      </c>
      <c r="L31" s="10" t="s">
        <v>123</v>
      </c>
      <c r="M31" s="10" t="s">
        <v>272</v>
      </c>
    </row>
    <row r="32" spans="1:13">
      <c r="A32" s="6">
        <v>29</v>
      </c>
      <c r="B32" s="10" t="s">
        <v>7568</v>
      </c>
      <c r="C32" s="10" t="s">
        <v>2842</v>
      </c>
      <c r="D32" s="79">
        <v>84.09</v>
      </c>
      <c r="E32" s="79">
        <v>84.09</v>
      </c>
      <c r="F32" s="10" t="s">
        <v>1081</v>
      </c>
      <c r="G32" s="10" t="s">
        <v>914</v>
      </c>
      <c r="H32" s="6">
        <v>2011239</v>
      </c>
      <c r="I32" s="80">
        <v>45160</v>
      </c>
      <c r="J32" s="80">
        <v>42556</v>
      </c>
      <c r="K32" s="80">
        <v>45160</v>
      </c>
      <c r="L32" s="10" t="s">
        <v>123</v>
      </c>
      <c r="M32" s="10" t="s">
        <v>272</v>
      </c>
    </row>
    <row r="33" spans="1:13">
      <c r="A33" s="6">
        <v>30</v>
      </c>
      <c r="B33" s="10" t="s">
        <v>7569</v>
      </c>
      <c r="C33" s="10" t="s">
        <v>5525</v>
      </c>
      <c r="D33" s="79">
        <v>176.49</v>
      </c>
      <c r="E33" s="79">
        <v>176.49</v>
      </c>
      <c r="F33" s="10" t="s">
        <v>1209</v>
      </c>
      <c r="G33" s="10" t="s">
        <v>755</v>
      </c>
      <c r="H33" s="6">
        <v>2763788</v>
      </c>
      <c r="I33" s="80">
        <v>45160</v>
      </c>
      <c r="J33" s="80">
        <v>40350</v>
      </c>
      <c r="K33" s="80">
        <v>45160</v>
      </c>
      <c r="L33" s="10" t="s">
        <v>123</v>
      </c>
      <c r="M33" s="10" t="s">
        <v>272</v>
      </c>
    </row>
    <row r="34" spans="1:13">
      <c r="A34" s="6">
        <v>31</v>
      </c>
      <c r="B34" s="10" t="s">
        <v>7570</v>
      </c>
      <c r="C34" s="10" t="s">
        <v>5195</v>
      </c>
      <c r="D34" s="79">
        <v>202.47</v>
      </c>
      <c r="E34" s="79">
        <v>202.47</v>
      </c>
      <c r="F34" s="10" t="s">
        <v>5196</v>
      </c>
      <c r="G34" s="10" t="s">
        <v>755</v>
      </c>
      <c r="H34" s="6">
        <v>5136512</v>
      </c>
      <c r="I34" s="80">
        <v>45127</v>
      </c>
      <c r="J34" s="80">
        <v>40064</v>
      </c>
      <c r="K34" s="80">
        <v>44447</v>
      </c>
      <c r="L34" s="10" t="s">
        <v>123</v>
      </c>
      <c r="M34" s="10" t="s">
        <v>836</v>
      </c>
    </row>
    <row r="35" spans="1:13">
      <c r="A35" s="6">
        <v>32</v>
      </c>
      <c r="B35" s="10" t="s">
        <v>7571</v>
      </c>
      <c r="C35" s="10" t="s">
        <v>5195</v>
      </c>
      <c r="D35" s="79">
        <v>192.97</v>
      </c>
      <c r="E35" s="79">
        <v>192.97</v>
      </c>
      <c r="F35" s="10" t="s">
        <v>5196</v>
      </c>
      <c r="G35" s="10" t="s">
        <v>755</v>
      </c>
      <c r="H35" s="6">
        <v>5136512</v>
      </c>
      <c r="I35" s="80">
        <v>45126</v>
      </c>
      <c r="J35" s="80">
        <v>40064</v>
      </c>
      <c r="K35" s="80">
        <v>44447</v>
      </c>
      <c r="L35" s="10" t="s">
        <v>123</v>
      </c>
      <c r="M35" s="10" t="s">
        <v>836</v>
      </c>
    </row>
    <row r="36" spans="1:13">
      <c r="A36" s="6">
        <v>33</v>
      </c>
      <c r="B36" s="10" t="s">
        <v>7572</v>
      </c>
      <c r="C36" s="10" t="s">
        <v>7573</v>
      </c>
      <c r="D36" s="79">
        <v>5929.95</v>
      </c>
      <c r="E36" s="79">
        <v>5929.95</v>
      </c>
      <c r="F36" s="10" t="s">
        <v>6315</v>
      </c>
      <c r="G36" s="10" t="s">
        <v>755</v>
      </c>
      <c r="H36" s="6">
        <v>5097517</v>
      </c>
      <c r="I36" s="80">
        <v>44935</v>
      </c>
      <c r="J36" s="80">
        <v>43003</v>
      </c>
      <c r="K36" s="80">
        <v>44935</v>
      </c>
      <c r="L36" s="10" t="s">
        <v>123</v>
      </c>
      <c r="M36" s="10" t="s">
        <v>1472</v>
      </c>
    </row>
    <row r="37" spans="1:13">
      <c r="A37" s="6">
        <v>34</v>
      </c>
      <c r="B37" s="10" t="s">
        <v>7574</v>
      </c>
      <c r="C37" s="10" t="s">
        <v>1533</v>
      </c>
      <c r="D37" s="79">
        <v>4509.4399999999996</v>
      </c>
      <c r="E37" s="79">
        <v>4509.4399999999996</v>
      </c>
      <c r="F37" s="10" t="s">
        <v>7575</v>
      </c>
      <c r="G37" s="10" t="s">
        <v>848</v>
      </c>
      <c r="H37" s="6">
        <v>2827875</v>
      </c>
      <c r="I37" s="80">
        <v>45061</v>
      </c>
      <c r="J37" s="80">
        <v>41201</v>
      </c>
      <c r="K37" s="80">
        <v>45061</v>
      </c>
      <c r="L37" s="10" t="s">
        <v>123</v>
      </c>
      <c r="M37" s="10" t="s">
        <v>1256</v>
      </c>
    </row>
    <row r="38" spans="1:13">
      <c r="A38" s="6">
        <v>35</v>
      </c>
      <c r="B38" s="10" t="s">
        <v>7576</v>
      </c>
      <c r="C38" s="10" t="s">
        <v>7577</v>
      </c>
      <c r="D38" s="79">
        <v>3230.85</v>
      </c>
      <c r="E38" s="79">
        <v>3230.85</v>
      </c>
      <c r="F38" s="10" t="s">
        <v>7578</v>
      </c>
      <c r="G38" s="10" t="s">
        <v>755</v>
      </c>
      <c r="H38" s="6">
        <v>6005357</v>
      </c>
      <c r="I38" s="80">
        <v>44967</v>
      </c>
      <c r="J38" s="80">
        <v>42374</v>
      </c>
      <c r="K38" s="80">
        <v>44967</v>
      </c>
      <c r="L38" s="10" t="s">
        <v>123</v>
      </c>
      <c r="M38" s="10" t="s">
        <v>2682</v>
      </c>
    </row>
    <row r="39" spans="1:13">
      <c r="A39" s="6">
        <v>36</v>
      </c>
      <c r="B39" s="10" t="s">
        <v>7579</v>
      </c>
      <c r="C39" s="10" t="s">
        <v>2296</v>
      </c>
      <c r="D39" s="79">
        <v>96.05</v>
      </c>
      <c r="E39" s="79">
        <v>96.05</v>
      </c>
      <c r="F39" s="10" t="s">
        <v>5088</v>
      </c>
      <c r="G39" s="10" t="s">
        <v>755</v>
      </c>
      <c r="H39" s="6">
        <v>5070899</v>
      </c>
      <c r="I39" s="80">
        <v>45000</v>
      </c>
      <c r="J39" s="80">
        <v>42408</v>
      </c>
      <c r="K39" s="80">
        <v>45000</v>
      </c>
      <c r="L39" s="10" t="s">
        <v>375</v>
      </c>
      <c r="M39" s="10" t="s">
        <v>1476</v>
      </c>
    </row>
    <row r="40" spans="1:13">
      <c r="A40" s="6">
        <v>37</v>
      </c>
      <c r="B40" s="10" t="s">
        <v>7580</v>
      </c>
      <c r="C40" s="10" t="s">
        <v>2382</v>
      </c>
      <c r="D40" s="79">
        <v>202.77</v>
      </c>
      <c r="E40" s="79">
        <v>202.77</v>
      </c>
      <c r="F40" s="10" t="s">
        <v>5079</v>
      </c>
      <c r="G40" s="10" t="s">
        <v>755</v>
      </c>
      <c r="H40" s="6">
        <v>5686695</v>
      </c>
      <c r="I40" s="80">
        <v>45230</v>
      </c>
      <c r="J40" s="80">
        <v>44130</v>
      </c>
      <c r="K40" s="80">
        <v>45225</v>
      </c>
      <c r="L40" s="10" t="s">
        <v>375</v>
      </c>
      <c r="M40" s="10" t="s">
        <v>3086</v>
      </c>
    </row>
    <row r="41" spans="1:13">
      <c r="A41" s="6">
        <v>38</v>
      </c>
      <c r="B41" s="10" t="s">
        <v>7581</v>
      </c>
      <c r="C41" s="10" t="s">
        <v>2382</v>
      </c>
      <c r="D41" s="79">
        <v>57.48</v>
      </c>
      <c r="E41" s="79">
        <v>57.48</v>
      </c>
      <c r="F41" s="10" t="s">
        <v>5079</v>
      </c>
      <c r="G41" s="10" t="s">
        <v>755</v>
      </c>
      <c r="H41" s="6">
        <v>5686695</v>
      </c>
      <c r="I41" s="80">
        <v>45230</v>
      </c>
      <c r="J41" s="80">
        <v>44130</v>
      </c>
      <c r="K41" s="80">
        <v>45225</v>
      </c>
      <c r="L41" s="10" t="s">
        <v>375</v>
      </c>
      <c r="M41" s="10" t="s">
        <v>3086</v>
      </c>
    </row>
    <row r="42" spans="1:13">
      <c r="A42" s="6">
        <v>39</v>
      </c>
      <c r="B42" s="10" t="s">
        <v>7582</v>
      </c>
      <c r="C42" s="10" t="s">
        <v>7583</v>
      </c>
      <c r="D42" s="79">
        <v>5015.12</v>
      </c>
      <c r="E42" s="79">
        <v>5139.37</v>
      </c>
      <c r="F42" s="10" t="s">
        <v>6696</v>
      </c>
      <c r="G42" s="10" t="s">
        <v>755</v>
      </c>
      <c r="H42" s="6">
        <v>5323843</v>
      </c>
      <c r="I42" s="80">
        <v>45229</v>
      </c>
      <c r="J42" s="80">
        <v>44459</v>
      </c>
      <c r="K42" s="80">
        <v>45229</v>
      </c>
      <c r="L42" s="10" t="s">
        <v>375</v>
      </c>
      <c r="M42" s="10" t="s">
        <v>2955</v>
      </c>
    </row>
    <row r="43" spans="1:13">
      <c r="A43" s="6">
        <v>40</v>
      </c>
      <c r="B43" s="10" t="s">
        <v>7582</v>
      </c>
      <c r="C43" s="10" t="s">
        <v>7583</v>
      </c>
      <c r="D43" s="79">
        <v>124.25</v>
      </c>
      <c r="E43" s="79">
        <v>5139.37</v>
      </c>
      <c r="F43" s="10" t="s">
        <v>6696</v>
      </c>
      <c r="G43" s="10" t="s">
        <v>755</v>
      </c>
      <c r="H43" s="6">
        <v>5323843</v>
      </c>
      <c r="I43" s="80">
        <v>45229</v>
      </c>
      <c r="J43" s="80">
        <v>44459</v>
      </c>
      <c r="K43" s="80">
        <v>45229</v>
      </c>
      <c r="L43" s="10" t="s">
        <v>375</v>
      </c>
      <c r="M43" s="10" t="s">
        <v>1000</v>
      </c>
    </row>
    <row r="44" spans="1:13">
      <c r="A44" s="6">
        <v>41</v>
      </c>
      <c r="B44" s="10" t="s">
        <v>7584</v>
      </c>
      <c r="C44" s="10" t="s">
        <v>4117</v>
      </c>
      <c r="D44" s="79">
        <v>0.01</v>
      </c>
      <c r="E44" s="79">
        <v>5217.1499999999996</v>
      </c>
      <c r="F44" s="10" t="s">
        <v>4526</v>
      </c>
      <c r="G44" s="10" t="s">
        <v>755</v>
      </c>
      <c r="H44" s="6">
        <v>2773791</v>
      </c>
      <c r="I44" s="80">
        <v>45180</v>
      </c>
      <c r="J44" s="80">
        <v>42586</v>
      </c>
      <c r="K44" s="80">
        <v>45180</v>
      </c>
      <c r="L44" s="10" t="s">
        <v>1242</v>
      </c>
      <c r="M44" s="10" t="s">
        <v>1516</v>
      </c>
    </row>
    <row r="45" spans="1:13">
      <c r="A45" s="6">
        <v>42</v>
      </c>
      <c r="B45" s="10" t="s">
        <v>7585</v>
      </c>
      <c r="C45" s="10" t="s">
        <v>2889</v>
      </c>
      <c r="D45" s="79">
        <v>248.86</v>
      </c>
      <c r="E45" s="79">
        <v>13137.43</v>
      </c>
      <c r="F45" s="10" t="s">
        <v>7586</v>
      </c>
      <c r="G45" s="10" t="s">
        <v>755</v>
      </c>
      <c r="H45" s="6">
        <v>5606713</v>
      </c>
      <c r="I45" s="80">
        <v>44984</v>
      </c>
      <c r="J45" s="80">
        <v>42783</v>
      </c>
      <c r="K45" s="80">
        <v>44974</v>
      </c>
      <c r="L45" s="10" t="s">
        <v>1242</v>
      </c>
      <c r="M45" s="10" t="s">
        <v>1243</v>
      </c>
    </row>
    <row r="46" spans="1:13">
      <c r="A46" s="6">
        <v>43</v>
      </c>
      <c r="B46" s="10" t="s">
        <v>7584</v>
      </c>
      <c r="C46" s="10" t="s">
        <v>4117</v>
      </c>
      <c r="D46" s="79">
        <v>5217.1400000000003</v>
      </c>
      <c r="E46" s="79">
        <v>5217.1499999999996</v>
      </c>
      <c r="F46" s="10" t="s">
        <v>4526</v>
      </c>
      <c r="G46" s="10" t="s">
        <v>755</v>
      </c>
      <c r="H46" s="6">
        <v>2773791</v>
      </c>
      <c r="I46" s="80">
        <v>45180</v>
      </c>
      <c r="J46" s="80">
        <v>42586</v>
      </c>
      <c r="K46" s="80">
        <v>45180</v>
      </c>
      <c r="L46" s="10" t="s">
        <v>1242</v>
      </c>
      <c r="M46" s="10" t="s">
        <v>4119</v>
      </c>
    </row>
    <row r="47" spans="1:13">
      <c r="A47" s="6">
        <v>44</v>
      </c>
      <c r="B47" s="10" t="s">
        <v>7585</v>
      </c>
      <c r="C47" s="10" t="s">
        <v>2889</v>
      </c>
      <c r="D47" s="79">
        <v>12888.57</v>
      </c>
      <c r="E47" s="79">
        <v>13137.43</v>
      </c>
      <c r="F47" s="10" t="s">
        <v>7586</v>
      </c>
      <c r="G47" s="10" t="s">
        <v>755</v>
      </c>
      <c r="H47" s="6">
        <v>5606713</v>
      </c>
      <c r="I47" s="80">
        <v>44984</v>
      </c>
      <c r="J47" s="80">
        <v>42783</v>
      </c>
      <c r="K47" s="80">
        <v>44974</v>
      </c>
      <c r="L47" s="10" t="s">
        <v>1242</v>
      </c>
      <c r="M47" s="10" t="s">
        <v>4119</v>
      </c>
    </row>
    <row r="48" spans="1:13">
      <c r="A48" s="6">
        <v>45</v>
      </c>
      <c r="B48" s="10" t="s">
        <v>7587</v>
      </c>
      <c r="C48" s="10" t="s">
        <v>7588</v>
      </c>
      <c r="D48" s="79">
        <v>1392.01</v>
      </c>
      <c r="E48" s="79">
        <v>1392.01</v>
      </c>
      <c r="F48" s="10" t="s">
        <v>1559</v>
      </c>
      <c r="G48" s="10" t="s">
        <v>755</v>
      </c>
      <c r="H48" s="6">
        <v>2681404</v>
      </c>
      <c r="I48" s="80">
        <v>45104</v>
      </c>
      <c r="J48" s="80">
        <v>44637</v>
      </c>
      <c r="K48" s="80">
        <v>45104</v>
      </c>
      <c r="L48" s="10" t="s">
        <v>163</v>
      </c>
      <c r="M48" s="10" t="s">
        <v>948</v>
      </c>
    </row>
    <row r="49" spans="1:13">
      <c r="A49" s="6">
        <v>46</v>
      </c>
      <c r="B49" s="10" t="s">
        <v>7589</v>
      </c>
      <c r="C49" s="10" t="s">
        <v>2677</v>
      </c>
      <c r="D49" s="79">
        <v>101.39</v>
      </c>
      <c r="E49" s="79">
        <v>101.39</v>
      </c>
      <c r="F49" s="10" t="s">
        <v>7590</v>
      </c>
      <c r="G49" s="10" t="s">
        <v>755</v>
      </c>
      <c r="H49" s="6">
        <v>3552004</v>
      </c>
      <c r="I49" s="80">
        <v>45160</v>
      </c>
      <c r="J49" s="80">
        <v>40728</v>
      </c>
      <c r="K49" s="80">
        <v>45160</v>
      </c>
      <c r="L49" s="10" t="s">
        <v>163</v>
      </c>
      <c r="M49" s="10" t="s">
        <v>948</v>
      </c>
    </row>
    <row r="50" spans="1:13">
      <c r="A50" s="6">
        <v>47</v>
      </c>
      <c r="B50" s="10" t="s">
        <v>7533</v>
      </c>
      <c r="C50" s="10" t="s">
        <v>4759</v>
      </c>
      <c r="D50" s="79">
        <v>1532.56</v>
      </c>
      <c r="E50" s="79">
        <v>3219.35</v>
      </c>
      <c r="F50" s="10" t="s">
        <v>4760</v>
      </c>
      <c r="G50" s="10" t="s">
        <v>848</v>
      </c>
      <c r="H50" s="6">
        <v>6128963</v>
      </c>
      <c r="I50" s="80">
        <v>45126</v>
      </c>
      <c r="J50" s="80">
        <v>37894</v>
      </c>
      <c r="K50" s="80">
        <v>44241</v>
      </c>
      <c r="L50" s="10" t="s">
        <v>304</v>
      </c>
      <c r="M50" s="10" t="s">
        <v>1634</v>
      </c>
    </row>
    <row r="51" spans="1:13">
      <c r="A51" s="6">
        <v>48</v>
      </c>
      <c r="B51" s="10" t="s">
        <v>7591</v>
      </c>
      <c r="C51" s="10" t="s">
        <v>7592</v>
      </c>
      <c r="D51" s="79">
        <v>83.53</v>
      </c>
      <c r="E51" s="79">
        <v>83.53</v>
      </c>
      <c r="F51" s="10" t="s">
        <v>7593</v>
      </c>
      <c r="G51" s="10" t="s">
        <v>755</v>
      </c>
      <c r="H51" s="6">
        <v>2019205</v>
      </c>
      <c r="I51" s="80">
        <v>44932</v>
      </c>
      <c r="J51" s="80">
        <v>38014</v>
      </c>
      <c r="K51" s="80">
        <v>44932</v>
      </c>
      <c r="L51" s="10" t="s">
        <v>304</v>
      </c>
      <c r="M51" s="10" t="s">
        <v>843</v>
      </c>
    </row>
    <row r="52" spans="1:13">
      <c r="A52" s="6">
        <v>49</v>
      </c>
      <c r="B52" s="10" t="s">
        <v>7594</v>
      </c>
      <c r="C52" s="10" t="s">
        <v>3478</v>
      </c>
      <c r="D52" s="79">
        <v>45.01</v>
      </c>
      <c r="E52" s="79">
        <v>45.01</v>
      </c>
      <c r="F52" s="10" t="s">
        <v>1273</v>
      </c>
      <c r="G52" s="10" t="s">
        <v>755</v>
      </c>
      <c r="H52" s="6">
        <v>2565803</v>
      </c>
      <c r="I52" s="80">
        <v>45021</v>
      </c>
      <c r="J52" s="80">
        <v>39135</v>
      </c>
      <c r="K52" s="80">
        <v>45021</v>
      </c>
      <c r="L52" s="10" t="s">
        <v>274</v>
      </c>
      <c r="M52" s="10" t="s">
        <v>1267</v>
      </c>
    </row>
    <row r="53" spans="1:13">
      <c r="A53" s="6">
        <v>50</v>
      </c>
      <c r="B53" s="10" t="s">
        <v>7595</v>
      </c>
      <c r="C53" s="10" t="s">
        <v>7596</v>
      </c>
      <c r="D53" s="79">
        <v>644.47</v>
      </c>
      <c r="E53" s="79">
        <v>644.47</v>
      </c>
      <c r="F53" s="10" t="s">
        <v>7597</v>
      </c>
      <c r="G53" s="10" t="s">
        <v>755</v>
      </c>
      <c r="H53" s="6">
        <v>5492955</v>
      </c>
      <c r="I53" s="80">
        <v>45210</v>
      </c>
      <c r="J53" s="80">
        <v>44439</v>
      </c>
      <c r="K53" s="80">
        <v>45210</v>
      </c>
      <c r="L53" s="10" t="s">
        <v>274</v>
      </c>
      <c r="M53" s="10" t="s">
        <v>1379</v>
      </c>
    </row>
    <row r="54" spans="1:13">
      <c r="A54" s="6">
        <v>51</v>
      </c>
      <c r="B54" s="10" t="s">
        <v>7598</v>
      </c>
      <c r="C54" s="10" t="s">
        <v>7599</v>
      </c>
      <c r="D54" s="79">
        <v>1241.5</v>
      </c>
      <c r="E54" s="79">
        <v>1241.5</v>
      </c>
      <c r="F54" s="10" t="s">
        <v>6365</v>
      </c>
      <c r="G54" s="10" t="s">
        <v>755</v>
      </c>
      <c r="H54" s="6">
        <v>5222907</v>
      </c>
      <c r="I54" s="80">
        <v>45065</v>
      </c>
      <c r="J54" s="80">
        <v>42388</v>
      </c>
      <c r="K54" s="80">
        <v>45064</v>
      </c>
      <c r="L54" s="10" t="s">
        <v>274</v>
      </c>
      <c r="M54" s="10" t="s">
        <v>1379</v>
      </c>
    </row>
    <row r="55" spans="1:13">
      <c r="A55" s="6">
        <v>52</v>
      </c>
      <c r="B55" s="10" t="s">
        <v>7600</v>
      </c>
      <c r="C55" s="10" t="s">
        <v>7601</v>
      </c>
      <c r="D55" s="79">
        <v>42.12</v>
      </c>
      <c r="E55" s="79">
        <v>42.12</v>
      </c>
      <c r="F55" s="10" t="s">
        <v>7602</v>
      </c>
      <c r="G55" s="10" t="s">
        <v>848</v>
      </c>
      <c r="H55" s="6">
        <v>5161975</v>
      </c>
      <c r="I55" s="80">
        <v>45229</v>
      </c>
      <c r="J55" s="80">
        <v>41887</v>
      </c>
      <c r="K55" s="80">
        <v>45229</v>
      </c>
      <c r="L55" s="10" t="s">
        <v>274</v>
      </c>
      <c r="M55" s="10" t="s">
        <v>1413</v>
      </c>
    </row>
    <row r="56" spans="1:13">
      <c r="A56" s="6">
        <v>53</v>
      </c>
      <c r="B56" s="10" t="s">
        <v>7533</v>
      </c>
      <c r="C56" s="10" t="s">
        <v>4759</v>
      </c>
      <c r="D56" s="79">
        <v>1685.96</v>
      </c>
      <c r="E56" s="79">
        <v>3219.35</v>
      </c>
      <c r="F56" s="10" t="s">
        <v>4760</v>
      </c>
      <c r="G56" s="10" t="s">
        <v>848</v>
      </c>
      <c r="H56" s="6">
        <v>6128963</v>
      </c>
      <c r="I56" s="80">
        <v>45126</v>
      </c>
      <c r="J56" s="80">
        <v>37894</v>
      </c>
      <c r="K56" s="80">
        <v>44241</v>
      </c>
      <c r="L56" s="10" t="s">
        <v>274</v>
      </c>
      <c r="M56" s="10" t="s">
        <v>275</v>
      </c>
    </row>
    <row r="57" spans="1:13">
      <c r="A57" s="6">
        <v>54</v>
      </c>
      <c r="B57" s="10" t="s">
        <v>7603</v>
      </c>
      <c r="C57" s="10" t="s">
        <v>7604</v>
      </c>
      <c r="D57" s="79">
        <v>8.67</v>
      </c>
      <c r="E57" s="79">
        <v>8.67</v>
      </c>
      <c r="F57" s="10" t="s">
        <v>1293</v>
      </c>
      <c r="G57" s="10" t="s">
        <v>755</v>
      </c>
      <c r="H57" s="6">
        <v>5073189</v>
      </c>
      <c r="I57" s="80">
        <v>45168</v>
      </c>
      <c r="J57" s="80">
        <v>35266</v>
      </c>
      <c r="K57" s="80">
        <v>45168</v>
      </c>
      <c r="L57" s="10" t="s">
        <v>274</v>
      </c>
      <c r="M57" s="10" t="s">
        <v>275</v>
      </c>
    </row>
    <row r="58" spans="1:13">
      <c r="A58" s="6">
        <v>55</v>
      </c>
      <c r="B58" s="10" t="s">
        <v>7605</v>
      </c>
      <c r="C58" s="10" t="s">
        <v>7606</v>
      </c>
      <c r="D58" s="79">
        <v>60.66</v>
      </c>
      <c r="E58" s="79">
        <v>60.66</v>
      </c>
      <c r="F58" s="10" t="s">
        <v>1293</v>
      </c>
      <c r="G58" s="10" t="s">
        <v>755</v>
      </c>
      <c r="H58" s="6">
        <v>5073189</v>
      </c>
      <c r="I58" s="80">
        <v>44945</v>
      </c>
      <c r="J58" s="80">
        <v>39517</v>
      </c>
      <c r="K58" s="80">
        <v>44945</v>
      </c>
      <c r="L58" s="10" t="s">
        <v>274</v>
      </c>
      <c r="M58" s="10" t="s">
        <v>275</v>
      </c>
    </row>
    <row r="59" spans="1:13">
      <c r="A59" s="6">
        <v>56</v>
      </c>
      <c r="B59" s="10" t="s">
        <v>7607</v>
      </c>
      <c r="C59" s="10" t="s">
        <v>7608</v>
      </c>
      <c r="D59" s="79">
        <v>4719.92</v>
      </c>
      <c r="E59" s="79">
        <v>4719.92</v>
      </c>
      <c r="F59" s="10" t="s">
        <v>7609</v>
      </c>
      <c r="G59" s="10" t="s">
        <v>755</v>
      </c>
      <c r="H59" s="6">
        <v>5849837</v>
      </c>
      <c r="I59" s="80">
        <v>45126</v>
      </c>
      <c r="J59" s="80">
        <v>42885</v>
      </c>
      <c r="K59" s="80">
        <v>45126</v>
      </c>
      <c r="L59" s="10" t="s">
        <v>782</v>
      </c>
      <c r="M59" s="10" t="s">
        <v>289</v>
      </c>
    </row>
    <row r="60" spans="1:13">
      <c r="A60" s="6">
        <v>57</v>
      </c>
      <c r="B60" s="10" t="s">
        <v>7610</v>
      </c>
      <c r="C60" s="10" t="s">
        <v>4639</v>
      </c>
      <c r="D60" s="79">
        <v>671.62</v>
      </c>
      <c r="E60" s="79">
        <v>2169.38</v>
      </c>
      <c r="F60" s="10" t="s">
        <v>4640</v>
      </c>
      <c r="G60" s="10" t="s">
        <v>848</v>
      </c>
      <c r="H60" s="6">
        <v>6522297</v>
      </c>
      <c r="I60" s="80">
        <v>45068</v>
      </c>
      <c r="J60" s="80">
        <v>42089</v>
      </c>
      <c r="K60" s="80">
        <v>45068</v>
      </c>
      <c r="L60" s="10" t="s">
        <v>782</v>
      </c>
      <c r="M60" s="10" t="s">
        <v>233</v>
      </c>
    </row>
    <row r="61" spans="1:13">
      <c r="A61" s="6">
        <v>58</v>
      </c>
      <c r="B61" s="10" t="s">
        <v>7610</v>
      </c>
      <c r="C61" s="10" t="s">
        <v>4639</v>
      </c>
      <c r="D61" s="79">
        <v>1497.75</v>
      </c>
      <c r="E61" s="79">
        <v>2169.38</v>
      </c>
      <c r="F61" s="10" t="s">
        <v>4640</v>
      </c>
      <c r="G61" s="10" t="s">
        <v>848</v>
      </c>
      <c r="H61" s="6">
        <v>6522297</v>
      </c>
      <c r="I61" s="80">
        <v>45068</v>
      </c>
      <c r="J61" s="80">
        <v>42089</v>
      </c>
      <c r="K61" s="80">
        <v>45068</v>
      </c>
      <c r="L61" s="10" t="s">
        <v>782</v>
      </c>
      <c r="M61" s="10" t="s">
        <v>783</v>
      </c>
    </row>
    <row r="62" spans="1:13">
      <c r="A62" s="6">
        <v>59</v>
      </c>
      <c r="B62" s="10" t="s">
        <v>7611</v>
      </c>
      <c r="C62" s="10" t="s">
        <v>4125</v>
      </c>
      <c r="D62" s="79">
        <v>3716.86</v>
      </c>
      <c r="E62" s="79">
        <v>3716.86</v>
      </c>
      <c r="F62" s="10" t="s">
        <v>4556</v>
      </c>
      <c r="G62" s="10" t="s">
        <v>755</v>
      </c>
      <c r="H62" s="6">
        <v>5938953</v>
      </c>
      <c r="I62" s="80">
        <v>45236</v>
      </c>
      <c r="J62" s="80">
        <v>42164</v>
      </c>
      <c r="K62" s="80">
        <v>44356</v>
      </c>
      <c r="L62" s="10" t="s">
        <v>782</v>
      </c>
      <c r="M62" s="10" t="s">
        <v>2889</v>
      </c>
    </row>
    <row r="63" spans="1:13">
      <c r="A63" s="6">
        <v>60</v>
      </c>
      <c r="B63" s="10" t="s">
        <v>7612</v>
      </c>
      <c r="C63" s="10" t="s">
        <v>7613</v>
      </c>
      <c r="D63" s="79">
        <v>12459.32</v>
      </c>
      <c r="E63" s="79">
        <v>12459.32</v>
      </c>
      <c r="F63" s="10" t="s">
        <v>7614</v>
      </c>
      <c r="G63" s="10" t="s">
        <v>755</v>
      </c>
      <c r="H63" s="6">
        <v>5929997</v>
      </c>
      <c r="I63" s="80">
        <v>45238</v>
      </c>
      <c r="J63" s="80">
        <v>42135</v>
      </c>
      <c r="K63" s="80">
        <v>44327</v>
      </c>
      <c r="L63" s="10" t="s">
        <v>782</v>
      </c>
      <c r="M63" s="10" t="s">
        <v>2889</v>
      </c>
    </row>
    <row r="64" spans="1:13">
      <c r="A64" s="6">
        <v>61</v>
      </c>
      <c r="B64" s="10" t="s">
        <v>7615</v>
      </c>
      <c r="C64" s="10" t="s">
        <v>3654</v>
      </c>
      <c r="D64" s="79">
        <v>81.42</v>
      </c>
      <c r="E64" s="79">
        <v>81.42</v>
      </c>
      <c r="F64" s="10" t="s">
        <v>7616</v>
      </c>
      <c r="G64" s="10" t="s">
        <v>755</v>
      </c>
      <c r="H64" s="6">
        <v>2586371</v>
      </c>
      <c r="I64" s="80">
        <v>45056</v>
      </c>
      <c r="J64" s="80">
        <v>41794</v>
      </c>
      <c r="K64" s="80">
        <v>45056</v>
      </c>
      <c r="L64" s="10" t="s">
        <v>128</v>
      </c>
      <c r="M64" s="10" t="s">
        <v>138</v>
      </c>
    </row>
    <row r="65" spans="1:13">
      <c r="A65" s="6">
        <v>62</v>
      </c>
      <c r="B65" s="10" t="s">
        <v>7594</v>
      </c>
      <c r="C65" s="10" t="s">
        <v>3478</v>
      </c>
      <c r="D65" s="79">
        <v>0</v>
      </c>
      <c r="E65" s="79">
        <v>45.01</v>
      </c>
      <c r="F65" s="10" t="s">
        <v>1273</v>
      </c>
      <c r="G65" s="10" t="s">
        <v>755</v>
      </c>
      <c r="H65" s="6">
        <v>2565803</v>
      </c>
      <c r="I65" s="80">
        <v>45021</v>
      </c>
      <c r="J65" s="80">
        <v>39135</v>
      </c>
      <c r="K65" s="80">
        <v>45021</v>
      </c>
      <c r="L65" s="10" t="s">
        <v>128</v>
      </c>
      <c r="M65" s="10" t="s">
        <v>129</v>
      </c>
    </row>
    <row r="66" spans="1:13">
      <c r="A66" s="6">
        <v>63</v>
      </c>
      <c r="B66" s="10" t="s">
        <v>7617</v>
      </c>
      <c r="C66" s="10" t="s">
        <v>5494</v>
      </c>
      <c r="D66" s="79">
        <v>6012.63</v>
      </c>
      <c r="E66" s="79">
        <v>6012.63</v>
      </c>
      <c r="F66" s="10" t="s">
        <v>7618</v>
      </c>
      <c r="G66" s="10" t="s">
        <v>755</v>
      </c>
      <c r="H66" s="6">
        <v>5019338</v>
      </c>
      <c r="I66" s="80">
        <v>45230</v>
      </c>
      <c r="J66" s="80">
        <v>44130</v>
      </c>
      <c r="K66" s="80">
        <v>45225</v>
      </c>
      <c r="L66" s="10" t="s">
        <v>1102</v>
      </c>
      <c r="M66" s="10" t="s">
        <v>3357</v>
      </c>
    </row>
    <row r="67" spans="1:13">
      <c r="A67" s="6">
        <v>64</v>
      </c>
      <c r="B67" s="10" t="s">
        <v>7619</v>
      </c>
      <c r="C67" s="10" t="s">
        <v>5190</v>
      </c>
      <c r="D67" s="79">
        <v>1562.44</v>
      </c>
      <c r="E67" s="79">
        <v>1562.44</v>
      </c>
      <c r="F67" s="10" t="s">
        <v>1335</v>
      </c>
      <c r="G67" s="10" t="s">
        <v>848</v>
      </c>
      <c r="H67" s="6">
        <v>2112868</v>
      </c>
      <c r="I67" s="80">
        <v>45126</v>
      </c>
      <c r="J67" s="80">
        <v>38954</v>
      </c>
      <c r="K67" s="80">
        <v>44433</v>
      </c>
      <c r="L67" s="10" t="s">
        <v>1102</v>
      </c>
      <c r="M67" s="10" t="s">
        <v>1103</v>
      </c>
    </row>
    <row r="68" spans="1:13">
      <c r="A68" s="6">
        <v>65</v>
      </c>
      <c r="B68" s="10" t="s">
        <v>7620</v>
      </c>
      <c r="C68" s="10" t="s">
        <v>1411</v>
      </c>
      <c r="D68" s="79">
        <v>344.79</v>
      </c>
      <c r="E68" s="79">
        <v>344.79</v>
      </c>
      <c r="F68" s="10" t="s">
        <v>7621</v>
      </c>
      <c r="G68" s="10" t="s">
        <v>755</v>
      </c>
      <c r="H68" s="6">
        <v>4204964</v>
      </c>
      <c r="I68" s="80">
        <v>45233</v>
      </c>
      <c r="J68" s="80">
        <v>44467</v>
      </c>
      <c r="K68" s="80">
        <v>45233</v>
      </c>
      <c r="L68" s="10" t="s">
        <v>293</v>
      </c>
      <c r="M68" s="10" t="s">
        <v>815</v>
      </c>
    </row>
    <row r="69" spans="1:13">
      <c r="A69" s="6">
        <v>66</v>
      </c>
      <c r="B69" s="10" t="s">
        <v>7622</v>
      </c>
      <c r="C69" s="10" t="s">
        <v>7623</v>
      </c>
      <c r="D69" s="79">
        <v>307.56</v>
      </c>
      <c r="E69" s="79">
        <v>307.56</v>
      </c>
      <c r="F69" s="10" t="s">
        <v>6503</v>
      </c>
      <c r="G69" s="10" t="s">
        <v>755</v>
      </c>
      <c r="H69" s="6">
        <v>6439543</v>
      </c>
      <c r="I69" s="80">
        <v>45237</v>
      </c>
      <c r="J69" s="80">
        <v>44138</v>
      </c>
      <c r="K69" s="80">
        <v>45233</v>
      </c>
      <c r="L69" s="10" t="s">
        <v>293</v>
      </c>
      <c r="M69" s="10" t="s">
        <v>2290</v>
      </c>
    </row>
    <row r="70" spans="1:13">
      <c r="A70" s="6">
        <v>67</v>
      </c>
      <c r="B70" s="10" t="s">
        <v>7624</v>
      </c>
      <c r="C70" s="10" t="s">
        <v>4342</v>
      </c>
      <c r="D70" s="79">
        <v>139.75</v>
      </c>
      <c r="E70" s="79">
        <v>139.75</v>
      </c>
      <c r="F70" s="10" t="s">
        <v>7625</v>
      </c>
      <c r="G70" s="10" t="s">
        <v>755</v>
      </c>
      <c r="H70" s="6">
        <v>5867444</v>
      </c>
      <c r="I70" s="80">
        <v>45237</v>
      </c>
      <c r="J70" s="80">
        <v>44141</v>
      </c>
      <c r="K70" s="80">
        <v>45236</v>
      </c>
      <c r="L70" s="10" t="s">
        <v>293</v>
      </c>
      <c r="M70" s="10" t="s">
        <v>1826</v>
      </c>
    </row>
    <row r="71" spans="1:13">
      <c r="A71" s="6">
        <v>68</v>
      </c>
      <c r="B71" s="10" t="s">
        <v>7626</v>
      </c>
      <c r="C71" s="10" t="s">
        <v>4725</v>
      </c>
      <c r="D71" s="79">
        <v>86.05</v>
      </c>
      <c r="E71" s="79">
        <v>257.17</v>
      </c>
      <c r="F71" s="10" t="s">
        <v>7627</v>
      </c>
      <c r="G71" s="10" t="s">
        <v>755</v>
      </c>
      <c r="H71" s="6">
        <v>5275989</v>
      </c>
      <c r="I71" s="80">
        <v>45233</v>
      </c>
      <c r="J71" s="80">
        <v>38617</v>
      </c>
      <c r="K71" s="80">
        <v>45233</v>
      </c>
      <c r="L71" s="10" t="s">
        <v>293</v>
      </c>
      <c r="M71" s="10" t="s">
        <v>3681</v>
      </c>
    </row>
    <row r="72" spans="1:13">
      <c r="A72" s="6">
        <v>69</v>
      </c>
      <c r="B72" s="10" t="s">
        <v>7628</v>
      </c>
      <c r="C72" s="10" t="s">
        <v>4475</v>
      </c>
      <c r="D72" s="79">
        <v>200.12</v>
      </c>
      <c r="E72" s="79">
        <v>200.12</v>
      </c>
      <c r="F72" s="10" t="s">
        <v>7629</v>
      </c>
      <c r="G72" s="10" t="s">
        <v>766</v>
      </c>
      <c r="H72" s="6">
        <v>5823595</v>
      </c>
      <c r="I72" s="80">
        <v>45210</v>
      </c>
      <c r="J72" s="80">
        <v>42250</v>
      </c>
      <c r="K72" s="80">
        <v>45210</v>
      </c>
      <c r="L72" s="10" t="s">
        <v>293</v>
      </c>
      <c r="M72" s="10" t="s">
        <v>1315</v>
      </c>
    </row>
    <row r="73" spans="1:13">
      <c r="A73" s="6">
        <v>70</v>
      </c>
      <c r="B73" s="10" t="s">
        <v>7630</v>
      </c>
      <c r="C73" s="10" t="s">
        <v>124</v>
      </c>
      <c r="D73" s="79">
        <v>1603.73</v>
      </c>
      <c r="E73" s="79">
        <v>1603.73</v>
      </c>
      <c r="F73" s="10" t="s">
        <v>4907</v>
      </c>
      <c r="G73" s="10" t="s">
        <v>755</v>
      </c>
      <c r="H73" s="6">
        <v>5864801</v>
      </c>
      <c r="I73" s="80">
        <v>44977</v>
      </c>
      <c r="J73" s="80">
        <v>42373</v>
      </c>
      <c r="K73" s="80">
        <v>44977</v>
      </c>
      <c r="L73" s="10" t="s">
        <v>293</v>
      </c>
      <c r="M73" s="10" t="s">
        <v>124</v>
      </c>
    </row>
    <row r="74" spans="1:13">
      <c r="A74" s="6">
        <v>71</v>
      </c>
      <c r="B74" s="10" t="s">
        <v>7626</v>
      </c>
      <c r="C74" s="10" t="s">
        <v>4725</v>
      </c>
      <c r="D74" s="79">
        <v>171.12</v>
      </c>
      <c r="E74" s="79">
        <v>257.17</v>
      </c>
      <c r="F74" s="10" t="s">
        <v>7627</v>
      </c>
      <c r="G74" s="10" t="s">
        <v>755</v>
      </c>
      <c r="H74" s="6">
        <v>5275989</v>
      </c>
      <c r="I74" s="80">
        <v>45233</v>
      </c>
      <c r="J74" s="80">
        <v>38617</v>
      </c>
      <c r="K74" s="80">
        <v>45233</v>
      </c>
      <c r="L74" s="10" t="s">
        <v>293</v>
      </c>
      <c r="M74" s="10" t="s">
        <v>1206</v>
      </c>
    </row>
    <row r="75" spans="1:13">
      <c r="A75" s="6">
        <v>72</v>
      </c>
      <c r="B75" s="10" t="s">
        <v>7631</v>
      </c>
      <c r="C75" s="10" t="s">
        <v>777</v>
      </c>
      <c r="D75" s="79">
        <v>1007.15</v>
      </c>
      <c r="E75" s="79">
        <v>1007.15</v>
      </c>
      <c r="F75" s="10" t="s">
        <v>7632</v>
      </c>
      <c r="G75" s="10" t="s">
        <v>755</v>
      </c>
      <c r="H75" s="6">
        <v>5282101</v>
      </c>
      <c r="I75" s="80">
        <v>44938</v>
      </c>
      <c r="J75" s="80">
        <v>40221</v>
      </c>
      <c r="K75" s="80">
        <v>44937</v>
      </c>
      <c r="L75" s="10" t="s">
        <v>293</v>
      </c>
      <c r="M75" s="10" t="s">
        <v>1206</v>
      </c>
    </row>
  </sheetData>
  <mergeCells count="1">
    <mergeCell ref="A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2CF05-BD06-4126-B12A-D94DDA630026}">
  <sheetPr>
    <tabColor rgb="FF006432"/>
  </sheetPr>
  <dimension ref="A1:H128"/>
  <sheetViews>
    <sheetView tabSelected="1" workbookViewId="0">
      <pane ySplit="3" topLeftCell="A49" activePane="bottomLeft" state="frozen"/>
      <selection pane="bottomLeft" sqref="A1:H1"/>
    </sheetView>
  </sheetViews>
  <sheetFormatPr defaultColWidth="9.140625" defaultRowHeight="14.25"/>
  <cols>
    <col min="1" max="1" width="5.42578125" style="13" customWidth="1"/>
    <col min="2" max="2" width="34.28515625" style="13" customWidth="1"/>
    <col min="3" max="3" width="9.7109375" style="21" customWidth="1"/>
    <col min="4" max="4" width="22.28515625" style="13" customWidth="1"/>
    <col min="5" max="5" width="15.28515625" style="13" customWidth="1"/>
    <col min="6" max="6" width="15.85546875" style="13" customWidth="1"/>
    <col min="7" max="7" width="16.28515625" style="13" customWidth="1"/>
    <col min="8" max="16384" width="9.140625" style="13"/>
  </cols>
  <sheetData>
    <row r="1" spans="1:8" ht="16.5" thickBot="1">
      <c r="A1" s="641" t="s">
        <v>113</v>
      </c>
      <c r="B1" s="641"/>
      <c r="C1" s="641"/>
      <c r="D1" s="641"/>
      <c r="E1" s="641"/>
      <c r="F1" s="641"/>
      <c r="G1" s="641"/>
      <c r="H1" s="641"/>
    </row>
    <row r="2" spans="1:8" ht="7.5" customHeight="1" thickTop="1">
      <c r="A2" s="11"/>
      <c r="B2" s="11"/>
      <c r="C2" s="5"/>
      <c r="D2" s="11"/>
      <c r="E2" s="11"/>
      <c r="F2" s="11"/>
      <c r="G2" s="11"/>
      <c r="H2" s="11"/>
    </row>
    <row r="3" spans="1:8">
      <c r="A3" s="16" t="s">
        <v>114</v>
      </c>
      <c r="B3" s="16" t="s">
        <v>115</v>
      </c>
      <c r="C3" s="16" t="s">
        <v>116</v>
      </c>
      <c r="D3" s="16" t="s">
        <v>117</v>
      </c>
      <c r="E3" s="16" t="s">
        <v>118</v>
      </c>
      <c r="F3" s="16" t="s">
        <v>119</v>
      </c>
      <c r="G3" s="16" t="s">
        <v>120</v>
      </c>
    </row>
    <row r="4" spans="1:8">
      <c r="A4" s="9">
        <v>1</v>
      </c>
      <c r="B4" s="20" t="s">
        <v>121</v>
      </c>
      <c r="C4" s="9">
        <v>2011239</v>
      </c>
      <c r="D4" s="20" t="s">
        <v>122</v>
      </c>
      <c r="E4" s="20" t="s">
        <v>123</v>
      </c>
      <c r="F4" s="20" t="s">
        <v>124</v>
      </c>
      <c r="G4" s="20" t="s">
        <v>125</v>
      </c>
    </row>
    <row r="5" spans="1:8">
      <c r="A5" s="9">
        <f t="shared" ref="A5:A36" si="0">A4+1</f>
        <v>2</v>
      </c>
      <c r="B5" s="20" t="s">
        <v>126</v>
      </c>
      <c r="C5" s="9">
        <v>5097517</v>
      </c>
      <c r="D5" s="20" t="s">
        <v>127</v>
      </c>
      <c r="E5" s="20" t="s">
        <v>128</v>
      </c>
      <c r="F5" s="20" t="s">
        <v>129</v>
      </c>
      <c r="G5" s="20" t="s">
        <v>130</v>
      </c>
    </row>
    <row r="6" spans="1:8">
      <c r="A6" s="9">
        <f t="shared" si="0"/>
        <v>3</v>
      </c>
      <c r="B6" s="20" t="s">
        <v>131</v>
      </c>
      <c r="C6" s="9">
        <v>5809797</v>
      </c>
      <c r="D6" s="20" t="s">
        <v>132</v>
      </c>
      <c r="E6" s="20" t="s">
        <v>128</v>
      </c>
      <c r="F6" s="20" t="s">
        <v>129</v>
      </c>
      <c r="G6" s="20" t="s">
        <v>130</v>
      </c>
    </row>
    <row r="7" spans="1:8">
      <c r="A7" s="9">
        <f t="shared" si="0"/>
        <v>4</v>
      </c>
      <c r="B7" s="20" t="s">
        <v>133</v>
      </c>
      <c r="C7" s="9">
        <v>5118344</v>
      </c>
      <c r="D7" s="20" t="s">
        <v>127</v>
      </c>
      <c r="E7" s="20" t="s">
        <v>128</v>
      </c>
      <c r="F7" s="20" t="s">
        <v>134</v>
      </c>
      <c r="G7" s="20" t="s">
        <v>135</v>
      </c>
    </row>
    <row r="8" spans="1:8">
      <c r="A8" s="9">
        <f t="shared" si="0"/>
        <v>5</v>
      </c>
      <c r="B8" s="20" t="s">
        <v>136</v>
      </c>
      <c r="C8" s="9">
        <v>5095549</v>
      </c>
      <c r="D8" s="20" t="s">
        <v>137</v>
      </c>
      <c r="E8" s="20" t="s">
        <v>128</v>
      </c>
      <c r="F8" s="20" t="s">
        <v>138</v>
      </c>
      <c r="G8" s="20" t="s">
        <v>139</v>
      </c>
    </row>
    <row r="9" spans="1:8">
      <c r="A9" s="9">
        <f t="shared" si="0"/>
        <v>6</v>
      </c>
      <c r="B9" s="20" t="s">
        <v>140</v>
      </c>
      <c r="C9" s="9">
        <v>2784165</v>
      </c>
      <c r="D9" s="20" t="s">
        <v>132</v>
      </c>
      <c r="E9" s="20" t="s">
        <v>128</v>
      </c>
      <c r="F9" s="20" t="s">
        <v>141</v>
      </c>
      <c r="G9" s="20" t="s">
        <v>142</v>
      </c>
    </row>
    <row r="10" spans="1:8">
      <c r="A10" s="9">
        <f t="shared" si="0"/>
        <v>7</v>
      </c>
      <c r="B10" s="20" t="s">
        <v>143</v>
      </c>
      <c r="C10" s="9">
        <v>5133351</v>
      </c>
      <c r="D10" s="20" t="s">
        <v>122</v>
      </c>
      <c r="E10" s="20" t="s">
        <v>128</v>
      </c>
      <c r="F10" s="20" t="s">
        <v>129</v>
      </c>
      <c r="G10" s="20" t="s">
        <v>130</v>
      </c>
    </row>
    <row r="11" spans="1:8">
      <c r="A11" s="9">
        <f t="shared" si="0"/>
        <v>8</v>
      </c>
      <c r="B11" s="20" t="s">
        <v>144</v>
      </c>
      <c r="C11" s="9">
        <v>6172768</v>
      </c>
      <c r="D11" s="20" t="s">
        <v>145</v>
      </c>
      <c r="E11" s="20" t="s">
        <v>128</v>
      </c>
      <c r="F11" s="20" t="s">
        <v>138</v>
      </c>
      <c r="G11" s="20" t="s">
        <v>139</v>
      </c>
    </row>
    <row r="12" spans="1:8">
      <c r="A12" s="9">
        <f t="shared" si="0"/>
        <v>9</v>
      </c>
      <c r="B12" s="20" t="s">
        <v>146</v>
      </c>
      <c r="C12" s="9">
        <v>2788705</v>
      </c>
      <c r="D12" s="20" t="s">
        <v>147</v>
      </c>
      <c r="E12" s="20" t="s">
        <v>128</v>
      </c>
      <c r="F12" s="20" t="s">
        <v>129</v>
      </c>
      <c r="G12" s="20" t="s">
        <v>148</v>
      </c>
    </row>
    <row r="13" spans="1:8">
      <c r="A13" s="9">
        <f t="shared" si="0"/>
        <v>10</v>
      </c>
      <c r="B13" s="20" t="s">
        <v>149</v>
      </c>
      <c r="C13" s="9">
        <v>5439183</v>
      </c>
      <c r="D13" s="20" t="s">
        <v>150</v>
      </c>
      <c r="E13" s="20" t="s">
        <v>128</v>
      </c>
      <c r="F13" s="20" t="s">
        <v>134</v>
      </c>
      <c r="G13" s="20" t="s">
        <v>151</v>
      </c>
    </row>
    <row r="14" spans="1:8">
      <c r="A14" s="9">
        <f t="shared" si="0"/>
        <v>11</v>
      </c>
      <c r="B14" s="20" t="s">
        <v>152</v>
      </c>
      <c r="C14" s="9">
        <v>2008572</v>
      </c>
      <c r="D14" s="20" t="s">
        <v>153</v>
      </c>
      <c r="E14" s="20" t="s">
        <v>128</v>
      </c>
      <c r="F14" s="20" t="s">
        <v>154</v>
      </c>
      <c r="G14" s="20" t="s">
        <v>151</v>
      </c>
    </row>
    <row r="15" spans="1:8">
      <c r="A15" s="9">
        <f t="shared" si="0"/>
        <v>12</v>
      </c>
      <c r="B15" s="20" t="s">
        <v>155</v>
      </c>
      <c r="C15" s="9">
        <v>5215919</v>
      </c>
      <c r="D15" s="20" t="s">
        <v>122</v>
      </c>
      <c r="E15" s="20" t="s">
        <v>128</v>
      </c>
      <c r="F15" s="20" t="s">
        <v>141</v>
      </c>
      <c r="G15" s="20" t="s">
        <v>156</v>
      </c>
    </row>
    <row r="16" spans="1:8">
      <c r="A16" s="9">
        <f t="shared" si="0"/>
        <v>13</v>
      </c>
      <c r="B16" s="20" t="s">
        <v>157</v>
      </c>
      <c r="C16" s="9">
        <v>5502977</v>
      </c>
      <c r="D16" s="20" t="s">
        <v>158</v>
      </c>
      <c r="E16" s="20" t="s">
        <v>128</v>
      </c>
      <c r="F16" s="20" t="s">
        <v>138</v>
      </c>
      <c r="G16" s="20" t="s">
        <v>139</v>
      </c>
    </row>
    <row r="17" spans="1:7">
      <c r="A17" s="9">
        <f t="shared" si="0"/>
        <v>14</v>
      </c>
      <c r="B17" s="20" t="s">
        <v>159</v>
      </c>
      <c r="C17" s="9">
        <v>2708701</v>
      </c>
      <c r="D17" s="20" t="s">
        <v>132</v>
      </c>
      <c r="E17" s="20" t="s">
        <v>128</v>
      </c>
      <c r="F17" s="20" t="s">
        <v>138</v>
      </c>
      <c r="G17" s="20" t="s">
        <v>160</v>
      </c>
    </row>
    <row r="18" spans="1:7">
      <c r="A18" s="9">
        <f t="shared" si="0"/>
        <v>15</v>
      </c>
      <c r="B18" s="20" t="s">
        <v>161</v>
      </c>
      <c r="C18" s="9">
        <v>2014491</v>
      </c>
      <c r="D18" s="20" t="s">
        <v>162</v>
      </c>
      <c r="E18" s="20" t="s">
        <v>163</v>
      </c>
      <c r="F18" s="20" t="s">
        <v>164</v>
      </c>
      <c r="G18" s="20"/>
    </row>
    <row r="19" spans="1:7">
      <c r="A19" s="9">
        <f t="shared" si="0"/>
        <v>16</v>
      </c>
      <c r="B19" s="20" t="s">
        <v>165</v>
      </c>
      <c r="C19" s="9">
        <v>6414877</v>
      </c>
      <c r="D19" s="20" t="s">
        <v>166</v>
      </c>
      <c r="E19" s="20" t="s">
        <v>128</v>
      </c>
      <c r="F19" s="20" t="s">
        <v>138</v>
      </c>
      <c r="G19" s="20" t="s">
        <v>167</v>
      </c>
    </row>
    <row r="20" spans="1:7">
      <c r="A20" s="9">
        <f t="shared" si="0"/>
        <v>17</v>
      </c>
      <c r="B20" s="20" t="s">
        <v>168</v>
      </c>
      <c r="C20" s="9">
        <v>5369223</v>
      </c>
      <c r="D20" s="20" t="s">
        <v>162</v>
      </c>
      <c r="E20" s="20" t="s">
        <v>128</v>
      </c>
      <c r="F20" s="20" t="s">
        <v>138</v>
      </c>
      <c r="G20" s="20" t="s">
        <v>139</v>
      </c>
    </row>
    <row r="21" spans="1:7">
      <c r="A21" s="9">
        <f t="shared" si="0"/>
        <v>18</v>
      </c>
      <c r="B21" s="20" t="s">
        <v>169</v>
      </c>
      <c r="C21" s="9">
        <v>5294088</v>
      </c>
      <c r="D21" s="20" t="s">
        <v>153</v>
      </c>
      <c r="E21" s="20" t="s">
        <v>170</v>
      </c>
      <c r="F21" s="20" t="s">
        <v>171</v>
      </c>
      <c r="G21" s="20" t="s">
        <v>172</v>
      </c>
    </row>
    <row r="22" spans="1:7">
      <c r="A22" s="9">
        <f t="shared" si="0"/>
        <v>19</v>
      </c>
      <c r="B22" s="20" t="s">
        <v>173</v>
      </c>
      <c r="C22" s="9">
        <v>2855119</v>
      </c>
      <c r="D22" s="20" t="s">
        <v>137</v>
      </c>
      <c r="E22" s="20" t="s">
        <v>128</v>
      </c>
      <c r="F22" s="20" t="s">
        <v>134</v>
      </c>
      <c r="G22" s="20" t="s">
        <v>135</v>
      </c>
    </row>
    <row r="23" spans="1:7">
      <c r="A23" s="9">
        <f t="shared" si="0"/>
        <v>20</v>
      </c>
      <c r="B23" s="20" t="s">
        <v>174</v>
      </c>
      <c r="C23" s="9">
        <v>2094533</v>
      </c>
      <c r="D23" s="20" t="s">
        <v>132</v>
      </c>
      <c r="E23" s="20" t="s">
        <v>128</v>
      </c>
      <c r="F23" s="20" t="s">
        <v>138</v>
      </c>
      <c r="G23" s="20" t="s">
        <v>139</v>
      </c>
    </row>
    <row r="24" spans="1:7">
      <c r="A24" s="9">
        <f t="shared" si="0"/>
        <v>21</v>
      </c>
      <c r="B24" s="20" t="s">
        <v>175</v>
      </c>
      <c r="C24" s="9">
        <v>5722942</v>
      </c>
      <c r="D24" s="20" t="s">
        <v>132</v>
      </c>
      <c r="E24" s="20" t="s">
        <v>128</v>
      </c>
      <c r="F24" s="20" t="s">
        <v>138</v>
      </c>
      <c r="G24" s="20" t="s">
        <v>160</v>
      </c>
    </row>
    <row r="25" spans="1:7">
      <c r="A25" s="9">
        <f t="shared" si="0"/>
        <v>22</v>
      </c>
      <c r="B25" s="20" t="s">
        <v>176</v>
      </c>
      <c r="C25" s="9">
        <v>2867494</v>
      </c>
      <c r="D25" s="20" t="s">
        <v>127</v>
      </c>
      <c r="E25" s="20" t="s">
        <v>128</v>
      </c>
      <c r="F25" s="20" t="s">
        <v>138</v>
      </c>
      <c r="G25" s="20" t="s">
        <v>167</v>
      </c>
    </row>
    <row r="26" spans="1:7">
      <c r="A26" s="9">
        <f t="shared" si="0"/>
        <v>23</v>
      </c>
      <c r="B26" s="20" t="s">
        <v>177</v>
      </c>
      <c r="C26" s="9">
        <v>6463932</v>
      </c>
      <c r="D26" s="20" t="s">
        <v>153</v>
      </c>
      <c r="E26" s="20" t="s">
        <v>128</v>
      </c>
      <c r="F26" s="20" t="s">
        <v>129</v>
      </c>
      <c r="G26" s="20" t="s">
        <v>148</v>
      </c>
    </row>
    <row r="27" spans="1:7">
      <c r="A27" s="9">
        <f t="shared" si="0"/>
        <v>24</v>
      </c>
      <c r="B27" s="20" t="s">
        <v>178</v>
      </c>
      <c r="C27" s="9">
        <v>5260833</v>
      </c>
      <c r="D27" s="20" t="s">
        <v>127</v>
      </c>
      <c r="E27" s="20" t="s">
        <v>128</v>
      </c>
      <c r="F27" s="20" t="s">
        <v>141</v>
      </c>
      <c r="G27" s="20" t="s">
        <v>151</v>
      </c>
    </row>
    <row r="28" spans="1:7">
      <c r="A28" s="9">
        <f t="shared" si="0"/>
        <v>25</v>
      </c>
      <c r="B28" s="20" t="s">
        <v>179</v>
      </c>
      <c r="C28" s="9">
        <v>2051303</v>
      </c>
      <c r="D28" s="20" t="s">
        <v>137</v>
      </c>
      <c r="E28" s="20" t="s">
        <v>180</v>
      </c>
      <c r="F28" s="20" t="s">
        <v>181</v>
      </c>
      <c r="G28" s="20" t="s">
        <v>182</v>
      </c>
    </row>
    <row r="29" spans="1:7">
      <c r="A29" s="9">
        <f t="shared" si="0"/>
        <v>26</v>
      </c>
      <c r="B29" s="20" t="s">
        <v>183</v>
      </c>
      <c r="C29" s="9">
        <v>2061848</v>
      </c>
      <c r="D29" s="20" t="s">
        <v>184</v>
      </c>
      <c r="E29" s="20" t="s">
        <v>128</v>
      </c>
      <c r="F29" s="20" t="s">
        <v>138</v>
      </c>
      <c r="G29" s="20" t="s">
        <v>160</v>
      </c>
    </row>
    <row r="30" spans="1:7">
      <c r="A30" s="9">
        <f t="shared" si="0"/>
        <v>27</v>
      </c>
      <c r="B30" s="20" t="s">
        <v>185</v>
      </c>
      <c r="C30" s="9">
        <v>2766337</v>
      </c>
      <c r="D30" s="20" t="s">
        <v>186</v>
      </c>
      <c r="E30" s="20" t="s">
        <v>128</v>
      </c>
      <c r="F30" s="20" t="s">
        <v>138</v>
      </c>
      <c r="G30" s="20" t="s">
        <v>139</v>
      </c>
    </row>
    <row r="31" spans="1:7">
      <c r="A31" s="9">
        <f t="shared" si="0"/>
        <v>28</v>
      </c>
      <c r="B31" s="20" t="s">
        <v>187</v>
      </c>
      <c r="C31" s="9">
        <v>5810086</v>
      </c>
      <c r="D31" s="20" t="s">
        <v>127</v>
      </c>
      <c r="E31" s="20" t="s">
        <v>128</v>
      </c>
      <c r="F31" s="20" t="s">
        <v>129</v>
      </c>
      <c r="G31" s="20" t="s">
        <v>148</v>
      </c>
    </row>
    <row r="32" spans="1:7">
      <c r="A32" s="9">
        <f t="shared" si="0"/>
        <v>29</v>
      </c>
      <c r="B32" s="20" t="s">
        <v>188</v>
      </c>
      <c r="C32" s="9">
        <v>5217652</v>
      </c>
      <c r="D32" s="20" t="s">
        <v>162</v>
      </c>
      <c r="E32" s="20" t="s">
        <v>128</v>
      </c>
      <c r="F32" s="20" t="s">
        <v>138</v>
      </c>
      <c r="G32" s="20" t="s">
        <v>139</v>
      </c>
    </row>
    <row r="33" spans="1:7">
      <c r="A33" s="9">
        <f t="shared" si="0"/>
        <v>30</v>
      </c>
      <c r="B33" s="20" t="s">
        <v>189</v>
      </c>
      <c r="C33" s="9">
        <v>2780518</v>
      </c>
      <c r="D33" s="20" t="s">
        <v>190</v>
      </c>
      <c r="E33" s="20" t="s">
        <v>128</v>
      </c>
      <c r="F33" s="20" t="s">
        <v>191</v>
      </c>
      <c r="G33" s="20" t="s">
        <v>192</v>
      </c>
    </row>
    <row r="34" spans="1:7">
      <c r="A34" s="9">
        <f t="shared" si="0"/>
        <v>31</v>
      </c>
      <c r="B34" s="20" t="s">
        <v>193</v>
      </c>
      <c r="C34" s="9">
        <v>5272378</v>
      </c>
      <c r="D34" s="20" t="s">
        <v>127</v>
      </c>
      <c r="E34" s="20" t="s">
        <v>128</v>
      </c>
      <c r="F34" s="20" t="s">
        <v>138</v>
      </c>
      <c r="G34" s="20" t="s">
        <v>139</v>
      </c>
    </row>
    <row r="35" spans="1:7">
      <c r="A35" s="9">
        <f t="shared" si="0"/>
        <v>32</v>
      </c>
      <c r="B35" s="20" t="s">
        <v>194</v>
      </c>
      <c r="C35" s="9">
        <v>5467268</v>
      </c>
      <c r="D35" s="20" t="s">
        <v>137</v>
      </c>
      <c r="E35" s="20" t="s">
        <v>128</v>
      </c>
      <c r="F35" s="20" t="s">
        <v>138</v>
      </c>
      <c r="G35" s="20" t="s">
        <v>195</v>
      </c>
    </row>
    <row r="36" spans="1:7">
      <c r="A36" s="9">
        <f t="shared" si="0"/>
        <v>33</v>
      </c>
      <c r="B36" s="20" t="s">
        <v>196</v>
      </c>
      <c r="C36" s="9">
        <v>5522935</v>
      </c>
      <c r="D36" s="20" t="s">
        <v>122</v>
      </c>
      <c r="E36" s="20" t="s">
        <v>128</v>
      </c>
      <c r="F36" s="20" t="s">
        <v>138</v>
      </c>
      <c r="G36" s="20" t="s">
        <v>139</v>
      </c>
    </row>
    <row r="37" spans="1:7">
      <c r="A37" s="9">
        <f t="shared" ref="A37:A68" si="1">A36+1</f>
        <v>34</v>
      </c>
      <c r="B37" s="20" t="s">
        <v>197</v>
      </c>
      <c r="C37" s="9">
        <v>5528089</v>
      </c>
      <c r="D37" s="20" t="s">
        <v>132</v>
      </c>
      <c r="E37" s="20" t="s">
        <v>128</v>
      </c>
      <c r="F37" s="20" t="s">
        <v>129</v>
      </c>
      <c r="G37" s="20" t="s">
        <v>167</v>
      </c>
    </row>
    <row r="38" spans="1:7">
      <c r="A38" s="9">
        <f t="shared" si="1"/>
        <v>35</v>
      </c>
      <c r="B38" s="20" t="s">
        <v>198</v>
      </c>
      <c r="C38" s="9">
        <v>5396662</v>
      </c>
      <c r="D38" s="20" t="s">
        <v>137</v>
      </c>
      <c r="E38" s="20" t="s">
        <v>128</v>
      </c>
      <c r="F38" s="20" t="s">
        <v>129</v>
      </c>
      <c r="G38" s="20" t="s">
        <v>139</v>
      </c>
    </row>
    <row r="39" spans="1:7">
      <c r="A39" s="9">
        <f t="shared" si="1"/>
        <v>36</v>
      </c>
      <c r="B39" s="20" t="s">
        <v>199</v>
      </c>
      <c r="C39" s="9">
        <v>5830974</v>
      </c>
      <c r="D39" s="20" t="s">
        <v>200</v>
      </c>
      <c r="E39" s="20" t="s">
        <v>128</v>
      </c>
      <c r="F39" s="20" t="s">
        <v>129</v>
      </c>
      <c r="G39" s="20" t="s">
        <v>139</v>
      </c>
    </row>
    <row r="40" spans="1:7">
      <c r="A40" s="9">
        <f t="shared" si="1"/>
        <v>37</v>
      </c>
      <c r="B40" s="20" t="s">
        <v>201</v>
      </c>
      <c r="C40" s="9">
        <v>2057573</v>
      </c>
      <c r="D40" s="20" t="s">
        <v>132</v>
      </c>
      <c r="E40" s="20" t="s">
        <v>128</v>
      </c>
      <c r="F40" s="20" t="s">
        <v>134</v>
      </c>
      <c r="G40" s="20" t="s">
        <v>156</v>
      </c>
    </row>
    <row r="41" spans="1:7">
      <c r="A41" s="9">
        <f t="shared" si="1"/>
        <v>38</v>
      </c>
      <c r="B41" s="20" t="s">
        <v>202</v>
      </c>
      <c r="C41" s="9">
        <v>5699134</v>
      </c>
      <c r="D41" s="20" t="s">
        <v>132</v>
      </c>
      <c r="E41" s="20" t="s">
        <v>128</v>
      </c>
      <c r="F41" s="20" t="s">
        <v>138</v>
      </c>
      <c r="G41" s="20" t="s">
        <v>139</v>
      </c>
    </row>
    <row r="42" spans="1:7">
      <c r="A42" s="9">
        <f t="shared" si="1"/>
        <v>39</v>
      </c>
      <c r="B42" s="20" t="s">
        <v>203</v>
      </c>
      <c r="C42" s="9">
        <v>5412153</v>
      </c>
      <c r="D42" s="20" t="s">
        <v>122</v>
      </c>
      <c r="E42" s="20" t="s">
        <v>128</v>
      </c>
      <c r="F42" s="20" t="s">
        <v>141</v>
      </c>
      <c r="G42" s="20" t="s">
        <v>167</v>
      </c>
    </row>
    <row r="43" spans="1:7">
      <c r="A43" s="9">
        <f t="shared" si="1"/>
        <v>40</v>
      </c>
      <c r="B43" s="20" t="s">
        <v>204</v>
      </c>
      <c r="C43" s="9">
        <v>2034859</v>
      </c>
      <c r="D43" s="20" t="s">
        <v>153</v>
      </c>
      <c r="E43" s="20" t="s">
        <v>205</v>
      </c>
      <c r="F43" s="20" t="s">
        <v>206</v>
      </c>
      <c r="G43" s="20" t="s">
        <v>207</v>
      </c>
    </row>
    <row r="44" spans="1:7">
      <c r="A44" s="9">
        <f t="shared" si="1"/>
        <v>41</v>
      </c>
      <c r="B44" s="20" t="s">
        <v>208</v>
      </c>
      <c r="C44" s="9">
        <v>5253535</v>
      </c>
      <c r="D44" s="20" t="s">
        <v>132</v>
      </c>
      <c r="E44" s="20" t="s">
        <v>128</v>
      </c>
      <c r="F44" s="20" t="s">
        <v>191</v>
      </c>
      <c r="G44" s="20" t="s">
        <v>209</v>
      </c>
    </row>
    <row r="45" spans="1:7">
      <c r="A45" s="9">
        <f t="shared" si="1"/>
        <v>42</v>
      </c>
      <c r="B45" s="20" t="s">
        <v>210</v>
      </c>
      <c r="C45" s="9">
        <v>5150884</v>
      </c>
      <c r="D45" s="20" t="s">
        <v>145</v>
      </c>
      <c r="E45" s="20" t="s">
        <v>128</v>
      </c>
      <c r="F45" s="20" t="s">
        <v>138</v>
      </c>
      <c r="G45" s="20" t="s">
        <v>151</v>
      </c>
    </row>
    <row r="46" spans="1:7">
      <c r="A46" s="9">
        <f t="shared" si="1"/>
        <v>43</v>
      </c>
      <c r="B46" s="20" t="s">
        <v>211</v>
      </c>
      <c r="C46" s="9">
        <v>5051304</v>
      </c>
      <c r="D46" s="20" t="s">
        <v>212</v>
      </c>
      <c r="E46" s="20" t="s">
        <v>128</v>
      </c>
      <c r="F46" s="20" t="s">
        <v>141</v>
      </c>
      <c r="G46" s="20" t="s">
        <v>167</v>
      </c>
    </row>
    <row r="47" spans="1:7">
      <c r="A47" s="9">
        <f t="shared" si="1"/>
        <v>44</v>
      </c>
      <c r="B47" s="20" t="s">
        <v>213</v>
      </c>
      <c r="C47" s="9">
        <v>5401801</v>
      </c>
      <c r="D47" s="20" t="s">
        <v>127</v>
      </c>
      <c r="E47" s="20" t="s">
        <v>128</v>
      </c>
      <c r="F47" s="20" t="s">
        <v>138</v>
      </c>
      <c r="G47" s="20" t="s">
        <v>139</v>
      </c>
    </row>
    <row r="48" spans="1:7">
      <c r="A48" s="9">
        <f t="shared" si="1"/>
        <v>45</v>
      </c>
      <c r="B48" s="20" t="s">
        <v>214</v>
      </c>
      <c r="C48" s="9">
        <v>2550466</v>
      </c>
      <c r="D48" s="20" t="s">
        <v>132</v>
      </c>
      <c r="E48" s="20" t="s">
        <v>128</v>
      </c>
      <c r="F48" s="20" t="s">
        <v>191</v>
      </c>
      <c r="G48" s="20" t="s">
        <v>215</v>
      </c>
    </row>
    <row r="49" spans="1:7">
      <c r="A49" s="9">
        <f t="shared" si="1"/>
        <v>46</v>
      </c>
      <c r="B49" s="20" t="s">
        <v>216</v>
      </c>
      <c r="C49" s="9">
        <v>5051134</v>
      </c>
      <c r="D49" s="20" t="s">
        <v>212</v>
      </c>
      <c r="E49" s="20" t="s">
        <v>128</v>
      </c>
      <c r="F49" s="20" t="s">
        <v>129</v>
      </c>
      <c r="G49" s="20" t="s">
        <v>130</v>
      </c>
    </row>
    <row r="50" spans="1:7">
      <c r="A50" s="9">
        <f t="shared" si="1"/>
        <v>47</v>
      </c>
      <c r="B50" s="20" t="s">
        <v>217</v>
      </c>
      <c r="C50" s="9">
        <v>2095025</v>
      </c>
      <c r="D50" s="20" t="s">
        <v>132</v>
      </c>
      <c r="E50" s="20" t="s">
        <v>128</v>
      </c>
      <c r="F50" s="20" t="s">
        <v>129</v>
      </c>
      <c r="G50" s="20" t="s">
        <v>139</v>
      </c>
    </row>
    <row r="51" spans="1:7">
      <c r="A51" s="9">
        <f t="shared" si="1"/>
        <v>48</v>
      </c>
      <c r="B51" s="20" t="s">
        <v>218</v>
      </c>
      <c r="C51" s="9">
        <v>2045931</v>
      </c>
      <c r="D51" s="20" t="s">
        <v>137</v>
      </c>
      <c r="E51" s="20" t="s">
        <v>128</v>
      </c>
      <c r="F51" s="20" t="s">
        <v>138</v>
      </c>
      <c r="G51" s="20" t="s">
        <v>139</v>
      </c>
    </row>
    <row r="52" spans="1:7">
      <c r="A52" s="9">
        <f t="shared" si="1"/>
        <v>49</v>
      </c>
      <c r="B52" s="20" t="s">
        <v>219</v>
      </c>
      <c r="C52" s="9">
        <v>2029278</v>
      </c>
      <c r="D52" s="20" t="s">
        <v>132</v>
      </c>
      <c r="E52" s="20" t="s">
        <v>128</v>
      </c>
      <c r="F52" s="20" t="s">
        <v>138</v>
      </c>
      <c r="G52" s="20" t="s">
        <v>139</v>
      </c>
    </row>
    <row r="53" spans="1:7">
      <c r="A53" s="9">
        <f t="shared" si="1"/>
        <v>50</v>
      </c>
      <c r="B53" s="20" t="s">
        <v>220</v>
      </c>
      <c r="C53" s="9">
        <v>5106567</v>
      </c>
      <c r="D53" s="20" t="s">
        <v>221</v>
      </c>
      <c r="E53" s="20" t="s">
        <v>128</v>
      </c>
      <c r="F53" s="20" t="s">
        <v>138</v>
      </c>
      <c r="G53" s="20" t="s">
        <v>139</v>
      </c>
    </row>
    <row r="54" spans="1:7">
      <c r="A54" s="9">
        <f t="shared" si="1"/>
        <v>51</v>
      </c>
      <c r="B54" s="20" t="s">
        <v>222</v>
      </c>
      <c r="C54" s="9">
        <v>5141583</v>
      </c>
      <c r="D54" s="20" t="s">
        <v>162</v>
      </c>
      <c r="E54" s="20" t="s">
        <v>128</v>
      </c>
      <c r="F54" s="20" t="s">
        <v>138</v>
      </c>
      <c r="G54" s="20" t="s">
        <v>156</v>
      </c>
    </row>
    <row r="55" spans="1:7">
      <c r="A55" s="9">
        <f t="shared" si="1"/>
        <v>52</v>
      </c>
      <c r="B55" s="20" t="s">
        <v>223</v>
      </c>
      <c r="C55" s="9">
        <v>5118115</v>
      </c>
      <c r="D55" s="20" t="s">
        <v>221</v>
      </c>
      <c r="E55" s="20" t="s">
        <v>128</v>
      </c>
      <c r="F55" s="20" t="s">
        <v>138</v>
      </c>
      <c r="G55" s="20" t="s">
        <v>135</v>
      </c>
    </row>
    <row r="56" spans="1:7">
      <c r="A56" s="9">
        <f t="shared" si="1"/>
        <v>53</v>
      </c>
      <c r="B56" s="20" t="s">
        <v>224</v>
      </c>
      <c r="C56" s="9">
        <v>5106656</v>
      </c>
      <c r="D56" s="20" t="s">
        <v>122</v>
      </c>
      <c r="E56" s="20" t="s">
        <v>128</v>
      </c>
      <c r="F56" s="20" t="s">
        <v>138</v>
      </c>
      <c r="G56" s="20" t="s">
        <v>139</v>
      </c>
    </row>
    <row r="57" spans="1:7">
      <c r="A57" s="9">
        <f t="shared" si="1"/>
        <v>54</v>
      </c>
      <c r="B57" s="20" t="s">
        <v>225</v>
      </c>
      <c r="C57" s="9">
        <v>2010895</v>
      </c>
      <c r="D57" s="20" t="s">
        <v>122</v>
      </c>
      <c r="E57" s="20" t="s">
        <v>123</v>
      </c>
      <c r="F57" s="20" t="s">
        <v>124</v>
      </c>
      <c r="G57" s="20" t="s">
        <v>226</v>
      </c>
    </row>
    <row r="58" spans="1:7">
      <c r="A58" s="9">
        <f t="shared" si="1"/>
        <v>55</v>
      </c>
      <c r="B58" s="20" t="s">
        <v>227</v>
      </c>
      <c r="C58" s="9">
        <v>5295858</v>
      </c>
      <c r="D58" s="20" t="s">
        <v>132</v>
      </c>
      <c r="E58" s="20" t="s">
        <v>128</v>
      </c>
      <c r="F58" s="20" t="s">
        <v>138</v>
      </c>
      <c r="G58" s="20" t="s">
        <v>139</v>
      </c>
    </row>
    <row r="59" spans="1:7">
      <c r="A59" s="9">
        <f t="shared" si="1"/>
        <v>56</v>
      </c>
      <c r="B59" s="20" t="s">
        <v>228</v>
      </c>
      <c r="C59" s="9">
        <v>6287727</v>
      </c>
      <c r="D59" s="20" t="s">
        <v>137</v>
      </c>
      <c r="E59" s="20" t="s">
        <v>128</v>
      </c>
      <c r="F59" s="20" t="s">
        <v>138</v>
      </c>
      <c r="G59" s="20" t="s">
        <v>135</v>
      </c>
    </row>
    <row r="60" spans="1:7">
      <c r="A60" s="9">
        <f t="shared" si="1"/>
        <v>57</v>
      </c>
      <c r="B60" s="20" t="s">
        <v>229</v>
      </c>
      <c r="C60" s="9">
        <v>2659603</v>
      </c>
      <c r="D60" s="20" t="s">
        <v>132</v>
      </c>
      <c r="E60" s="20" t="s">
        <v>128</v>
      </c>
      <c r="F60" s="20" t="s">
        <v>138</v>
      </c>
      <c r="G60" s="20" t="s">
        <v>160</v>
      </c>
    </row>
    <row r="61" spans="1:7">
      <c r="A61" s="9">
        <f t="shared" si="1"/>
        <v>58</v>
      </c>
      <c r="B61" s="20" t="s">
        <v>230</v>
      </c>
      <c r="C61" s="9">
        <v>2678187</v>
      </c>
      <c r="D61" s="20" t="s">
        <v>147</v>
      </c>
      <c r="E61" s="20" t="s">
        <v>128</v>
      </c>
      <c r="F61" s="20" t="s">
        <v>138</v>
      </c>
      <c r="G61" s="20" t="s">
        <v>139</v>
      </c>
    </row>
    <row r="62" spans="1:7">
      <c r="A62" s="9">
        <f t="shared" si="1"/>
        <v>59</v>
      </c>
      <c r="B62" s="20" t="s">
        <v>231</v>
      </c>
      <c r="C62" s="9">
        <v>2657457</v>
      </c>
      <c r="D62" s="20" t="s">
        <v>147</v>
      </c>
      <c r="E62" s="20" t="s">
        <v>128</v>
      </c>
      <c r="F62" s="20" t="s">
        <v>138</v>
      </c>
      <c r="G62" s="20" t="s">
        <v>139</v>
      </c>
    </row>
    <row r="63" spans="1:7">
      <c r="A63" s="9">
        <f t="shared" si="1"/>
        <v>60</v>
      </c>
      <c r="B63" s="20" t="s">
        <v>232</v>
      </c>
      <c r="C63" s="9">
        <v>3615243</v>
      </c>
      <c r="D63" s="20" t="s">
        <v>127</v>
      </c>
      <c r="E63" s="20" t="s">
        <v>233</v>
      </c>
      <c r="F63" s="20" t="s">
        <v>234</v>
      </c>
      <c r="G63" s="20" t="s">
        <v>235</v>
      </c>
    </row>
    <row r="64" spans="1:7">
      <c r="A64" s="9">
        <f t="shared" si="1"/>
        <v>61</v>
      </c>
      <c r="B64" s="20" t="s">
        <v>236</v>
      </c>
      <c r="C64" s="9">
        <v>3623955</v>
      </c>
      <c r="D64" s="20" t="s">
        <v>150</v>
      </c>
      <c r="E64" s="20" t="s">
        <v>233</v>
      </c>
      <c r="F64" s="20" t="s">
        <v>237</v>
      </c>
      <c r="G64" s="20" t="s">
        <v>238</v>
      </c>
    </row>
    <row r="65" spans="1:7">
      <c r="A65" s="9">
        <f t="shared" si="1"/>
        <v>62</v>
      </c>
      <c r="B65" s="20" t="s">
        <v>239</v>
      </c>
      <c r="C65" s="9">
        <v>5199077</v>
      </c>
      <c r="D65" s="20" t="s">
        <v>153</v>
      </c>
      <c r="E65" s="20" t="s">
        <v>128</v>
      </c>
      <c r="F65" s="20" t="s">
        <v>138</v>
      </c>
      <c r="G65" s="20" t="s">
        <v>139</v>
      </c>
    </row>
    <row r="66" spans="1:7">
      <c r="A66" s="9">
        <f t="shared" si="1"/>
        <v>63</v>
      </c>
      <c r="B66" s="20" t="s">
        <v>240</v>
      </c>
      <c r="C66" s="9">
        <v>2075385</v>
      </c>
      <c r="D66" s="20" t="s">
        <v>186</v>
      </c>
      <c r="E66" s="20" t="s">
        <v>128</v>
      </c>
      <c r="F66" s="20" t="s">
        <v>191</v>
      </c>
      <c r="G66" s="20" t="s">
        <v>151</v>
      </c>
    </row>
    <row r="67" spans="1:7">
      <c r="A67" s="9">
        <f t="shared" si="1"/>
        <v>64</v>
      </c>
      <c r="B67" s="20" t="s">
        <v>241</v>
      </c>
      <c r="C67" s="9">
        <v>2867095</v>
      </c>
      <c r="D67" s="20" t="s">
        <v>186</v>
      </c>
      <c r="E67" s="20" t="s">
        <v>128</v>
      </c>
      <c r="F67" s="20" t="s">
        <v>138</v>
      </c>
      <c r="G67" s="20" t="s">
        <v>139</v>
      </c>
    </row>
    <row r="68" spans="1:7">
      <c r="A68" s="9">
        <f t="shared" si="1"/>
        <v>65</v>
      </c>
      <c r="B68" s="20" t="s">
        <v>242</v>
      </c>
      <c r="C68" s="9">
        <v>5076285</v>
      </c>
      <c r="D68" s="20" t="s">
        <v>127</v>
      </c>
      <c r="E68" s="20" t="s">
        <v>128</v>
      </c>
      <c r="F68" s="20" t="s">
        <v>138</v>
      </c>
      <c r="G68" s="20" t="s">
        <v>139</v>
      </c>
    </row>
    <row r="69" spans="1:7">
      <c r="A69" s="9">
        <f t="shared" ref="A69:A100" si="2">A68+1</f>
        <v>66</v>
      </c>
      <c r="B69" s="20" t="s">
        <v>243</v>
      </c>
      <c r="C69" s="9">
        <v>5084555</v>
      </c>
      <c r="D69" s="20" t="s">
        <v>122</v>
      </c>
      <c r="E69" s="20" t="s">
        <v>128</v>
      </c>
      <c r="F69" s="20" t="s">
        <v>129</v>
      </c>
      <c r="G69" s="20" t="s">
        <v>148</v>
      </c>
    </row>
    <row r="70" spans="1:7">
      <c r="A70" s="9">
        <f t="shared" si="2"/>
        <v>67</v>
      </c>
      <c r="B70" s="20" t="s">
        <v>244</v>
      </c>
      <c r="C70" s="9">
        <v>5261198</v>
      </c>
      <c r="D70" s="20" t="s">
        <v>245</v>
      </c>
      <c r="E70" s="20" t="s">
        <v>128</v>
      </c>
      <c r="F70" s="20" t="s">
        <v>138</v>
      </c>
      <c r="G70" s="20" t="s">
        <v>135</v>
      </c>
    </row>
    <row r="71" spans="1:7">
      <c r="A71" s="9">
        <f t="shared" si="2"/>
        <v>68</v>
      </c>
      <c r="B71" s="20" t="s">
        <v>246</v>
      </c>
      <c r="C71" s="9">
        <v>5288703</v>
      </c>
      <c r="D71" s="20" t="s">
        <v>212</v>
      </c>
      <c r="E71" s="20" t="s">
        <v>128</v>
      </c>
      <c r="F71" s="20" t="s">
        <v>141</v>
      </c>
      <c r="G71" s="20" t="s">
        <v>247</v>
      </c>
    </row>
    <row r="72" spans="1:7">
      <c r="A72" s="9">
        <f t="shared" si="2"/>
        <v>69</v>
      </c>
      <c r="B72" s="20" t="s">
        <v>248</v>
      </c>
      <c r="C72" s="9">
        <v>6232485</v>
      </c>
      <c r="D72" s="20" t="s">
        <v>122</v>
      </c>
      <c r="E72" s="20" t="s">
        <v>128</v>
      </c>
      <c r="F72" s="20" t="s">
        <v>129</v>
      </c>
      <c r="G72" s="20" t="s">
        <v>130</v>
      </c>
    </row>
    <row r="73" spans="1:7">
      <c r="A73" s="9">
        <f t="shared" si="2"/>
        <v>70</v>
      </c>
      <c r="B73" s="20" t="s">
        <v>249</v>
      </c>
      <c r="C73" s="9">
        <v>6101615</v>
      </c>
      <c r="D73" s="20" t="s">
        <v>132</v>
      </c>
      <c r="E73" s="20" t="s">
        <v>128</v>
      </c>
      <c r="F73" s="20" t="s">
        <v>138</v>
      </c>
      <c r="G73" s="20" t="s">
        <v>139</v>
      </c>
    </row>
    <row r="74" spans="1:7">
      <c r="A74" s="9">
        <f t="shared" si="2"/>
        <v>71</v>
      </c>
      <c r="B74" s="20" t="s">
        <v>250</v>
      </c>
      <c r="C74" s="9">
        <v>5120365</v>
      </c>
      <c r="D74" s="20" t="s">
        <v>166</v>
      </c>
      <c r="E74" s="20" t="s">
        <v>128</v>
      </c>
      <c r="F74" s="20" t="s">
        <v>138</v>
      </c>
      <c r="G74" s="20" t="s">
        <v>139</v>
      </c>
    </row>
    <row r="75" spans="1:7">
      <c r="A75" s="9">
        <f t="shared" si="2"/>
        <v>72</v>
      </c>
      <c r="B75" s="20" t="s">
        <v>251</v>
      </c>
      <c r="C75" s="9">
        <v>2016656</v>
      </c>
      <c r="D75" s="20" t="s">
        <v>122</v>
      </c>
      <c r="E75" s="20" t="s">
        <v>233</v>
      </c>
      <c r="F75" s="20" t="s">
        <v>252</v>
      </c>
      <c r="G75" s="20"/>
    </row>
    <row r="76" spans="1:7">
      <c r="A76" s="9">
        <f t="shared" si="2"/>
        <v>73</v>
      </c>
      <c r="B76" s="20" t="s">
        <v>253</v>
      </c>
      <c r="C76" s="9">
        <v>5872006</v>
      </c>
      <c r="D76" s="20" t="s">
        <v>212</v>
      </c>
      <c r="E76" s="20" t="s">
        <v>128</v>
      </c>
      <c r="F76" s="20" t="s">
        <v>129</v>
      </c>
      <c r="G76" s="20" t="s">
        <v>130</v>
      </c>
    </row>
    <row r="77" spans="1:7">
      <c r="A77" s="9">
        <f t="shared" si="2"/>
        <v>74</v>
      </c>
      <c r="B77" s="20" t="s">
        <v>254</v>
      </c>
      <c r="C77" s="9">
        <v>5774047</v>
      </c>
      <c r="D77" s="20" t="s">
        <v>255</v>
      </c>
      <c r="E77" s="20" t="s">
        <v>128</v>
      </c>
      <c r="F77" s="20" t="s">
        <v>191</v>
      </c>
      <c r="G77" s="20" t="s">
        <v>256</v>
      </c>
    </row>
    <row r="78" spans="1:7">
      <c r="A78" s="9">
        <f t="shared" si="2"/>
        <v>75</v>
      </c>
      <c r="B78" s="20" t="s">
        <v>257</v>
      </c>
      <c r="C78" s="9">
        <v>5105439</v>
      </c>
      <c r="D78" s="20" t="s">
        <v>212</v>
      </c>
      <c r="E78" s="20" t="s">
        <v>170</v>
      </c>
      <c r="F78" s="20" t="s">
        <v>171</v>
      </c>
      <c r="G78" s="20" t="s">
        <v>238</v>
      </c>
    </row>
    <row r="79" spans="1:7">
      <c r="A79" s="9">
        <f t="shared" si="2"/>
        <v>76</v>
      </c>
      <c r="B79" s="20" t="s">
        <v>258</v>
      </c>
      <c r="C79" s="9">
        <v>2663813</v>
      </c>
      <c r="D79" s="20" t="s">
        <v>259</v>
      </c>
      <c r="E79" s="20" t="s">
        <v>128</v>
      </c>
      <c r="F79" s="20" t="s">
        <v>134</v>
      </c>
      <c r="G79" s="20" t="s">
        <v>139</v>
      </c>
    </row>
    <row r="80" spans="1:7">
      <c r="A80" s="9">
        <f t="shared" si="2"/>
        <v>77</v>
      </c>
      <c r="B80" s="20" t="s">
        <v>260</v>
      </c>
      <c r="C80" s="9">
        <v>2016931</v>
      </c>
      <c r="D80" s="20" t="s">
        <v>122</v>
      </c>
      <c r="E80" s="20" t="s">
        <v>138</v>
      </c>
      <c r="F80" s="20" t="s">
        <v>261</v>
      </c>
      <c r="G80" s="20" t="s">
        <v>262</v>
      </c>
    </row>
    <row r="81" spans="1:7">
      <c r="A81" s="9">
        <f t="shared" si="2"/>
        <v>78</v>
      </c>
      <c r="B81" s="20" t="s">
        <v>263</v>
      </c>
      <c r="C81" s="9">
        <v>5513618</v>
      </c>
      <c r="D81" s="20" t="s">
        <v>186</v>
      </c>
      <c r="E81" s="20" t="s">
        <v>128</v>
      </c>
      <c r="F81" s="20" t="s">
        <v>138</v>
      </c>
      <c r="G81" s="20" t="s">
        <v>139</v>
      </c>
    </row>
    <row r="82" spans="1:7">
      <c r="A82" s="9">
        <f t="shared" si="2"/>
        <v>79</v>
      </c>
      <c r="B82" s="20" t="s">
        <v>264</v>
      </c>
      <c r="C82" s="9">
        <v>2807459</v>
      </c>
      <c r="D82" s="20" t="s">
        <v>122</v>
      </c>
      <c r="E82" s="20" t="s">
        <v>128</v>
      </c>
      <c r="F82" s="20" t="s">
        <v>134</v>
      </c>
      <c r="G82" s="20" t="s">
        <v>151</v>
      </c>
    </row>
    <row r="83" spans="1:7">
      <c r="A83" s="9">
        <f t="shared" si="2"/>
        <v>80</v>
      </c>
      <c r="B83" s="20" t="s">
        <v>265</v>
      </c>
      <c r="C83" s="9">
        <v>2872943</v>
      </c>
      <c r="D83" s="20" t="s">
        <v>132</v>
      </c>
      <c r="E83" s="20" t="s">
        <v>128</v>
      </c>
      <c r="F83" s="20" t="s">
        <v>141</v>
      </c>
      <c r="G83" s="20" t="s">
        <v>142</v>
      </c>
    </row>
    <row r="84" spans="1:7">
      <c r="A84" s="9">
        <f t="shared" si="2"/>
        <v>81</v>
      </c>
      <c r="B84" s="20" t="s">
        <v>266</v>
      </c>
      <c r="C84" s="9">
        <v>6268048</v>
      </c>
      <c r="D84" s="20" t="s">
        <v>132</v>
      </c>
      <c r="E84" s="20" t="s">
        <v>128</v>
      </c>
      <c r="F84" s="20" t="s">
        <v>191</v>
      </c>
      <c r="G84" s="20" t="s">
        <v>267</v>
      </c>
    </row>
    <row r="85" spans="1:7">
      <c r="A85" s="9">
        <f t="shared" si="2"/>
        <v>82</v>
      </c>
      <c r="B85" s="20" t="s">
        <v>268</v>
      </c>
      <c r="C85" s="9">
        <v>5874963</v>
      </c>
      <c r="D85" s="20" t="s">
        <v>147</v>
      </c>
      <c r="E85" s="20" t="s">
        <v>128</v>
      </c>
      <c r="F85" s="20" t="s">
        <v>129</v>
      </c>
      <c r="G85" s="20" t="s">
        <v>148</v>
      </c>
    </row>
    <row r="86" spans="1:7">
      <c r="A86" s="9">
        <f t="shared" si="2"/>
        <v>83</v>
      </c>
      <c r="B86" s="20" t="s">
        <v>269</v>
      </c>
      <c r="C86" s="9">
        <v>6636624</v>
      </c>
      <c r="D86" s="20" t="s">
        <v>127</v>
      </c>
      <c r="E86" s="20" t="s">
        <v>128</v>
      </c>
      <c r="F86" s="20" t="s">
        <v>141</v>
      </c>
      <c r="G86" s="20" t="s">
        <v>195</v>
      </c>
    </row>
    <row r="87" spans="1:7">
      <c r="A87" s="9">
        <f t="shared" si="2"/>
        <v>84</v>
      </c>
      <c r="B87" s="20" t="s">
        <v>270</v>
      </c>
      <c r="C87" s="9">
        <v>2839717</v>
      </c>
      <c r="D87" s="20" t="s">
        <v>132</v>
      </c>
      <c r="E87" s="20" t="s">
        <v>128</v>
      </c>
      <c r="F87" s="20" t="s">
        <v>191</v>
      </c>
      <c r="G87" s="20" t="s">
        <v>192</v>
      </c>
    </row>
    <row r="88" spans="1:7">
      <c r="A88" s="9">
        <f t="shared" si="2"/>
        <v>85</v>
      </c>
      <c r="B88" s="20" t="s">
        <v>271</v>
      </c>
      <c r="C88" s="9">
        <v>2344343</v>
      </c>
      <c r="D88" s="20" t="s">
        <v>132</v>
      </c>
      <c r="E88" s="20" t="s">
        <v>123</v>
      </c>
      <c r="F88" s="20" t="s">
        <v>272</v>
      </c>
      <c r="G88" s="20" t="s">
        <v>235</v>
      </c>
    </row>
    <row r="89" spans="1:7">
      <c r="A89" s="9">
        <f t="shared" si="2"/>
        <v>86</v>
      </c>
      <c r="B89" s="20" t="s">
        <v>273</v>
      </c>
      <c r="C89" s="9">
        <v>2819996</v>
      </c>
      <c r="D89" s="20" t="s">
        <v>132</v>
      </c>
      <c r="E89" s="20" t="s">
        <v>274</v>
      </c>
      <c r="F89" s="20" t="s">
        <v>275</v>
      </c>
      <c r="G89" s="20" t="s">
        <v>276</v>
      </c>
    </row>
    <row r="90" spans="1:7">
      <c r="A90" s="9">
        <f t="shared" si="2"/>
        <v>87</v>
      </c>
      <c r="B90" s="20" t="s">
        <v>277</v>
      </c>
      <c r="C90" s="9">
        <v>2868687</v>
      </c>
      <c r="D90" s="20" t="s">
        <v>132</v>
      </c>
      <c r="E90" s="20" t="s">
        <v>180</v>
      </c>
      <c r="F90" s="20" t="s">
        <v>181</v>
      </c>
      <c r="G90" s="20" t="s">
        <v>278</v>
      </c>
    </row>
    <row r="91" spans="1:7">
      <c r="A91" s="9">
        <f t="shared" si="2"/>
        <v>88</v>
      </c>
      <c r="B91" s="20" t="s">
        <v>279</v>
      </c>
      <c r="C91" s="9">
        <v>5877288</v>
      </c>
      <c r="D91" s="20" t="s">
        <v>153</v>
      </c>
      <c r="E91" s="20" t="s">
        <v>170</v>
      </c>
      <c r="F91" s="20" t="s">
        <v>280</v>
      </c>
      <c r="G91" s="20" t="s">
        <v>235</v>
      </c>
    </row>
    <row r="92" spans="1:7">
      <c r="A92" s="9">
        <f t="shared" si="2"/>
        <v>89</v>
      </c>
      <c r="B92" s="20" t="s">
        <v>281</v>
      </c>
      <c r="C92" s="9">
        <v>6195598</v>
      </c>
      <c r="D92" s="20" t="s">
        <v>132</v>
      </c>
      <c r="E92" s="20" t="s">
        <v>128</v>
      </c>
      <c r="F92" s="20" t="s">
        <v>129</v>
      </c>
      <c r="G92" s="20" t="s">
        <v>130</v>
      </c>
    </row>
    <row r="93" spans="1:7">
      <c r="A93" s="9">
        <f t="shared" si="2"/>
        <v>90</v>
      </c>
      <c r="B93" s="20" t="s">
        <v>282</v>
      </c>
      <c r="C93" s="9">
        <v>6413811</v>
      </c>
      <c r="D93" s="20" t="s">
        <v>132</v>
      </c>
      <c r="E93" s="20" t="s">
        <v>128</v>
      </c>
      <c r="F93" s="20" t="s">
        <v>134</v>
      </c>
      <c r="G93" s="20" t="s">
        <v>135</v>
      </c>
    </row>
    <row r="94" spans="1:7">
      <c r="A94" s="9">
        <f t="shared" si="2"/>
        <v>91</v>
      </c>
      <c r="B94" s="20" t="s">
        <v>283</v>
      </c>
      <c r="C94" s="9">
        <v>2887134</v>
      </c>
      <c r="D94" s="20" t="s">
        <v>122</v>
      </c>
      <c r="E94" s="20" t="s">
        <v>128</v>
      </c>
      <c r="F94" s="20" t="s">
        <v>138</v>
      </c>
      <c r="G94" s="20" t="s">
        <v>160</v>
      </c>
    </row>
    <row r="95" spans="1:7">
      <c r="A95" s="9">
        <f t="shared" si="2"/>
        <v>92</v>
      </c>
      <c r="B95" s="20" t="s">
        <v>284</v>
      </c>
      <c r="C95" s="9">
        <v>2618176</v>
      </c>
      <c r="D95" s="20" t="s">
        <v>212</v>
      </c>
      <c r="E95" s="20" t="s">
        <v>128</v>
      </c>
      <c r="F95" s="20" t="s">
        <v>129</v>
      </c>
      <c r="G95" s="20" t="s">
        <v>130</v>
      </c>
    </row>
    <row r="96" spans="1:7">
      <c r="A96" s="9">
        <f t="shared" si="2"/>
        <v>93</v>
      </c>
      <c r="B96" s="20" t="s">
        <v>285</v>
      </c>
      <c r="C96" s="9">
        <v>5364884</v>
      </c>
      <c r="D96" s="20" t="s">
        <v>184</v>
      </c>
      <c r="E96" s="20" t="s">
        <v>128</v>
      </c>
      <c r="F96" s="20" t="s">
        <v>191</v>
      </c>
      <c r="G96" s="20" t="s">
        <v>256</v>
      </c>
    </row>
    <row r="97" spans="1:7">
      <c r="A97" s="9">
        <f t="shared" si="2"/>
        <v>94</v>
      </c>
      <c r="B97" s="20" t="s">
        <v>286</v>
      </c>
      <c r="C97" s="9">
        <v>2100231</v>
      </c>
      <c r="D97" s="20" t="s">
        <v>132</v>
      </c>
      <c r="E97" s="20" t="s">
        <v>128</v>
      </c>
      <c r="F97" s="20" t="s">
        <v>141</v>
      </c>
      <c r="G97" s="20" t="s">
        <v>142</v>
      </c>
    </row>
    <row r="98" spans="1:7">
      <c r="A98" s="9">
        <f t="shared" si="2"/>
        <v>95</v>
      </c>
      <c r="B98" s="20" t="s">
        <v>287</v>
      </c>
      <c r="C98" s="9">
        <v>2661128</v>
      </c>
      <c r="D98" s="20" t="s">
        <v>122</v>
      </c>
      <c r="E98" s="20" t="s">
        <v>288</v>
      </c>
      <c r="F98" s="20" t="s">
        <v>289</v>
      </c>
      <c r="G98" s="20" t="s">
        <v>207</v>
      </c>
    </row>
    <row r="99" spans="1:7">
      <c r="A99" s="9">
        <f t="shared" si="2"/>
        <v>96</v>
      </c>
      <c r="B99" s="20" t="s">
        <v>290</v>
      </c>
      <c r="C99" s="9">
        <v>5878756</v>
      </c>
      <c r="D99" s="20" t="s">
        <v>127</v>
      </c>
      <c r="E99" s="20" t="s">
        <v>128</v>
      </c>
      <c r="F99" s="20" t="s">
        <v>291</v>
      </c>
      <c r="G99" s="20" t="s">
        <v>156</v>
      </c>
    </row>
    <row r="100" spans="1:7">
      <c r="A100" s="9">
        <f t="shared" si="2"/>
        <v>97</v>
      </c>
      <c r="B100" s="20" t="s">
        <v>292</v>
      </c>
      <c r="C100" s="9">
        <v>2166631</v>
      </c>
      <c r="D100" s="20" t="s">
        <v>212</v>
      </c>
      <c r="E100" s="20" t="s">
        <v>293</v>
      </c>
      <c r="F100" s="20" t="s">
        <v>294</v>
      </c>
      <c r="G100" s="20" t="s">
        <v>295</v>
      </c>
    </row>
    <row r="101" spans="1:7">
      <c r="A101" s="9">
        <f t="shared" ref="A101:A121" si="3">A100+1</f>
        <v>98</v>
      </c>
      <c r="B101" s="20" t="s">
        <v>296</v>
      </c>
      <c r="C101" s="9">
        <v>5671833</v>
      </c>
      <c r="D101" s="20" t="s">
        <v>153</v>
      </c>
      <c r="E101" s="20" t="s">
        <v>128</v>
      </c>
      <c r="F101" s="20" t="s">
        <v>138</v>
      </c>
      <c r="G101" s="20" t="s">
        <v>167</v>
      </c>
    </row>
    <row r="102" spans="1:7">
      <c r="A102" s="9">
        <f t="shared" si="3"/>
        <v>99</v>
      </c>
      <c r="B102" s="20" t="s">
        <v>297</v>
      </c>
      <c r="C102" s="9">
        <v>5104424</v>
      </c>
      <c r="D102" s="20" t="s">
        <v>122</v>
      </c>
      <c r="E102" s="20" t="s">
        <v>128</v>
      </c>
      <c r="F102" s="20" t="s">
        <v>134</v>
      </c>
      <c r="G102" s="20" t="s">
        <v>139</v>
      </c>
    </row>
    <row r="103" spans="1:7">
      <c r="A103" s="9">
        <f t="shared" si="3"/>
        <v>100</v>
      </c>
      <c r="B103" s="20" t="s">
        <v>298</v>
      </c>
      <c r="C103" s="9">
        <v>2668505</v>
      </c>
      <c r="D103" s="20" t="s">
        <v>122</v>
      </c>
      <c r="E103" s="20" t="s">
        <v>128</v>
      </c>
      <c r="F103" s="20" t="s">
        <v>191</v>
      </c>
      <c r="G103" s="20" t="s">
        <v>267</v>
      </c>
    </row>
    <row r="104" spans="1:7">
      <c r="A104" s="9">
        <f t="shared" si="3"/>
        <v>101</v>
      </c>
      <c r="B104" s="20" t="s">
        <v>299</v>
      </c>
      <c r="C104" s="9">
        <v>2697947</v>
      </c>
      <c r="D104" s="20" t="s">
        <v>122</v>
      </c>
      <c r="E104" s="20" t="s">
        <v>128</v>
      </c>
      <c r="F104" s="20" t="s">
        <v>129</v>
      </c>
      <c r="G104" s="20" t="s">
        <v>139</v>
      </c>
    </row>
    <row r="105" spans="1:7">
      <c r="A105" s="9">
        <f t="shared" si="3"/>
        <v>102</v>
      </c>
      <c r="B105" s="20" t="s">
        <v>300</v>
      </c>
      <c r="C105" s="9">
        <v>5352827</v>
      </c>
      <c r="D105" s="20" t="s">
        <v>122</v>
      </c>
      <c r="E105" s="20" t="s">
        <v>128</v>
      </c>
      <c r="F105" s="20" t="s">
        <v>138</v>
      </c>
      <c r="G105" s="20" t="s">
        <v>139</v>
      </c>
    </row>
    <row r="106" spans="1:7">
      <c r="A106" s="9">
        <f t="shared" si="3"/>
        <v>103</v>
      </c>
      <c r="B106" s="20" t="s">
        <v>301</v>
      </c>
      <c r="C106" s="9">
        <v>2548747</v>
      </c>
      <c r="D106" s="20" t="s">
        <v>302</v>
      </c>
      <c r="E106" s="20" t="s">
        <v>138</v>
      </c>
      <c r="F106" s="20" t="s">
        <v>138</v>
      </c>
      <c r="G106" s="20" t="s">
        <v>172</v>
      </c>
    </row>
    <row r="107" spans="1:7">
      <c r="A107" s="9">
        <f t="shared" si="3"/>
        <v>104</v>
      </c>
      <c r="B107" s="20" t="s">
        <v>303</v>
      </c>
      <c r="C107" s="9">
        <v>2641984</v>
      </c>
      <c r="D107" s="20" t="s">
        <v>221</v>
      </c>
      <c r="E107" s="20" t="s">
        <v>304</v>
      </c>
      <c r="F107" s="20" t="s">
        <v>305</v>
      </c>
      <c r="G107" s="20" t="s">
        <v>295</v>
      </c>
    </row>
    <row r="108" spans="1:7">
      <c r="A108" s="9">
        <f t="shared" si="3"/>
        <v>105</v>
      </c>
      <c r="B108" s="20" t="s">
        <v>306</v>
      </c>
      <c r="C108" s="9">
        <v>6342485</v>
      </c>
      <c r="D108" s="20" t="s">
        <v>132</v>
      </c>
      <c r="E108" s="20" t="s">
        <v>128</v>
      </c>
      <c r="F108" s="20" t="s">
        <v>191</v>
      </c>
      <c r="G108" s="20" t="s">
        <v>192</v>
      </c>
    </row>
    <row r="109" spans="1:7">
      <c r="A109" s="9">
        <f t="shared" si="3"/>
        <v>106</v>
      </c>
      <c r="B109" s="20" t="s">
        <v>307</v>
      </c>
      <c r="C109" s="9">
        <v>5166667</v>
      </c>
      <c r="D109" s="20" t="s">
        <v>184</v>
      </c>
      <c r="E109" s="20" t="s">
        <v>128</v>
      </c>
      <c r="F109" s="20" t="s">
        <v>191</v>
      </c>
      <c r="G109" s="20" t="s">
        <v>148</v>
      </c>
    </row>
    <row r="110" spans="1:7">
      <c r="A110" s="9">
        <f t="shared" si="3"/>
        <v>107</v>
      </c>
      <c r="B110" s="20" t="s">
        <v>308</v>
      </c>
      <c r="C110" s="9">
        <v>5482046</v>
      </c>
      <c r="D110" s="20" t="s">
        <v>153</v>
      </c>
      <c r="E110" s="20" t="s">
        <v>128</v>
      </c>
      <c r="F110" s="20" t="s">
        <v>138</v>
      </c>
      <c r="G110" s="20" t="s">
        <v>139</v>
      </c>
    </row>
    <row r="111" spans="1:7">
      <c r="A111" s="9">
        <f t="shared" si="3"/>
        <v>108</v>
      </c>
      <c r="B111" s="20" t="s">
        <v>309</v>
      </c>
      <c r="C111" s="9">
        <v>2050374</v>
      </c>
      <c r="D111" s="20" t="s">
        <v>310</v>
      </c>
      <c r="E111" s="20" t="s">
        <v>180</v>
      </c>
      <c r="F111" s="20" t="s">
        <v>309</v>
      </c>
      <c r="G111" s="20" t="s">
        <v>276</v>
      </c>
    </row>
    <row r="112" spans="1:7">
      <c r="A112" s="9">
        <f t="shared" si="3"/>
        <v>109</v>
      </c>
      <c r="B112" s="20" t="s">
        <v>311</v>
      </c>
      <c r="C112" s="9">
        <v>2004879</v>
      </c>
      <c r="D112" s="20" t="s">
        <v>122</v>
      </c>
      <c r="E112" s="20" t="s">
        <v>312</v>
      </c>
      <c r="F112" s="20" t="s">
        <v>313</v>
      </c>
      <c r="G112" s="20" t="s">
        <v>295</v>
      </c>
    </row>
    <row r="113" spans="1:7">
      <c r="A113" s="9">
        <f t="shared" si="3"/>
        <v>110</v>
      </c>
      <c r="B113" s="20" t="s">
        <v>314</v>
      </c>
      <c r="C113" s="9">
        <v>2830213</v>
      </c>
      <c r="D113" s="20" t="s">
        <v>122</v>
      </c>
      <c r="E113" s="20" t="s">
        <v>123</v>
      </c>
      <c r="F113" s="20" t="s">
        <v>124</v>
      </c>
      <c r="G113" s="20" t="s">
        <v>207</v>
      </c>
    </row>
    <row r="114" spans="1:7">
      <c r="A114" s="9">
        <f t="shared" si="3"/>
        <v>111</v>
      </c>
      <c r="B114" s="20" t="s">
        <v>315</v>
      </c>
      <c r="C114" s="9">
        <v>5320607</v>
      </c>
      <c r="D114" s="20" t="s">
        <v>132</v>
      </c>
      <c r="E114" s="20" t="s">
        <v>128</v>
      </c>
      <c r="F114" s="20" t="s">
        <v>141</v>
      </c>
      <c r="G114" s="20" t="s">
        <v>139</v>
      </c>
    </row>
    <row r="115" spans="1:7">
      <c r="A115" s="9">
        <f t="shared" si="3"/>
        <v>112</v>
      </c>
      <c r="B115" s="20" t="s">
        <v>316</v>
      </c>
      <c r="C115" s="9">
        <v>5586119</v>
      </c>
      <c r="D115" s="20" t="s">
        <v>145</v>
      </c>
      <c r="E115" s="20" t="s">
        <v>128</v>
      </c>
      <c r="F115" s="20" t="s">
        <v>138</v>
      </c>
      <c r="G115" s="20" t="s">
        <v>139</v>
      </c>
    </row>
    <row r="116" spans="1:7">
      <c r="A116" s="9">
        <f t="shared" si="3"/>
        <v>113</v>
      </c>
      <c r="B116" s="20" t="s">
        <v>317</v>
      </c>
      <c r="C116" s="9">
        <v>5015243</v>
      </c>
      <c r="D116" s="20" t="s">
        <v>212</v>
      </c>
      <c r="E116" s="20" t="s">
        <v>128</v>
      </c>
      <c r="F116" s="20" t="s">
        <v>191</v>
      </c>
      <c r="G116" s="20" t="s">
        <v>148</v>
      </c>
    </row>
    <row r="117" spans="1:7">
      <c r="A117" s="9">
        <f t="shared" si="3"/>
        <v>114</v>
      </c>
      <c r="B117" s="20" t="s">
        <v>318</v>
      </c>
      <c r="C117" s="9">
        <v>5452503</v>
      </c>
      <c r="D117" s="20" t="s">
        <v>137</v>
      </c>
      <c r="E117" s="20" t="s">
        <v>128</v>
      </c>
      <c r="F117" s="20" t="s">
        <v>129</v>
      </c>
      <c r="G117" s="20" t="s">
        <v>139</v>
      </c>
    </row>
    <row r="118" spans="1:7">
      <c r="A118" s="9">
        <f t="shared" si="3"/>
        <v>115</v>
      </c>
      <c r="B118" s="20" t="s">
        <v>319</v>
      </c>
      <c r="C118" s="9">
        <v>2887746</v>
      </c>
      <c r="D118" s="20" t="s">
        <v>245</v>
      </c>
      <c r="E118" s="20" t="s">
        <v>128</v>
      </c>
      <c r="F118" s="20" t="s">
        <v>138</v>
      </c>
      <c r="G118" s="20" t="s">
        <v>160</v>
      </c>
    </row>
    <row r="119" spans="1:7">
      <c r="A119" s="9">
        <f t="shared" si="3"/>
        <v>116</v>
      </c>
      <c r="B119" s="20" t="s">
        <v>320</v>
      </c>
      <c r="C119" s="9">
        <v>5618339</v>
      </c>
      <c r="D119" s="20" t="s">
        <v>122</v>
      </c>
      <c r="E119" s="20" t="s">
        <v>128</v>
      </c>
      <c r="F119" s="20" t="s">
        <v>138</v>
      </c>
      <c r="G119" s="20" t="s">
        <v>139</v>
      </c>
    </row>
    <row r="120" spans="1:7">
      <c r="A120" s="9">
        <f t="shared" si="3"/>
        <v>117</v>
      </c>
      <c r="B120" s="20" t="s">
        <v>321</v>
      </c>
      <c r="C120" s="9">
        <v>2718243</v>
      </c>
      <c r="D120" s="20" t="s">
        <v>132</v>
      </c>
      <c r="E120" s="20" t="s">
        <v>128</v>
      </c>
      <c r="F120" s="20" t="s">
        <v>138</v>
      </c>
      <c r="G120" s="20" t="s">
        <v>160</v>
      </c>
    </row>
    <row r="121" spans="1:7">
      <c r="A121" s="9">
        <f t="shared" si="3"/>
        <v>118</v>
      </c>
      <c r="B121" s="20" t="s">
        <v>322</v>
      </c>
      <c r="C121" s="9">
        <v>6896197</v>
      </c>
      <c r="D121" s="20" t="s">
        <v>127</v>
      </c>
      <c r="E121" s="20" t="s">
        <v>128</v>
      </c>
      <c r="F121" s="20" t="s">
        <v>134</v>
      </c>
      <c r="G121" s="20" t="s">
        <v>139</v>
      </c>
    </row>
    <row r="122" spans="1:7">
      <c r="A122" s="9">
        <f t="shared" ref="A122:A128" si="4">A121+1</f>
        <v>119</v>
      </c>
      <c r="B122" s="20" t="s">
        <v>323</v>
      </c>
      <c r="C122" s="9">
        <v>5435528</v>
      </c>
      <c r="D122" s="20" t="s">
        <v>122</v>
      </c>
      <c r="E122" s="20" t="s">
        <v>128</v>
      </c>
      <c r="F122" s="20" t="s">
        <v>134</v>
      </c>
      <c r="G122" s="20" t="s">
        <v>139</v>
      </c>
    </row>
    <row r="123" spans="1:7">
      <c r="A123" s="9">
        <f t="shared" si="4"/>
        <v>120</v>
      </c>
      <c r="B123" s="20" t="s">
        <v>324</v>
      </c>
      <c r="C123" s="9">
        <v>5824826</v>
      </c>
      <c r="D123" s="20" t="s">
        <v>147</v>
      </c>
      <c r="E123" s="20" t="s">
        <v>128</v>
      </c>
      <c r="F123" s="20" t="s">
        <v>129</v>
      </c>
      <c r="G123" s="20" t="s">
        <v>139</v>
      </c>
    </row>
    <row r="124" spans="1:7">
      <c r="A124" s="9">
        <f t="shared" si="4"/>
        <v>121</v>
      </c>
      <c r="B124" s="20" t="s">
        <v>325</v>
      </c>
      <c r="C124" s="9">
        <v>6141536</v>
      </c>
      <c r="D124" s="20" t="s">
        <v>127</v>
      </c>
      <c r="E124" s="20" t="s">
        <v>128</v>
      </c>
      <c r="F124" s="20" t="s">
        <v>138</v>
      </c>
      <c r="G124" s="20" t="s">
        <v>139</v>
      </c>
    </row>
    <row r="125" spans="1:7">
      <c r="A125" s="9">
        <f t="shared" si="4"/>
        <v>122</v>
      </c>
      <c r="B125" s="20" t="s">
        <v>326</v>
      </c>
      <c r="C125" s="9">
        <v>5124913</v>
      </c>
      <c r="D125" s="20" t="s">
        <v>122</v>
      </c>
      <c r="E125" s="20" t="s">
        <v>128</v>
      </c>
      <c r="F125" s="20" t="s">
        <v>134</v>
      </c>
      <c r="G125" s="20" t="s">
        <v>139</v>
      </c>
    </row>
    <row r="126" spans="1:7">
      <c r="A126" s="9">
        <f t="shared" si="4"/>
        <v>123</v>
      </c>
      <c r="B126" s="20" t="s">
        <v>327</v>
      </c>
      <c r="C126" s="9">
        <v>2074192</v>
      </c>
      <c r="D126" s="20" t="s">
        <v>328</v>
      </c>
      <c r="E126" s="20" t="s">
        <v>329</v>
      </c>
      <c r="F126" s="20" t="s">
        <v>330</v>
      </c>
      <c r="G126" s="20" t="s">
        <v>238</v>
      </c>
    </row>
    <row r="127" spans="1:7">
      <c r="A127" s="9">
        <f t="shared" si="4"/>
        <v>124</v>
      </c>
      <c r="B127" s="20" t="s">
        <v>331</v>
      </c>
      <c r="C127" s="9">
        <v>2861224</v>
      </c>
      <c r="D127" s="20" t="s">
        <v>127</v>
      </c>
      <c r="E127" s="20" t="s">
        <v>128</v>
      </c>
      <c r="F127" s="20" t="s">
        <v>138</v>
      </c>
      <c r="G127" s="20" t="s">
        <v>139</v>
      </c>
    </row>
    <row r="128" spans="1:7">
      <c r="A128" s="9">
        <f t="shared" si="4"/>
        <v>125</v>
      </c>
      <c r="B128" s="20" t="s">
        <v>332</v>
      </c>
      <c r="C128" s="9">
        <v>5137977</v>
      </c>
      <c r="D128" s="20" t="s">
        <v>132</v>
      </c>
      <c r="E128" s="20" t="s">
        <v>128</v>
      </c>
      <c r="F128" s="20" t="s">
        <v>138</v>
      </c>
      <c r="G128" s="20" t="s">
        <v>156</v>
      </c>
    </row>
  </sheetData>
  <mergeCells count="1">
    <mergeCell ref="A1:H1"/>
  </mergeCells>
  <conditionalFormatting sqref="B4:B33 B89">
    <cfRule type="duplicateValues" dxfId="563" priority="12"/>
  </conditionalFormatting>
  <conditionalFormatting sqref="B34:B83">
    <cfRule type="duplicateValues" dxfId="562" priority="11"/>
  </conditionalFormatting>
  <conditionalFormatting sqref="B84">
    <cfRule type="duplicateValues" dxfId="561" priority="9"/>
  </conditionalFormatting>
  <conditionalFormatting sqref="B85:B88">
    <cfRule type="duplicateValues" dxfId="560" priority="10"/>
  </conditionalFormatting>
  <conditionalFormatting sqref="B90:B128">
    <cfRule type="duplicateValues" dxfId="559" priority="13"/>
  </conditionalFormatting>
  <conditionalFormatting sqref="C4:C33 C89">
    <cfRule type="duplicateValues" dxfId="558" priority="7"/>
  </conditionalFormatting>
  <conditionalFormatting sqref="C34:C83">
    <cfRule type="duplicateValues" dxfId="557" priority="6"/>
  </conditionalFormatting>
  <conditionalFormatting sqref="C84">
    <cfRule type="duplicateValues" dxfId="556" priority="5"/>
  </conditionalFormatting>
  <conditionalFormatting sqref="C85">
    <cfRule type="duplicateValues" dxfId="555" priority="4"/>
  </conditionalFormatting>
  <conditionalFormatting sqref="C86">
    <cfRule type="duplicateValues" dxfId="554" priority="3"/>
  </conditionalFormatting>
  <conditionalFormatting sqref="C87">
    <cfRule type="duplicateValues" dxfId="553" priority="2"/>
  </conditionalFormatting>
  <conditionalFormatting sqref="C88">
    <cfRule type="duplicateValues" dxfId="552" priority="1"/>
  </conditionalFormatting>
  <conditionalFormatting sqref="C90:C128">
    <cfRule type="duplicateValues" dxfId="551" priority="8"/>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8CB94-CAB7-4959-A4FE-CBBED09EEF0E}">
  <sheetPr>
    <tabColor rgb="FF006432"/>
  </sheetPr>
  <dimension ref="A1:M21"/>
  <sheetViews>
    <sheetView workbookViewId="0">
      <selection activeCell="L20" sqref="L20"/>
    </sheetView>
  </sheetViews>
  <sheetFormatPr defaultRowHeight="15"/>
  <cols>
    <col min="1" max="1" width="5.140625" customWidth="1"/>
    <col min="2" max="2" width="19.5703125" customWidth="1"/>
    <col min="3" max="3" width="17.5703125" customWidth="1"/>
    <col min="4" max="4" width="15" customWidth="1"/>
    <col min="5" max="5" width="20.140625" customWidth="1"/>
    <col min="6" max="6" width="23.140625" customWidth="1"/>
    <col min="7" max="7" width="14.85546875" customWidth="1"/>
    <col min="8" max="8" width="24.140625" customWidth="1"/>
    <col min="9" max="9" width="14.5703125" customWidth="1"/>
    <col min="10" max="10" width="16.140625" customWidth="1"/>
    <col min="11" max="11" width="13.42578125" customWidth="1"/>
    <col min="12" max="12" width="16.85546875" customWidth="1"/>
    <col min="13" max="13" width="15.140625" customWidth="1"/>
  </cols>
  <sheetData>
    <row r="1" spans="1:13" ht="16.5" thickBot="1">
      <c r="A1" s="641" t="s">
        <v>7633</v>
      </c>
      <c r="B1" s="641"/>
      <c r="C1" s="641"/>
      <c r="D1" s="641"/>
      <c r="E1" s="641"/>
      <c r="F1" s="641"/>
      <c r="G1" s="641"/>
      <c r="H1" s="641"/>
      <c r="I1" s="641"/>
      <c r="J1" s="641"/>
      <c r="K1" s="641"/>
    </row>
    <row r="2" spans="1:13" ht="4.5" customHeight="1" thickTop="1"/>
    <row r="3" spans="1:13" ht="51">
      <c r="A3" s="46" t="s">
        <v>114</v>
      </c>
      <c r="B3" s="46" t="s">
        <v>7634</v>
      </c>
      <c r="C3" s="46" t="s">
        <v>742</v>
      </c>
      <c r="D3" s="46" t="s">
        <v>743</v>
      </c>
      <c r="E3" s="46" t="s">
        <v>117</v>
      </c>
      <c r="F3" s="46" t="s">
        <v>745</v>
      </c>
      <c r="G3" s="46" t="s">
        <v>7635</v>
      </c>
      <c r="H3" s="46" t="s">
        <v>7636</v>
      </c>
      <c r="I3" s="46" t="s">
        <v>7637</v>
      </c>
      <c r="J3" s="46" t="s">
        <v>7513</v>
      </c>
      <c r="K3" s="46" t="s">
        <v>748</v>
      </c>
      <c r="L3" s="46" t="s">
        <v>749</v>
      </c>
      <c r="M3" s="46" t="s">
        <v>7638</v>
      </c>
    </row>
    <row r="4" spans="1:13">
      <c r="A4" s="87">
        <v>1</v>
      </c>
      <c r="B4" s="87" t="s">
        <v>2217</v>
      </c>
      <c r="C4" s="87" t="s">
        <v>856</v>
      </c>
      <c r="D4" s="88">
        <v>25.13</v>
      </c>
      <c r="E4" s="88" t="s">
        <v>184</v>
      </c>
      <c r="F4" s="87" t="s">
        <v>857</v>
      </c>
      <c r="G4" s="87">
        <v>5935539</v>
      </c>
      <c r="H4" s="87" t="s">
        <v>4743</v>
      </c>
      <c r="I4" s="87">
        <v>5958989</v>
      </c>
      <c r="J4" s="89">
        <v>44935</v>
      </c>
      <c r="K4" s="89">
        <v>39209</v>
      </c>
      <c r="L4" s="89">
        <v>50167</v>
      </c>
      <c r="M4" s="87" t="s">
        <v>7639</v>
      </c>
    </row>
    <row r="5" spans="1:13">
      <c r="A5" s="90">
        <v>2</v>
      </c>
      <c r="B5" s="90" t="s">
        <v>4462</v>
      </c>
      <c r="C5" s="90" t="s">
        <v>806</v>
      </c>
      <c r="D5" s="91">
        <v>1980.02</v>
      </c>
      <c r="E5" s="91" t="s">
        <v>145</v>
      </c>
      <c r="F5" s="90" t="s">
        <v>7640</v>
      </c>
      <c r="G5" s="90">
        <v>5720443</v>
      </c>
      <c r="H5" s="90" t="s">
        <v>4463</v>
      </c>
      <c r="I5" s="90">
        <v>6169309</v>
      </c>
      <c r="J5" s="92">
        <v>44942</v>
      </c>
      <c r="K5" s="92">
        <v>43272</v>
      </c>
      <c r="L5" s="92">
        <v>54230</v>
      </c>
      <c r="M5" s="90" t="s">
        <v>7641</v>
      </c>
    </row>
    <row r="6" spans="1:13">
      <c r="A6" s="90">
        <v>3</v>
      </c>
      <c r="B6" s="90" t="s">
        <v>2217</v>
      </c>
      <c r="C6" s="90" t="s">
        <v>856</v>
      </c>
      <c r="D6" s="91">
        <v>25.18</v>
      </c>
      <c r="E6" s="91" t="s">
        <v>184</v>
      </c>
      <c r="F6" s="90" t="s">
        <v>857</v>
      </c>
      <c r="G6" s="90">
        <v>5935539</v>
      </c>
      <c r="H6" s="90" t="s">
        <v>5168</v>
      </c>
      <c r="I6" s="90">
        <v>6922031</v>
      </c>
      <c r="J6" s="92">
        <v>45007</v>
      </c>
      <c r="K6" s="92">
        <v>39209</v>
      </c>
      <c r="L6" s="92">
        <v>45467</v>
      </c>
      <c r="M6" s="90" t="s">
        <v>7639</v>
      </c>
    </row>
    <row r="7" spans="1:13">
      <c r="A7" s="90">
        <v>4</v>
      </c>
      <c r="B7" s="90" t="s">
        <v>2361</v>
      </c>
      <c r="C7" s="90" t="s">
        <v>2362</v>
      </c>
      <c r="D7" s="91">
        <v>23.5</v>
      </c>
      <c r="E7" s="91" t="s">
        <v>184</v>
      </c>
      <c r="F7" s="90" t="s">
        <v>2765</v>
      </c>
      <c r="G7" s="90">
        <v>4001621</v>
      </c>
      <c r="H7" s="90" t="s">
        <v>2363</v>
      </c>
      <c r="I7" s="90">
        <v>4009037</v>
      </c>
      <c r="J7" s="92">
        <v>45057</v>
      </c>
      <c r="K7" s="92">
        <v>39532</v>
      </c>
      <c r="L7" s="92">
        <v>50489</v>
      </c>
      <c r="M7" s="90" t="s">
        <v>7641</v>
      </c>
    </row>
    <row r="8" spans="1:13">
      <c r="A8" s="90">
        <v>5</v>
      </c>
      <c r="B8" s="90" t="s">
        <v>4291</v>
      </c>
      <c r="C8" s="90" t="s">
        <v>929</v>
      </c>
      <c r="D8" s="91">
        <v>81.540000000000006</v>
      </c>
      <c r="E8" s="91" t="s">
        <v>184</v>
      </c>
      <c r="F8" s="90" t="s">
        <v>5039</v>
      </c>
      <c r="G8" s="90">
        <v>5849314</v>
      </c>
      <c r="H8" s="90" t="s">
        <v>930</v>
      </c>
      <c r="I8" s="90">
        <v>5396786</v>
      </c>
      <c r="J8" s="92">
        <v>45070</v>
      </c>
      <c r="K8" s="92">
        <v>34986</v>
      </c>
      <c r="L8" s="92">
        <v>53249</v>
      </c>
      <c r="M8" s="90" t="s">
        <v>7641</v>
      </c>
    </row>
    <row r="9" spans="1:13">
      <c r="A9" s="90">
        <v>6</v>
      </c>
      <c r="B9" s="90" t="s">
        <v>4004</v>
      </c>
      <c r="C9" s="90" t="s">
        <v>4005</v>
      </c>
      <c r="D9" s="91">
        <v>612.66999999999996</v>
      </c>
      <c r="E9" s="91" t="s">
        <v>184</v>
      </c>
      <c r="F9" s="90" t="s">
        <v>5039</v>
      </c>
      <c r="G9" s="90">
        <v>5849314</v>
      </c>
      <c r="H9" s="90" t="s">
        <v>2262</v>
      </c>
      <c r="I9" s="90">
        <v>2091798</v>
      </c>
      <c r="J9" s="92">
        <v>45092</v>
      </c>
      <c r="K9" s="92">
        <v>42433</v>
      </c>
      <c r="L9" s="92">
        <v>53390</v>
      </c>
      <c r="M9" s="90" t="s">
        <v>7641</v>
      </c>
    </row>
    <row r="10" spans="1:13">
      <c r="A10" s="90">
        <v>7</v>
      </c>
      <c r="B10" s="90" t="s">
        <v>2424</v>
      </c>
      <c r="C10" s="90" t="s">
        <v>2425</v>
      </c>
      <c r="D10" s="91">
        <v>99.57</v>
      </c>
      <c r="E10" s="91" t="s">
        <v>200</v>
      </c>
      <c r="F10" s="90" t="s">
        <v>2253</v>
      </c>
      <c r="G10" s="90">
        <v>2848376</v>
      </c>
      <c r="H10" s="90" t="s">
        <v>2426</v>
      </c>
      <c r="I10" s="90">
        <v>6378781</v>
      </c>
      <c r="J10" s="92">
        <v>45112</v>
      </c>
      <c r="K10" s="92">
        <v>39596</v>
      </c>
      <c r="L10" s="92">
        <v>50553</v>
      </c>
      <c r="M10" s="90" t="s">
        <v>7641</v>
      </c>
    </row>
    <row r="11" spans="1:13">
      <c r="A11" s="90">
        <v>8</v>
      </c>
      <c r="B11" s="90" t="s">
        <v>1454</v>
      </c>
      <c r="C11" s="90" t="s">
        <v>1455</v>
      </c>
      <c r="D11" s="91">
        <v>995.58</v>
      </c>
      <c r="E11" s="91" t="s">
        <v>886</v>
      </c>
      <c r="F11" s="90" t="s">
        <v>7642</v>
      </c>
      <c r="G11" s="90">
        <v>2784904</v>
      </c>
      <c r="H11" s="90" t="s">
        <v>888</v>
      </c>
      <c r="I11" s="90">
        <v>2830213</v>
      </c>
      <c r="J11" s="92">
        <v>45111</v>
      </c>
      <c r="K11" s="92">
        <v>37830</v>
      </c>
      <c r="L11" s="92">
        <v>48788</v>
      </c>
      <c r="M11" s="90" t="s">
        <v>7641</v>
      </c>
    </row>
    <row r="12" spans="1:13">
      <c r="A12" s="90">
        <v>9</v>
      </c>
      <c r="B12" s="90" t="s">
        <v>5106</v>
      </c>
      <c r="C12" s="90" t="s">
        <v>3314</v>
      </c>
      <c r="D12" s="91">
        <v>175.78</v>
      </c>
      <c r="E12" s="91" t="s">
        <v>184</v>
      </c>
      <c r="F12" s="90" t="s">
        <v>7643</v>
      </c>
      <c r="G12" s="90">
        <v>5835704</v>
      </c>
      <c r="H12" s="90" t="s">
        <v>5107</v>
      </c>
      <c r="I12" s="90">
        <v>5748933</v>
      </c>
      <c r="J12" s="92">
        <v>45110</v>
      </c>
      <c r="K12" s="92">
        <v>43224</v>
      </c>
      <c r="L12" s="92">
        <v>54182</v>
      </c>
      <c r="M12" s="90" t="s">
        <v>7641</v>
      </c>
    </row>
    <row r="13" spans="1:13">
      <c r="A13" s="90">
        <v>10</v>
      </c>
      <c r="B13" s="90" t="s">
        <v>4664</v>
      </c>
      <c r="C13" s="90" t="s">
        <v>4665</v>
      </c>
      <c r="D13" s="91">
        <v>268</v>
      </c>
      <c r="E13" s="91" t="s">
        <v>184</v>
      </c>
      <c r="F13" s="90" t="s">
        <v>821</v>
      </c>
      <c r="G13" s="90">
        <v>2570769</v>
      </c>
      <c r="H13" s="90" t="s">
        <v>4666</v>
      </c>
      <c r="I13" s="90">
        <v>6171028</v>
      </c>
      <c r="J13" s="92">
        <v>45133</v>
      </c>
      <c r="K13" s="92">
        <v>38715</v>
      </c>
      <c r="L13" s="92">
        <v>53181</v>
      </c>
      <c r="M13" s="90" t="s">
        <v>7641</v>
      </c>
    </row>
    <row r="14" spans="1:13">
      <c r="A14" s="90">
        <v>11</v>
      </c>
      <c r="B14" s="90" t="s">
        <v>5044</v>
      </c>
      <c r="C14" s="90" t="s">
        <v>5045</v>
      </c>
      <c r="D14" s="91">
        <v>267.39</v>
      </c>
      <c r="E14" s="91" t="s">
        <v>4876</v>
      </c>
      <c r="F14" s="90" t="s">
        <v>7644</v>
      </c>
      <c r="G14" s="90">
        <v>5199166</v>
      </c>
      <c r="H14" s="90" t="s">
        <v>5046</v>
      </c>
      <c r="I14" s="90">
        <v>6952305</v>
      </c>
      <c r="J14" s="92">
        <v>45141</v>
      </c>
      <c r="K14" s="92">
        <v>44517</v>
      </c>
      <c r="L14" s="92">
        <v>55474</v>
      </c>
      <c r="M14" s="90" t="s">
        <v>7641</v>
      </c>
    </row>
    <row r="15" spans="1:13">
      <c r="A15" s="90">
        <v>12</v>
      </c>
      <c r="B15" s="90" t="s">
        <v>751</v>
      </c>
      <c r="C15" s="90" t="s">
        <v>753</v>
      </c>
      <c r="D15" s="91">
        <v>108.6</v>
      </c>
      <c r="E15" s="91" t="s">
        <v>184</v>
      </c>
      <c r="F15" s="90" t="s">
        <v>7645</v>
      </c>
      <c r="G15" s="90">
        <v>5157145</v>
      </c>
      <c r="H15" s="90" t="s">
        <v>754</v>
      </c>
      <c r="I15" s="90">
        <v>3863689</v>
      </c>
      <c r="J15" s="92">
        <v>45226</v>
      </c>
      <c r="K15" s="92">
        <v>35495</v>
      </c>
      <c r="L15" s="92">
        <v>46452</v>
      </c>
      <c r="M15" s="90" t="s">
        <v>7641</v>
      </c>
    </row>
    <row r="16" spans="1:13">
      <c r="A16" s="90">
        <v>13</v>
      </c>
      <c r="B16" s="90" t="s">
        <v>4708</v>
      </c>
      <c r="C16" s="90" t="s">
        <v>792</v>
      </c>
      <c r="D16" s="91">
        <v>2887.85</v>
      </c>
      <c r="E16" s="91" t="s">
        <v>7646</v>
      </c>
      <c r="F16" s="90" t="s">
        <v>7647</v>
      </c>
      <c r="G16" s="90">
        <v>6436226</v>
      </c>
      <c r="H16" s="90" t="s">
        <v>4709</v>
      </c>
      <c r="I16" s="90">
        <v>6289754</v>
      </c>
      <c r="J16" s="92">
        <v>45233</v>
      </c>
      <c r="K16" s="92">
        <v>43755</v>
      </c>
      <c r="L16" s="92">
        <v>54713</v>
      </c>
      <c r="M16" s="90" t="s">
        <v>7641</v>
      </c>
    </row>
    <row r="17" spans="1:13">
      <c r="A17" s="90">
        <v>14</v>
      </c>
      <c r="B17" s="90" t="s">
        <v>2598</v>
      </c>
      <c r="C17" s="90" t="s">
        <v>2599</v>
      </c>
      <c r="D17" s="91">
        <v>10541.01</v>
      </c>
      <c r="E17" s="91" t="s">
        <v>145</v>
      </c>
      <c r="F17" s="90" t="s">
        <v>1490</v>
      </c>
      <c r="G17" s="90">
        <v>2668548</v>
      </c>
      <c r="H17" s="90" t="s">
        <v>2600</v>
      </c>
      <c r="I17" s="90">
        <v>8399123</v>
      </c>
      <c r="J17" s="92">
        <v>45264</v>
      </c>
      <c r="K17" s="92">
        <v>40028</v>
      </c>
      <c r="L17" s="92">
        <v>50985</v>
      </c>
      <c r="M17" s="90" t="s">
        <v>7641</v>
      </c>
    </row>
    <row r="18" spans="1:13">
      <c r="A18" s="90">
        <v>15</v>
      </c>
      <c r="B18" s="90" t="s">
        <v>4807</v>
      </c>
      <c r="C18" s="90" t="s">
        <v>4808</v>
      </c>
      <c r="D18" s="91">
        <v>527.12</v>
      </c>
      <c r="E18" s="91" t="s">
        <v>184</v>
      </c>
      <c r="F18" s="90" t="s">
        <v>7648</v>
      </c>
      <c r="G18" s="90">
        <v>2267438</v>
      </c>
      <c r="H18" s="90" t="s">
        <v>4809</v>
      </c>
      <c r="I18" s="90">
        <v>8413908</v>
      </c>
      <c r="J18" s="92">
        <v>45265</v>
      </c>
      <c r="K18" s="92">
        <v>43944</v>
      </c>
      <c r="L18" s="92">
        <v>54901</v>
      </c>
      <c r="M18" s="90" t="s">
        <v>7641</v>
      </c>
    </row>
    <row r="19" spans="1:13">
      <c r="A19" s="90">
        <v>16</v>
      </c>
      <c r="B19" s="90" t="s">
        <v>3905</v>
      </c>
      <c r="C19" s="90" t="s">
        <v>3906</v>
      </c>
      <c r="D19" s="91">
        <v>133.79</v>
      </c>
      <c r="E19" s="91" t="s">
        <v>137</v>
      </c>
      <c r="F19" s="90" t="s">
        <v>7649</v>
      </c>
      <c r="G19" s="90">
        <v>6209416</v>
      </c>
      <c r="H19" s="90" t="s">
        <v>3907</v>
      </c>
      <c r="I19" s="90">
        <v>6995071</v>
      </c>
      <c r="J19" s="92">
        <v>45281</v>
      </c>
      <c r="K19" s="92">
        <v>42297</v>
      </c>
      <c r="L19" s="92">
        <v>53255</v>
      </c>
      <c r="M19" s="90" t="s">
        <v>7641</v>
      </c>
    </row>
    <row r="20" spans="1:13">
      <c r="A20" s="90">
        <v>17</v>
      </c>
      <c r="B20" s="90" t="s">
        <v>3939</v>
      </c>
      <c r="C20" s="90" t="s">
        <v>3940</v>
      </c>
      <c r="D20" s="91">
        <v>171.85</v>
      </c>
      <c r="E20" s="91" t="s">
        <v>137</v>
      </c>
      <c r="F20" s="90" t="s">
        <v>7649</v>
      </c>
      <c r="G20" s="90">
        <v>6209416</v>
      </c>
      <c r="H20" s="90" t="s">
        <v>3907</v>
      </c>
      <c r="I20" s="90">
        <v>6995071</v>
      </c>
      <c r="J20" s="92">
        <v>45281</v>
      </c>
      <c r="K20" s="92">
        <v>42333</v>
      </c>
      <c r="L20" s="92">
        <v>53291</v>
      </c>
      <c r="M20" s="90" t="s">
        <v>7641</v>
      </c>
    </row>
    <row r="21" spans="1:13">
      <c r="A21" s="90">
        <v>18</v>
      </c>
      <c r="B21" s="90" t="s">
        <v>3803</v>
      </c>
      <c r="C21" s="90" t="s">
        <v>3804</v>
      </c>
      <c r="D21" s="91">
        <v>4629.91</v>
      </c>
      <c r="E21" s="91" t="s">
        <v>145</v>
      </c>
      <c r="F21" s="90" t="s">
        <v>3312</v>
      </c>
      <c r="G21" s="90">
        <v>5522935</v>
      </c>
      <c r="H21" s="90" t="s">
        <v>3805</v>
      </c>
      <c r="I21" s="90">
        <v>8337098</v>
      </c>
      <c r="J21" s="92">
        <v>45286</v>
      </c>
      <c r="K21" s="92">
        <v>42145</v>
      </c>
      <c r="L21" s="92">
        <v>53103</v>
      </c>
      <c r="M21" s="90" t="s">
        <v>7641</v>
      </c>
    </row>
  </sheetData>
  <mergeCells count="1">
    <mergeCell ref="A1:K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53F4-B600-4F5A-8867-5B5B7036092F}">
  <sheetPr>
    <tabColor rgb="FF006432"/>
  </sheetPr>
  <dimension ref="A1:L77"/>
  <sheetViews>
    <sheetView workbookViewId="0">
      <selection activeCell="E5" sqref="E5"/>
    </sheetView>
  </sheetViews>
  <sheetFormatPr defaultRowHeight="15"/>
  <cols>
    <col min="1" max="1" width="4.5703125" customWidth="1"/>
    <col min="2" max="2" width="9.85546875" bestFit="1" customWidth="1"/>
    <col min="3" max="3" width="16.7109375" bestFit="1" customWidth="1"/>
    <col min="4" max="4" width="9.140625" style="254" bestFit="1" customWidth="1"/>
    <col min="5" max="5" width="16.85546875" bestFit="1" customWidth="1"/>
    <col min="6" max="6" width="8" bestFit="1" customWidth="1"/>
    <col min="7" max="7" width="26.85546875" customWidth="1"/>
    <col min="8" max="8" width="14.7109375" customWidth="1"/>
    <col min="9" max="11" width="10.140625" bestFit="1" customWidth="1"/>
    <col min="12" max="12" width="13.85546875" customWidth="1"/>
  </cols>
  <sheetData>
    <row r="1" spans="1:12" ht="16.5" thickBot="1">
      <c r="A1" s="641" t="s">
        <v>7650</v>
      </c>
      <c r="B1" s="641"/>
      <c r="C1" s="641"/>
      <c r="D1" s="641"/>
      <c r="E1" s="641"/>
      <c r="F1" s="641"/>
      <c r="G1" s="641"/>
      <c r="H1" s="641"/>
      <c r="I1" s="641"/>
      <c r="J1" s="641"/>
      <c r="K1" s="641"/>
      <c r="L1" s="641"/>
    </row>
    <row r="2" spans="1:12" ht="9.75" customHeight="1" thickTop="1"/>
    <row r="3" spans="1:12" ht="51">
      <c r="A3" s="46" t="s">
        <v>114</v>
      </c>
      <c r="B3" s="46" t="s">
        <v>7634</v>
      </c>
      <c r="C3" s="46" t="s">
        <v>742</v>
      </c>
      <c r="D3" s="255" t="s">
        <v>743</v>
      </c>
      <c r="E3" s="46" t="s">
        <v>745</v>
      </c>
      <c r="F3" s="46" t="s">
        <v>7635</v>
      </c>
      <c r="G3" s="46" t="s">
        <v>7636</v>
      </c>
      <c r="H3" s="46" t="s">
        <v>7637</v>
      </c>
      <c r="I3" s="46" t="s">
        <v>7513</v>
      </c>
      <c r="J3" s="46" t="s">
        <v>748</v>
      </c>
      <c r="K3" s="46" t="s">
        <v>749</v>
      </c>
      <c r="L3" s="46" t="s">
        <v>7638</v>
      </c>
    </row>
    <row r="4" spans="1:12">
      <c r="A4" s="81">
        <v>1</v>
      </c>
      <c r="B4" s="81" t="s">
        <v>5826</v>
      </c>
      <c r="C4" s="81" t="s">
        <v>5827</v>
      </c>
      <c r="D4" s="440">
        <v>931.88</v>
      </c>
      <c r="E4" s="81" t="s">
        <v>6114</v>
      </c>
      <c r="F4" s="81">
        <v>5896746</v>
      </c>
      <c r="G4" s="81" t="s">
        <v>5828</v>
      </c>
      <c r="H4" s="81">
        <v>8332959</v>
      </c>
      <c r="I4" s="82">
        <v>45086</v>
      </c>
      <c r="J4" s="82">
        <v>42403</v>
      </c>
      <c r="K4" s="82">
        <v>45691</v>
      </c>
      <c r="L4" s="81" t="s">
        <v>7641</v>
      </c>
    </row>
    <row r="5" spans="1:12" ht="38.25">
      <c r="A5" s="81">
        <v>2</v>
      </c>
      <c r="B5" s="81" t="s">
        <v>7188</v>
      </c>
      <c r="C5" s="81" t="s">
        <v>3703</v>
      </c>
      <c r="D5" s="440">
        <v>10060.9</v>
      </c>
      <c r="E5" s="81" t="s">
        <v>7165</v>
      </c>
      <c r="F5" s="81">
        <v>5129184</v>
      </c>
      <c r="G5" s="81" t="s">
        <v>7189</v>
      </c>
      <c r="H5" s="81">
        <v>5287472</v>
      </c>
      <c r="I5" s="82">
        <v>45092</v>
      </c>
      <c r="J5" s="82">
        <v>45065</v>
      </c>
      <c r="K5" s="82">
        <v>46161</v>
      </c>
      <c r="L5" s="81" t="s">
        <v>7641</v>
      </c>
    </row>
    <row r="6" spans="1:12" ht="25.5">
      <c r="A6" s="81">
        <v>3</v>
      </c>
      <c r="B6" s="81" t="s">
        <v>6784</v>
      </c>
      <c r="C6" s="81" t="s">
        <v>2296</v>
      </c>
      <c r="D6" s="440">
        <v>17301.39</v>
      </c>
      <c r="E6" s="81" t="s">
        <v>7651</v>
      </c>
      <c r="F6" s="81">
        <v>6524192</v>
      </c>
      <c r="G6" s="81" t="s">
        <v>5229</v>
      </c>
      <c r="H6" s="81">
        <v>8369933</v>
      </c>
      <c r="I6" s="82">
        <v>45092</v>
      </c>
      <c r="J6" s="82">
        <v>44431</v>
      </c>
      <c r="K6" s="82">
        <v>45527</v>
      </c>
      <c r="L6" s="81" t="s">
        <v>7641</v>
      </c>
    </row>
    <row r="7" spans="1:12">
      <c r="A7" s="81">
        <v>4</v>
      </c>
      <c r="B7" s="81" t="s">
        <v>7065</v>
      </c>
      <c r="C7" s="81" t="s">
        <v>7066</v>
      </c>
      <c r="D7" s="440">
        <v>2887.03</v>
      </c>
      <c r="E7" s="81" t="s">
        <v>6995</v>
      </c>
      <c r="F7" s="81">
        <v>5237408</v>
      </c>
      <c r="G7" s="81" t="s">
        <v>7067</v>
      </c>
      <c r="H7" s="81">
        <v>6896324</v>
      </c>
      <c r="I7" s="82">
        <v>45191</v>
      </c>
      <c r="J7" s="82">
        <v>44985</v>
      </c>
      <c r="K7" s="82">
        <v>46081</v>
      </c>
      <c r="L7" s="81" t="s">
        <v>7641</v>
      </c>
    </row>
    <row r="8" spans="1:12">
      <c r="A8" s="81">
        <v>5</v>
      </c>
      <c r="B8" s="81" t="s">
        <v>6564</v>
      </c>
      <c r="C8" s="81" t="s">
        <v>1340</v>
      </c>
      <c r="D8" s="440">
        <v>277.54000000000002</v>
      </c>
      <c r="E8" s="81" t="s">
        <v>7652</v>
      </c>
      <c r="F8" s="81">
        <v>5864259</v>
      </c>
      <c r="G8" s="81" t="s">
        <v>6565</v>
      </c>
      <c r="H8" s="81">
        <v>8359318</v>
      </c>
      <c r="I8" s="82">
        <v>45110</v>
      </c>
      <c r="J8" s="82">
        <v>44134</v>
      </c>
      <c r="K8" s="82">
        <v>46325</v>
      </c>
      <c r="L8" s="81" t="s">
        <v>7641</v>
      </c>
    </row>
    <row r="9" spans="1:12">
      <c r="A9" s="81">
        <v>6</v>
      </c>
      <c r="B9" s="81" t="s">
        <v>7653</v>
      </c>
      <c r="C9" s="81" t="s">
        <v>5218</v>
      </c>
      <c r="D9" s="440">
        <v>738.42</v>
      </c>
      <c r="E9" s="81" t="s">
        <v>6689</v>
      </c>
      <c r="F9" s="81">
        <v>5528437</v>
      </c>
      <c r="G9" s="81" t="s">
        <v>5219</v>
      </c>
      <c r="H9" s="81">
        <v>6792898</v>
      </c>
      <c r="I9" s="82">
        <v>45112</v>
      </c>
      <c r="J9" s="82">
        <v>44312</v>
      </c>
      <c r="K9" s="82">
        <v>45218</v>
      </c>
      <c r="L9" s="81" t="s">
        <v>7641</v>
      </c>
    </row>
    <row r="10" spans="1:12">
      <c r="A10" s="81">
        <v>7</v>
      </c>
      <c r="B10" s="81" t="s">
        <v>6376</v>
      </c>
      <c r="C10" s="81" t="s">
        <v>1228</v>
      </c>
      <c r="D10" s="440">
        <v>7625.06</v>
      </c>
      <c r="E10" s="81" t="s">
        <v>7654</v>
      </c>
      <c r="F10" s="81">
        <v>5459699</v>
      </c>
      <c r="G10" s="81" t="s">
        <v>6377</v>
      </c>
      <c r="H10" s="81">
        <v>8365946</v>
      </c>
      <c r="I10" s="82">
        <v>45111</v>
      </c>
      <c r="J10" s="82">
        <v>43474</v>
      </c>
      <c r="K10" s="82">
        <v>45666</v>
      </c>
      <c r="L10" s="81" t="s">
        <v>7641</v>
      </c>
    </row>
    <row r="11" spans="1:12">
      <c r="A11" s="81">
        <v>8</v>
      </c>
      <c r="B11" s="81" t="s">
        <v>6487</v>
      </c>
      <c r="C11" s="81" t="s">
        <v>1132</v>
      </c>
      <c r="D11" s="440">
        <v>143.86000000000001</v>
      </c>
      <c r="E11" s="81" t="s">
        <v>6235</v>
      </c>
      <c r="F11" s="81">
        <v>6010822</v>
      </c>
      <c r="G11" s="81" t="s">
        <v>6488</v>
      </c>
      <c r="H11" s="81">
        <v>5337402</v>
      </c>
      <c r="I11" s="82">
        <v>45057</v>
      </c>
      <c r="J11" s="82">
        <v>43720</v>
      </c>
      <c r="K11" s="82">
        <v>45373</v>
      </c>
      <c r="L11" s="81" t="s">
        <v>7641</v>
      </c>
    </row>
    <row r="12" spans="1:12" ht="25.5">
      <c r="A12" s="81">
        <v>9</v>
      </c>
      <c r="B12" s="81" t="s">
        <v>6923</v>
      </c>
      <c r="C12" s="81" t="s">
        <v>6924</v>
      </c>
      <c r="D12" s="440">
        <v>5799.77</v>
      </c>
      <c r="E12" s="81" t="s">
        <v>6722</v>
      </c>
      <c r="F12" s="81">
        <v>5118344</v>
      </c>
      <c r="G12" s="81" t="s">
        <v>6925</v>
      </c>
      <c r="H12" s="81">
        <v>6765335</v>
      </c>
      <c r="I12" s="82">
        <v>45057</v>
      </c>
      <c r="J12" s="82">
        <v>44652</v>
      </c>
      <c r="K12" s="82">
        <v>45748</v>
      </c>
      <c r="L12" s="81" t="s">
        <v>7641</v>
      </c>
    </row>
    <row r="13" spans="1:12">
      <c r="A13" s="81">
        <v>10</v>
      </c>
      <c r="B13" s="81" t="s">
        <v>5959</v>
      </c>
      <c r="C13" s="81" t="s">
        <v>1389</v>
      </c>
      <c r="D13" s="440">
        <v>2941.5</v>
      </c>
      <c r="E13" s="81" t="s">
        <v>5161</v>
      </c>
      <c r="F13" s="81">
        <v>6422403</v>
      </c>
      <c r="G13" s="81" t="s">
        <v>5960</v>
      </c>
      <c r="H13" s="81">
        <v>6996825</v>
      </c>
      <c r="I13" s="82">
        <v>45063</v>
      </c>
      <c r="J13" s="82">
        <v>42360</v>
      </c>
      <c r="K13" s="82">
        <v>45648</v>
      </c>
      <c r="L13" s="81" t="s">
        <v>7641</v>
      </c>
    </row>
    <row r="14" spans="1:12" ht="25.5">
      <c r="A14" s="81">
        <v>11</v>
      </c>
      <c r="B14" s="81" t="s">
        <v>6015</v>
      </c>
      <c r="C14" s="81" t="s">
        <v>6016</v>
      </c>
      <c r="D14" s="440">
        <v>8128.91</v>
      </c>
      <c r="E14" s="81" t="s">
        <v>5880</v>
      </c>
      <c r="F14" s="81">
        <v>5767865</v>
      </c>
      <c r="G14" s="81" t="s">
        <v>7655</v>
      </c>
      <c r="H14" s="81">
        <v>6238998</v>
      </c>
      <c r="I14" s="82">
        <v>45063</v>
      </c>
      <c r="J14" s="82">
        <v>42373</v>
      </c>
      <c r="K14" s="82">
        <v>45661</v>
      </c>
      <c r="L14" s="81" t="s">
        <v>7641</v>
      </c>
    </row>
    <row r="15" spans="1:12">
      <c r="A15" s="81">
        <v>12</v>
      </c>
      <c r="B15" s="81" t="s">
        <v>7097</v>
      </c>
      <c r="C15" s="81" t="s">
        <v>7098</v>
      </c>
      <c r="D15" s="440">
        <v>6694.34</v>
      </c>
      <c r="E15" s="81" t="s">
        <v>7112</v>
      </c>
      <c r="F15" s="81">
        <v>5577349</v>
      </c>
      <c r="G15" s="81" t="s">
        <v>7099</v>
      </c>
      <c r="H15" s="81">
        <v>5952409</v>
      </c>
      <c r="I15" s="82">
        <v>45057</v>
      </c>
      <c r="J15" s="82">
        <v>45021</v>
      </c>
      <c r="K15" s="82">
        <v>46117</v>
      </c>
      <c r="L15" s="81" t="s">
        <v>7641</v>
      </c>
    </row>
    <row r="16" spans="1:12" ht="25.5">
      <c r="A16" s="81">
        <v>13</v>
      </c>
      <c r="B16" s="81" t="s">
        <v>6908</v>
      </c>
      <c r="C16" s="81" t="s">
        <v>6909</v>
      </c>
      <c r="D16" s="440">
        <v>8060.02</v>
      </c>
      <c r="E16" s="81" t="s">
        <v>6911</v>
      </c>
      <c r="F16" s="81">
        <v>6750974</v>
      </c>
      <c r="G16" s="81" t="s">
        <v>6838</v>
      </c>
      <c r="H16" s="81">
        <v>8344647</v>
      </c>
      <c r="I16" s="82">
        <v>45075</v>
      </c>
      <c r="J16" s="82">
        <v>44635</v>
      </c>
      <c r="K16" s="82">
        <v>45731</v>
      </c>
      <c r="L16" s="81" t="s">
        <v>7641</v>
      </c>
    </row>
    <row r="17" spans="1:12" ht="25.5">
      <c r="A17" s="81">
        <v>14</v>
      </c>
      <c r="B17" s="81" t="s">
        <v>6836</v>
      </c>
      <c r="C17" s="81" t="s">
        <v>6837</v>
      </c>
      <c r="D17" s="440">
        <v>10960.72</v>
      </c>
      <c r="E17" s="81" t="s">
        <v>6911</v>
      </c>
      <c r="F17" s="81">
        <v>6750974</v>
      </c>
      <c r="G17" s="81" t="s">
        <v>6838</v>
      </c>
      <c r="H17" s="81">
        <v>8344647</v>
      </c>
      <c r="I17" s="82">
        <v>45075</v>
      </c>
      <c r="J17" s="82">
        <v>44606</v>
      </c>
      <c r="K17" s="82">
        <v>45702</v>
      </c>
      <c r="L17" s="81" t="s">
        <v>7641</v>
      </c>
    </row>
    <row r="18" spans="1:12" ht="25.5">
      <c r="A18" s="81">
        <v>15</v>
      </c>
      <c r="B18" s="81" t="s">
        <v>6847</v>
      </c>
      <c r="C18" s="81" t="s">
        <v>4100</v>
      </c>
      <c r="D18" s="440">
        <v>1874.45</v>
      </c>
      <c r="E18" s="81" t="s">
        <v>6911</v>
      </c>
      <c r="F18" s="81">
        <v>6750974</v>
      </c>
      <c r="G18" s="81" t="s">
        <v>6838</v>
      </c>
      <c r="H18" s="81">
        <v>8344647</v>
      </c>
      <c r="I18" s="82">
        <v>45075</v>
      </c>
      <c r="J18" s="82">
        <v>44609</v>
      </c>
      <c r="K18" s="82">
        <v>45705</v>
      </c>
      <c r="L18" s="81" t="s">
        <v>7641</v>
      </c>
    </row>
    <row r="19" spans="1:12" ht="25.5">
      <c r="A19" s="81">
        <v>16</v>
      </c>
      <c r="B19" s="81" t="s">
        <v>6848</v>
      </c>
      <c r="C19" s="81" t="s">
        <v>6849</v>
      </c>
      <c r="D19" s="440">
        <v>10929.44</v>
      </c>
      <c r="E19" s="81" t="s">
        <v>6911</v>
      </c>
      <c r="F19" s="81">
        <v>6750974</v>
      </c>
      <c r="G19" s="81" t="s">
        <v>6838</v>
      </c>
      <c r="H19" s="81">
        <v>8344647</v>
      </c>
      <c r="I19" s="82">
        <v>45075</v>
      </c>
      <c r="J19" s="82">
        <v>44609</v>
      </c>
      <c r="K19" s="82">
        <v>45705</v>
      </c>
      <c r="L19" s="81" t="s">
        <v>7641</v>
      </c>
    </row>
    <row r="20" spans="1:12" ht="25.5">
      <c r="A20" s="81">
        <v>17</v>
      </c>
      <c r="B20" s="81" t="s">
        <v>7124</v>
      </c>
      <c r="C20" s="81" t="s">
        <v>7125</v>
      </c>
      <c r="D20" s="440">
        <v>7249.93</v>
      </c>
      <c r="E20" s="81" t="s">
        <v>7095</v>
      </c>
      <c r="F20" s="81">
        <v>2047071</v>
      </c>
      <c r="G20" s="81" t="s">
        <v>3244</v>
      </c>
      <c r="H20" s="81">
        <v>6454763</v>
      </c>
      <c r="I20" s="82">
        <v>45071</v>
      </c>
      <c r="J20" s="82">
        <v>45028</v>
      </c>
      <c r="K20" s="82">
        <v>46124</v>
      </c>
      <c r="L20" s="81" t="s">
        <v>7641</v>
      </c>
    </row>
    <row r="21" spans="1:12" ht="38.25">
      <c r="A21" s="81">
        <v>18</v>
      </c>
      <c r="B21" s="81" t="s">
        <v>7201</v>
      </c>
      <c r="C21" s="81" t="s">
        <v>7202</v>
      </c>
      <c r="D21" s="440">
        <v>399.29</v>
      </c>
      <c r="E21" s="81" t="s">
        <v>7175</v>
      </c>
      <c r="F21" s="81">
        <v>5425115</v>
      </c>
      <c r="G21" s="81" t="s">
        <v>7189</v>
      </c>
      <c r="H21" s="81">
        <v>5287472</v>
      </c>
      <c r="I21" s="82">
        <v>45133</v>
      </c>
      <c r="J21" s="82">
        <v>45083</v>
      </c>
      <c r="K21" s="82">
        <v>46179</v>
      </c>
      <c r="L21" s="81" t="s">
        <v>7641</v>
      </c>
    </row>
    <row r="22" spans="1:12">
      <c r="A22" s="81">
        <v>19</v>
      </c>
      <c r="B22" s="81" t="s">
        <v>7263</v>
      </c>
      <c r="C22" s="81" t="s">
        <v>7264</v>
      </c>
      <c r="D22" s="440">
        <v>2260.67</v>
      </c>
      <c r="E22" s="81" t="s">
        <v>7175</v>
      </c>
      <c r="F22" s="81">
        <v>5425115</v>
      </c>
      <c r="G22" s="81" t="s">
        <v>7265</v>
      </c>
      <c r="H22" s="81">
        <v>6033199</v>
      </c>
      <c r="I22" s="82">
        <v>45133</v>
      </c>
      <c r="J22" s="82">
        <v>45083</v>
      </c>
      <c r="K22" s="82">
        <v>46179</v>
      </c>
      <c r="L22" s="81" t="s">
        <v>7641</v>
      </c>
    </row>
    <row r="23" spans="1:12">
      <c r="A23" s="81">
        <v>20</v>
      </c>
      <c r="B23" s="81" t="s">
        <v>5892</v>
      </c>
      <c r="C23" s="81" t="s">
        <v>5893</v>
      </c>
      <c r="D23" s="440">
        <v>2416.17</v>
      </c>
      <c r="E23" s="81" t="s">
        <v>7656</v>
      </c>
      <c r="F23" s="81">
        <v>5435625</v>
      </c>
      <c r="G23" s="81" t="s">
        <v>5894</v>
      </c>
      <c r="H23" s="81">
        <v>8345503</v>
      </c>
      <c r="I23" s="82">
        <v>45133</v>
      </c>
      <c r="J23" s="82">
        <v>42578</v>
      </c>
      <c r="K23" s="82">
        <v>45865</v>
      </c>
      <c r="L23" s="81" t="s">
        <v>7641</v>
      </c>
    </row>
    <row r="24" spans="1:12">
      <c r="A24" s="81">
        <v>21</v>
      </c>
      <c r="B24" s="81" t="s">
        <v>7002</v>
      </c>
      <c r="C24" s="81" t="s">
        <v>7003</v>
      </c>
      <c r="D24" s="440">
        <v>1226.8</v>
      </c>
      <c r="E24" s="81" t="s">
        <v>6522</v>
      </c>
      <c r="F24" s="81">
        <v>5418674</v>
      </c>
      <c r="G24" s="81" t="s">
        <v>7004</v>
      </c>
      <c r="H24" s="81">
        <v>6165575</v>
      </c>
      <c r="I24" s="82">
        <v>45133</v>
      </c>
      <c r="J24" s="82">
        <v>44964</v>
      </c>
      <c r="K24" s="82">
        <v>46060</v>
      </c>
      <c r="L24" s="81" t="s">
        <v>7641</v>
      </c>
    </row>
    <row r="25" spans="1:12">
      <c r="A25" s="81">
        <v>22</v>
      </c>
      <c r="B25" s="81" t="s">
        <v>7005</v>
      </c>
      <c r="C25" s="81" t="s">
        <v>7006</v>
      </c>
      <c r="D25" s="440">
        <v>96.76</v>
      </c>
      <c r="E25" s="81" t="s">
        <v>6995</v>
      </c>
      <c r="F25" s="81">
        <v>5237408</v>
      </c>
      <c r="G25" s="81" t="s">
        <v>7007</v>
      </c>
      <c r="H25" s="81">
        <v>5940621</v>
      </c>
      <c r="I25" s="82">
        <v>45133</v>
      </c>
      <c r="J25" s="82">
        <v>44964</v>
      </c>
      <c r="K25" s="82">
        <v>46060</v>
      </c>
      <c r="L25" s="81" t="s">
        <v>7641</v>
      </c>
    </row>
    <row r="26" spans="1:12">
      <c r="A26" s="81">
        <v>23</v>
      </c>
      <c r="B26" s="81" t="s">
        <v>7072</v>
      </c>
      <c r="C26" s="81" t="s">
        <v>7073</v>
      </c>
      <c r="D26" s="440">
        <v>987.87</v>
      </c>
      <c r="E26" s="81" t="s">
        <v>6696</v>
      </c>
      <c r="F26" s="81">
        <v>5323843</v>
      </c>
      <c r="G26" s="81" t="s">
        <v>7074</v>
      </c>
      <c r="H26" s="81">
        <v>6885624</v>
      </c>
      <c r="I26" s="82">
        <v>45133</v>
      </c>
      <c r="J26" s="82">
        <v>44973</v>
      </c>
      <c r="K26" s="82">
        <v>46069</v>
      </c>
      <c r="L26" s="81" t="s">
        <v>7641</v>
      </c>
    </row>
    <row r="27" spans="1:12">
      <c r="A27" s="81">
        <v>24</v>
      </c>
      <c r="B27" s="81" t="s">
        <v>6825</v>
      </c>
      <c r="C27" s="81" t="s">
        <v>2133</v>
      </c>
      <c r="D27" s="440">
        <v>4399.2299999999996</v>
      </c>
      <c r="E27" s="81" t="s">
        <v>7657</v>
      </c>
      <c r="F27" s="81">
        <v>6261485</v>
      </c>
      <c r="G27" s="81" t="s">
        <v>6826</v>
      </c>
      <c r="H27" s="81">
        <v>8376115</v>
      </c>
      <c r="I27" s="82">
        <v>45133</v>
      </c>
      <c r="J27" s="82">
        <v>42340</v>
      </c>
      <c r="K27" s="82">
        <v>46723</v>
      </c>
      <c r="L27" s="81" t="s">
        <v>7641</v>
      </c>
    </row>
    <row r="28" spans="1:12">
      <c r="A28" s="81">
        <v>25</v>
      </c>
      <c r="B28" s="81" t="s">
        <v>6434</v>
      </c>
      <c r="C28" s="81" t="s">
        <v>6435</v>
      </c>
      <c r="D28" s="440">
        <v>4378.07</v>
      </c>
      <c r="E28" s="81" t="s">
        <v>7102</v>
      </c>
      <c r="F28" s="81">
        <v>2837129</v>
      </c>
      <c r="G28" s="81" t="s">
        <v>6436</v>
      </c>
      <c r="H28" s="81">
        <v>8376131</v>
      </c>
      <c r="I28" s="82">
        <v>45133</v>
      </c>
      <c r="J28" s="82">
        <v>43549</v>
      </c>
      <c r="K28" s="82">
        <v>45741</v>
      </c>
      <c r="L28" s="81" t="s">
        <v>7641</v>
      </c>
    </row>
    <row r="29" spans="1:12">
      <c r="A29" s="81">
        <v>26</v>
      </c>
      <c r="B29" s="81" t="s">
        <v>6024</v>
      </c>
      <c r="C29" s="81" t="s">
        <v>6025</v>
      </c>
      <c r="D29" s="440">
        <v>1269.55</v>
      </c>
      <c r="E29" s="81" t="s">
        <v>7658</v>
      </c>
      <c r="F29" s="81">
        <v>5950465</v>
      </c>
      <c r="G29" s="81" t="s">
        <v>6026</v>
      </c>
      <c r="H29" s="81">
        <v>8376204</v>
      </c>
      <c r="I29" s="82">
        <v>45145</v>
      </c>
      <c r="J29" s="82">
        <v>42373</v>
      </c>
      <c r="K29" s="82">
        <v>45661</v>
      </c>
      <c r="L29" s="81" t="s">
        <v>7641</v>
      </c>
    </row>
    <row r="30" spans="1:12" ht="38.25">
      <c r="A30" s="81">
        <v>27</v>
      </c>
      <c r="B30" s="81" t="s">
        <v>7282</v>
      </c>
      <c r="C30" s="81" t="s">
        <v>1499</v>
      </c>
      <c r="D30" s="440">
        <v>10135.11</v>
      </c>
      <c r="E30" s="81" t="s">
        <v>7289</v>
      </c>
      <c r="F30" s="81">
        <v>8354049</v>
      </c>
      <c r="G30" s="81" t="s">
        <v>7189</v>
      </c>
      <c r="H30" s="81">
        <v>5287472</v>
      </c>
      <c r="I30" s="82">
        <v>45148</v>
      </c>
      <c r="J30" s="82">
        <v>45112</v>
      </c>
      <c r="K30" s="82">
        <v>46208</v>
      </c>
      <c r="L30" s="81" t="s">
        <v>7641</v>
      </c>
    </row>
    <row r="31" spans="1:12" ht="25.5">
      <c r="A31" s="81">
        <v>28</v>
      </c>
      <c r="B31" s="81" t="s">
        <v>6658</v>
      </c>
      <c r="C31" s="81" t="s">
        <v>5170</v>
      </c>
      <c r="D31" s="440">
        <v>5414.05</v>
      </c>
      <c r="E31" s="81" t="s">
        <v>5171</v>
      </c>
      <c r="F31" s="81">
        <v>6690912</v>
      </c>
      <c r="G31" s="81" t="s">
        <v>7391</v>
      </c>
      <c r="H31" s="81">
        <v>6331475</v>
      </c>
      <c r="I31" s="82">
        <v>45152</v>
      </c>
      <c r="J31" s="82">
        <v>44347</v>
      </c>
      <c r="K31" s="82">
        <v>46538</v>
      </c>
      <c r="L31" s="81" t="s">
        <v>7639</v>
      </c>
    </row>
    <row r="32" spans="1:12">
      <c r="A32" s="81">
        <v>29</v>
      </c>
      <c r="B32" s="81" t="s">
        <v>6840</v>
      </c>
      <c r="C32" s="81" t="s">
        <v>6841</v>
      </c>
      <c r="D32" s="440">
        <v>7986.58</v>
      </c>
      <c r="E32" s="81" t="s">
        <v>7644</v>
      </c>
      <c r="F32" s="81">
        <v>5199166</v>
      </c>
      <c r="G32" s="81" t="s">
        <v>5046</v>
      </c>
      <c r="H32" s="81">
        <v>6952305</v>
      </c>
      <c r="I32" s="82">
        <v>45141</v>
      </c>
      <c r="J32" s="82">
        <v>44616</v>
      </c>
      <c r="K32" s="82">
        <v>45712</v>
      </c>
      <c r="L32" s="81" t="s">
        <v>7641</v>
      </c>
    </row>
    <row r="33" spans="1:12">
      <c r="A33" s="81">
        <v>30</v>
      </c>
      <c r="B33" s="81" t="s">
        <v>5498</v>
      </c>
      <c r="C33" s="81" t="s">
        <v>5499</v>
      </c>
      <c r="D33" s="440">
        <v>4120.53</v>
      </c>
      <c r="E33" s="81" t="s">
        <v>7659</v>
      </c>
      <c r="F33" s="81">
        <v>5860032</v>
      </c>
      <c r="G33" s="81" t="s">
        <v>5292</v>
      </c>
      <c r="H33" s="81">
        <v>5224993</v>
      </c>
      <c r="I33" s="82">
        <v>45176</v>
      </c>
      <c r="J33" s="82">
        <v>42143</v>
      </c>
      <c r="K33" s="82">
        <v>46552</v>
      </c>
      <c r="L33" s="81" t="s">
        <v>7641</v>
      </c>
    </row>
    <row r="34" spans="1:12">
      <c r="A34" s="81">
        <v>31</v>
      </c>
      <c r="B34" s="81" t="s">
        <v>6877</v>
      </c>
      <c r="C34" s="81" t="s">
        <v>6878</v>
      </c>
      <c r="D34" s="440">
        <v>629.74</v>
      </c>
      <c r="E34" s="81" t="s">
        <v>7368</v>
      </c>
      <c r="F34" s="81">
        <v>2871556</v>
      </c>
      <c r="G34" s="81" t="s">
        <v>6429</v>
      </c>
      <c r="H34" s="81">
        <v>6776493</v>
      </c>
      <c r="I34" s="82">
        <v>45162</v>
      </c>
      <c r="J34" s="82">
        <v>44592</v>
      </c>
      <c r="K34" s="82">
        <v>45688</v>
      </c>
      <c r="L34" s="81" t="s">
        <v>7641</v>
      </c>
    </row>
    <row r="35" spans="1:12" ht="25.5">
      <c r="A35" s="81">
        <v>32</v>
      </c>
      <c r="B35" s="81" t="s">
        <v>5873</v>
      </c>
      <c r="C35" s="81" t="s">
        <v>5874</v>
      </c>
      <c r="D35" s="440">
        <v>744.14</v>
      </c>
      <c r="E35" s="81" t="s">
        <v>7660</v>
      </c>
      <c r="F35" s="81">
        <v>5922054</v>
      </c>
      <c r="G35" s="81" t="s">
        <v>5875</v>
      </c>
      <c r="H35" s="81">
        <v>8374007</v>
      </c>
      <c r="I35" s="82">
        <v>45176</v>
      </c>
      <c r="J35" s="82">
        <v>42360</v>
      </c>
      <c r="K35" s="82">
        <v>45648</v>
      </c>
      <c r="L35" s="81" t="s">
        <v>7641</v>
      </c>
    </row>
    <row r="36" spans="1:12" ht="25.5">
      <c r="A36" s="81">
        <v>33</v>
      </c>
      <c r="B36" s="81" t="s">
        <v>7244</v>
      </c>
      <c r="C36" s="81" t="s">
        <v>7245</v>
      </c>
      <c r="D36" s="440">
        <v>7213.67</v>
      </c>
      <c r="E36" s="81" t="s">
        <v>7175</v>
      </c>
      <c r="F36" s="81">
        <v>5425115</v>
      </c>
      <c r="G36" s="81" t="s">
        <v>7246</v>
      </c>
      <c r="H36" s="81">
        <v>6537669</v>
      </c>
      <c r="I36" s="82">
        <v>45180</v>
      </c>
      <c r="J36" s="82">
        <v>45098</v>
      </c>
      <c r="K36" s="82">
        <v>46194</v>
      </c>
      <c r="L36" s="81" t="s">
        <v>7641</v>
      </c>
    </row>
    <row r="37" spans="1:12" ht="25.5">
      <c r="A37" s="81">
        <v>34</v>
      </c>
      <c r="B37" s="81" t="s">
        <v>7179</v>
      </c>
      <c r="C37" s="81" t="s">
        <v>7180</v>
      </c>
      <c r="D37" s="440">
        <v>1031.68</v>
      </c>
      <c r="E37" s="81" t="s">
        <v>7661</v>
      </c>
      <c r="F37" s="81">
        <v>6158625</v>
      </c>
      <c r="G37" s="81" t="s">
        <v>7181</v>
      </c>
      <c r="H37" s="81">
        <v>8383863</v>
      </c>
      <c r="I37" s="82">
        <v>45181</v>
      </c>
      <c r="J37" s="82">
        <v>45065</v>
      </c>
      <c r="K37" s="82">
        <v>46161</v>
      </c>
      <c r="L37" s="81" t="s">
        <v>7641</v>
      </c>
    </row>
    <row r="38" spans="1:12" ht="38.25">
      <c r="A38" s="81">
        <v>35</v>
      </c>
      <c r="B38" s="81" t="s">
        <v>5633</v>
      </c>
      <c r="C38" s="81" t="s">
        <v>1753</v>
      </c>
      <c r="D38" s="440">
        <v>5762.49</v>
      </c>
      <c r="E38" s="81" t="s">
        <v>5880</v>
      </c>
      <c r="F38" s="81">
        <v>5767865</v>
      </c>
      <c r="G38" s="81" t="s">
        <v>5634</v>
      </c>
      <c r="H38" s="81">
        <v>8391556</v>
      </c>
      <c r="I38" s="82">
        <v>45176</v>
      </c>
      <c r="J38" s="82">
        <v>42310</v>
      </c>
      <c r="K38" s="82">
        <v>45598</v>
      </c>
      <c r="L38" s="81" t="s">
        <v>7641</v>
      </c>
    </row>
    <row r="39" spans="1:12">
      <c r="A39" s="81">
        <v>36</v>
      </c>
      <c r="B39" s="81" t="s">
        <v>6768</v>
      </c>
      <c r="C39" s="81" t="s">
        <v>6769</v>
      </c>
      <c r="D39" s="440">
        <v>3866.58</v>
      </c>
      <c r="E39" s="81" t="s">
        <v>6830</v>
      </c>
      <c r="F39" s="81">
        <v>6701531</v>
      </c>
      <c r="G39" s="81" t="s">
        <v>5387</v>
      </c>
      <c r="H39" s="81">
        <v>5945119</v>
      </c>
      <c r="I39" s="82">
        <v>45191</v>
      </c>
      <c r="J39" s="82">
        <v>44407</v>
      </c>
      <c r="K39" s="82">
        <v>46598</v>
      </c>
      <c r="L39" s="81" t="s">
        <v>7641</v>
      </c>
    </row>
    <row r="40" spans="1:12">
      <c r="A40" s="81">
        <v>37</v>
      </c>
      <c r="B40" s="81" t="s">
        <v>6700</v>
      </c>
      <c r="C40" s="81" t="s">
        <v>6701</v>
      </c>
      <c r="D40" s="440">
        <v>3425.01</v>
      </c>
      <c r="E40" s="81" t="s">
        <v>4581</v>
      </c>
      <c r="F40" s="81">
        <v>6006124</v>
      </c>
      <c r="G40" s="81" t="s">
        <v>6702</v>
      </c>
      <c r="H40" s="81">
        <v>8399794</v>
      </c>
      <c r="I40" s="82">
        <v>45191</v>
      </c>
      <c r="J40" s="82">
        <v>44377</v>
      </c>
      <c r="K40" s="82">
        <v>46568</v>
      </c>
      <c r="L40" s="81" t="s">
        <v>7641</v>
      </c>
    </row>
    <row r="41" spans="1:12" ht="25.5">
      <c r="A41" s="81">
        <v>38</v>
      </c>
      <c r="B41" s="81" t="s">
        <v>7107</v>
      </c>
      <c r="C41" s="81" t="s">
        <v>7108</v>
      </c>
      <c r="D41" s="440">
        <v>1408.1</v>
      </c>
      <c r="E41" s="81" t="s">
        <v>7062</v>
      </c>
      <c r="F41" s="81">
        <v>5199913</v>
      </c>
      <c r="G41" s="81" t="s">
        <v>7109</v>
      </c>
      <c r="H41" s="81">
        <v>6835325</v>
      </c>
      <c r="I41" s="82">
        <v>45191</v>
      </c>
      <c r="J41" s="82">
        <v>45027</v>
      </c>
      <c r="K41" s="82">
        <v>46123</v>
      </c>
      <c r="L41" s="81" t="s">
        <v>7641</v>
      </c>
    </row>
    <row r="42" spans="1:12">
      <c r="A42" s="81">
        <v>39</v>
      </c>
      <c r="B42" s="81" t="s">
        <v>7309</v>
      </c>
      <c r="C42" s="81" t="s">
        <v>2159</v>
      </c>
      <c r="D42" s="440">
        <v>1619.76</v>
      </c>
      <c r="E42" s="81" t="s">
        <v>7112</v>
      </c>
      <c r="F42" s="81">
        <v>5577349</v>
      </c>
      <c r="G42" s="81" t="s">
        <v>7023</v>
      </c>
      <c r="H42" s="81">
        <v>8358362</v>
      </c>
      <c r="I42" s="82">
        <v>45191</v>
      </c>
      <c r="J42" s="82">
        <v>44951</v>
      </c>
      <c r="K42" s="82">
        <v>46047</v>
      </c>
      <c r="L42" s="81" t="s">
        <v>7641</v>
      </c>
    </row>
    <row r="43" spans="1:12">
      <c r="A43" s="81">
        <v>40</v>
      </c>
      <c r="B43" s="81" t="s">
        <v>7310</v>
      </c>
      <c r="C43" s="81" t="s">
        <v>2159</v>
      </c>
      <c r="D43" s="440">
        <v>2299.88</v>
      </c>
      <c r="E43" s="81" t="s">
        <v>7112</v>
      </c>
      <c r="F43" s="81">
        <v>5577349</v>
      </c>
      <c r="G43" s="81" t="s">
        <v>7023</v>
      </c>
      <c r="H43" s="81">
        <v>8358362</v>
      </c>
      <c r="I43" s="82">
        <v>45191</v>
      </c>
      <c r="J43" s="82">
        <v>44951</v>
      </c>
      <c r="K43" s="82">
        <v>46047</v>
      </c>
      <c r="L43" s="81" t="s">
        <v>7641</v>
      </c>
    </row>
    <row r="44" spans="1:12">
      <c r="A44" s="81">
        <v>41</v>
      </c>
      <c r="B44" s="81" t="s">
        <v>7022</v>
      </c>
      <c r="C44" s="81" t="s">
        <v>2159</v>
      </c>
      <c r="D44" s="440">
        <v>18431.32</v>
      </c>
      <c r="E44" s="81" t="s">
        <v>7112</v>
      </c>
      <c r="F44" s="81">
        <v>5577349</v>
      </c>
      <c r="G44" s="81" t="s">
        <v>7023</v>
      </c>
      <c r="H44" s="81">
        <v>8358362</v>
      </c>
      <c r="I44" s="82">
        <v>45191</v>
      </c>
      <c r="J44" s="82">
        <v>44951</v>
      </c>
      <c r="K44" s="82">
        <v>46047</v>
      </c>
      <c r="L44" s="81" t="s">
        <v>7641</v>
      </c>
    </row>
    <row r="45" spans="1:12" ht="25.5">
      <c r="A45" s="81">
        <v>42</v>
      </c>
      <c r="B45" s="81" t="s">
        <v>6676</v>
      </c>
      <c r="C45" s="81" t="s">
        <v>3338</v>
      </c>
      <c r="D45" s="440">
        <v>4339.0600000000004</v>
      </c>
      <c r="E45" s="81" t="s">
        <v>7662</v>
      </c>
      <c r="F45" s="81">
        <v>6185215</v>
      </c>
      <c r="G45" s="81" t="s">
        <v>6655</v>
      </c>
      <c r="H45" s="81">
        <v>5393345</v>
      </c>
      <c r="I45" s="82">
        <v>45215</v>
      </c>
      <c r="J45" s="82">
        <v>44377</v>
      </c>
      <c r="K45" s="82">
        <v>46568</v>
      </c>
      <c r="L45" s="81" t="s">
        <v>7641</v>
      </c>
    </row>
    <row r="46" spans="1:12" ht="25.5">
      <c r="A46" s="81">
        <v>43</v>
      </c>
      <c r="B46" s="81" t="s">
        <v>5543</v>
      </c>
      <c r="C46" s="81" t="s">
        <v>5090</v>
      </c>
      <c r="D46" s="440">
        <v>179.27</v>
      </c>
      <c r="E46" s="81" t="s">
        <v>4160</v>
      </c>
      <c r="F46" s="81">
        <v>5103193</v>
      </c>
      <c r="G46" s="81" t="s">
        <v>5544</v>
      </c>
      <c r="H46" s="81">
        <v>6559085</v>
      </c>
      <c r="I46" s="82">
        <v>45226</v>
      </c>
      <c r="J46" s="82">
        <v>42152</v>
      </c>
      <c r="K46" s="82">
        <v>46535</v>
      </c>
      <c r="L46" s="81" t="s">
        <v>7641</v>
      </c>
    </row>
    <row r="47" spans="1:12">
      <c r="A47" s="81">
        <v>44</v>
      </c>
      <c r="B47" s="81" t="s">
        <v>6985</v>
      </c>
      <c r="C47" s="81" t="s">
        <v>6986</v>
      </c>
      <c r="D47" s="440">
        <v>2502.04</v>
      </c>
      <c r="E47" s="81" t="s">
        <v>7663</v>
      </c>
      <c r="F47" s="81">
        <v>5549205</v>
      </c>
      <c r="G47" s="81" t="s">
        <v>6987</v>
      </c>
      <c r="H47" s="81">
        <v>5158958</v>
      </c>
      <c r="I47" s="82">
        <v>45236</v>
      </c>
      <c r="J47" s="82">
        <v>44950</v>
      </c>
      <c r="K47" s="82">
        <v>46046</v>
      </c>
      <c r="L47" s="81" t="s">
        <v>7641</v>
      </c>
    </row>
    <row r="48" spans="1:12">
      <c r="A48" s="81">
        <v>45</v>
      </c>
      <c r="B48" s="81" t="s">
        <v>5592</v>
      </c>
      <c r="C48" s="81" t="s">
        <v>5499</v>
      </c>
      <c r="D48" s="440">
        <v>2841.69</v>
      </c>
      <c r="E48" s="81" t="s">
        <v>7664</v>
      </c>
      <c r="F48" s="81">
        <v>5327091</v>
      </c>
      <c r="G48" s="81" t="s">
        <v>5593</v>
      </c>
      <c r="H48" s="81">
        <v>6943446</v>
      </c>
      <c r="I48" s="82">
        <v>45236</v>
      </c>
      <c r="J48" s="82">
        <v>42122</v>
      </c>
      <c r="K48" s="82">
        <v>46505</v>
      </c>
      <c r="L48" s="81" t="s">
        <v>7641</v>
      </c>
    </row>
    <row r="49" spans="1:12">
      <c r="A49" s="81">
        <v>46</v>
      </c>
      <c r="B49" s="81" t="s">
        <v>7355</v>
      </c>
      <c r="C49" s="81" t="s">
        <v>7356</v>
      </c>
      <c r="D49" s="440">
        <v>1777.27</v>
      </c>
      <c r="E49" s="81" t="s">
        <v>3987</v>
      </c>
      <c r="F49" s="81">
        <v>5106656</v>
      </c>
      <c r="G49" s="81" t="s">
        <v>7357</v>
      </c>
      <c r="H49" s="81">
        <v>8400679</v>
      </c>
      <c r="I49" s="82">
        <v>45236</v>
      </c>
      <c r="J49" s="82">
        <v>45125</v>
      </c>
      <c r="K49" s="82">
        <v>46221</v>
      </c>
      <c r="L49" s="81" t="s">
        <v>7641</v>
      </c>
    </row>
    <row r="50" spans="1:12">
      <c r="A50" s="81">
        <v>47</v>
      </c>
      <c r="B50" s="81" t="s">
        <v>7087</v>
      </c>
      <c r="C50" s="81" t="s">
        <v>5779</v>
      </c>
      <c r="D50" s="440">
        <v>1727.17</v>
      </c>
      <c r="E50" s="81" t="s">
        <v>5517</v>
      </c>
      <c r="F50" s="81">
        <v>5929474</v>
      </c>
      <c r="G50" s="81" t="s">
        <v>7088</v>
      </c>
      <c r="H50" s="81">
        <v>8391661</v>
      </c>
      <c r="I50" s="82">
        <v>45237</v>
      </c>
      <c r="J50" s="82">
        <v>42313</v>
      </c>
      <c r="K50" s="82">
        <v>45601</v>
      </c>
      <c r="L50" s="81" t="s">
        <v>7641</v>
      </c>
    </row>
    <row r="51" spans="1:12" ht="25.5">
      <c r="A51" s="81">
        <v>48</v>
      </c>
      <c r="B51" s="81" t="s">
        <v>6582</v>
      </c>
      <c r="C51" s="81" t="s">
        <v>3597</v>
      </c>
      <c r="D51" s="440">
        <v>16634.29</v>
      </c>
      <c r="E51" s="81" t="s">
        <v>7647</v>
      </c>
      <c r="F51" s="81">
        <v>6436226</v>
      </c>
      <c r="G51" s="81" t="s">
        <v>4709</v>
      </c>
      <c r="H51" s="81">
        <v>6289754</v>
      </c>
      <c r="I51" s="82">
        <v>45233</v>
      </c>
      <c r="J51" s="82">
        <v>44070</v>
      </c>
      <c r="K51" s="82">
        <v>46261</v>
      </c>
      <c r="L51" s="81" t="s">
        <v>7641</v>
      </c>
    </row>
    <row r="52" spans="1:12" ht="25.5">
      <c r="A52" s="81">
        <v>49</v>
      </c>
      <c r="B52" s="81" t="s">
        <v>6580</v>
      </c>
      <c r="C52" s="81" t="s">
        <v>6581</v>
      </c>
      <c r="D52" s="440">
        <v>22641.51</v>
      </c>
      <c r="E52" s="81" t="s">
        <v>7647</v>
      </c>
      <c r="F52" s="81">
        <v>6436226</v>
      </c>
      <c r="G52" s="81" t="s">
        <v>4709</v>
      </c>
      <c r="H52" s="81">
        <v>6289754</v>
      </c>
      <c r="I52" s="82">
        <v>45233</v>
      </c>
      <c r="J52" s="82">
        <v>44070</v>
      </c>
      <c r="K52" s="82">
        <v>46261</v>
      </c>
      <c r="L52" s="81" t="s">
        <v>7641</v>
      </c>
    </row>
    <row r="53" spans="1:12" ht="25.5">
      <c r="A53" s="81">
        <v>50</v>
      </c>
      <c r="B53" s="81" t="s">
        <v>5975</v>
      </c>
      <c r="C53" s="81" t="s">
        <v>294</v>
      </c>
      <c r="D53" s="440">
        <v>407.59</v>
      </c>
      <c r="E53" s="81" t="s">
        <v>5496</v>
      </c>
      <c r="F53" s="81">
        <v>5857066</v>
      </c>
      <c r="G53" s="81" t="s">
        <v>5976</v>
      </c>
      <c r="H53" s="81">
        <v>6449344</v>
      </c>
      <c r="I53" s="82">
        <v>45238</v>
      </c>
      <c r="J53" s="82">
        <v>42352</v>
      </c>
      <c r="K53" s="82">
        <v>45373</v>
      </c>
      <c r="L53" s="81" t="s">
        <v>7641</v>
      </c>
    </row>
    <row r="54" spans="1:12">
      <c r="A54" s="81">
        <v>51</v>
      </c>
      <c r="B54" s="81" t="s">
        <v>6381</v>
      </c>
      <c r="C54" s="81" t="s">
        <v>6382</v>
      </c>
      <c r="D54" s="440">
        <v>63252.2</v>
      </c>
      <c r="E54" s="81" t="s">
        <v>6383</v>
      </c>
      <c r="F54" s="81">
        <v>6233309</v>
      </c>
      <c r="G54" s="81" t="s">
        <v>7505</v>
      </c>
      <c r="H54" s="81">
        <v>6473806</v>
      </c>
      <c r="I54" s="82">
        <v>45236</v>
      </c>
      <c r="J54" s="82">
        <v>43468</v>
      </c>
      <c r="K54" s="82">
        <v>45660</v>
      </c>
      <c r="L54" s="81" t="s">
        <v>7639</v>
      </c>
    </row>
    <row r="55" spans="1:12">
      <c r="A55" s="81">
        <v>52</v>
      </c>
      <c r="B55" s="81" t="s">
        <v>6834</v>
      </c>
      <c r="C55" s="81" t="s">
        <v>6835</v>
      </c>
      <c r="D55" s="440">
        <v>10692.34</v>
      </c>
      <c r="E55" s="81" t="s">
        <v>6766</v>
      </c>
      <c r="F55" s="81">
        <v>2715589</v>
      </c>
      <c r="G55" s="81" t="s">
        <v>6792</v>
      </c>
      <c r="H55" s="81">
        <v>8396124</v>
      </c>
      <c r="I55" s="82">
        <v>45264</v>
      </c>
      <c r="J55" s="82">
        <v>44606</v>
      </c>
      <c r="K55" s="82">
        <v>45702</v>
      </c>
      <c r="L55" s="81" t="s">
        <v>7641</v>
      </c>
    </row>
    <row r="56" spans="1:12">
      <c r="A56" s="81">
        <v>53</v>
      </c>
      <c r="B56" s="81" t="s">
        <v>6790</v>
      </c>
      <c r="C56" s="81" t="s">
        <v>6791</v>
      </c>
      <c r="D56" s="440">
        <v>6386.69</v>
      </c>
      <c r="E56" s="81" t="s">
        <v>6766</v>
      </c>
      <c r="F56" s="81">
        <v>2715589</v>
      </c>
      <c r="G56" s="81" t="s">
        <v>6792</v>
      </c>
      <c r="H56" s="81">
        <v>8396124</v>
      </c>
      <c r="I56" s="82">
        <v>45264</v>
      </c>
      <c r="J56" s="82">
        <v>44473</v>
      </c>
      <c r="K56" s="82">
        <v>45569</v>
      </c>
      <c r="L56" s="81" t="s">
        <v>7641</v>
      </c>
    </row>
    <row r="57" spans="1:12" ht="25.5">
      <c r="A57" s="81">
        <v>54</v>
      </c>
      <c r="B57" s="81" t="s">
        <v>5395</v>
      </c>
      <c r="C57" s="81" t="s">
        <v>5396</v>
      </c>
      <c r="D57" s="440">
        <v>19247.03</v>
      </c>
      <c r="E57" s="81" t="s">
        <v>7665</v>
      </c>
      <c r="F57" s="81">
        <v>5722438</v>
      </c>
      <c r="G57" s="81" t="s">
        <v>5397</v>
      </c>
      <c r="H57" s="81">
        <v>5624487</v>
      </c>
      <c r="I57" s="82">
        <v>45260</v>
      </c>
      <c r="J57" s="82">
        <v>42850</v>
      </c>
      <c r="K57" s="82">
        <v>46137</v>
      </c>
      <c r="L57" s="81" t="s">
        <v>7641</v>
      </c>
    </row>
    <row r="58" spans="1:12">
      <c r="A58" s="81">
        <v>55</v>
      </c>
      <c r="B58" s="81" t="s">
        <v>5621</v>
      </c>
      <c r="C58" s="81" t="s">
        <v>1194</v>
      </c>
      <c r="D58" s="440">
        <v>1947.48</v>
      </c>
      <c r="E58" s="81" t="s">
        <v>7666</v>
      </c>
      <c r="F58" s="81">
        <v>5938228</v>
      </c>
      <c r="G58" s="81" t="s">
        <v>5622</v>
      </c>
      <c r="H58" s="81">
        <v>8413851</v>
      </c>
      <c r="I58" s="82">
        <v>45260</v>
      </c>
      <c r="J58" s="82">
        <v>42234</v>
      </c>
      <c r="K58" s="82">
        <v>45522</v>
      </c>
      <c r="L58" s="81" t="s">
        <v>7641</v>
      </c>
    </row>
    <row r="59" spans="1:12">
      <c r="A59" s="81">
        <v>56</v>
      </c>
      <c r="B59" s="81" t="s">
        <v>5623</v>
      </c>
      <c r="C59" s="81" t="s">
        <v>1194</v>
      </c>
      <c r="D59" s="440">
        <v>282.06</v>
      </c>
      <c r="E59" s="81" t="s">
        <v>7666</v>
      </c>
      <c r="F59" s="81">
        <v>5938228</v>
      </c>
      <c r="G59" s="81" t="s">
        <v>5624</v>
      </c>
      <c r="H59" s="81">
        <v>8413894</v>
      </c>
      <c r="I59" s="82">
        <v>45260</v>
      </c>
      <c r="J59" s="82">
        <v>42242</v>
      </c>
      <c r="K59" s="82">
        <v>45530</v>
      </c>
      <c r="L59" s="81" t="s">
        <v>7641</v>
      </c>
    </row>
    <row r="60" spans="1:12">
      <c r="A60" s="81">
        <v>57</v>
      </c>
      <c r="B60" s="81" t="s">
        <v>6795</v>
      </c>
      <c r="C60" s="81" t="s">
        <v>2599</v>
      </c>
      <c r="D60" s="440">
        <v>2690.81</v>
      </c>
      <c r="E60" s="81" t="s">
        <v>6766</v>
      </c>
      <c r="F60" s="81">
        <v>2715589</v>
      </c>
      <c r="G60" s="81" t="s">
        <v>6792</v>
      </c>
      <c r="H60" s="81">
        <v>8396124</v>
      </c>
      <c r="I60" s="82">
        <v>45265</v>
      </c>
      <c r="J60" s="82">
        <v>44473</v>
      </c>
      <c r="K60" s="82">
        <v>45569</v>
      </c>
      <c r="L60" s="81" t="s">
        <v>7641</v>
      </c>
    </row>
    <row r="61" spans="1:12">
      <c r="A61" s="81">
        <v>58</v>
      </c>
      <c r="B61" s="81" t="s">
        <v>6570</v>
      </c>
      <c r="C61" s="81" t="s">
        <v>6571</v>
      </c>
      <c r="D61" s="440">
        <v>172.5</v>
      </c>
      <c r="E61" s="81" t="s">
        <v>4803</v>
      </c>
      <c r="F61" s="81">
        <v>5379334</v>
      </c>
      <c r="G61" s="81" t="s">
        <v>6572</v>
      </c>
      <c r="H61" s="81">
        <v>6943756</v>
      </c>
      <c r="I61" s="82">
        <v>45261</v>
      </c>
      <c r="J61" s="82">
        <v>44141</v>
      </c>
      <c r="K61" s="82">
        <v>46332</v>
      </c>
      <c r="L61" s="81" t="s">
        <v>7641</v>
      </c>
    </row>
    <row r="62" spans="1:12">
      <c r="A62" s="81">
        <v>59</v>
      </c>
      <c r="B62" s="81" t="s">
        <v>7323</v>
      </c>
      <c r="C62" s="81" t="s">
        <v>7324</v>
      </c>
      <c r="D62" s="440">
        <v>1865.43</v>
      </c>
      <c r="E62" s="81" t="s">
        <v>7667</v>
      </c>
      <c r="F62" s="81">
        <v>5224861</v>
      </c>
      <c r="G62" s="81" t="s">
        <v>7325</v>
      </c>
      <c r="H62" s="81">
        <v>8358176</v>
      </c>
      <c r="I62" s="82">
        <v>45272</v>
      </c>
      <c r="J62" s="82">
        <v>45091</v>
      </c>
      <c r="K62" s="82">
        <v>46187</v>
      </c>
      <c r="L62" s="81" t="s">
        <v>7641</v>
      </c>
    </row>
    <row r="63" spans="1:12">
      <c r="A63" s="81">
        <v>60</v>
      </c>
      <c r="B63" s="81" t="s">
        <v>5641</v>
      </c>
      <c r="C63" s="81" t="s">
        <v>5553</v>
      </c>
      <c r="D63" s="440">
        <v>2746.61</v>
      </c>
      <c r="E63" s="81" t="s">
        <v>7668</v>
      </c>
      <c r="F63" s="81">
        <v>6208673</v>
      </c>
      <c r="G63" s="81" t="s">
        <v>3907</v>
      </c>
      <c r="H63" s="81">
        <v>6995071</v>
      </c>
      <c r="I63" s="82">
        <v>45281</v>
      </c>
      <c r="J63" s="82">
        <v>41919</v>
      </c>
      <c r="K63" s="82">
        <v>46302</v>
      </c>
      <c r="L63" s="81" t="s">
        <v>7641</v>
      </c>
    </row>
    <row r="64" spans="1:12" ht="25.5">
      <c r="A64" s="81">
        <v>61</v>
      </c>
      <c r="B64" s="81" t="s">
        <v>6015</v>
      </c>
      <c r="C64" s="81" t="s">
        <v>6016</v>
      </c>
      <c r="D64" s="440">
        <v>8128.91</v>
      </c>
      <c r="E64" s="81" t="s">
        <v>7655</v>
      </c>
      <c r="F64" s="81">
        <v>6238998</v>
      </c>
      <c r="G64" s="81" t="s">
        <v>6017</v>
      </c>
      <c r="H64" s="81">
        <v>8451567</v>
      </c>
      <c r="I64" s="82">
        <v>45287</v>
      </c>
      <c r="J64" s="82">
        <v>42373</v>
      </c>
      <c r="K64" s="82">
        <v>45661</v>
      </c>
      <c r="L64" s="81" t="s">
        <v>7641</v>
      </c>
    </row>
    <row r="65" spans="1:12">
      <c r="A65" s="81">
        <v>62</v>
      </c>
      <c r="B65" s="81" t="s">
        <v>6090</v>
      </c>
      <c r="C65" s="81" t="s">
        <v>6091</v>
      </c>
      <c r="D65" s="440">
        <v>2490.2199999999998</v>
      </c>
      <c r="E65" s="81" t="s">
        <v>7669</v>
      </c>
      <c r="F65" s="81">
        <v>5453534</v>
      </c>
      <c r="G65" s="81" t="s">
        <v>6092</v>
      </c>
      <c r="H65" s="81">
        <v>8451109</v>
      </c>
      <c r="I65" s="82">
        <v>45288</v>
      </c>
      <c r="J65" s="82">
        <v>42374</v>
      </c>
      <c r="K65" s="82">
        <v>45662</v>
      </c>
      <c r="L65" s="81" t="s">
        <v>7641</v>
      </c>
    </row>
    <row r="66" spans="1:12">
      <c r="A66" s="81">
        <v>63</v>
      </c>
      <c r="B66" s="81" t="s">
        <v>6887</v>
      </c>
      <c r="C66" s="81" t="s">
        <v>6888</v>
      </c>
      <c r="D66" s="440">
        <v>7670.82</v>
      </c>
      <c r="E66" s="81" t="s">
        <v>6655</v>
      </c>
      <c r="F66" s="81">
        <v>5393345</v>
      </c>
      <c r="G66" s="81" t="s">
        <v>6886</v>
      </c>
      <c r="H66" s="81">
        <v>6721494</v>
      </c>
      <c r="I66" s="82">
        <v>44928</v>
      </c>
      <c r="J66" s="82">
        <v>44572</v>
      </c>
      <c r="K66" s="82">
        <v>45506</v>
      </c>
      <c r="L66" s="81" t="s">
        <v>7641</v>
      </c>
    </row>
    <row r="67" spans="1:12">
      <c r="A67" s="81">
        <v>64</v>
      </c>
      <c r="B67" s="81" t="s">
        <v>6884</v>
      </c>
      <c r="C67" s="81" t="s">
        <v>6885</v>
      </c>
      <c r="D67" s="440">
        <v>10161</v>
      </c>
      <c r="E67" s="81" t="s">
        <v>6655</v>
      </c>
      <c r="F67" s="81">
        <v>5393345</v>
      </c>
      <c r="G67" s="81" t="s">
        <v>6886</v>
      </c>
      <c r="H67" s="81">
        <v>6721494</v>
      </c>
      <c r="I67" s="82">
        <v>44928</v>
      </c>
      <c r="J67" s="82">
        <v>44572</v>
      </c>
      <c r="K67" s="82">
        <v>45506</v>
      </c>
      <c r="L67" s="81" t="s">
        <v>7641</v>
      </c>
    </row>
    <row r="68" spans="1:12" ht="25.5">
      <c r="A68" s="81">
        <v>65</v>
      </c>
      <c r="B68" s="81" t="s">
        <v>5986</v>
      </c>
      <c r="C68" s="81" t="s">
        <v>5987</v>
      </c>
      <c r="D68" s="440">
        <v>840.83</v>
      </c>
      <c r="E68" s="81" t="s">
        <v>7670</v>
      </c>
      <c r="F68" s="81">
        <v>5866316</v>
      </c>
      <c r="G68" s="81" t="s">
        <v>5988</v>
      </c>
      <c r="H68" s="81">
        <v>6677371</v>
      </c>
      <c r="I68" s="82">
        <v>44931</v>
      </c>
      <c r="J68" s="82">
        <v>43130</v>
      </c>
      <c r="K68" s="82">
        <v>45321</v>
      </c>
      <c r="L68" s="81" t="s">
        <v>7641</v>
      </c>
    </row>
    <row r="69" spans="1:12" ht="38.25">
      <c r="A69" s="81">
        <v>66</v>
      </c>
      <c r="B69" s="81" t="s">
        <v>5537</v>
      </c>
      <c r="C69" s="81" t="s">
        <v>5471</v>
      </c>
      <c r="D69" s="440">
        <v>3979.03</v>
      </c>
      <c r="E69" s="81" t="s">
        <v>7671</v>
      </c>
      <c r="F69" s="81">
        <v>5651581</v>
      </c>
      <c r="G69" s="81" t="s">
        <v>5538</v>
      </c>
      <c r="H69" s="81">
        <v>6821464</v>
      </c>
      <c r="I69" s="82">
        <v>44939</v>
      </c>
      <c r="J69" s="82">
        <v>42597</v>
      </c>
      <c r="K69" s="82">
        <v>45884</v>
      </c>
      <c r="L69" s="81" t="s">
        <v>7641</v>
      </c>
    </row>
    <row r="70" spans="1:12">
      <c r="A70" s="81">
        <v>67</v>
      </c>
      <c r="B70" s="81" t="s">
        <v>5930</v>
      </c>
      <c r="C70" s="81" t="s">
        <v>777</v>
      </c>
      <c r="D70" s="440">
        <v>1558.59</v>
      </c>
      <c r="E70" s="81" t="s">
        <v>1814</v>
      </c>
      <c r="F70" s="81">
        <v>5980976</v>
      </c>
      <c r="G70" s="81" t="s">
        <v>5931</v>
      </c>
      <c r="H70" s="81">
        <v>5609143</v>
      </c>
      <c r="I70" s="82">
        <v>44992</v>
      </c>
      <c r="J70" s="82">
        <v>42489</v>
      </c>
      <c r="K70" s="82">
        <v>45776</v>
      </c>
      <c r="L70" s="81" t="s">
        <v>7641</v>
      </c>
    </row>
    <row r="71" spans="1:12">
      <c r="A71" s="81">
        <v>68</v>
      </c>
      <c r="B71" s="81" t="s">
        <v>6128</v>
      </c>
      <c r="C71" s="81" t="s">
        <v>6129</v>
      </c>
      <c r="D71" s="440">
        <v>1802.1</v>
      </c>
      <c r="E71" s="81" t="s">
        <v>6106</v>
      </c>
      <c r="F71" s="81">
        <v>2867494</v>
      </c>
      <c r="G71" s="81" t="s">
        <v>6130</v>
      </c>
      <c r="H71" s="81">
        <v>6729193</v>
      </c>
      <c r="I71" s="82">
        <v>45002</v>
      </c>
      <c r="J71" s="82">
        <v>42422</v>
      </c>
      <c r="K71" s="82">
        <v>45710</v>
      </c>
      <c r="L71" s="81" t="s">
        <v>7641</v>
      </c>
    </row>
    <row r="72" spans="1:12">
      <c r="A72" s="81">
        <v>69</v>
      </c>
      <c r="B72" s="81" t="s">
        <v>5375</v>
      </c>
      <c r="C72" s="81" t="s">
        <v>5376</v>
      </c>
      <c r="D72" s="440">
        <v>6877.32</v>
      </c>
      <c r="E72" s="81" t="s">
        <v>7672</v>
      </c>
      <c r="F72" s="81">
        <v>2812401</v>
      </c>
      <c r="G72" s="81" t="s">
        <v>5377</v>
      </c>
      <c r="H72" s="81">
        <v>6492584</v>
      </c>
      <c r="I72" s="82">
        <v>45008</v>
      </c>
      <c r="J72" s="82">
        <v>42271</v>
      </c>
      <c r="K72" s="82">
        <v>45559</v>
      </c>
      <c r="L72" s="81" t="s">
        <v>7641</v>
      </c>
    </row>
    <row r="73" spans="1:12">
      <c r="A73" s="81">
        <v>70</v>
      </c>
      <c r="B73" s="81" t="s">
        <v>6676</v>
      </c>
      <c r="C73" s="81" t="s">
        <v>3338</v>
      </c>
      <c r="D73" s="440">
        <v>4339.0600000000004</v>
      </c>
      <c r="E73" s="81" t="s">
        <v>6655</v>
      </c>
      <c r="F73" s="81">
        <v>5393345</v>
      </c>
      <c r="G73" s="81" t="s">
        <v>7662</v>
      </c>
      <c r="H73" s="81">
        <v>6185215</v>
      </c>
      <c r="I73" s="82">
        <v>45013</v>
      </c>
      <c r="J73" s="82">
        <v>44377</v>
      </c>
      <c r="K73" s="82">
        <v>46568</v>
      </c>
      <c r="L73" s="81" t="s">
        <v>7641</v>
      </c>
    </row>
    <row r="74" spans="1:12">
      <c r="A74" s="81">
        <v>71</v>
      </c>
      <c r="B74" s="81" t="s">
        <v>6854</v>
      </c>
      <c r="C74" s="81" t="s">
        <v>5139</v>
      </c>
      <c r="D74" s="440">
        <v>5331.32</v>
      </c>
      <c r="E74" s="81" t="s">
        <v>7673</v>
      </c>
      <c r="F74" s="81">
        <v>5611814</v>
      </c>
      <c r="G74" s="81" t="s">
        <v>6855</v>
      </c>
      <c r="H74" s="81">
        <v>6790216</v>
      </c>
      <c r="I74" s="82">
        <v>45015</v>
      </c>
      <c r="J74" s="82">
        <v>44608</v>
      </c>
      <c r="K74" s="82">
        <v>45704</v>
      </c>
      <c r="L74" s="81" t="s">
        <v>7641</v>
      </c>
    </row>
    <row r="75" spans="1:12">
      <c r="A75" s="81">
        <v>72</v>
      </c>
      <c r="B75" s="81" t="s">
        <v>7043</v>
      </c>
      <c r="C75" s="81" t="s">
        <v>7044</v>
      </c>
      <c r="D75" s="440">
        <v>4094.29</v>
      </c>
      <c r="E75" s="81" t="s">
        <v>7674</v>
      </c>
      <c r="F75" s="81">
        <v>2678071</v>
      </c>
      <c r="G75" s="81" t="s">
        <v>7045</v>
      </c>
      <c r="H75" s="81">
        <v>6993311</v>
      </c>
      <c r="I75" s="82">
        <v>45021</v>
      </c>
      <c r="J75" s="82">
        <v>44970</v>
      </c>
      <c r="K75" s="82">
        <v>46066</v>
      </c>
      <c r="L75" s="81" t="s">
        <v>7641</v>
      </c>
    </row>
    <row r="76" spans="1:12">
      <c r="A76" s="81">
        <v>73</v>
      </c>
      <c r="B76" s="81" t="s">
        <v>7046</v>
      </c>
      <c r="C76" s="81" t="s">
        <v>856</v>
      </c>
      <c r="D76" s="440">
        <v>4450.05</v>
      </c>
      <c r="E76" s="81" t="s">
        <v>7674</v>
      </c>
      <c r="F76" s="81">
        <v>2678071</v>
      </c>
      <c r="G76" s="81" t="s">
        <v>7045</v>
      </c>
      <c r="H76" s="81">
        <v>6993311</v>
      </c>
      <c r="I76" s="82">
        <v>45021</v>
      </c>
      <c r="J76" s="82">
        <v>44970</v>
      </c>
      <c r="K76" s="82">
        <v>46066</v>
      </c>
      <c r="L76" s="81" t="s">
        <v>7641</v>
      </c>
    </row>
    <row r="77" spans="1:12">
      <c r="A77" s="81">
        <v>74</v>
      </c>
      <c r="B77" s="81" t="s">
        <v>6982</v>
      </c>
      <c r="C77" s="81" t="s">
        <v>6983</v>
      </c>
      <c r="D77" s="440">
        <v>402.19</v>
      </c>
      <c r="E77" s="81" t="s">
        <v>5159</v>
      </c>
      <c r="F77" s="81">
        <v>6470556</v>
      </c>
      <c r="G77" s="81" t="s">
        <v>6984</v>
      </c>
      <c r="H77" s="81">
        <v>6208576</v>
      </c>
      <c r="I77" s="82">
        <v>45048</v>
      </c>
      <c r="J77" s="82">
        <v>44942</v>
      </c>
      <c r="K77" s="82">
        <v>46038</v>
      </c>
      <c r="L77" s="81" t="s">
        <v>7641</v>
      </c>
    </row>
  </sheetData>
  <mergeCells count="1">
    <mergeCell ref="A1:L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B506E-5ECC-4614-9E9E-8B773A30C558}">
  <sheetPr>
    <tabColor rgb="FF006432"/>
  </sheetPr>
  <dimension ref="A1:J47"/>
  <sheetViews>
    <sheetView workbookViewId="0">
      <selection activeCell="H17" sqref="H17"/>
    </sheetView>
  </sheetViews>
  <sheetFormatPr defaultRowHeight="15"/>
  <cols>
    <col min="1" max="1" width="4" customWidth="1"/>
    <col min="2" max="2" width="15.140625" style="5" customWidth="1"/>
    <col min="3" max="3" width="16.140625" style="107" customWidth="1"/>
    <col min="4" max="4" width="16.42578125" style="107" customWidth="1"/>
    <col min="5" max="5" width="16.5703125" style="107" customWidth="1"/>
    <col min="6" max="6" width="17.42578125" style="107" customWidth="1"/>
    <col min="7" max="7" width="16.5703125" style="254" customWidth="1"/>
    <col min="8" max="8" width="14.7109375" customWidth="1"/>
    <col min="9" max="9" width="37.85546875" customWidth="1"/>
    <col min="10" max="10" width="17.85546875" customWidth="1"/>
    <col min="11" max="11" width="17.42578125" customWidth="1"/>
  </cols>
  <sheetData>
    <row r="1" spans="1:10" ht="16.5" thickBot="1">
      <c r="A1" s="641" t="s">
        <v>7675</v>
      </c>
      <c r="B1" s="641"/>
      <c r="C1" s="641"/>
      <c r="D1" s="641"/>
      <c r="E1" s="641"/>
      <c r="F1" s="641"/>
      <c r="G1" s="641"/>
      <c r="H1" s="641"/>
      <c r="I1" s="641"/>
      <c r="J1" s="641"/>
    </row>
    <row r="2" spans="1:10" ht="7.5" customHeight="1" thickTop="1"/>
    <row r="3" spans="1:10" ht="25.5">
      <c r="A3" s="441" t="s">
        <v>114</v>
      </c>
      <c r="B3" s="46" t="s">
        <v>7511</v>
      </c>
      <c r="C3" s="46" t="s">
        <v>745</v>
      </c>
      <c r="D3" s="46" t="s">
        <v>371</v>
      </c>
      <c r="E3" s="46" t="s">
        <v>750</v>
      </c>
      <c r="F3" s="46" t="s">
        <v>742</v>
      </c>
      <c r="G3" s="46" t="s">
        <v>743</v>
      </c>
      <c r="H3" s="46" t="s">
        <v>744</v>
      </c>
      <c r="I3" s="46" t="s">
        <v>7676</v>
      </c>
      <c r="J3" s="46" t="s">
        <v>748</v>
      </c>
    </row>
    <row r="4" spans="1:10">
      <c r="A4" s="10">
        <v>1</v>
      </c>
      <c r="B4" s="6" t="s">
        <v>7677</v>
      </c>
      <c r="C4" s="34" t="s">
        <v>7678</v>
      </c>
      <c r="D4" s="34" t="s">
        <v>1014</v>
      </c>
      <c r="E4" s="34" t="s">
        <v>1699</v>
      </c>
      <c r="F4" s="34" t="s">
        <v>7679</v>
      </c>
      <c r="G4" s="191">
        <v>393.13</v>
      </c>
      <c r="H4" s="6">
        <v>3250628</v>
      </c>
      <c r="I4" s="6" t="s">
        <v>7680</v>
      </c>
      <c r="J4" s="84">
        <v>44932</v>
      </c>
    </row>
    <row r="5" spans="1:10">
      <c r="A5" s="10">
        <f>A4+1</f>
        <v>2</v>
      </c>
      <c r="B5" s="6" t="s">
        <v>7681</v>
      </c>
      <c r="C5" s="34" t="s">
        <v>7682</v>
      </c>
      <c r="D5" s="34" t="s">
        <v>138</v>
      </c>
      <c r="E5" s="34" t="s">
        <v>2838</v>
      </c>
      <c r="F5" s="34" t="s">
        <v>7683</v>
      </c>
      <c r="G5" s="191">
        <v>94.26</v>
      </c>
      <c r="H5" s="6">
        <v>3675491</v>
      </c>
      <c r="I5" s="6" t="s">
        <v>7680</v>
      </c>
      <c r="J5" s="84">
        <v>44932</v>
      </c>
    </row>
    <row r="6" spans="1:10">
      <c r="A6" s="10">
        <f t="shared" ref="A6:A47" si="0">A5+1</f>
        <v>3</v>
      </c>
      <c r="B6" s="6" t="s">
        <v>7684</v>
      </c>
      <c r="C6" s="34" t="s">
        <v>7685</v>
      </c>
      <c r="D6" s="34" t="s">
        <v>138</v>
      </c>
      <c r="E6" s="34" t="s">
        <v>261</v>
      </c>
      <c r="F6" s="34" t="s">
        <v>7686</v>
      </c>
      <c r="G6" s="191">
        <v>35.28</v>
      </c>
      <c r="H6" s="6">
        <v>3677648</v>
      </c>
      <c r="I6" s="6" t="s">
        <v>7680</v>
      </c>
      <c r="J6" s="84">
        <v>44932</v>
      </c>
    </row>
    <row r="7" spans="1:10">
      <c r="A7" s="10">
        <f t="shared" si="0"/>
        <v>4</v>
      </c>
      <c r="B7" s="6" t="s">
        <v>7687</v>
      </c>
      <c r="C7" s="34" t="s">
        <v>7688</v>
      </c>
      <c r="D7" s="34" t="s">
        <v>1102</v>
      </c>
      <c r="E7" s="34" t="s">
        <v>2761</v>
      </c>
      <c r="F7" s="34" t="s">
        <v>7689</v>
      </c>
      <c r="G7" s="191">
        <v>39.43</v>
      </c>
      <c r="H7" s="6">
        <v>6451225</v>
      </c>
      <c r="I7" s="6" t="s">
        <v>7680</v>
      </c>
      <c r="J7" s="84">
        <v>44944</v>
      </c>
    </row>
    <row r="8" spans="1:10">
      <c r="A8" s="10">
        <f t="shared" si="0"/>
        <v>5</v>
      </c>
      <c r="B8" s="6" t="s">
        <v>7690</v>
      </c>
      <c r="C8" s="34" t="s">
        <v>7691</v>
      </c>
      <c r="D8" s="34" t="s">
        <v>1102</v>
      </c>
      <c r="E8" s="34" t="s">
        <v>2761</v>
      </c>
      <c r="F8" s="34" t="s">
        <v>7692</v>
      </c>
      <c r="G8" s="191">
        <v>25.06</v>
      </c>
      <c r="H8" s="6">
        <v>2836599</v>
      </c>
      <c r="I8" s="6" t="s">
        <v>7680</v>
      </c>
      <c r="J8" s="84">
        <v>44944</v>
      </c>
    </row>
    <row r="9" spans="1:10">
      <c r="A9" s="10">
        <f t="shared" si="0"/>
        <v>6</v>
      </c>
      <c r="B9" s="6" t="s">
        <v>7693</v>
      </c>
      <c r="C9" s="34" t="s">
        <v>7694</v>
      </c>
      <c r="D9" s="34" t="s">
        <v>288</v>
      </c>
      <c r="E9" s="34" t="s">
        <v>2056</v>
      </c>
      <c r="F9" s="34" t="s">
        <v>7695</v>
      </c>
      <c r="G9" s="191">
        <v>86.71</v>
      </c>
      <c r="H9" s="6">
        <v>2003864</v>
      </c>
      <c r="I9" s="6" t="s">
        <v>7680</v>
      </c>
      <c r="J9" s="84">
        <v>44957</v>
      </c>
    </row>
    <row r="10" spans="1:10">
      <c r="A10" s="10">
        <f t="shared" si="0"/>
        <v>7</v>
      </c>
      <c r="B10" s="6" t="s">
        <v>7696</v>
      </c>
      <c r="C10" s="34" t="s">
        <v>7697</v>
      </c>
      <c r="D10" s="34" t="s">
        <v>836</v>
      </c>
      <c r="E10" s="34" t="s">
        <v>329</v>
      </c>
      <c r="F10" s="34" t="s">
        <v>7698</v>
      </c>
      <c r="G10" s="191">
        <v>38.64</v>
      </c>
      <c r="H10" s="6">
        <v>6914357</v>
      </c>
      <c r="I10" s="6" t="s">
        <v>7680</v>
      </c>
      <c r="J10" s="84">
        <v>44958</v>
      </c>
    </row>
    <row r="11" spans="1:10">
      <c r="A11" s="10">
        <f t="shared" si="0"/>
        <v>8</v>
      </c>
      <c r="B11" s="6" t="s">
        <v>7699</v>
      </c>
      <c r="C11" s="34" t="s">
        <v>7697</v>
      </c>
      <c r="D11" s="34" t="s">
        <v>836</v>
      </c>
      <c r="E11" s="34" t="s">
        <v>329</v>
      </c>
      <c r="F11" s="34" t="s">
        <v>7700</v>
      </c>
      <c r="G11" s="191">
        <v>251.91</v>
      </c>
      <c r="H11" s="6">
        <v>6914357</v>
      </c>
      <c r="I11" s="6" t="s">
        <v>7680</v>
      </c>
      <c r="J11" s="84">
        <v>44960</v>
      </c>
    </row>
    <row r="12" spans="1:10">
      <c r="A12" s="10">
        <f t="shared" si="0"/>
        <v>9</v>
      </c>
      <c r="B12" s="6" t="s">
        <v>7701</v>
      </c>
      <c r="C12" s="34" t="s">
        <v>7702</v>
      </c>
      <c r="D12" s="34" t="s">
        <v>304</v>
      </c>
      <c r="E12" s="34" t="s">
        <v>2829</v>
      </c>
      <c r="F12" s="34" t="s">
        <v>4443</v>
      </c>
      <c r="G12" s="191">
        <v>30.01</v>
      </c>
      <c r="H12" s="6">
        <v>6572227</v>
      </c>
      <c r="I12" s="6" t="s">
        <v>7680</v>
      </c>
      <c r="J12" s="84">
        <v>44964</v>
      </c>
    </row>
    <row r="13" spans="1:10">
      <c r="A13" s="10">
        <f t="shared" si="0"/>
        <v>10</v>
      </c>
      <c r="B13" s="6" t="s">
        <v>7703</v>
      </c>
      <c r="C13" s="34" t="s">
        <v>7704</v>
      </c>
      <c r="D13" s="34" t="s">
        <v>233</v>
      </c>
      <c r="E13" s="34" t="s">
        <v>3847</v>
      </c>
      <c r="F13" s="34" t="s">
        <v>7705</v>
      </c>
      <c r="G13" s="191">
        <v>75.16</v>
      </c>
      <c r="H13" s="6">
        <v>5937272</v>
      </c>
      <c r="I13" s="6" t="s">
        <v>7680</v>
      </c>
      <c r="J13" s="84">
        <v>45016</v>
      </c>
    </row>
    <row r="14" spans="1:10">
      <c r="A14" s="10">
        <f t="shared" si="0"/>
        <v>11</v>
      </c>
      <c r="B14" s="6" t="s">
        <v>7706</v>
      </c>
      <c r="C14" s="34" t="s">
        <v>7707</v>
      </c>
      <c r="D14" s="34" t="s">
        <v>1102</v>
      </c>
      <c r="E14" s="34" t="s">
        <v>5669</v>
      </c>
      <c r="F14" s="34" t="s">
        <v>7708</v>
      </c>
      <c r="G14" s="191">
        <v>25.78</v>
      </c>
      <c r="H14" s="6">
        <v>4094379</v>
      </c>
      <c r="I14" s="6" t="s">
        <v>7709</v>
      </c>
      <c r="J14" s="84">
        <v>45017</v>
      </c>
    </row>
    <row r="15" spans="1:10">
      <c r="A15" s="10">
        <f t="shared" si="0"/>
        <v>12</v>
      </c>
      <c r="B15" s="6" t="s">
        <v>7710</v>
      </c>
      <c r="C15" s="34" t="s">
        <v>7711</v>
      </c>
      <c r="D15" s="34" t="s">
        <v>375</v>
      </c>
      <c r="E15" s="34" t="s">
        <v>1085</v>
      </c>
      <c r="F15" s="34" t="s">
        <v>7712</v>
      </c>
      <c r="G15" s="191">
        <v>251.9</v>
      </c>
      <c r="H15" s="6">
        <v>5921732</v>
      </c>
      <c r="I15" s="6" t="s">
        <v>7680</v>
      </c>
      <c r="J15" s="84">
        <v>45022</v>
      </c>
    </row>
    <row r="16" spans="1:10">
      <c r="A16" s="10">
        <f t="shared" si="0"/>
        <v>13</v>
      </c>
      <c r="B16" s="6" t="s">
        <v>7713</v>
      </c>
      <c r="C16" s="34" t="s">
        <v>7714</v>
      </c>
      <c r="D16" s="34" t="s">
        <v>1014</v>
      </c>
      <c r="E16" s="34" t="s">
        <v>5803</v>
      </c>
      <c r="F16" s="34" t="s">
        <v>7715</v>
      </c>
      <c r="G16" s="191">
        <v>274.52</v>
      </c>
      <c r="H16" s="6">
        <v>6863655</v>
      </c>
      <c r="I16" s="6" t="s">
        <v>7680</v>
      </c>
      <c r="J16" s="84">
        <v>45035</v>
      </c>
    </row>
    <row r="17" spans="1:10">
      <c r="A17" s="10">
        <f t="shared" si="0"/>
        <v>14</v>
      </c>
      <c r="B17" s="6" t="s">
        <v>7716</v>
      </c>
      <c r="C17" s="34" t="s">
        <v>7717</v>
      </c>
      <c r="D17" s="34" t="s">
        <v>304</v>
      </c>
      <c r="E17" s="34" t="s">
        <v>305</v>
      </c>
      <c r="F17" s="34" t="s">
        <v>6181</v>
      </c>
      <c r="G17" s="191">
        <v>27.47</v>
      </c>
      <c r="H17" s="6">
        <v>89651</v>
      </c>
      <c r="I17" s="6" t="s">
        <v>7680</v>
      </c>
      <c r="J17" s="84">
        <v>45037</v>
      </c>
    </row>
    <row r="18" spans="1:10">
      <c r="A18" s="10">
        <f t="shared" si="0"/>
        <v>15</v>
      </c>
      <c r="B18" s="6" t="s">
        <v>7718</v>
      </c>
      <c r="C18" s="34" t="s">
        <v>7719</v>
      </c>
      <c r="D18" s="34" t="s">
        <v>274</v>
      </c>
      <c r="E18" s="34" t="s">
        <v>1934</v>
      </c>
      <c r="F18" s="34" t="s">
        <v>5406</v>
      </c>
      <c r="G18" s="191">
        <v>95.96</v>
      </c>
      <c r="H18" s="6">
        <v>5168805</v>
      </c>
      <c r="I18" s="6" t="s">
        <v>7680</v>
      </c>
      <c r="J18" s="84">
        <v>45041</v>
      </c>
    </row>
    <row r="19" spans="1:10">
      <c r="A19" s="10">
        <f t="shared" si="0"/>
        <v>16</v>
      </c>
      <c r="B19" s="6" t="s">
        <v>7720</v>
      </c>
      <c r="C19" s="34" t="s">
        <v>7721</v>
      </c>
      <c r="D19" s="34" t="s">
        <v>274</v>
      </c>
      <c r="E19" s="34" t="s">
        <v>1023</v>
      </c>
      <c r="F19" s="34" t="s">
        <v>1023</v>
      </c>
      <c r="G19" s="191">
        <v>61.96</v>
      </c>
      <c r="H19" s="6">
        <v>6557872</v>
      </c>
      <c r="I19" s="6" t="s">
        <v>7680</v>
      </c>
      <c r="J19" s="84">
        <v>45041</v>
      </c>
    </row>
    <row r="20" spans="1:10">
      <c r="A20" s="10">
        <f t="shared" si="0"/>
        <v>17</v>
      </c>
      <c r="B20" s="6" t="s">
        <v>7722</v>
      </c>
      <c r="C20" s="34" t="s">
        <v>7723</v>
      </c>
      <c r="D20" s="34" t="s">
        <v>233</v>
      </c>
      <c r="E20" s="34" t="s">
        <v>234</v>
      </c>
      <c r="F20" s="34" t="s">
        <v>1165</v>
      </c>
      <c r="G20" s="191">
        <v>58.27</v>
      </c>
      <c r="H20" s="6">
        <v>3631486</v>
      </c>
      <c r="I20" s="6" t="s">
        <v>7680</v>
      </c>
      <c r="J20" s="84">
        <v>45043</v>
      </c>
    </row>
    <row r="21" spans="1:10">
      <c r="A21" s="10">
        <f t="shared" si="0"/>
        <v>18</v>
      </c>
      <c r="B21" s="6" t="s">
        <v>7724</v>
      </c>
      <c r="C21" s="34" t="s">
        <v>7725</v>
      </c>
      <c r="D21" s="34" t="s">
        <v>233</v>
      </c>
      <c r="E21" s="34" t="s">
        <v>234</v>
      </c>
      <c r="F21" s="34" t="s">
        <v>7726</v>
      </c>
      <c r="G21" s="191">
        <v>101.98</v>
      </c>
      <c r="H21" s="6">
        <v>5941113</v>
      </c>
      <c r="I21" s="6" t="s">
        <v>7680</v>
      </c>
      <c r="J21" s="84">
        <v>45043</v>
      </c>
    </row>
    <row r="22" spans="1:10">
      <c r="A22" s="10">
        <f t="shared" si="0"/>
        <v>19</v>
      </c>
      <c r="B22" s="6" t="s">
        <v>7727</v>
      </c>
      <c r="C22" s="34" t="s">
        <v>7728</v>
      </c>
      <c r="D22" s="34" t="s">
        <v>274</v>
      </c>
      <c r="E22" s="34" t="s">
        <v>5454</v>
      </c>
      <c r="F22" s="34" t="s">
        <v>7729</v>
      </c>
      <c r="G22" s="191">
        <v>91.27</v>
      </c>
      <c r="H22" s="6">
        <v>6385656</v>
      </c>
      <c r="I22" s="6" t="s">
        <v>7680</v>
      </c>
      <c r="J22" s="84">
        <v>45049</v>
      </c>
    </row>
    <row r="23" spans="1:10">
      <c r="A23" s="10">
        <f t="shared" si="0"/>
        <v>20</v>
      </c>
      <c r="B23" s="6" t="s">
        <v>7730</v>
      </c>
      <c r="C23" s="34" t="s">
        <v>7731</v>
      </c>
      <c r="D23" s="34" t="s">
        <v>304</v>
      </c>
      <c r="E23" s="34" t="s">
        <v>305</v>
      </c>
      <c r="F23" s="34" t="s">
        <v>3955</v>
      </c>
      <c r="G23" s="191">
        <v>125.6</v>
      </c>
      <c r="H23" s="6">
        <v>8400253</v>
      </c>
      <c r="I23" s="6" t="s">
        <v>7680</v>
      </c>
      <c r="J23" s="84">
        <v>45055</v>
      </c>
    </row>
    <row r="24" spans="1:10">
      <c r="A24" s="10">
        <f t="shared" si="0"/>
        <v>21</v>
      </c>
      <c r="B24" s="6" t="s">
        <v>7732</v>
      </c>
      <c r="C24" s="34" t="s">
        <v>6782</v>
      </c>
      <c r="D24" s="34" t="s">
        <v>304</v>
      </c>
      <c r="E24" s="34" t="s">
        <v>305</v>
      </c>
      <c r="F24" s="34" t="s">
        <v>7733</v>
      </c>
      <c r="G24" s="191">
        <v>46.18</v>
      </c>
      <c r="H24" s="6">
        <v>2024101</v>
      </c>
      <c r="I24" s="6" t="s">
        <v>7734</v>
      </c>
      <c r="J24" s="84">
        <v>45055</v>
      </c>
    </row>
    <row r="25" spans="1:10">
      <c r="A25" s="10">
        <f t="shared" si="0"/>
        <v>22</v>
      </c>
      <c r="B25" s="6" t="s">
        <v>7735</v>
      </c>
      <c r="C25" s="34" t="s">
        <v>7736</v>
      </c>
      <c r="D25" s="34" t="s">
        <v>304</v>
      </c>
      <c r="E25" s="34" t="s">
        <v>141</v>
      </c>
      <c r="F25" s="34" t="s">
        <v>7737</v>
      </c>
      <c r="G25" s="191">
        <v>63.16</v>
      </c>
      <c r="H25" s="6">
        <v>6626165</v>
      </c>
      <c r="I25" s="6" t="s">
        <v>7680</v>
      </c>
      <c r="J25" s="84">
        <v>45055</v>
      </c>
    </row>
    <row r="26" spans="1:10">
      <c r="A26" s="10">
        <f t="shared" si="0"/>
        <v>23</v>
      </c>
      <c r="B26" s="6" t="s">
        <v>7738</v>
      </c>
      <c r="C26" s="34" t="s">
        <v>7739</v>
      </c>
      <c r="D26" s="34" t="s">
        <v>274</v>
      </c>
      <c r="E26" s="34" t="s">
        <v>790</v>
      </c>
      <c r="F26" s="34" t="s">
        <v>4426</v>
      </c>
      <c r="G26" s="191">
        <v>146.29</v>
      </c>
      <c r="H26" s="6">
        <v>6202543</v>
      </c>
      <c r="I26" s="6" t="s">
        <v>7680</v>
      </c>
      <c r="J26" s="84">
        <v>45056</v>
      </c>
    </row>
    <row r="27" spans="1:10">
      <c r="A27" s="10">
        <f t="shared" si="0"/>
        <v>24</v>
      </c>
      <c r="B27" s="6" t="s">
        <v>7740</v>
      </c>
      <c r="C27" s="34" t="s">
        <v>7741</v>
      </c>
      <c r="D27" s="34" t="s">
        <v>274</v>
      </c>
      <c r="E27" s="34" t="s">
        <v>7742</v>
      </c>
      <c r="F27" s="34" t="s">
        <v>7743</v>
      </c>
      <c r="G27" s="191">
        <v>370.11</v>
      </c>
      <c r="H27" s="6">
        <v>6412424</v>
      </c>
      <c r="I27" s="6" t="s">
        <v>7734</v>
      </c>
      <c r="J27" s="84">
        <v>45064</v>
      </c>
    </row>
    <row r="28" spans="1:10">
      <c r="A28" s="10">
        <f t="shared" si="0"/>
        <v>25</v>
      </c>
      <c r="B28" s="6" t="s">
        <v>7744</v>
      </c>
      <c r="C28" s="34" t="s">
        <v>7745</v>
      </c>
      <c r="D28" s="34" t="s">
        <v>288</v>
      </c>
      <c r="E28" s="34" t="s">
        <v>902</v>
      </c>
      <c r="F28" s="34" t="s">
        <v>3295</v>
      </c>
      <c r="G28" s="191">
        <v>185.55</v>
      </c>
      <c r="H28" s="6">
        <v>3072487</v>
      </c>
      <c r="I28" s="6" t="s">
        <v>7680</v>
      </c>
      <c r="J28" s="84">
        <v>45075</v>
      </c>
    </row>
    <row r="29" spans="1:10">
      <c r="A29" s="10">
        <f t="shared" si="0"/>
        <v>26</v>
      </c>
      <c r="B29" s="6" t="s">
        <v>7746</v>
      </c>
      <c r="C29" s="34" t="s">
        <v>7747</v>
      </c>
      <c r="D29" s="34" t="s">
        <v>304</v>
      </c>
      <c r="E29" s="34" t="s">
        <v>777</v>
      </c>
      <c r="F29" s="34" t="s">
        <v>7748</v>
      </c>
      <c r="G29" s="191">
        <v>32.11</v>
      </c>
      <c r="H29" s="6">
        <v>3749509</v>
      </c>
      <c r="I29" s="6" t="s">
        <v>7680</v>
      </c>
      <c r="J29" s="84">
        <v>45089</v>
      </c>
    </row>
    <row r="30" spans="1:10">
      <c r="A30" s="10">
        <f t="shared" si="0"/>
        <v>27</v>
      </c>
      <c r="B30" s="6" t="s">
        <v>7749</v>
      </c>
      <c r="C30" s="34" t="s">
        <v>7750</v>
      </c>
      <c r="D30" s="34" t="s">
        <v>180</v>
      </c>
      <c r="E30" s="34" t="s">
        <v>927</v>
      </c>
      <c r="F30" s="34" t="s">
        <v>3193</v>
      </c>
      <c r="G30" s="191">
        <v>375.12</v>
      </c>
      <c r="H30" s="6">
        <v>5936845</v>
      </c>
      <c r="I30" s="6" t="s">
        <v>7680</v>
      </c>
      <c r="J30" s="84">
        <v>45093</v>
      </c>
    </row>
    <row r="31" spans="1:10">
      <c r="A31" s="10">
        <f t="shared" si="0"/>
        <v>28</v>
      </c>
      <c r="B31" s="6" t="s">
        <v>7751</v>
      </c>
      <c r="C31" s="34" t="s">
        <v>7752</v>
      </c>
      <c r="D31" s="34" t="s">
        <v>329</v>
      </c>
      <c r="E31" s="34" t="s">
        <v>884</v>
      </c>
      <c r="F31" s="34" t="s">
        <v>7753</v>
      </c>
      <c r="G31" s="191">
        <v>34.1</v>
      </c>
      <c r="H31" s="6">
        <v>4373022</v>
      </c>
      <c r="I31" s="6" t="s">
        <v>7680</v>
      </c>
      <c r="J31" s="84">
        <v>45111</v>
      </c>
    </row>
    <row r="32" spans="1:10">
      <c r="A32" s="10">
        <f t="shared" si="0"/>
        <v>29</v>
      </c>
      <c r="B32" s="6" t="s">
        <v>7754</v>
      </c>
      <c r="C32" s="34" t="s">
        <v>7755</v>
      </c>
      <c r="D32" s="34" t="s">
        <v>163</v>
      </c>
      <c r="E32" s="34" t="s">
        <v>2891</v>
      </c>
      <c r="F32" s="34" t="s">
        <v>7756</v>
      </c>
      <c r="G32" s="191">
        <v>32.43</v>
      </c>
      <c r="H32" s="6">
        <v>3550583</v>
      </c>
      <c r="I32" s="6" t="s">
        <v>7680</v>
      </c>
      <c r="J32" s="84">
        <v>45124</v>
      </c>
    </row>
    <row r="33" spans="1:10">
      <c r="A33" s="10">
        <f t="shared" si="0"/>
        <v>30</v>
      </c>
      <c r="B33" s="6" t="s">
        <v>7757</v>
      </c>
      <c r="C33" s="34" t="s">
        <v>7758</v>
      </c>
      <c r="D33" s="34" t="s">
        <v>170</v>
      </c>
      <c r="E33" s="34" t="s">
        <v>171</v>
      </c>
      <c r="F33" s="34" t="s">
        <v>7759</v>
      </c>
      <c r="G33" s="191">
        <v>395.29</v>
      </c>
      <c r="H33" s="6">
        <v>5944694</v>
      </c>
      <c r="I33" s="6" t="s">
        <v>7760</v>
      </c>
      <c r="J33" s="84">
        <v>45131</v>
      </c>
    </row>
    <row r="34" spans="1:10">
      <c r="A34" s="10">
        <f t="shared" si="0"/>
        <v>31</v>
      </c>
      <c r="B34" s="6" t="s">
        <v>7761</v>
      </c>
      <c r="C34" s="34" t="s">
        <v>7762</v>
      </c>
      <c r="D34" s="34" t="s">
        <v>233</v>
      </c>
      <c r="E34" s="34" t="s">
        <v>234</v>
      </c>
      <c r="F34" s="34" t="s">
        <v>7763</v>
      </c>
      <c r="G34" s="191">
        <v>324.44</v>
      </c>
      <c r="H34" s="6">
        <v>5519365</v>
      </c>
      <c r="I34" s="6" t="s">
        <v>7680</v>
      </c>
      <c r="J34" s="84">
        <v>45148</v>
      </c>
    </row>
    <row r="35" spans="1:10">
      <c r="A35" s="10">
        <f t="shared" si="0"/>
        <v>32</v>
      </c>
      <c r="B35" s="6" t="s">
        <v>7764</v>
      </c>
      <c r="C35" s="34" t="s">
        <v>7765</v>
      </c>
      <c r="D35" s="34" t="s">
        <v>304</v>
      </c>
      <c r="E35" s="34" t="s">
        <v>7766</v>
      </c>
      <c r="F35" s="34" t="s">
        <v>7767</v>
      </c>
      <c r="G35" s="191">
        <v>36.840000000000003</v>
      </c>
      <c r="H35" s="6">
        <v>5994152</v>
      </c>
      <c r="I35" s="6" t="s">
        <v>7680</v>
      </c>
      <c r="J35" s="84">
        <v>45159</v>
      </c>
    </row>
    <row r="36" spans="1:10">
      <c r="A36" s="10">
        <f t="shared" si="0"/>
        <v>33</v>
      </c>
      <c r="B36" s="6" t="s">
        <v>7768</v>
      </c>
      <c r="C36" s="34" t="s">
        <v>7765</v>
      </c>
      <c r="D36" s="34" t="s">
        <v>304</v>
      </c>
      <c r="E36" s="34" t="s">
        <v>7766</v>
      </c>
      <c r="F36" s="34" t="s">
        <v>2327</v>
      </c>
      <c r="G36" s="191">
        <v>187.65</v>
      </c>
      <c r="H36" s="6">
        <v>5994152</v>
      </c>
      <c r="I36" s="6" t="s">
        <v>7680</v>
      </c>
      <c r="J36" s="84">
        <v>45159</v>
      </c>
    </row>
    <row r="37" spans="1:10">
      <c r="A37" s="10">
        <f t="shared" si="0"/>
        <v>34</v>
      </c>
      <c r="B37" s="6" t="s">
        <v>7769</v>
      </c>
      <c r="C37" s="34" t="s">
        <v>7770</v>
      </c>
      <c r="D37" s="34" t="s">
        <v>304</v>
      </c>
      <c r="E37" s="34" t="s">
        <v>305</v>
      </c>
      <c r="F37" s="34" t="s">
        <v>7771</v>
      </c>
      <c r="G37" s="191">
        <v>76.7</v>
      </c>
      <c r="H37" s="6">
        <v>6859178</v>
      </c>
      <c r="I37" s="6" t="s">
        <v>7680</v>
      </c>
      <c r="J37" s="84">
        <v>45173</v>
      </c>
    </row>
    <row r="38" spans="1:10">
      <c r="A38" s="10">
        <f t="shared" si="0"/>
        <v>35</v>
      </c>
      <c r="B38" s="6" t="s">
        <v>7772</v>
      </c>
      <c r="C38" s="34" t="s">
        <v>7773</v>
      </c>
      <c r="D38" s="34" t="s">
        <v>1102</v>
      </c>
      <c r="E38" s="34" t="s">
        <v>1550</v>
      </c>
      <c r="F38" s="34" t="s">
        <v>1730</v>
      </c>
      <c r="G38" s="191">
        <v>27.15</v>
      </c>
      <c r="H38" s="6">
        <v>2033607</v>
      </c>
      <c r="I38" s="6" t="s">
        <v>7680</v>
      </c>
      <c r="J38" s="84">
        <v>45212</v>
      </c>
    </row>
    <row r="39" spans="1:10">
      <c r="A39" s="10">
        <f t="shared" si="0"/>
        <v>36</v>
      </c>
      <c r="B39" s="6" t="s">
        <v>7774</v>
      </c>
      <c r="C39" s="34" t="s">
        <v>7775</v>
      </c>
      <c r="D39" s="34" t="s">
        <v>274</v>
      </c>
      <c r="E39" s="34" t="s">
        <v>1267</v>
      </c>
      <c r="F39" s="34" t="s">
        <v>7776</v>
      </c>
      <c r="G39" s="191">
        <v>40.619999999999997</v>
      </c>
      <c r="H39" s="6">
        <v>5632307</v>
      </c>
      <c r="I39" s="6" t="s">
        <v>7680</v>
      </c>
      <c r="J39" s="84">
        <v>45230</v>
      </c>
    </row>
    <row r="40" spans="1:10">
      <c r="A40" s="10">
        <f t="shared" si="0"/>
        <v>37</v>
      </c>
      <c r="B40" s="6" t="s">
        <v>7777</v>
      </c>
      <c r="C40" s="34" t="s">
        <v>3423</v>
      </c>
      <c r="D40" s="34" t="s">
        <v>180</v>
      </c>
      <c r="E40" s="34" t="s">
        <v>927</v>
      </c>
      <c r="F40" s="34" t="s">
        <v>3193</v>
      </c>
      <c r="G40" s="191">
        <v>124.93</v>
      </c>
      <c r="H40" s="6">
        <v>5276764</v>
      </c>
      <c r="I40" s="6" t="s">
        <v>7680</v>
      </c>
      <c r="J40" s="84">
        <v>45230</v>
      </c>
    </row>
    <row r="41" spans="1:10">
      <c r="A41" s="10">
        <f t="shared" si="0"/>
        <v>38</v>
      </c>
      <c r="B41" s="6" t="s">
        <v>7778</v>
      </c>
      <c r="C41" s="34" t="s">
        <v>7779</v>
      </c>
      <c r="D41" s="34" t="s">
        <v>170</v>
      </c>
      <c r="E41" s="34" t="s">
        <v>811</v>
      </c>
      <c r="F41" s="34" t="s">
        <v>7780</v>
      </c>
      <c r="G41" s="191">
        <v>346.04</v>
      </c>
      <c r="H41" s="6">
        <v>6573517</v>
      </c>
      <c r="I41" s="6" t="s">
        <v>7680</v>
      </c>
      <c r="J41" s="84">
        <v>45231</v>
      </c>
    </row>
    <row r="42" spans="1:10">
      <c r="A42" s="10">
        <f t="shared" si="0"/>
        <v>39</v>
      </c>
      <c r="B42" s="6" t="s">
        <v>7781</v>
      </c>
      <c r="C42" s="34" t="s">
        <v>4447</v>
      </c>
      <c r="D42" s="34" t="s">
        <v>1102</v>
      </c>
      <c r="E42" s="34" t="s">
        <v>2761</v>
      </c>
      <c r="F42" s="34" t="s">
        <v>4263</v>
      </c>
      <c r="G42" s="191">
        <v>240.01</v>
      </c>
      <c r="H42" s="6">
        <v>4065115</v>
      </c>
      <c r="I42" s="6" t="s">
        <v>7680</v>
      </c>
      <c r="J42" s="84">
        <v>45243</v>
      </c>
    </row>
    <row r="43" spans="1:10">
      <c r="A43" s="10">
        <f t="shared" si="0"/>
        <v>40</v>
      </c>
      <c r="B43" s="6" t="s">
        <v>7782</v>
      </c>
      <c r="C43" s="34" t="s">
        <v>7783</v>
      </c>
      <c r="D43" s="34" t="s">
        <v>170</v>
      </c>
      <c r="E43" s="34" t="s">
        <v>171</v>
      </c>
      <c r="F43" s="34" t="s">
        <v>7784</v>
      </c>
      <c r="G43" s="191">
        <v>304.42</v>
      </c>
      <c r="H43" s="6">
        <v>3305864</v>
      </c>
      <c r="I43" s="6" t="s">
        <v>7680</v>
      </c>
      <c r="J43" s="84">
        <v>45259</v>
      </c>
    </row>
    <row r="44" spans="1:10">
      <c r="A44" s="10">
        <f t="shared" si="0"/>
        <v>41</v>
      </c>
      <c r="B44" s="6" t="s">
        <v>7785</v>
      </c>
      <c r="C44" s="34" t="s">
        <v>7786</v>
      </c>
      <c r="D44" s="34" t="s">
        <v>1102</v>
      </c>
      <c r="E44" s="34" t="s">
        <v>5669</v>
      </c>
      <c r="F44" s="34" t="s">
        <v>7787</v>
      </c>
      <c r="G44" s="191">
        <v>42.52</v>
      </c>
      <c r="H44" s="6">
        <v>4068955</v>
      </c>
      <c r="I44" s="6" t="s">
        <v>7680</v>
      </c>
      <c r="J44" s="84">
        <v>45271</v>
      </c>
    </row>
    <row r="45" spans="1:10">
      <c r="A45" s="10">
        <f t="shared" si="0"/>
        <v>42</v>
      </c>
      <c r="B45" s="6" t="s">
        <v>7788</v>
      </c>
      <c r="C45" s="34" t="s">
        <v>7789</v>
      </c>
      <c r="D45" s="34" t="s">
        <v>205</v>
      </c>
      <c r="E45" s="34" t="s">
        <v>1315</v>
      </c>
      <c r="F45" s="34" t="s">
        <v>7790</v>
      </c>
      <c r="G45" s="191">
        <v>51.29</v>
      </c>
      <c r="H45" s="6">
        <v>6156932</v>
      </c>
      <c r="I45" s="6" t="s">
        <v>7680</v>
      </c>
      <c r="J45" s="84">
        <v>45280</v>
      </c>
    </row>
    <row r="46" spans="1:10">
      <c r="A46" s="10">
        <f t="shared" si="0"/>
        <v>43</v>
      </c>
      <c r="B46" s="6" t="s">
        <v>7791</v>
      </c>
      <c r="C46" s="34" t="s">
        <v>7792</v>
      </c>
      <c r="D46" s="34" t="s">
        <v>205</v>
      </c>
      <c r="E46" s="34" t="s">
        <v>1066</v>
      </c>
      <c r="F46" s="34" t="s">
        <v>7793</v>
      </c>
      <c r="G46" s="191">
        <v>26.57</v>
      </c>
      <c r="H46" s="6">
        <v>4125266</v>
      </c>
      <c r="I46" s="6" t="s">
        <v>7734</v>
      </c>
      <c r="J46" s="84">
        <v>45280</v>
      </c>
    </row>
    <row r="47" spans="1:10">
      <c r="A47" s="10">
        <f t="shared" si="0"/>
        <v>44</v>
      </c>
      <c r="B47" s="6" t="s">
        <v>7794</v>
      </c>
      <c r="C47" s="34" t="s">
        <v>7786</v>
      </c>
      <c r="D47" s="34" t="s">
        <v>1102</v>
      </c>
      <c r="E47" s="34" t="s">
        <v>1102</v>
      </c>
      <c r="F47" s="34" t="s">
        <v>7795</v>
      </c>
      <c r="G47" s="191">
        <v>25.51</v>
      </c>
      <c r="H47" s="6">
        <v>4068955</v>
      </c>
      <c r="I47" s="6" t="s">
        <v>7680</v>
      </c>
      <c r="J47" s="84">
        <v>45287</v>
      </c>
    </row>
  </sheetData>
  <mergeCells count="1">
    <mergeCell ref="A1:J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063D1-011C-429D-A591-DC1683687CEC}">
  <sheetPr>
    <tabColor rgb="FF006432"/>
  </sheetPr>
  <dimension ref="A1:D408"/>
  <sheetViews>
    <sheetView workbookViewId="0">
      <pane xSplit="3" ySplit="2" topLeftCell="D364" activePane="bottomRight" state="frozen"/>
      <selection pane="bottomRight" activeCell="B2" sqref="B2"/>
      <selection pane="bottomLeft" activeCell="A3" sqref="A3"/>
      <selection pane="topRight" activeCell="D1" sqref="D1"/>
    </sheetView>
  </sheetViews>
  <sheetFormatPr defaultRowHeight="15"/>
  <cols>
    <col min="1" max="1" width="4.85546875" customWidth="1"/>
    <col min="2" max="2" width="24.28515625" customWidth="1"/>
    <col min="3" max="3" width="40.42578125" customWidth="1"/>
    <col min="4" max="4" width="41" customWidth="1"/>
  </cols>
  <sheetData>
    <row r="1" spans="1:4" ht="16.5" thickBot="1">
      <c r="A1" s="26" t="s">
        <v>7796</v>
      </c>
      <c r="B1" s="26"/>
      <c r="C1" s="26"/>
    </row>
    <row r="2" spans="1:4" ht="26.25" thickTop="1">
      <c r="A2" s="46" t="s">
        <v>114</v>
      </c>
      <c r="B2" s="46" t="s">
        <v>7797</v>
      </c>
      <c r="C2" s="46" t="s">
        <v>7798</v>
      </c>
      <c r="D2" s="46" t="s">
        <v>7799</v>
      </c>
    </row>
    <row r="3" spans="1:4">
      <c r="A3" s="77">
        <v>1</v>
      </c>
      <c r="B3" s="10" t="s">
        <v>7800</v>
      </c>
      <c r="C3" s="78" t="s">
        <v>7801</v>
      </c>
      <c r="D3" s="78" t="s">
        <v>7802</v>
      </c>
    </row>
    <row r="4" spans="1:4">
      <c r="A4" s="77">
        <v>2</v>
      </c>
      <c r="B4" s="10" t="s">
        <v>7800</v>
      </c>
      <c r="C4" s="78" t="s">
        <v>6809</v>
      </c>
      <c r="D4" s="78" t="s">
        <v>7802</v>
      </c>
    </row>
    <row r="5" spans="1:4">
      <c r="A5" s="77">
        <v>3</v>
      </c>
      <c r="B5" s="10" t="s">
        <v>7803</v>
      </c>
      <c r="C5" s="78" t="s">
        <v>7332</v>
      </c>
      <c r="D5" s="78" t="s">
        <v>7802</v>
      </c>
    </row>
    <row r="6" spans="1:4">
      <c r="A6" s="77">
        <v>4</v>
      </c>
      <c r="B6" s="10" t="s">
        <v>7803</v>
      </c>
      <c r="C6" s="78" t="s">
        <v>7804</v>
      </c>
      <c r="D6" s="78" t="s">
        <v>7802</v>
      </c>
    </row>
    <row r="7" spans="1:4">
      <c r="A7" s="77">
        <v>5</v>
      </c>
      <c r="B7" s="10" t="s">
        <v>7803</v>
      </c>
      <c r="C7" s="78" t="s">
        <v>7447</v>
      </c>
      <c r="D7" s="78" t="s">
        <v>7802</v>
      </c>
    </row>
    <row r="8" spans="1:4">
      <c r="A8" s="77">
        <v>6</v>
      </c>
      <c r="B8" s="10" t="s">
        <v>7803</v>
      </c>
      <c r="C8" s="78" t="s">
        <v>6722</v>
      </c>
      <c r="D8" s="78" t="s">
        <v>7802</v>
      </c>
    </row>
    <row r="9" spans="1:4">
      <c r="A9" s="77">
        <v>7</v>
      </c>
      <c r="B9" s="10" t="s">
        <v>7803</v>
      </c>
      <c r="C9" s="78" t="s">
        <v>7463</v>
      </c>
      <c r="D9" s="78" t="s">
        <v>7802</v>
      </c>
    </row>
    <row r="10" spans="1:4">
      <c r="A10" s="77">
        <v>8</v>
      </c>
      <c r="B10" s="10" t="s">
        <v>7805</v>
      </c>
      <c r="C10" s="78" t="s">
        <v>7374</v>
      </c>
      <c r="D10" s="78" t="s">
        <v>7802</v>
      </c>
    </row>
    <row r="11" spans="1:4">
      <c r="A11" s="77">
        <v>9</v>
      </c>
      <c r="B11" s="10" t="s">
        <v>7805</v>
      </c>
      <c r="C11" s="78" t="s">
        <v>7368</v>
      </c>
      <c r="D11" s="78" t="s">
        <v>7802</v>
      </c>
    </row>
    <row r="12" spans="1:4">
      <c r="A12" s="77">
        <v>10</v>
      </c>
      <c r="B12" s="10" t="s">
        <v>7805</v>
      </c>
      <c r="C12" s="78" t="s">
        <v>7455</v>
      </c>
      <c r="D12" s="78" t="s">
        <v>7802</v>
      </c>
    </row>
    <row r="13" spans="1:4">
      <c r="A13" s="77">
        <v>11</v>
      </c>
      <c r="B13" s="10" t="s">
        <v>7805</v>
      </c>
      <c r="C13" s="78" t="s">
        <v>7806</v>
      </c>
      <c r="D13" s="78" t="s">
        <v>7802</v>
      </c>
    </row>
    <row r="14" spans="1:4">
      <c r="A14" s="77">
        <v>12</v>
      </c>
      <c r="B14" s="10" t="s">
        <v>7805</v>
      </c>
      <c r="C14" s="78" t="s">
        <v>7463</v>
      </c>
      <c r="D14" s="78" t="s">
        <v>7802</v>
      </c>
    </row>
    <row r="15" spans="1:4">
      <c r="A15" s="77">
        <v>13</v>
      </c>
      <c r="B15" s="10" t="s">
        <v>7807</v>
      </c>
      <c r="C15" s="78" t="s">
        <v>7062</v>
      </c>
      <c r="D15" s="78" t="s">
        <v>7802</v>
      </c>
    </row>
    <row r="16" spans="1:4">
      <c r="A16" s="77">
        <v>14</v>
      </c>
      <c r="B16" s="10" t="s">
        <v>7807</v>
      </c>
      <c r="C16" s="78" t="s">
        <v>7332</v>
      </c>
      <c r="D16" s="78" t="s">
        <v>7802</v>
      </c>
    </row>
    <row r="17" spans="1:4">
      <c r="A17" s="77">
        <v>15</v>
      </c>
      <c r="B17" s="10" t="s">
        <v>7808</v>
      </c>
      <c r="C17" s="78" t="s">
        <v>7809</v>
      </c>
      <c r="D17" s="78" t="s">
        <v>7802</v>
      </c>
    </row>
    <row r="18" spans="1:4">
      <c r="A18" s="77">
        <v>16</v>
      </c>
      <c r="B18" s="10" t="s">
        <v>7808</v>
      </c>
      <c r="C18" s="78" t="s">
        <v>7810</v>
      </c>
      <c r="D18" s="78" t="s">
        <v>7802</v>
      </c>
    </row>
    <row r="19" spans="1:4">
      <c r="A19" s="77">
        <v>17</v>
      </c>
      <c r="B19" s="10" t="s">
        <v>7808</v>
      </c>
      <c r="C19" s="78" t="s">
        <v>5825</v>
      </c>
      <c r="D19" s="78" t="s">
        <v>7802</v>
      </c>
    </row>
    <row r="20" spans="1:4">
      <c r="A20" s="77">
        <v>18</v>
      </c>
      <c r="B20" s="10" t="s">
        <v>7811</v>
      </c>
      <c r="C20" s="78" t="s">
        <v>7812</v>
      </c>
      <c r="D20" s="78" t="s">
        <v>7802</v>
      </c>
    </row>
    <row r="21" spans="1:4">
      <c r="A21" s="77">
        <v>19</v>
      </c>
      <c r="B21" s="10" t="s">
        <v>7811</v>
      </c>
      <c r="C21" s="78" t="s">
        <v>7813</v>
      </c>
      <c r="D21" s="78" t="s">
        <v>7802</v>
      </c>
    </row>
    <row r="22" spans="1:4">
      <c r="A22" s="77">
        <v>20</v>
      </c>
      <c r="B22" s="10" t="s">
        <v>7811</v>
      </c>
      <c r="C22" s="78" t="s">
        <v>7814</v>
      </c>
      <c r="D22" s="78" t="s">
        <v>7802</v>
      </c>
    </row>
    <row r="23" spans="1:4">
      <c r="A23" s="77">
        <v>21</v>
      </c>
      <c r="B23" s="10" t="s">
        <v>7811</v>
      </c>
      <c r="C23" s="78" t="s">
        <v>7447</v>
      </c>
      <c r="D23" s="78" t="s">
        <v>7802</v>
      </c>
    </row>
    <row r="24" spans="1:4">
      <c r="A24" s="77">
        <v>22</v>
      </c>
      <c r="B24" s="10" t="s">
        <v>7815</v>
      </c>
      <c r="C24" s="78" t="s">
        <v>5565</v>
      </c>
      <c r="D24" s="78" t="s">
        <v>7802</v>
      </c>
    </row>
    <row r="25" spans="1:4">
      <c r="A25" s="77">
        <v>23</v>
      </c>
      <c r="B25" s="10" t="s">
        <v>7815</v>
      </c>
      <c r="C25" s="78" t="s">
        <v>6905</v>
      </c>
      <c r="D25" s="78" t="s">
        <v>7802</v>
      </c>
    </row>
    <row r="26" spans="1:4">
      <c r="A26" s="77">
        <v>24</v>
      </c>
      <c r="B26" s="10" t="s">
        <v>7816</v>
      </c>
      <c r="C26" s="78" t="s">
        <v>2293</v>
      </c>
      <c r="D26" s="78" t="s">
        <v>7802</v>
      </c>
    </row>
    <row r="27" spans="1:4">
      <c r="A27" s="77">
        <v>25</v>
      </c>
      <c r="B27" s="10" t="s">
        <v>7816</v>
      </c>
      <c r="C27" s="78" t="s">
        <v>835</v>
      </c>
      <c r="D27" s="78" t="s">
        <v>7802</v>
      </c>
    </row>
    <row r="28" spans="1:4">
      <c r="A28" s="77">
        <v>26</v>
      </c>
      <c r="B28" s="10" t="s">
        <v>7816</v>
      </c>
      <c r="C28" s="78" t="s">
        <v>7804</v>
      </c>
      <c r="D28" s="78" t="s">
        <v>7802</v>
      </c>
    </row>
    <row r="29" spans="1:4">
      <c r="A29" s="77">
        <v>27</v>
      </c>
      <c r="B29" s="10" t="s">
        <v>7816</v>
      </c>
      <c r="C29" s="78" t="s">
        <v>7455</v>
      </c>
      <c r="D29" s="78" t="s">
        <v>7802</v>
      </c>
    </row>
    <row r="30" spans="1:4">
      <c r="A30" s="77">
        <v>28</v>
      </c>
      <c r="B30" s="10" t="s">
        <v>7817</v>
      </c>
      <c r="C30" s="78" t="s">
        <v>7287</v>
      </c>
      <c r="D30" s="78" t="s">
        <v>7802</v>
      </c>
    </row>
    <row r="31" spans="1:4">
      <c r="A31" s="77">
        <v>29</v>
      </c>
      <c r="B31" s="10" t="s">
        <v>7817</v>
      </c>
      <c r="C31" s="78" t="s">
        <v>7455</v>
      </c>
      <c r="D31" s="78" t="s">
        <v>7802</v>
      </c>
    </row>
    <row r="32" spans="1:4">
      <c r="A32" s="77">
        <v>30</v>
      </c>
      <c r="B32" s="10" t="s">
        <v>7818</v>
      </c>
      <c r="C32" s="78" t="s">
        <v>7379</v>
      </c>
      <c r="D32" s="78" t="s">
        <v>7802</v>
      </c>
    </row>
    <row r="33" spans="1:4">
      <c r="A33" s="77">
        <v>31</v>
      </c>
      <c r="B33" s="10" t="s">
        <v>7818</v>
      </c>
      <c r="C33" s="78" t="s">
        <v>3281</v>
      </c>
      <c r="D33" s="78" t="s">
        <v>7802</v>
      </c>
    </row>
    <row r="34" spans="1:4">
      <c r="A34" s="77">
        <v>32</v>
      </c>
      <c r="B34" s="10" t="s">
        <v>7819</v>
      </c>
      <c r="C34" s="78" t="s">
        <v>3281</v>
      </c>
      <c r="D34" s="78" t="s">
        <v>7802</v>
      </c>
    </row>
    <row r="35" spans="1:4">
      <c r="A35" s="77">
        <v>33</v>
      </c>
      <c r="B35" s="10" t="s">
        <v>7820</v>
      </c>
      <c r="C35" s="78" t="s">
        <v>7374</v>
      </c>
      <c r="D35" s="78" t="s">
        <v>7802</v>
      </c>
    </row>
    <row r="36" spans="1:4">
      <c r="A36" s="77">
        <v>34</v>
      </c>
      <c r="B36" s="10" t="s">
        <v>7820</v>
      </c>
      <c r="C36" s="78" t="s">
        <v>7821</v>
      </c>
      <c r="D36" s="78" t="s">
        <v>7802</v>
      </c>
    </row>
    <row r="37" spans="1:4">
      <c r="A37" s="77">
        <v>35</v>
      </c>
      <c r="B37" s="10" t="s">
        <v>7820</v>
      </c>
      <c r="C37" s="78" t="s">
        <v>6722</v>
      </c>
      <c r="D37" s="78" t="s">
        <v>7802</v>
      </c>
    </row>
    <row r="38" spans="1:4">
      <c r="A38" s="77">
        <v>36</v>
      </c>
      <c r="B38" s="10" t="s">
        <v>7820</v>
      </c>
      <c r="C38" s="78" t="s">
        <v>5079</v>
      </c>
      <c r="D38" s="78" t="s">
        <v>7802</v>
      </c>
    </row>
    <row r="39" spans="1:4">
      <c r="A39" s="77">
        <v>37</v>
      </c>
      <c r="B39" s="10" t="s">
        <v>7820</v>
      </c>
      <c r="C39" s="78" t="s">
        <v>5943</v>
      </c>
      <c r="D39" s="78" t="s">
        <v>7802</v>
      </c>
    </row>
    <row r="40" spans="1:4">
      <c r="A40" s="77">
        <v>38</v>
      </c>
      <c r="B40" s="10" t="s">
        <v>7820</v>
      </c>
      <c r="C40" s="78" t="s">
        <v>7822</v>
      </c>
      <c r="D40" s="78" t="s">
        <v>7802</v>
      </c>
    </row>
    <row r="41" spans="1:4">
      <c r="A41" s="77">
        <v>39</v>
      </c>
      <c r="B41" s="10" t="s">
        <v>7820</v>
      </c>
      <c r="C41" s="78" t="s">
        <v>7823</v>
      </c>
      <c r="D41" s="78" t="s">
        <v>7802</v>
      </c>
    </row>
    <row r="42" spans="1:4">
      <c r="A42" s="77">
        <v>40</v>
      </c>
      <c r="B42" s="10" t="s">
        <v>7820</v>
      </c>
      <c r="C42" s="78" t="s">
        <v>7824</v>
      </c>
      <c r="D42" s="78" t="s">
        <v>7802</v>
      </c>
    </row>
    <row r="43" spans="1:4">
      <c r="A43" s="77">
        <v>41</v>
      </c>
      <c r="B43" s="10" t="s">
        <v>7820</v>
      </c>
      <c r="C43" s="78" t="s">
        <v>7825</v>
      </c>
      <c r="D43" s="78" t="s">
        <v>7802</v>
      </c>
    </row>
    <row r="44" spans="1:4">
      <c r="A44" s="77">
        <v>42</v>
      </c>
      <c r="B44" s="10" t="s">
        <v>7826</v>
      </c>
      <c r="C44" s="78" t="s">
        <v>6722</v>
      </c>
      <c r="D44" s="78" t="s">
        <v>7802</v>
      </c>
    </row>
    <row r="45" spans="1:4">
      <c r="A45" s="77">
        <v>43</v>
      </c>
      <c r="B45" s="10" t="s">
        <v>7826</v>
      </c>
      <c r="C45" s="78" t="s">
        <v>7827</v>
      </c>
      <c r="D45" s="78" t="s">
        <v>7802</v>
      </c>
    </row>
    <row r="46" spans="1:4">
      <c r="A46" s="77">
        <v>44</v>
      </c>
      <c r="B46" s="10" t="s">
        <v>7828</v>
      </c>
      <c r="C46" s="78" t="s">
        <v>7829</v>
      </c>
      <c r="D46" s="78" t="s">
        <v>7802</v>
      </c>
    </row>
    <row r="47" spans="1:4">
      <c r="A47" s="77">
        <v>45</v>
      </c>
      <c r="B47" s="10" t="s">
        <v>7828</v>
      </c>
      <c r="C47" s="78" t="s">
        <v>7830</v>
      </c>
      <c r="D47" s="78" t="s">
        <v>7802</v>
      </c>
    </row>
    <row r="48" spans="1:4">
      <c r="A48" s="77">
        <v>46</v>
      </c>
      <c r="B48" s="10" t="s">
        <v>7828</v>
      </c>
      <c r="C48" s="78" t="s">
        <v>7831</v>
      </c>
      <c r="D48" s="78" t="s">
        <v>7802</v>
      </c>
    </row>
    <row r="49" spans="1:4">
      <c r="A49" s="77">
        <v>47</v>
      </c>
      <c r="B49" s="10" t="s">
        <v>7832</v>
      </c>
      <c r="C49" s="78" t="s">
        <v>7368</v>
      </c>
      <c r="D49" s="78" t="s">
        <v>7802</v>
      </c>
    </row>
    <row r="50" spans="1:4">
      <c r="A50" s="77">
        <v>48</v>
      </c>
      <c r="B50" s="10" t="s">
        <v>7833</v>
      </c>
      <c r="C50" s="78" t="s">
        <v>7834</v>
      </c>
      <c r="D50" s="78" t="s">
        <v>7802</v>
      </c>
    </row>
    <row r="51" spans="1:4">
      <c r="A51" s="77">
        <v>49</v>
      </c>
      <c r="B51" s="10" t="s">
        <v>7835</v>
      </c>
      <c r="C51" s="78" t="s">
        <v>7836</v>
      </c>
      <c r="D51" s="78" t="s">
        <v>7802</v>
      </c>
    </row>
    <row r="52" spans="1:4">
      <c r="A52" s="77">
        <v>50</v>
      </c>
      <c r="B52" s="10" t="s">
        <v>7835</v>
      </c>
      <c r="C52" s="78" t="s">
        <v>7837</v>
      </c>
      <c r="D52" s="78" t="s">
        <v>7802</v>
      </c>
    </row>
    <row r="53" spans="1:4">
      <c r="A53" s="77">
        <v>51</v>
      </c>
      <c r="B53" s="10" t="s">
        <v>7835</v>
      </c>
      <c r="C53" s="78" t="s">
        <v>5079</v>
      </c>
      <c r="D53" s="78" t="s">
        <v>7802</v>
      </c>
    </row>
    <row r="54" spans="1:4">
      <c r="A54" s="77">
        <v>52</v>
      </c>
      <c r="B54" s="10" t="s">
        <v>7835</v>
      </c>
      <c r="C54" s="78" t="s">
        <v>7838</v>
      </c>
      <c r="D54" s="78" t="s">
        <v>7802</v>
      </c>
    </row>
    <row r="55" spans="1:4">
      <c r="A55" s="77">
        <v>53</v>
      </c>
      <c r="B55" s="10" t="s">
        <v>7835</v>
      </c>
      <c r="C55" s="78" t="s">
        <v>7319</v>
      </c>
      <c r="D55" s="78" t="s">
        <v>7802</v>
      </c>
    </row>
    <row r="56" spans="1:4">
      <c r="A56" s="77">
        <v>54</v>
      </c>
      <c r="B56" s="10" t="s">
        <v>7835</v>
      </c>
      <c r="C56" s="78" t="s">
        <v>7200</v>
      </c>
      <c r="D56" s="78" t="s">
        <v>7802</v>
      </c>
    </row>
    <row r="57" spans="1:4">
      <c r="A57" s="77">
        <v>55</v>
      </c>
      <c r="B57" s="10" t="s">
        <v>7835</v>
      </c>
      <c r="C57" s="78" t="s">
        <v>7839</v>
      </c>
      <c r="D57" s="78" t="s">
        <v>7802</v>
      </c>
    </row>
    <row r="58" spans="1:4">
      <c r="A58" s="77">
        <v>56</v>
      </c>
      <c r="B58" s="10" t="s">
        <v>7835</v>
      </c>
      <c r="C58" s="78" t="s">
        <v>7824</v>
      </c>
      <c r="D58" s="78" t="s">
        <v>7802</v>
      </c>
    </row>
    <row r="59" spans="1:4">
      <c r="A59" s="77">
        <v>57</v>
      </c>
      <c r="B59" s="10" t="s">
        <v>7835</v>
      </c>
      <c r="C59" s="78" t="s">
        <v>7840</v>
      </c>
      <c r="D59" s="78" t="s">
        <v>7802</v>
      </c>
    </row>
    <row r="60" spans="1:4">
      <c r="A60" s="77">
        <v>58</v>
      </c>
      <c r="B60" s="10" t="s">
        <v>7835</v>
      </c>
      <c r="C60" s="78" t="s">
        <v>6607</v>
      </c>
      <c r="D60" s="78" t="s">
        <v>7802</v>
      </c>
    </row>
    <row r="61" spans="1:4">
      <c r="A61" s="77">
        <v>59</v>
      </c>
      <c r="B61" s="10" t="s">
        <v>7835</v>
      </c>
      <c r="C61" s="78" t="s">
        <v>7215</v>
      </c>
      <c r="D61" s="78" t="s">
        <v>7802</v>
      </c>
    </row>
    <row r="62" spans="1:4">
      <c r="A62" s="77">
        <v>60</v>
      </c>
      <c r="B62" s="10" t="s">
        <v>7835</v>
      </c>
      <c r="C62" s="78" t="s">
        <v>7175</v>
      </c>
      <c r="D62" s="78" t="s">
        <v>7802</v>
      </c>
    </row>
    <row r="63" spans="1:4">
      <c r="A63" s="77">
        <v>61</v>
      </c>
      <c r="B63" s="10" t="s">
        <v>7835</v>
      </c>
      <c r="C63" s="78" t="s">
        <v>7289</v>
      </c>
      <c r="D63" s="78" t="s">
        <v>7802</v>
      </c>
    </row>
    <row r="64" spans="1:4">
      <c r="A64" s="77">
        <v>62</v>
      </c>
      <c r="B64" s="10" t="s">
        <v>7835</v>
      </c>
      <c r="C64" s="78" t="s">
        <v>7196</v>
      </c>
      <c r="D64" s="78" t="s">
        <v>7802</v>
      </c>
    </row>
    <row r="65" spans="1:4">
      <c r="A65" s="77">
        <v>63</v>
      </c>
      <c r="B65" s="10" t="s">
        <v>7841</v>
      </c>
      <c r="C65" s="78" t="s">
        <v>7450</v>
      </c>
      <c r="D65" s="78" t="s">
        <v>7802</v>
      </c>
    </row>
    <row r="66" spans="1:4">
      <c r="A66" s="77">
        <v>64</v>
      </c>
      <c r="B66" s="10" t="s">
        <v>7841</v>
      </c>
      <c r="C66" s="78" t="s">
        <v>7842</v>
      </c>
      <c r="D66" s="78" t="s">
        <v>7802</v>
      </c>
    </row>
    <row r="67" spans="1:4">
      <c r="A67" s="77">
        <v>65</v>
      </c>
      <c r="B67" s="10" t="s">
        <v>7841</v>
      </c>
      <c r="C67" s="78" t="s">
        <v>7843</v>
      </c>
      <c r="D67" s="78" t="s">
        <v>7802</v>
      </c>
    </row>
    <row r="68" spans="1:4">
      <c r="A68" s="77">
        <v>66</v>
      </c>
      <c r="B68" s="10" t="s">
        <v>7841</v>
      </c>
      <c r="C68" s="78" t="s">
        <v>7640</v>
      </c>
      <c r="D68" s="78" t="s">
        <v>7802</v>
      </c>
    </row>
    <row r="69" spans="1:4">
      <c r="A69" s="77">
        <v>67</v>
      </c>
      <c r="B69" s="10" t="s">
        <v>7841</v>
      </c>
      <c r="C69" s="78" t="s">
        <v>7844</v>
      </c>
      <c r="D69" s="78" t="s">
        <v>7802</v>
      </c>
    </row>
    <row r="70" spans="1:4">
      <c r="A70" s="77">
        <v>68</v>
      </c>
      <c r="B70" s="10" t="s">
        <v>7841</v>
      </c>
      <c r="C70" s="78" t="s">
        <v>6995</v>
      </c>
      <c r="D70" s="78" t="s">
        <v>7802</v>
      </c>
    </row>
    <row r="71" spans="1:4">
      <c r="A71" s="77">
        <v>69</v>
      </c>
      <c r="B71" s="10" t="s">
        <v>7845</v>
      </c>
      <c r="C71" s="78" t="s">
        <v>7846</v>
      </c>
      <c r="D71" s="78" t="s">
        <v>7802</v>
      </c>
    </row>
    <row r="72" spans="1:4">
      <c r="A72" s="77">
        <v>70</v>
      </c>
      <c r="B72" s="10" t="s">
        <v>7847</v>
      </c>
      <c r="C72" s="78" t="s">
        <v>6905</v>
      </c>
      <c r="D72" s="78" t="s">
        <v>7802</v>
      </c>
    </row>
    <row r="73" spans="1:4">
      <c r="A73" s="77">
        <v>71</v>
      </c>
      <c r="B73" s="10" t="s">
        <v>7848</v>
      </c>
      <c r="C73" s="78" t="s">
        <v>7844</v>
      </c>
      <c r="D73" s="78" t="s">
        <v>7802</v>
      </c>
    </row>
    <row r="74" spans="1:4">
      <c r="A74" s="77">
        <v>72</v>
      </c>
      <c r="B74" s="10" t="s">
        <v>7848</v>
      </c>
      <c r="C74" s="78" t="s">
        <v>7849</v>
      </c>
      <c r="D74" s="78" t="s">
        <v>7802</v>
      </c>
    </row>
    <row r="75" spans="1:4">
      <c r="A75" s="77">
        <v>73</v>
      </c>
      <c r="B75" s="10" t="s">
        <v>7850</v>
      </c>
      <c r="C75" s="78" t="s">
        <v>7825</v>
      </c>
      <c r="D75" s="78" t="s">
        <v>7802</v>
      </c>
    </row>
    <row r="76" spans="1:4">
      <c r="A76" s="77">
        <v>74</v>
      </c>
      <c r="B76" s="10" t="s">
        <v>7851</v>
      </c>
      <c r="C76" s="78" t="s">
        <v>7852</v>
      </c>
      <c r="D76" s="78" t="s">
        <v>7802</v>
      </c>
    </row>
    <row r="77" spans="1:4">
      <c r="A77" s="77">
        <v>75</v>
      </c>
      <c r="B77" s="10" t="s">
        <v>7851</v>
      </c>
      <c r="C77" s="78" t="s">
        <v>7052</v>
      </c>
      <c r="D77" s="78" t="s">
        <v>7802</v>
      </c>
    </row>
    <row r="78" spans="1:4">
      <c r="A78" s="77">
        <v>76</v>
      </c>
      <c r="B78" s="10" t="s">
        <v>7853</v>
      </c>
      <c r="C78" s="78" t="s">
        <v>7165</v>
      </c>
      <c r="D78" s="78" t="s">
        <v>7802</v>
      </c>
    </row>
    <row r="79" spans="1:4">
      <c r="A79" s="77">
        <v>77</v>
      </c>
      <c r="B79" s="10" t="s">
        <v>7854</v>
      </c>
      <c r="C79" s="78" t="s">
        <v>7374</v>
      </c>
      <c r="D79" s="78" t="s">
        <v>7802</v>
      </c>
    </row>
    <row r="80" spans="1:4">
      <c r="A80" s="77">
        <v>78</v>
      </c>
      <c r="B80" s="10" t="s">
        <v>7855</v>
      </c>
      <c r="C80" s="78" t="s">
        <v>5785</v>
      </c>
      <c r="D80" s="78" t="s">
        <v>7802</v>
      </c>
    </row>
    <row r="81" spans="1:4">
      <c r="A81" s="77">
        <v>79</v>
      </c>
      <c r="B81" s="10" t="s">
        <v>7855</v>
      </c>
      <c r="C81" s="78" t="s">
        <v>7196</v>
      </c>
      <c r="D81" s="78" t="s">
        <v>7802</v>
      </c>
    </row>
    <row r="82" spans="1:4">
      <c r="A82" s="77">
        <v>80</v>
      </c>
      <c r="B82" s="10" t="s">
        <v>7856</v>
      </c>
      <c r="C82" s="78" t="s">
        <v>7857</v>
      </c>
      <c r="D82" s="78" t="s">
        <v>7802</v>
      </c>
    </row>
    <row r="83" spans="1:4">
      <c r="A83" s="77">
        <v>81</v>
      </c>
      <c r="B83" s="10" t="s">
        <v>7856</v>
      </c>
      <c r="C83" s="78" t="s">
        <v>7277</v>
      </c>
      <c r="D83" s="78" t="s">
        <v>7802</v>
      </c>
    </row>
    <row r="84" spans="1:4">
      <c r="A84" s="77">
        <v>82</v>
      </c>
      <c r="B84" s="10" t="s">
        <v>7856</v>
      </c>
      <c r="C84" s="78" t="s">
        <v>7401</v>
      </c>
      <c r="D84" s="78" t="s">
        <v>7802</v>
      </c>
    </row>
    <row r="85" spans="1:4">
      <c r="A85" s="77">
        <v>83</v>
      </c>
      <c r="B85" s="10" t="s">
        <v>7858</v>
      </c>
      <c r="C85" s="78" t="s">
        <v>6807</v>
      </c>
      <c r="D85" s="78" t="s">
        <v>7802</v>
      </c>
    </row>
    <row r="86" spans="1:4">
      <c r="A86" s="77">
        <v>84</v>
      </c>
      <c r="B86" s="10" t="s">
        <v>7858</v>
      </c>
      <c r="C86" s="78" t="s">
        <v>6905</v>
      </c>
      <c r="D86" s="78" t="s">
        <v>7802</v>
      </c>
    </row>
    <row r="87" spans="1:4">
      <c r="A87" s="77">
        <v>85</v>
      </c>
      <c r="B87" s="10" t="s">
        <v>7858</v>
      </c>
      <c r="C87" s="78" t="s">
        <v>6689</v>
      </c>
      <c r="D87" s="78" t="s">
        <v>7802</v>
      </c>
    </row>
    <row r="88" spans="1:4">
      <c r="A88" s="77">
        <v>86</v>
      </c>
      <c r="B88" s="10" t="s">
        <v>7859</v>
      </c>
      <c r="C88" s="78" t="s">
        <v>6905</v>
      </c>
      <c r="D88" s="78" t="s">
        <v>7802</v>
      </c>
    </row>
    <row r="89" spans="1:4">
      <c r="A89" s="77">
        <v>87</v>
      </c>
      <c r="B89" s="10" t="s">
        <v>7860</v>
      </c>
      <c r="C89" s="78" t="s">
        <v>6552</v>
      </c>
      <c r="D89" s="78" t="s">
        <v>7802</v>
      </c>
    </row>
    <row r="90" spans="1:4">
      <c r="A90" s="77">
        <v>88</v>
      </c>
      <c r="B90" s="10" t="s">
        <v>7860</v>
      </c>
      <c r="C90" s="78" t="s">
        <v>7341</v>
      </c>
      <c r="D90" s="78" t="s">
        <v>7802</v>
      </c>
    </row>
    <row r="91" spans="1:4">
      <c r="A91" s="77">
        <v>89</v>
      </c>
      <c r="B91" s="10" t="s">
        <v>7861</v>
      </c>
      <c r="C91" s="78" t="s">
        <v>6722</v>
      </c>
      <c r="D91" s="78" t="s">
        <v>7802</v>
      </c>
    </row>
    <row r="92" spans="1:4">
      <c r="A92" s="77">
        <v>90</v>
      </c>
      <c r="B92" s="10" t="s">
        <v>7861</v>
      </c>
      <c r="C92" s="78" t="s">
        <v>7862</v>
      </c>
      <c r="D92" s="78" t="s">
        <v>7802</v>
      </c>
    </row>
    <row r="93" spans="1:4">
      <c r="A93" s="77">
        <v>91</v>
      </c>
      <c r="B93" s="10" t="s">
        <v>7861</v>
      </c>
      <c r="C93" s="78" t="s">
        <v>7825</v>
      </c>
      <c r="D93" s="78" t="s">
        <v>7802</v>
      </c>
    </row>
    <row r="94" spans="1:4">
      <c r="A94" s="77">
        <v>92</v>
      </c>
      <c r="B94" s="10" t="s">
        <v>7861</v>
      </c>
      <c r="C94" s="78" t="s">
        <v>7193</v>
      </c>
      <c r="D94" s="78" t="s">
        <v>7802</v>
      </c>
    </row>
    <row r="95" spans="1:4">
      <c r="A95" s="77">
        <v>93</v>
      </c>
      <c r="B95" s="10" t="s">
        <v>7861</v>
      </c>
      <c r="C95" s="78" t="s">
        <v>7863</v>
      </c>
      <c r="D95" s="78" t="s">
        <v>7802</v>
      </c>
    </row>
    <row r="96" spans="1:4">
      <c r="A96" s="77">
        <v>94</v>
      </c>
      <c r="B96" s="10" t="s">
        <v>7864</v>
      </c>
      <c r="C96" s="78" t="s">
        <v>7193</v>
      </c>
      <c r="D96" s="78" t="s">
        <v>7802</v>
      </c>
    </row>
    <row r="97" spans="1:4">
      <c r="A97" s="77">
        <v>95</v>
      </c>
      <c r="B97" s="10" t="s">
        <v>7864</v>
      </c>
      <c r="C97" s="78" t="s">
        <v>7801</v>
      </c>
      <c r="D97" s="78" t="s">
        <v>7802</v>
      </c>
    </row>
    <row r="98" spans="1:4">
      <c r="A98" s="77">
        <v>96</v>
      </c>
      <c r="B98" s="10" t="s">
        <v>7864</v>
      </c>
      <c r="C98" s="78" t="s">
        <v>6409</v>
      </c>
      <c r="D98" s="78" t="s">
        <v>7802</v>
      </c>
    </row>
    <row r="99" spans="1:4">
      <c r="A99" s="77">
        <v>97</v>
      </c>
      <c r="B99" s="10" t="s">
        <v>7865</v>
      </c>
      <c r="C99" s="78" t="s">
        <v>7196</v>
      </c>
      <c r="D99" s="78" t="s">
        <v>7802</v>
      </c>
    </row>
    <row r="100" spans="1:4">
      <c r="A100" s="77">
        <v>98</v>
      </c>
      <c r="B100" s="10" t="s">
        <v>7865</v>
      </c>
      <c r="C100" s="78" t="s">
        <v>7368</v>
      </c>
      <c r="D100" s="78" t="s">
        <v>7802</v>
      </c>
    </row>
    <row r="101" spans="1:4">
      <c r="A101" s="77">
        <v>99</v>
      </c>
      <c r="B101" s="10" t="s">
        <v>7866</v>
      </c>
      <c r="C101" s="78" t="s">
        <v>7822</v>
      </c>
      <c r="D101" s="78" t="s">
        <v>7802</v>
      </c>
    </row>
    <row r="102" spans="1:4">
      <c r="A102" s="77">
        <v>100</v>
      </c>
      <c r="B102" s="10" t="s">
        <v>7866</v>
      </c>
      <c r="C102" s="78" t="s">
        <v>2363</v>
      </c>
      <c r="D102" s="78" t="s">
        <v>7802</v>
      </c>
    </row>
    <row r="103" spans="1:4">
      <c r="A103" s="77">
        <v>101</v>
      </c>
      <c r="B103" s="10" t="s">
        <v>7867</v>
      </c>
      <c r="C103" s="78" t="s">
        <v>7868</v>
      </c>
      <c r="D103" s="78" t="s">
        <v>7802</v>
      </c>
    </row>
    <row r="104" spans="1:4">
      <c r="A104" s="77">
        <v>102</v>
      </c>
      <c r="B104" s="10" t="s">
        <v>7867</v>
      </c>
      <c r="C104" s="78" t="s">
        <v>7463</v>
      </c>
      <c r="D104" s="78" t="s">
        <v>7802</v>
      </c>
    </row>
    <row r="105" spans="1:4">
      <c r="A105" s="77">
        <v>103</v>
      </c>
      <c r="B105" s="10" t="s">
        <v>7869</v>
      </c>
      <c r="C105" s="78" t="s">
        <v>1446</v>
      </c>
      <c r="D105" s="78" t="s">
        <v>7802</v>
      </c>
    </row>
    <row r="106" spans="1:4">
      <c r="A106" s="77">
        <v>104</v>
      </c>
      <c r="B106" s="10" t="s">
        <v>7869</v>
      </c>
      <c r="C106" s="78" t="s">
        <v>7804</v>
      </c>
      <c r="D106" s="78" t="s">
        <v>7802</v>
      </c>
    </row>
    <row r="107" spans="1:4">
      <c r="A107" s="77">
        <v>105</v>
      </c>
      <c r="B107" s="10" t="s">
        <v>7869</v>
      </c>
      <c r="C107" s="78" t="s">
        <v>7371</v>
      </c>
      <c r="D107" s="78" t="s">
        <v>7802</v>
      </c>
    </row>
    <row r="108" spans="1:4">
      <c r="A108" s="77">
        <v>106</v>
      </c>
      <c r="B108" s="10" t="s">
        <v>7869</v>
      </c>
      <c r="C108" s="78" t="s">
        <v>3281</v>
      </c>
      <c r="D108" s="78" t="s">
        <v>7802</v>
      </c>
    </row>
    <row r="109" spans="1:4">
      <c r="A109" s="77">
        <v>107</v>
      </c>
      <c r="B109" s="10" t="s">
        <v>7870</v>
      </c>
      <c r="C109" s="78" t="s">
        <v>7844</v>
      </c>
      <c r="D109" s="78" t="s">
        <v>7802</v>
      </c>
    </row>
    <row r="110" spans="1:4">
      <c r="A110" s="77">
        <v>108</v>
      </c>
      <c r="B110" s="10" t="s">
        <v>7870</v>
      </c>
      <c r="C110" s="78" t="s">
        <v>7844</v>
      </c>
      <c r="D110" s="78" t="s">
        <v>7802</v>
      </c>
    </row>
    <row r="111" spans="1:4">
      <c r="A111" s="77">
        <v>109</v>
      </c>
      <c r="B111" s="10" t="s">
        <v>7871</v>
      </c>
      <c r="C111" s="78" t="s">
        <v>7872</v>
      </c>
      <c r="D111" s="78" t="s">
        <v>7802</v>
      </c>
    </row>
    <row r="112" spans="1:4">
      <c r="A112" s="77">
        <v>110</v>
      </c>
      <c r="B112" s="10" t="s">
        <v>7873</v>
      </c>
      <c r="C112" s="78" t="s">
        <v>7287</v>
      </c>
      <c r="D112" s="78" t="s">
        <v>7802</v>
      </c>
    </row>
    <row r="113" spans="1:4">
      <c r="A113" s="77">
        <v>111</v>
      </c>
      <c r="B113" s="10" t="s">
        <v>7874</v>
      </c>
      <c r="C113" s="78" t="s">
        <v>4399</v>
      </c>
      <c r="D113" s="78" t="s">
        <v>7802</v>
      </c>
    </row>
    <row r="114" spans="1:4">
      <c r="A114" s="77">
        <v>112</v>
      </c>
      <c r="B114" s="10" t="s">
        <v>7874</v>
      </c>
      <c r="C114" s="78" t="s">
        <v>7371</v>
      </c>
      <c r="D114" s="78" t="s">
        <v>7802</v>
      </c>
    </row>
    <row r="115" spans="1:4">
      <c r="A115" s="77">
        <v>113</v>
      </c>
      <c r="B115" s="10" t="s">
        <v>7874</v>
      </c>
      <c r="C115" s="78" t="s">
        <v>5347</v>
      </c>
      <c r="D115" s="78" t="s">
        <v>7802</v>
      </c>
    </row>
    <row r="116" spans="1:4">
      <c r="A116" s="77">
        <v>114</v>
      </c>
      <c r="B116" s="10" t="s">
        <v>7874</v>
      </c>
      <c r="C116" s="78" t="s">
        <v>3281</v>
      </c>
      <c r="D116" s="78" t="s">
        <v>7802</v>
      </c>
    </row>
    <row r="117" spans="1:4">
      <c r="A117" s="77">
        <v>115</v>
      </c>
      <c r="B117" s="10" t="s">
        <v>7874</v>
      </c>
      <c r="C117" s="78" t="s">
        <v>7875</v>
      </c>
      <c r="D117" s="78" t="s">
        <v>7802</v>
      </c>
    </row>
    <row r="118" spans="1:4">
      <c r="A118" s="77">
        <v>116</v>
      </c>
      <c r="B118" s="10" t="s">
        <v>7876</v>
      </c>
      <c r="C118" s="78" t="s">
        <v>7045</v>
      </c>
      <c r="D118" s="78" t="s">
        <v>7802</v>
      </c>
    </row>
    <row r="119" spans="1:4">
      <c r="A119" s="77">
        <v>117</v>
      </c>
      <c r="B119" s="10" t="s">
        <v>7877</v>
      </c>
      <c r="C119" s="78" t="s">
        <v>7253</v>
      </c>
      <c r="D119" s="78" t="s">
        <v>7802</v>
      </c>
    </row>
    <row r="120" spans="1:4">
      <c r="A120" s="77">
        <v>118</v>
      </c>
      <c r="B120" s="10" t="s">
        <v>7877</v>
      </c>
      <c r="C120" s="78" t="s">
        <v>7878</v>
      </c>
      <c r="D120" s="78" t="s">
        <v>7802</v>
      </c>
    </row>
    <row r="121" spans="1:4">
      <c r="A121" s="77">
        <v>119</v>
      </c>
      <c r="B121" s="10" t="s">
        <v>7879</v>
      </c>
      <c r="C121" s="78" t="s">
        <v>7379</v>
      </c>
      <c r="D121" s="78" t="s">
        <v>7802</v>
      </c>
    </row>
    <row r="122" spans="1:4">
      <c r="A122" s="77">
        <v>120</v>
      </c>
      <c r="B122" s="10" t="s">
        <v>7879</v>
      </c>
      <c r="C122" s="78" t="s">
        <v>7422</v>
      </c>
      <c r="D122" s="78" t="s">
        <v>7802</v>
      </c>
    </row>
    <row r="123" spans="1:4">
      <c r="A123" s="77">
        <v>121</v>
      </c>
      <c r="B123" s="10" t="s">
        <v>7880</v>
      </c>
      <c r="C123" s="78" t="s">
        <v>7422</v>
      </c>
      <c r="D123" s="78" t="s">
        <v>7802</v>
      </c>
    </row>
    <row r="124" spans="1:4">
      <c r="A124" s="77">
        <v>122</v>
      </c>
      <c r="B124" s="10" t="s">
        <v>7880</v>
      </c>
      <c r="C124" s="78" t="s">
        <v>7374</v>
      </c>
      <c r="D124" s="78" t="s">
        <v>7802</v>
      </c>
    </row>
    <row r="125" spans="1:4">
      <c r="A125" s="77">
        <v>123</v>
      </c>
      <c r="B125" s="10" t="s">
        <v>7880</v>
      </c>
      <c r="C125" s="78" t="s">
        <v>4052</v>
      </c>
      <c r="D125" s="78" t="s">
        <v>7802</v>
      </c>
    </row>
    <row r="126" spans="1:4">
      <c r="A126" s="77">
        <v>124</v>
      </c>
      <c r="B126" s="10" t="s">
        <v>7881</v>
      </c>
      <c r="C126" s="78" t="s">
        <v>7846</v>
      </c>
      <c r="D126" s="78" t="s">
        <v>7802</v>
      </c>
    </row>
    <row r="127" spans="1:4">
      <c r="A127" s="77">
        <v>125</v>
      </c>
      <c r="B127" s="10" t="s">
        <v>7881</v>
      </c>
      <c r="C127" s="78" t="s">
        <v>7829</v>
      </c>
      <c r="D127" s="78" t="s">
        <v>7802</v>
      </c>
    </row>
    <row r="128" spans="1:4">
      <c r="A128" s="77">
        <v>126</v>
      </c>
      <c r="B128" s="10" t="s">
        <v>7881</v>
      </c>
      <c r="C128" s="78" t="s">
        <v>7872</v>
      </c>
      <c r="D128" s="78" t="s">
        <v>7802</v>
      </c>
    </row>
    <row r="129" spans="1:4">
      <c r="A129" s="77">
        <v>127</v>
      </c>
      <c r="B129" s="10" t="s">
        <v>7882</v>
      </c>
      <c r="C129" s="78" t="s">
        <v>6696</v>
      </c>
      <c r="D129" s="78" t="s">
        <v>7802</v>
      </c>
    </row>
    <row r="130" spans="1:4">
      <c r="A130" s="77">
        <v>128</v>
      </c>
      <c r="B130" s="10" t="s">
        <v>7883</v>
      </c>
      <c r="C130" s="78" t="s">
        <v>6696</v>
      </c>
      <c r="D130" s="78" t="s">
        <v>7802</v>
      </c>
    </row>
    <row r="131" spans="1:4">
      <c r="A131" s="77">
        <v>129</v>
      </c>
      <c r="B131" s="10" t="s">
        <v>7883</v>
      </c>
      <c r="C131" s="78" t="s">
        <v>7884</v>
      </c>
      <c r="D131" s="78" t="s">
        <v>7802</v>
      </c>
    </row>
    <row r="132" spans="1:4">
      <c r="A132" s="77">
        <v>130</v>
      </c>
      <c r="B132" s="10" t="s">
        <v>7883</v>
      </c>
      <c r="C132" s="78" t="s">
        <v>6963</v>
      </c>
      <c r="D132" s="78" t="s">
        <v>7802</v>
      </c>
    </row>
    <row r="133" spans="1:4">
      <c r="A133" s="77">
        <v>131</v>
      </c>
      <c r="B133" s="10" t="s">
        <v>7883</v>
      </c>
      <c r="C133" s="78" t="s">
        <v>5159</v>
      </c>
      <c r="D133" s="78" t="s">
        <v>7802</v>
      </c>
    </row>
    <row r="134" spans="1:4">
      <c r="A134" s="77">
        <v>132</v>
      </c>
      <c r="B134" s="10" t="s">
        <v>7885</v>
      </c>
      <c r="C134" s="78" t="s">
        <v>7886</v>
      </c>
      <c r="D134" s="78" t="s">
        <v>7802</v>
      </c>
    </row>
    <row r="135" spans="1:4">
      <c r="A135" s="77">
        <v>133</v>
      </c>
      <c r="B135" s="10" t="s">
        <v>7887</v>
      </c>
      <c r="C135" s="78" t="s">
        <v>7374</v>
      </c>
      <c r="D135" s="78" t="s">
        <v>7802</v>
      </c>
    </row>
    <row r="136" spans="1:4">
      <c r="A136" s="77">
        <v>134</v>
      </c>
      <c r="B136" s="10" t="s">
        <v>7888</v>
      </c>
      <c r="C136" s="78" t="s">
        <v>7889</v>
      </c>
      <c r="D136" s="78" t="s">
        <v>7802</v>
      </c>
    </row>
    <row r="137" spans="1:4">
      <c r="A137" s="77">
        <v>135</v>
      </c>
      <c r="B137" s="10" t="s">
        <v>7888</v>
      </c>
      <c r="C137" s="78" t="s">
        <v>7890</v>
      </c>
      <c r="D137" s="78" t="s">
        <v>7802</v>
      </c>
    </row>
    <row r="138" spans="1:4">
      <c r="A138" s="77">
        <v>136</v>
      </c>
      <c r="B138" s="10" t="s">
        <v>7888</v>
      </c>
      <c r="C138" s="78" t="s">
        <v>6552</v>
      </c>
      <c r="D138" s="78" t="s">
        <v>7802</v>
      </c>
    </row>
    <row r="139" spans="1:4">
      <c r="A139" s="77">
        <v>137</v>
      </c>
      <c r="B139" s="10" t="s">
        <v>7888</v>
      </c>
      <c r="C139" s="78" t="s">
        <v>7422</v>
      </c>
      <c r="D139" s="78" t="s">
        <v>7802</v>
      </c>
    </row>
    <row r="140" spans="1:4">
      <c r="A140" s="77">
        <v>138</v>
      </c>
      <c r="B140" s="10" t="s">
        <v>7888</v>
      </c>
      <c r="C140" s="78" t="s">
        <v>7891</v>
      </c>
      <c r="D140" s="78" t="s">
        <v>7802</v>
      </c>
    </row>
    <row r="141" spans="1:4">
      <c r="A141" s="77">
        <v>139</v>
      </c>
      <c r="B141" s="10" t="s">
        <v>7892</v>
      </c>
      <c r="C141" s="78" t="s">
        <v>6963</v>
      </c>
      <c r="D141" s="78" t="s">
        <v>7802</v>
      </c>
    </row>
    <row r="142" spans="1:4">
      <c r="A142" s="77">
        <v>140</v>
      </c>
      <c r="B142" s="10" t="s">
        <v>7892</v>
      </c>
      <c r="C142" s="78" t="s">
        <v>7893</v>
      </c>
      <c r="D142" s="78" t="s">
        <v>7802</v>
      </c>
    </row>
    <row r="143" spans="1:4">
      <c r="A143" s="77">
        <v>141</v>
      </c>
      <c r="B143" s="10" t="s">
        <v>7894</v>
      </c>
      <c r="C143" s="78" t="s">
        <v>7834</v>
      </c>
      <c r="D143" s="78" t="s">
        <v>7802</v>
      </c>
    </row>
    <row r="144" spans="1:4">
      <c r="A144" s="77">
        <v>142</v>
      </c>
      <c r="B144" s="10" t="s">
        <v>7894</v>
      </c>
      <c r="C144" s="78" t="s">
        <v>7379</v>
      </c>
      <c r="D144" s="78" t="s">
        <v>7802</v>
      </c>
    </row>
    <row r="145" spans="1:4">
      <c r="A145" s="77">
        <v>143</v>
      </c>
      <c r="B145" s="10" t="s">
        <v>7894</v>
      </c>
      <c r="C145" s="78" t="s">
        <v>835</v>
      </c>
      <c r="D145" s="78" t="s">
        <v>7802</v>
      </c>
    </row>
    <row r="146" spans="1:4">
      <c r="A146" s="77">
        <v>144</v>
      </c>
      <c r="B146" s="10" t="s">
        <v>7895</v>
      </c>
      <c r="C146" s="78" t="s">
        <v>7827</v>
      </c>
      <c r="D146" s="78" t="s">
        <v>7802</v>
      </c>
    </row>
    <row r="147" spans="1:4">
      <c r="A147" s="77">
        <v>145</v>
      </c>
      <c r="B147" s="10" t="s">
        <v>7895</v>
      </c>
      <c r="C147" s="78" t="s">
        <v>7844</v>
      </c>
      <c r="D147" s="78" t="s">
        <v>7802</v>
      </c>
    </row>
    <row r="148" spans="1:4">
      <c r="A148" s="77">
        <v>146</v>
      </c>
      <c r="B148" s="10" t="s">
        <v>7896</v>
      </c>
      <c r="C148" s="78" t="s">
        <v>7884</v>
      </c>
      <c r="D148" s="78" t="s">
        <v>7802</v>
      </c>
    </row>
    <row r="149" spans="1:4">
      <c r="A149" s="77">
        <v>147</v>
      </c>
      <c r="B149" s="10" t="s">
        <v>7897</v>
      </c>
      <c r="C149" s="78" t="s">
        <v>7801</v>
      </c>
      <c r="D149" s="78" t="s">
        <v>7802</v>
      </c>
    </row>
    <row r="150" spans="1:4">
      <c r="A150" s="77">
        <v>148</v>
      </c>
      <c r="B150" s="10" t="s">
        <v>7898</v>
      </c>
      <c r="C150" s="78" t="s">
        <v>7899</v>
      </c>
      <c r="D150" s="78" t="s">
        <v>7802</v>
      </c>
    </row>
    <row r="151" spans="1:4">
      <c r="A151" s="77">
        <v>149</v>
      </c>
      <c r="B151" s="10" t="s">
        <v>7900</v>
      </c>
      <c r="C151" s="78" t="s">
        <v>7842</v>
      </c>
      <c r="D151" s="78" t="s">
        <v>7802</v>
      </c>
    </row>
    <row r="152" spans="1:4">
      <c r="A152" s="77">
        <v>150</v>
      </c>
      <c r="B152" s="10" t="s">
        <v>7901</v>
      </c>
      <c r="C152" s="78" t="s">
        <v>7902</v>
      </c>
      <c r="D152" s="78" t="s">
        <v>7802</v>
      </c>
    </row>
    <row r="153" spans="1:4">
      <c r="A153" s="77">
        <v>151</v>
      </c>
      <c r="B153" s="10" t="s">
        <v>7901</v>
      </c>
      <c r="C153" s="78" t="s">
        <v>7447</v>
      </c>
      <c r="D153" s="78" t="s">
        <v>7802</v>
      </c>
    </row>
    <row r="154" spans="1:4">
      <c r="A154" s="77">
        <v>152</v>
      </c>
      <c r="B154" s="10" t="s">
        <v>7903</v>
      </c>
      <c r="C154" s="78" t="s">
        <v>7884</v>
      </c>
      <c r="D154" s="78" t="s">
        <v>7802</v>
      </c>
    </row>
    <row r="155" spans="1:4">
      <c r="A155" s="77">
        <v>153</v>
      </c>
      <c r="B155" s="10" t="s">
        <v>7903</v>
      </c>
      <c r="C155" s="78" t="s">
        <v>7904</v>
      </c>
      <c r="D155" s="78" t="s">
        <v>7802</v>
      </c>
    </row>
    <row r="156" spans="1:4">
      <c r="A156" s="77">
        <v>154</v>
      </c>
      <c r="B156" s="10" t="s">
        <v>7903</v>
      </c>
      <c r="C156" s="78" t="s">
        <v>5159</v>
      </c>
      <c r="D156" s="78" t="s">
        <v>7802</v>
      </c>
    </row>
    <row r="157" spans="1:4">
      <c r="A157" s="77">
        <v>155</v>
      </c>
      <c r="B157" s="10" t="s">
        <v>7903</v>
      </c>
      <c r="C157" s="78" t="s">
        <v>7193</v>
      </c>
      <c r="D157" s="78" t="s">
        <v>7802</v>
      </c>
    </row>
    <row r="158" spans="1:4">
      <c r="A158" s="77">
        <v>156</v>
      </c>
      <c r="B158" s="10" t="s">
        <v>7903</v>
      </c>
      <c r="C158" s="78" t="s">
        <v>7663</v>
      </c>
      <c r="D158" s="78" t="s">
        <v>7802</v>
      </c>
    </row>
    <row r="159" spans="1:4">
      <c r="A159" s="77">
        <v>157</v>
      </c>
      <c r="B159" s="10" t="s">
        <v>7903</v>
      </c>
      <c r="C159" s="78" t="s">
        <v>6409</v>
      </c>
      <c r="D159" s="78" t="s">
        <v>7802</v>
      </c>
    </row>
    <row r="160" spans="1:4">
      <c r="A160" s="77">
        <v>158</v>
      </c>
      <c r="B160" s="10" t="s">
        <v>7905</v>
      </c>
      <c r="C160" s="78" t="s">
        <v>7447</v>
      </c>
      <c r="D160" s="78" t="s">
        <v>7802</v>
      </c>
    </row>
    <row r="161" spans="1:4">
      <c r="A161" s="77">
        <v>159</v>
      </c>
      <c r="B161" s="10" t="s">
        <v>7906</v>
      </c>
      <c r="C161" s="78" t="s">
        <v>7904</v>
      </c>
      <c r="D161" s="78" t="s">
        <v>7802</v>
      </c>
    </row>
    <row r="162" spans="1:4">
      <c r="A162" s="77">
        <v>160</v>
      </c>
      <c r="B162" s="10" t="s">
        <v>7906</v>
      </c>
      <c r="C162" s="78" t="s">
        <v>5159</v>
      </c>
      <c r="D162" s="78" t="s">
        <v>7802</v>
      </c>
    </row>
    <row r="163" spans="1:4">
      <c r="A163" s="77">
        <v>161</v>
      </c>
      <c r="B163" s="10" t="s">
        <v>7907</v>
      </c>
      <c r="C163" s="78" t="s">
        <v>7908</v>
      </c>
      <c r="D163" s="78" t="s">
        <v>7802</v>
      </c>
    </row>
    <row r="164" spans="1:4">
      <c r="A164" s="77">
        <v>162</v>
      </c>
      <c r="B164" s="10" t="s">
        <v>7909</v>
      </c>
      <c r="C164" s="78" t="s">
        <v>6696</v>
      </c>
      <c r="D164" s="78" t="s">
        <v>7802</v>
      </c>
    </row>
    <row r="165" spans="1:4">
      <c r="A165" s="77">
        <v>163</v>
      </c>
      <c r="B165" s="10" t="s">
        <v>7910</v>
      </c>
      <c r="C165" s="78" t="s">
        <v>5785</v>
      </c>
      <c r="D165" s="78" t="s">
        <v>7802</v>
      </c>
    </row>
    <row r="166" spans="1:4">
      <c r="A166" s="77">
        <v>164</v>
      </c>
      <c r="B166" s="10" t="s">
        <v>7910</v>
      </c>
      <c r="C166" s="78" t="s">
        <v>5822</v>
      </c>
      <c r="D166" s="78" t="s">
        <v>7802</v>
      </c>
    </row>
    <row r="167" spans="1:4">
      <c r="A167" s="77">
        <v>165</v>
      </c>
      <c r="B167" s="10" t="s">
        <v>7911</v>
      </c>
      <c r="C167" s="78" t="s">
        <v>7447</v>
      </c>
      <c r="D167" s="78" t="s">
        <v>7802</v>
      </c>
    </row>
    <row r="168" spans="1:4">
      <c r="A168" s="77">
        <v>166</v>
      </c>
      <c r="B168" s="10" t="s">
        <v>7912</v>
      </c>
      <c r="C168" s="78" t="s">
        <v>6696</v>
      </c>
      <c r="D168" s="78" t="s">
        <v>7802</v>
      </c>
    </row>
    <row r="169" spans="1:4">
      <c r="A169" s="77">
        <v>167</v>
      </c>
      <c r="B169" s="10" t="s">
        <v>7912</v>
      </c>
      <c r="C169" s="78" t="s">
        <v>7010</v>
      </c>
      <c r="D169" s="78" t="s">
        <v>7802</v>
      </c>
    </row>
    <row r="170" spans="1:4">
      <c r="A170" s="77">
        <v>168</v>
      </c>
      <c r="B170" s="10" t="s">
        <v>7912</v>
      </c>
      <c r="C170" s="78" t="s">
        <v>7884</v>
      </c>
      <c r="D170" s="78" t="s">
        <v>7802</v>
      </c>
    </row>
    <row r="171" spans="1:4">
      <c r="A171" s="77">
        <v>169</v>
      </c>
      <c r="B171" s="10" t="s">
        <v>7912</v>
      </c>
      <c r="C171" s="78" t="s">
        <v>7913</v>
      </c>
      <c r="D171" s="78" t="s">
        <v>7802</v>
      </c>
    </row>
    <row r="172" spans="1:4">
      <c r="A172" s="77">
        <v>170</v>
      </c>
      <c r="B172" s="10" t="s">
        <v>7914</v>
      </c>
      <c r="C172" s="78" t="s">
        <v>7829</v>
      </c>
      <c r="D172" s="78" t="s">
        <v>7802</v>
      </c>
    </row>
    <row r="173" spans="1:4">
      <c r="A173" s="77">
        <v>171</v>
      </c>
      <c r="B173" s="10" t="s">
        <v>7915</v>
      </c>
      <c r="C173" s="78" t="s">
        <v>7916</v>
      </c>
      <c r="D173" s="78" t="s">
        <v>7802</v>
      </c>
    </row>
    <row r="174" spans="1:4">
      <c r="A174" s="77">
        <v>172</v>
      </c>
      <c r="B174" s="10" t="s">
        <v>7917</v>
      </c>
      <c r="C174" s="78" t="s">
        <v>7052</v>
      </c>
      <c r="D174" s="78" t="s">
        <v>7802</v>
      </c>
    </row>
    <row r="175" spans="1:4">
      <c r="A175" s="77">
        <v>173</v>
      </c>
      <c r="B175" s="10" t="s">
        <v>7917</v>
      </c>
      <c r="C175" s="78" t="s">
        <v>7801</v>
      </c>
      <c r="D175" s="78" t="s">
        <v>7802</v>
      </c>
    </row>
    <row r="176" spans="1:4">
      <c r="A176" s="77">
        <v>174</v>
      </c>
      <c r="B176" s="10" t="s">
        <v>7917</v>
      </c>
      <c r="C176" s="78" t="s">
        <v>7918</v>
      </c>
      <c r="D176" s="78" t="s">
        <v>7802</v>
      </c>
    </row>
    <row r="177" spans="1:4">
      <c r="A177" s="77">
        <v>175</v>
      </c>
      <c r="B177" s="10" t="s">
        <v>7917</v>
      </c>
      <c r="C177" s="78" t="s">
        <v>7908</v>
      </c>
      <c r="D177" s="78" t="s">
        <v>7802</v>
      </c>
    </row>
    <row r="178" spans="1:4">
      <c r="A178" s="77">
        <v>176</v>
      </c>
      <c r="B178" s="10" t="s">
        <v>7919</v>
      </c>
      <c r="C178" s="78" t="s">
        <v>7884</v>
      </c>
      <c r="D178" s="78" t="s">
        <v>7802</v>
      </c>
    </row>
    <row r="179" spans="1:4">
      <c r="A179" s="77">
        <v>177</v>
      </c>
      <c r="B179" s="10" t="s">
        <v>7920</v>
      </c>
      <c r="C179" s="78" t="s">
        <v>7409</v>
      </c>
      <c r="D179" s="78" t="s">
        <v>7802</v>
      </c>
    </row>
    <row r="180" spans="1:4">
      <c r="A180" s="77">
        <v>178</v>
      </c>
      <c r="B180" s="10" t="s">
        <v>7920</v>
      </c>
      <c r="C180" s="78" t="s">
        <v>7453</v>
      </c>
      <c r="D180" s="78" t="s">
        <v>7802</v>
      </c>
    </row>
    <row r="181" spans="1:4">
      <c r="A181" s="77">
        <v>179</v>
      </c>
      <c r="B181" s="10" t="s">
        <v>7920</v>
      </c>
      <c r="C181" s="78" t="s">
        <v>7868</v>
      </c>
      <c r="D181" s="78" t="s">
        <v>7802</v>
      </c>
    </row>
    <row r="182" spans="1:4">
      <c r="A182" s="77">
        <v>180</v>
      </c>
      <c r="B182" s="10" t="s">
        <v>7920</v>
      </c>
      <c r="C182" s="78" t="s">
        <v>7921</v>
      </c>
      <c r="D182" s="78" t="s">
        <v>7802</v>
      </c>
    </row>
    <row r="183" spans="1:4">
      <c r="A183" s="77">
        <v>181</v>
      </c>
      <c r="B183" s="10" t="s">
        <v>7920</v>
      </c>
      <c r="C183" s="78" t="s">
        <v>7463</v>
      </c>
      <c r="D183" s="78" t="s">
        <v>7802</v>
      </c>
    </row>
    <row r="184" spans="1:4">
      <c r="A184" s="77">
        <v>182</v>
      </c>
      <c r="B184" s="10" t="s">
        <v>7922</v>
      </c>
      <c r="C184" s="78" t="s">
        <v>7193</v>
      </c>
      <c r="D184" s="78" t="s">
        <v>7802</v>
      </c>
    </row>
    <row r="185" spans="1:4">
      <c r="A185" s="77">
        <v>183</v>
      </c>
      <c r="B185" s="10" t="s">
        <v>7922</v>
      </c>
      <c r="C185" s="78" t="s">
        <v>6968</v>
      </c>
      <c r="D185" s="78" t="s">
        <v>7802</v>
      </c>
    </row>
    <row r="186" spans="1:4">
      <c r="A186" s="77">
        <v>184</v>
      </c>
      <c r="B186" s="10" t="s">
        <v>7923</v>
      </c>
      <c r="C186" s="78" t="s">
        <v>7924</v>
      </c>
      <c r="D186" s="78" t="s">
        <v>7802</v>
      </c>
    </row>
    <row r="187" spans="1:4">
      <c r="A187" s="77">
        <v>185</v>
      </c>
      <c r="B187" s="10" t="s">
        <v>7923</v>
      </c>
      <c r="C187" s="78" t="s">
        <v>7379</v>
      </c>
      <c r="D187" s="78" t="s">
        <v>7802</v>
      </c>
    </row>
    <row r="188" spans="1:4">
      <c r="A188" s="77">
        <v>186</v>
      </c>
      <c r="B188" s="10" t="s">
        <v>7923</v>
      </c>
      <c r="C188" s="78" t="s">
        <v>7447</v>
      </c>
      <c r="D188" s="78" t="s">
        <v>7802</v>
      </c>
    </row>
    <row r="189" spans="1:4">
      <c r="A189" s="77">
        <v>187</v>
      </c>
      <c r="B189" s="10" t="s">
        <v>7925</v>
      </c>
      <c r="C189" s="78" t="s">
        <v>7926</v>
      </c>
      <c r="D189" s="78" t="s">
        <v>7802</v>
      </c>
    </row>
    <row r="190" spans="1:4">
      <c r="A190" s="77">
        <v>188</v>
      </c>
      <c r="B190" s="10" t="s">
        <v>7925</v>
      </c>
      <c r="C190" s="78" t="s">
        <v>7112</v>
      </c>
      <c r="D190" s="78" t="s">
        <v>7802</v>
      </c>
    </row>
    <row r="191" spans="1:4">
      <c r="A191" s="77">
        <v>189</v>
      </c>
      <c r="B191" s="10" t="s">
        <v>7925</v>
      </c>
      <c r="C191" s="78" t="s">
        <v>7852</v>
      </c>
      <c r="D191" s="78" t="s">
        <v>7802</v>
      </c>
    </row>
    <row r="192" spans="1:4">
      <c r="A192" s="77">
        <v>190</v>
      </c>
      <c r="B192" s="10" t="s">
        <v>7927</v>
      </c>
      <c r="C192" s="78" t="s">
        <v>7463</v>
      </c>
      <c r="D192" s="78" t="s">
        <v>7802</v>
      </c>
    </row>
    <row r="193" spans="1:4">
      <c r="A193" s="77">
        <v>191</v>
      </c>
      <c r="B193" s="10" t="s">
        <v>7928</v>
      </c>
      <c r="C193" s="78" t="s">
        <v>5159</v>
      </c>
      <c r="D193" s="78" t="s">
        <v>7802</v>
      </c>
    </row>
    <row r="194" spans="1:4">
      <c r="A194" s="77">
        <v>192</v>
      </c>
      <c r="B194" s="10" t="s">
        <v>7929</v>
      </c>
      <c r="C194" s="78" t="s">
        <v>7277</v>
      </c>
      <c r="D194" s="78" t="s">
        <v>7802</v>
      </c>
    </row>
    <row r="195" spans="1:4">
      <c r="A195" s="77">
        <v>193</v>
      </c>
      <c r="B195" s="10" t="s">
        <v>7929</v>
      </c>
      <c r="C195" s="78" t="s">
        <v>7930</v>
      </c>
      <c r="D195" s="78" t="s">
        <v>7802</v>
      </c>
    </row>
    <row r="196" spans="1:4">
      <c r="A196" s="77">
        <v>194</v>
      </c>
      <c r="B196" s="10" t="s">
        <v>7931</v>
      </c>
      <c r="C196" s="78" t="s">
        <v>7884</v>
      </c>
      <c r="D196" s="78" t="s">
        <v>7802</v>
      </c>
    </row>
    <row r="197" spans="1:4">
      <c r="A197" s="77">
        <v>195</v>
      </c>
      <c r="B197" s="10" t="s">
        <v>7931</v>
      </c>
      <c r="C197" s="78" t="s">
        <v>765</v>
      </c>
      <c r="D197" s="78" t="s">
        <v>7802</v>
      </c>
    </row>
    <row r="198" spans="1:4">
      <c r="A198" s="77">
        <v>196</v>
      </c>
      <c r="B198" s="10" t="s">
        <v>7931</v>
      </c>
      <c r="C198" s="78" t="s">
        <v>6730</v>
      </c>
      <c r="D198" s="78" t="s">
        <v>7802</v>
      </c>
    </row>
    <row r="199" spans="1:4">
      <c r="A199" s="77">
        <v>197</v>
      </c>
      <c r="B199" s="10" t="s">
        <v>7931</v>
      </c>
      <c r="C199" s="78" t="s">
        <v>6995</v>
      </c>
      <c r="D199" s="78" t="s">
        <v>7802</v>
      </c>
    </row>
    <row r="200" spans="1:4">
      <c r="A200" s="77">
        <v>198</v>
      </c>
      <c r="B200" s="10" t="s">
        <v>7932</v>
      </c>
      <c r="C200" s="78" t="s">
        <v>7112</v>
      </c>
      <c r="D200" s="78" t="s">
        <v>7802</v>
      </c>
    </row>
    <row r="201" spans="1:4">
      <c r="A201" s="77">
        <v>199</v>
      </c>
      <c r="B201" s="10" t="s">
        <v>7932</v>
      </c>
      <c r="C201" s="78" t="s">
        <v>765</v>
      </c>
      <c r="D201" s="78" t="s">
        <v>7802</v>
      </c>
    </row>
    <row r="202" spans="1:4">
      <c r="A202" s="77">
        <v>200</v>
      </c>
      <c r="B202" s="10" t="s">
        <v>7932</v>
      </c>
      <c r="C202" s="78" t="s">
        <v>7335</v>
      </c>
      <c r="D202" s="78" t="s">
        <v>7802</v>
      </c>
    </row>
    <row r="203" spans="1:4">
      <c r="A203" s="77">
        <v>201</v>
      </c>
      <c r="B203" s="10" t="s">
        <v>7932</v>
      </c>
      <c r="C203" s="78" t="s">
        <v>7095</v>
      </c>
      <c r="D203" s="78" t="s">
        <v>7802</v>
      </c>
    </row>
    <row r="204" spans="1:4">
      <c r="A204" s="77">
        <v>202</v>
      </c>
      <c r="B204" s="10" t="s">
        <v>7932</v>
      </c>
      <c r="C204" s="78" t="s">
        <v>7884</v>
      </c>
      <c r="D204" s="78" t="s">
        <v>7802</v>
      </c>
    </row>
    <row r="205" spans="1:4">
      <c r="A205" s="77">
        <v>203</v>
      </c>
      <c r="B205" s="10" t="s">
        <v>7932</v>
      </c>
      <c r="C205" s="78" t="s">
        <v>5159</v>
      </c>
      <c r="D205" s="78" t="s">
        <v>7802</v>
      </c>
    </row>
    <row r="206" spans="1:4">
      <c r="A206" s="77">
        <v>204</v>
      </c>
      <c r="B206" s="10" t="s">
        <v>7933</v>
      </c>
      <c r="C206" s="78" t="s">
        <v>7934</v>
      </c>
      <c r="D206" s="78" t="s">
        <v>7802</v>
      </c>
    </row>
    <row r="207" spans="1:4">
      <c r="A207" s="77">
        <v>205</v>
      </c>
      <c r="B207" s="10" t="s">
        <v>7933</v>
      </c>
      <c r="C207" s="78" t="s">
        <v>7935</v>
      </c>
      <c r="D207" s="78" t="s">
        <v>7802</v>
      </c>
    </row>
    <row r="208" spans="1:4">
      <c r="A208" s="77">
        <v>206</v>
      </c>
      <c r="B208" s="10" t="s">
        <v>7933</v>
      </c>
      <c r="C208" s="78" t="s">
        <v>7936</v>
      </c>
      <c r="D208" s="78" t="s">
        <v>7802</v>
      </c>
    </row>
    <row r="209" spans="1:4">
      <c r="A209" s="77">
        <v>207</v>
      </c>
      <c r="B209" s="10" t="s">
        <v>7937</v>
      </c>
      <c r="C209" s="78" t="s">
        <v>7112</v>
      </c>
      <c r="D209" s="78" t="s">
        <v>7802</v>
      </c>
    </row>
    <row r="210" spans="1:4">
      <c r="A210" s="77">
        <v>208</v>
      </c>
      <c r="B210" s="10" t="s">
        <v>7938</v>
      </c>
      <c r="C210" s="78" t="s">
        <v>5079</v>
      </c>
      <c r="D210" s="78" t="s">
        <v>7802</v>
      </c>
    </row>
    <row r="211" spans="1:4">
      <c r="A211" s="77">
        <v>209</v>
      </c>
      <c r="B211" s="10" t="s">
        <v>7938</v>
      </c>
      <c r="C211" s="78" t="s">
        <v>7801</v>
      </c>
      <c r="D211" s="78" t="s">
        <v>7802</v>
      </c>
    </row>
    <row r="212" spans="1:4">
      <c r="A212" s="77">
        <v>210</v>
      </c>
      <c r="B212" s="10" t="s">
        <v>7938</v>
      </c>
      <c r="C212" s="78" t="s">
        <v>7939</v>
      </c>
      <c r="D212" s="78" t="s">
        <v>7802</v>
      </c>
    </row>
    <row r="213" spans="1:4">
      <c r="A213" s="77">
        <v>211</v>
      </c>
      <c r="B213" s="10" t="s">
        <v>7938</v>
      </c>
      <c r="C213" s="78" t="s">
        <v>5159</v>
      </c>
      <c r="D213" s="78" t="s">
        <v>7802</v>
      </c>
    </row>
    <row r="214" spans="1:4">
      <c r="A214" s="77">
        <v>212</v>
      </c>
      <c r="B214" s="10" t="s">
        <v>7940</v>
      </c>
      <c r="C214" s="78" t="s">
        <v>7884</v>
      </c>
      <c r="D214" s="78" t="s">
        <v>7802</v>
      </c>
    </row>
    <row r="215" spans="1:4">
      <c r="A215" s="77">
        <v>213</v>
      </c>
      <c r="B215" s="10" t="s">
        <v>7940</v>
      </c>
      <c r="C215" s="78" t="s">
        <v>7095</v>
      </c>
      <c r="D215" s="78" t="s">
        <v>7802</v>
      </c>
    </row>
    <row r="216" spans="1:4">
      <c r="A216" s="77">
        <v>214</v>
      </c>
      <c r="B216" s="10" t="s">
        <v>7940</v>
      </c>
      <c r="C216" s="78" t="s">
        <v>6995</v>
      </c>
      <c r="D216" s="78" t="s">
        <v>7802</v>
      </c>
    </row>
    <row r="217" spans="1:4">
      <c r="A217" s="77">
        <v>215</v>
      </c>
      <c r="B217" s="10" t="s">
        <v>7940</v>
      </c>
      <c r="C217" s="78" t="s">
        <v>6968</v>
      </c>
      <c r="D217" s="78" t="s">
        <v>7802</v>
      </c>
    </row>
    <row r="218" spans="1:4">
      <c r="A218" s="77">
        <v>216</v>
      </c>
      <c r="B218" s="10" t="s">
        <v>7940</v>
      </c>
      <c r="C218" s="78" t="s">
        <v>5159</v>
      </c>
      <c r="D218" s="78" t="s">
        <v>7802</v>
      </c>
    </row>
    <row r="219" spans="1:4">
      <c r="A219" s="77">
        <v>217</v>
      </c>
      <c r="B219" s="10" t="s">
        <v>7940</v>
      </c>
      <c r="C219" s="78" t="s">
        <v>7893</v>
      </c>
      <c r="D219" s="78" t="s">
        <v>7802</v>
      </c>
    </row>
    <row r="220" spans="1:4">
      <c r="A220" s="77">
        <v>218</v>
      </c>
      <c r="B220" s="10" t="s">
        <v>7941</v>
      </c>
      <c r="C220" s="78" t="s">
        <v>7893</v>
      </c>
      <c r="D220" s="78" t="s">
        <v>7802</v>
      </c>
    </row>
    <row r="221" spans="1:4">
      <c r="A221" s="77">
        <v>219</v>
      </c>
      <c r="B221" s="10" t="s">
        <v>7941</v>
      </c>
      <c r="C221" s="78" t="s">
        <v>7102</v>
      </c>
      <c r="D221" s="78" t="s">
        <v>7802</v>
      </c>
    </row>
    <row r="222" spans="1:4">
      <c r="A222" s="77">
        <v>220</v>
      </c>
      <c r="B222" s="10" t="s">
        <v>7942</v>
      </c>
      <c r="C222" s="78" t="s">
        <v>7102</v>
      </c>
      <c r="D222" s="78" t="s">
        <v>7802</v>
      </c>
    </row>
    <row r="223" spans="1:4">
      <c r="A223" s="77">
        <v>221</v>
      </c>
      <c r="B223" s="10" t="s">
        <v>7943</v>
      </c>
      <c r="C223" s="78" t="s">
        <v>7442</v>
      </c>
      <c r="D223" s="78" t="s">
        <v>7802</v>
      </c>
    </row>
    <row r="224" spans="1:4">
      <c r="A224" s="77">
        <v>222</v>
      </c>
      <c r="B224" s="10" t="s">
        <v>7943</v>
      </c>
      <c r="C224" s="78" t="s">
        <v>7460</v>
      </c>
      <c r="D224" s="78" t="s">
        <v>7802</v>
      </c>
    </row>
    <row r="225" spans="1:4">
      <c r="A225" s="77">
        <v>223</v>
      </c>
      <c r="B225" s="10" t="s">
        <v>7944</v>
      </c>
      <c r="C225" s="78" t="s">
        <v>6976</v>
      </c>
      <c r="D225" s="78" t="s">
        <v>7802</v>
      </c>
    </row>
    <row r="226" spans="1:4">
      <c r="A226" s="77">
        <v>224</v>
      </c>
      <c r="B226" s="10" t="s">
        <v>7944</v>
      </c>
      <c r="C226" s="78" t="s">
        <v>7945</v>
      </c>
      <c r="D226" s="78" t="s">
        <v>7802</v>
      </c>
    </row>
    <row r="227" spans="1:4">
      <c r="A227" s="77">
        <v>225</v>
      </c>
      <c r="B227" s="10" t="s">
        <v>7946</v>
      </c>
      <c r="C227" s="78" t="s">
        <v>7404</v>
      </c>
      <c r="D227" s="78" t="s">
        <v>7802</v>
      </c>
    </row>
    <row r="228" spans="1:4">
      <c r="A228" s="77">
        <v>226</v>
      </c>
      <c r="B228" s="10" t="s">
        <v>7947</v>
      </c>
      <c r="C228" s="78" t="s">
        <v>7801</v>
      </c>
      <c r="D228" s="78" t="s">
        <v>7802</v>
      </c>
    </row>
    <row r="229" spans="1:4">
      <c r="A229" s="77">
        <v>227</v>
      </c>
      <c r="B229" s="10" t="s">
        <v>7948</v>
      </c>
      <c r="C229" s="78" t="s">
        <v>6968</v>
      </c>
      <c r="D229" s="78" t="s">
        <v>7802</v>
      </c>
    </row>
    <row r="230" spans="1:4">
      <c r="A230" s="77">
        <v>228</v>
      </c>
      <c r="B230" s="10" t="s">
        <v>7949</v>
      </c>
      <c r="C230" s="78" t="s">
        <v>7106</v>
      </c>
      <c r="D230" s="78" t="s">
        <v>7802</v>
      </c>
    </row>
    <row r="231" spans="1:4">
      <c r="A231" s="77">
        <v>229</v>
      </c>
      <c r="B231" s="10" t="s">
        <v>7950</v>
      </c>
      <c r="C231" s="78" t="s">
        <v>7442</v>
      </c>
      <c r="D231" s="78" t="s">
        <v>7802</v>
      </c>
    </row>
    <row r="232" spans="1:4">
      <c r="A232" s="77">
        <v>230</v>
      </c>
      <c r="B232" s="10" t="s">
        <v>7950</v>
      </c>
      <c r="C232" s="78" t="s">
        <v>7463</v>
      </c>
      <c r="D232" s="78" t="s">
        <v>7802</v>
      </c>
    </row>
    <row r="233" spans="1:4">
      <c r="A233" s="77">
        <v>231</v>
      </c>
      <c r="B233" s="10" t="s">
        <v>7951</v>
      </c>
      <c r="C233" s="78" t="s">
        <v>7952</v>
      </c>
      <c r="D233" s="78" t="s">
        <v>7802</v>
      </c>
    </row>
    <row r="234" spans="1:4">
      <c r="A234" s="77">
        <v>232</v>
      </c>
      <c r="B234" s="10" t="s">
        <v>7951</v>
      </c>
      <c r="C234" s="78" t="s">
        <v>7952</v>
      </c>
      <c r="D234" s="78" t="s">
        <v>7802</v>
      </c>
    </row>
    <row r="235" spans="1:4">
      <c r="A235" s="77">
        <v>233</v>
      </c>
      <c r="B235" s="10" t="s">
        <v>7953</v>
      </c>
      <c r="C235" s="78" t="s">
        <v>7801</v>
      </c>
      <c r="D235" s="78" t="s">
        <v>7802</v>
      </c>
    </row>
    <row r="236" spans="1:4">
      <c r="A236" s="77">
        <v>234</v>
      </c>
      <c r="B236" s="10" t="s">
        <v>7954</v>
      </c>
      <c r="C236" s="78" t="s">
        <v>7091</v>
      </c>
      <c r="D236" s="78" t="s">
        <v>7802</v>
      </c>
    </row>
    <row r="237" spans="1:4">
      <c r="A237" s="77">
        <v>235</v>
      </c>
      <c r="B237" s="10" t="s">
        <v>7954</v>
      </c>
      <c r="C237" s="78" t="s">
        <v>6968</v>
      </c>
      <c r="D237" s="78" t="s">
        <v>7802</v>
      </c>
    </row>
    <row r="238" spans="1:4">
      <c r="A238" s="77">
        <v>236</v>
      </c>
      <c r="B238" s="10" t="s">
        <v>7955</v>
      </c>
      <c r="C238" s="78" t="s">
        <v>7091</v>
      </c>
      <c r="D238" s="78" t="s">
        <v>7802</v>
      </c>
    </row>
    <row r="239" spans="1:4">
      <c r="A239" s="77">
        <v>237</v>
      </c>
      <c r="B239" s="10" t="s">
        <v>7956</v>
      </c>
      <c r="C239" s="78" t="s">
        <v>6552</v>
      </c>
      <c r="D239" s="78" t="s">
        <v>7802</v>
      </c>
    </row>
    <row r="240" spans="1:4">
      <c r="A240" s="77">
        <v>238</v>
      </c>
      <c r="B240" s="10" t="s">
        <v>7956</v>
      </c>
      <c r="C240" s="78" t="s">
        <v>7442</v>
      </c>
      <c r="D240" s="78" t="s">
        <v>7802</v>
      </c>
    </row>
    <row r="241" spans="1:4">
      <c r="A241" s="77">
        <v>239</v>
      </c>
      <c r="B241" s="10" t="s">
        <v>7957</v>
      </c>
      <c r="C241" s="78" t="s">
        <v>7460</v>
      </c>
      <c r="D241" s="78" t="s">
        <v>7802</v>
      </c>
    </row>
    <row r="242" spans="1:4">
      <c r="A242" s="77">
        <v>240</v>
      </c>
      <c r="B242" s="10" t="s">
        <v>7957</v>
      </c>
      <c r="C242" s="78" t="s">
        <v>7447</v>
      </c>
      <c r="D242" s="78" t="s">
        <v>7802</v>
      </c>
    </row>
    <row r="243" spans="1:4">
      <c r="A243" s="77">
        <v>241</v>
      </c>
      <c r="B243" s="10" t="s">
        <v>7957</v>
      </c>
      <c r="C243" s="78" t="s">
        <v>7930</v>
      </c>
      <c r="D243" s="78" t="s">
        <v>7802</v>
      </c>
    </row>
    <row r="244" spans="1:4">
      <c r="A244" s="77">
        <v>242</v>
      </c>
      <c r="B244" s="10" t="s">
        <v>7958</v>
      </c>
      <c r="C244" s="78" t="s">
        <v>7106</v>
      </c>
      <c r="D244" s="78" t="s">
        <v>7802</v>
      </c>
    </row>
    <row r="245" spans="1:4">
      <c r="A245" s="77">
        <v>243</v>
      </c>
      <c r="B245" s="10" t="s">
        <v>7959</v>
      </c>
      <c r="C245" s="78" t="s">
        <v>7960</v>
      </c>
      <c r="D245" s="78" t="s">
        <v>7802</v>
      </c>
    </row>
    <row r="246" spans="1:4">
      <c r="A246" s="77">
        <v>244</v>
      </c>
      <c r="B246" s="10" t="s">
        <v>7959</v>
      </c>
      <c r="C246" s="78" t="s">
        <v>7825</v>
      </c>
      <c r="D246" s="78" t="s">
        <v>7802</v>
      </c>
    </row>
    <row r="247" spans="1:4">
      <c r="A247" s="77">
        <v>245</v>
      </c>
      <c r="B247" s="10" t="s">
        <v>7959</v>
      </c>
      <c r="C247" s="78" t="s">
        <v>5565</v>
      </c>
      <c r="D247" s="78" t="s">
        <v>7802</v>
      </c>
    </row>
    <row r="248" spans="1:4">
      <c r="A248" s="77">
        <v>246</v>
      </c>
      <c r="B248" s="10" t="s">
        <v>7959</v>
      </c>
      <c r="C248" s="78" t="s">
        <v>7801</v>
      </c>
      <c r="D248" s="78" t="s">
        <v>7802</v>
      </c>
    </row>
    <row r="249" spans="1:4">
      <c r="A249" s="77">
        <v>247</v>
      </c>
      <c r="B249" s="10" t="s">
        <v>7959</v>
      </c>
      <c r="C249" s="78" t="s">
        <v>7961</v>
      </c>
      <c r="D249" s="78" t="s">
        <v>7802</v>
      </c>
    </row>
    <row r="250" spans="1:4">
      <c r="A250" s="77">
        <v>248</v>
      </c>
      <c r="B250" s="10" t="s">
        <v>7962</v>
      </c>
      <c r="C250" s="78" t="s">
        <v>5565</v>
      </c>
      <c r="D250" s="78" t="s">
        <v>7802</v>
      </c>
    </row>
    <row r="251" spans="1:4">
      <c r="A251" s="77">
        <v>249</v>
      </c>
      <c r="B251" s="10" t="s">
        <v>7963</v>
      </c>
      <c r="C251" s="78" t="s">
        <v>6968</v>
      </c>
      <c r="D251" s="78" t="s">
        <v>7802</v>
      </c>
    </row>
    <row r="252" spans="1:4">
      <c r="A252" s="77">
        <v>250</v>
      </c>
      <c r="B252" s="10" t="s">
        <v>7963</v>
      </c>
      <c r="C252" s="78" t="s">
        <v>7118</v>
      </c>
      <c r="D252" s="78" t="s">
        <v>7802</v>
      </c>
    </row>
    <row r="253" spans="1:4">
      <c r="A253" s="77">
        <v>251</v>
      </c>
      <c r="B253" s="10" t="s">
        <v>7964</v>
      </c>
      <c r="C253" s="78" t="s">
        <v>7193</v>
      </c>
      <c r="D253" s="78" t="s">
        <v>7802</v>
      </c>
    </row>
    <row r="254" spans="1:4">
      <c r="A254" s="77">
        <v>252</v>
      </c>
      <c r="B254" s="10" t="s">
        <v>7964</v>
      </c>
      <c r="C254" s="78" t="s">
        <v>7965</v>
      </c>
      <c r="D254" s="78" t="s">
        <v>7802</v>
      </c>
    </row>
    <row r="255" spans="1:4">
      <c r="A255" s="77">
        <v>253</v>
      </c>
      <c r="B255" s="10" t="s">
        <v>7964</v>
      </c>
      <c r="C255" s="78" t="s">
        <v>6730</v>
      </c>
      <c r="D255" s="78" t="s">
        <v>7802</v>
      </c>
    </row>
    <row r="256" spans="1:4">
      <c r="A256" s="77">
        <v>254</v>
      </c>
      <c r="B256" s="10" t="s">
        <v>7964</v>
      </c>
      <c r="C256" s="78" t="s">
        <v>7842</v>
      </c>
      <c r="D256" s="78" t="s">
        <v>7802</v>
      </c>
    </row>
    <row r="257" spans="1:4">
      <c r="A257" s="77">
        <v>255</v>
      </c>
      <c r="B257" s="10" t="s">
        <v>7964</v>
      </c>
      <c r="C257" s="78" t="s">
        <v>5538</v>
      </c>
      <c r="D257" s="78" t="s">
        <v>7802</v>
      </c>
    </row>
    <row r="258" spans="1:4">
      <c r="A258" s="77">
        <v>256</v>
      </c>
      <c r="B258" s="10" t="s">
        <v>7964</v>
      </c>
      <c r="C258" s="78" t="s">
        <v>7428</v>
      </c>
      <c r="D258" s="78" t="s">
        <v>7802</v>
      </c>
    </row>
    <row r="259" spans="1:4">
      <c r="A259" s="77">
        <v>257</v>
      </c>
      <c r="B259" s="10" t="s">
        <v>7964</v>
      </c>
      <c r="C259" s="78" t="s">
        <v>7112</v>
      </c>
      <c r="D259" s="78" t="s">
        <v>7802</v>
      </c>
    </row>
    <row r="260" spans="1:4">
      <c r="A260" s="77">
        <v>258</v>
      </c>
      <c r="B260" s="10" t="s">
        <v>7964</v>
      </c>
      <c r="C260" s="78" t="s">
        <v>6970</v>
      </c>
      <c r="D260" s="78" t="s">
        <v>7802</v>
      </c>
    </row>
    <row r="261" spans="1:4">
      <c r="A261" s="77">
        <v>259</v>
      </c>
      <c r="B261" s="10" t="s">
        <v>7964</v>
      </c>
      <c r="C261" s="78" t="s">
        <v>7966</v>
      </c>
      <c r="D261" s="78" t="s">
        <v>7802</v>
      </c>
    </row>
    <row r="262" spans="1:4">
      <c r="A262" s="77">
        <v>260</v>
      </c>
      <c r="B262" s="10" t="s">
        <v>7964</v>
      </c>
      <c r="C262" s="78" t="s">
        <v>7801</v>
      </c>
      <c r="D262" s="78" t="s">
        <v>7802</v>
      </c>
    </row>
    <row r="263" spans="1:4">
      <c r="A263" s="77">
        <v>261</v>
      </c>
      <c r="B263" s="10" t="s">
        <v>7964</v>
      </c>
      <c r="C263" s="78" t="s">
        <v>7379</v>
      </c>
      <c r="D263" s="78" t="s">
        <v>7802</v>
      </c>
    </row>
    <row r="264" spans="1:4">
      <c r="A264" s="77">
        <v>262</v>
      </c>
      <c r="B264" s="10" t="s">
        <v>7964</v>
      </c>
      <c r="C264" s="78" t="s">
        <v>7319</v>
      </c>
      <c r="D264" s="78" t="s">
        <v>7802</v>
      </c>
    </row>
    <row r="265" spans="1:4">
      <c r="A265" s="77">
        <v>263</v>
      </c>
      <c r="B265" s="10" t="s">
        <v>7964</v>
      </c>
      <c r="C265" s="78" t="s">
        <v>4023</v>
      </c>
      <c r="D265" s="78" t="s">
        <v>7802</v>
      </c>
    </row>
    <row r="266" spans="1:4">
      <c r="A266" s="77">
        <v>264</v>
      </c>
      <c r="B266" s="10" t="s">
        <v>7964</v>
      </c>
      <c r="C266" s="78" t="s">
        <v>7450</v>
      </c>
      <c r="D266" s="78" t="s">
        <v>7802</v>
      </c>
    </row>
    <row r="267" spans="1:4">
      <c r="A267" s="77">
        <v>265</v>
      </c>
      <c r="B267" s="10" t="s">
        <v>7964</v>
      </c>
      <c r="C267" s="78" t="s">
        <v>7967</v>
      </c>
      <c r="D267" s="78" t="s">
        <v>7802</v>
      </c>
    </row>
    <row r="268" spans="1:4">
      <c r="A268" s="77">
        <v>266</v>
      </c>
      <c r="B268" s="10" t="s">
        <v>7964</v>
      </c>
      <c r="C268" s="78" t="s">
        <v>7287</v>
      </c>
      <c r="D268" s="78" t="s">
        <v>7802</v>
      </c>
    </row>
    <row r="269" spans="1:4">
      <c r="A269" s="77">
        <v>267</v>
      </c>
      <c r="B269" s="10" t="s">
        <v>7964</v>
      </c>
      <c r="C269" s="78" t="s">
        <v>7442</v>
      </c>
      <c r="D269" s="78" t="s">
        <v>7802</v>
      </c>
    </row>
    <row r="270" spans="1:4">
      <c r="A270" s="77">
        <v>268</v>
      </c>
      <c r="B270" s="10" t="s">
        <v>7968</v>
      </c>
      <c r="C270" s="78" t="s">
        <v>7091</v>
      </c>
      <c r="D270" s="78" t="s">
        <v>7802</v>
      </c>
    </row>
    <row r="271" spans="1:4">
      <c r="A271" s="77">
        <v>269</v>
      </c>
      <c r="B271" s="10" t="s">
        <v>7968</v>
      </c>
      <c r="C271" s="78" t="s">
        <v>7969</v>
      </c>
      <c r="D271" s="78" t="s">
        <v>7802</v>
      </c>
    </row>
    <row r="272" spans="1:4">
      <c r="A272" s="77">
        <v>270</v>
      </c>
      <c r="B272" s="10" t="s">
        <v>7970</v>
      </c>
      <c r="C272" s="78" t="s">
        <v>7842</v>
      </c>
      <c r="D272" s="78" t="s">
        <v>7802</v>
      </c>
    </row>
    <row r="273" spans="1:4">
      <c r="A273" s="77">
        <v>271</v>
      </c>
      <c r="B273" s="10" t="s">
        <v>7970</v>
      </c>
      <c r="C273" s="78" t="s">
        <v>7846</v>
      </c>
      <c r="D273" s="78" t="s">
        <v>7802</v>
      </c>
    </row>
    <row r="274" spans="1:4">
      <c r="A274" s="77">
        <v>272</v>
      </c>
      <c r="B274" s="10" t="s">
        <v>7970</v>
      </c>
      <c r="C274" s="78" t="s">
        <v>7969</v>
      </c>
      <c r="D274" s="78" t="s">
        <v>7802</v>
      </c>
    </row>
    <row r="275" spans="1:4">
      <c r="A275" s="77">
        <v>273</v>
      </c>
      <c r="B275" s="10" t="s">
        <v>7971</v>
      </c>
      <c r="C275" s="78" t="s">
        <v>7813</v>
      </c>
      <c r="D275" s="78" t="s">
        <v>7802</v>
      </c>
    </row>
    <row r="276" spans="1:4">
      <c r="A276" s="77">
        <v>274</v>
      </c>
      <c r="B276" s="10" t="s">
        <v>7971</v>
      </c>
      <c r="C276" s="78" t="s">
        <v>7899</v>
      </c>
      <c r="D276" s="78" t="s">
        <v>7802</v>
      </c>
    </row>
    <row r="277" spans="1:4">
      <c r="A277" s="77">
        <v>275</v>
      </c>
      <c r="B277" s="10" t="s">
        <v>7971</v>
      </c>
      <c r="C277" s="78" t="s">
        <v>7422</v>
      </c>
      <c r="D277" s="78" t="s">
        <v>7802</v>
      </c>
    </row>
    <row r="278" spans="1:4">
      <c r="A278" s="77">
        <v>276</v>
      </c>
      <c r="B278" s="10" t="s">
        <v>7971</v>
      </c>
      <c r="C278" s="78" t="s">
        <v>7469</v>
      </c>
      <c r="D278" s="78" t="s">
        <v>7802</v>
      </c>
    </row>
    <row r="279" spans="1:4">
      <c r="A279" s="77">
        <v>277</v>
      </c>
      <c r="B279" s="10" t="s">
        <v>7971</v>
      </c>
      <c r="C279" s="78" t="s">
        <v>7447</v>
      </c>
      <c r="D279" s="78" t="s">
        <v>7802</v>
      </c>
    </row>
    <row r="280" spans="1:4">
      <c r="A280" s="77">
        <v>278</v>
      </c>
      <c r="B280" s="10" t="s">
        <v>7972</v>
      </c>
      <c r="C280" s="78" t="s">
        <v>7973</v>
      </c>
      <c r="D280" s="78" t="s">
        <v>7802</v>
      </c>
    </row>
    <row r="281" spans="1:4">
      <c r="A281" s="77">
        <v>279</v>
      </c>
      <c r="B281" s="10" t="s">
        <v>7974</v>
      </c>
      <c r="C281" s="78" t="s">
        <v>7975</v>
      </c>
      <c r="D281" s="78" t="s">
        <v>7802</v>
      </c>
    </row>
    <row r="282" spans="1:4">
      <c r="A282" s="77">
        <v>280</v>
      </c>
      <c r="B282" s="10" t="s">
        <v>7974</v>
      </c>
      <c r="C282" s="78" t="s">
        <v>5216</v>
      </c>
      <c r="D282" s="78" t="s">
        <v>7802</v>
      </c>
    </row>
    <row r="283" spans="1:4">
      <c r="A283" s="77">
        <v>281</v>
      </c>
      <c r="B283" s="10" t="s">
        <v>7974</v>
      </c>
      <c r="C283" s="78" t="s">
        <v>7976</v>
      </c>
      <c r="D283" s="78" t="s">
        <v>7802</v>
      </c>
    </row>
    <row r="284" spans="1:4">
      <c r="A284" s="77">
        <v>282</v>
      </c>
      <c r="B284" s="10" t="s">
        <v>7974</v>
      </c>
      <c r="C284" s="78" t="s">
        <v>7010</v>
      </c>
      <c r="D284" s="78" t="s">
        <v>7802</v>
      </c>
    </row>
    <row r="285" spans="1:4">
      <c r="A285" s="77">
        <v>283</v>
      </c>
      <c r="B285" s="10" t="s">
        <v>7974</v>
      </c>
      <c r="C285" s="78" t="s">
        <v>7977</v>
      </c>
      <c r="D285" s="78" t="s">
        <v>7802</v>
      </c>
    </row>
    <row r="286" spans="1:4">
      <c r="A286" s="77">
        <v>284</v>
      </c>
      <c r="B286" s="10" t="s">
        <v>7974</v>
      </c>
      <c r="C286" s="78" t="s">
        <v>7442</v>
      </c>
      <c r="D286" s="78" t="s">
        <v>7802</v>
      </c>
    </row>
    <row r="287" spans="1:4">
      <c r="A287" s="77">
        <v>285</v>
      </c>
      <c r="B287" s="10" t="s">
        <v>7978</v>
      </c>
      <c r="C287" s="78" t="s">
        <v>7091</v>
      </c>
      <c r="D287" s="78" t="s">
        <v>7802</v>
      </c>
    </row>
    <row r="288" spans="1:4">
      <c r="A288" s="77">
        <v>286</v>
      </c>
      <c r="B288" s="10" t="s">
        <v>7978</v>
      </c>
      <c r="C288" s="78" t="s">
        <v>6409</v>
      </c>
      <c r="D288" s="78" t="s">
        <v>7802</v>
      </c>
    </row>
    <row r="289" spans="1:4">
      <c r="A289" s="77">
        <v>287</v>
      </c>
      <c r="B289" s="10" t="s">
        <v>7979</v>
      </c>
      <c r="C289" s="78" t="s">
        <v>7401</v>
      </c>
      <c r="D289" s="78" t="s">
        <v>7802</v>
      </c>
    </row>
    <row r="290" spans="1:4">
      <c r="A290" s="77">
        <v>288</v>
      </c>
      <c r="B290" s="10" t="s">
        <v>7979</v>
      </c>
      <c r="C290" s="78" t="s">
        <v>7834</v>
      </c>
      <c r="D290" s="78" t="s">
        <v>7802</v>
      </c>
    </row>
    <row r="291" spans="1:4">
      <c r="A291" s="77">
        <v>289</v>
      </c>
      <c r="B291" s="10" t="s">
        <v>7979</v>
      </c>
      <c r="C291" s="78" t="s">
        <v>7319</v>
      </c>
      <c r="D291" s="78" t="s">
        <v>7802</v>
      </c>
    </row>
    <row r="292" spans="1:4">
      <c r="A292" s="77">
        <v>290</v>
      </c>
      <c r="B292" s="10" t="s">
        <v>7980</v>
      </c>
      <c r="C292" s="78" t="s">
        <v>7155</v>
      </c>
      <c r="D292" s="78" t="s">
        <v>7802</v>
      </c>
    </row>
    <row r="293" spans="1:4">
      <c r="A293" s="77">
        <v>291</v>
      </c>
      <c r="B293" s="10" t="s">
        <v>7981</v>
      </c>
      <c r="C293" s="78" t="s">
        <v>7165</v>
      </c>
      <c r="D293" s="78" t="s">
        <v>7802</v>
      </c>
    </row>
    <row r="294" spans="1:4">
      <c r="A294" s="77">
        <v>292</v>
      </c>
      <c r="B294" s="10" t="s">
        <v>7982</v>
      </c>
      <c r="C294" s="78" t="s">
        <v>7146</v>
      </c>
      <c r="D294" s="78" t="s">
        <v>7802</v>
      </c>
    </row>
    <row r="295" spans="1:4">
      <c r="A295" s="77">
        <v>293</v>
      </c>
      <c r="B295" s="10" t="s">
        <v>7983</v>
      </c>
      <c r="C295" s="78" t="s">
        <v>7165</v>
      </c>
      <c r="D295" s="78" t="s">
        <v>7802</v>
      </c>
    </row>
    <row r="296" spans="1:4">
      <c r="A296" s="77">
        <v>294</v>
      </c>
      <c r="B296" s="10" t="s">
        <v>7983</v>
      </c>
      <c r="C296" s="78" t="s">
        <v>7193</v>
      </c>
      <c r="D296" s="78" t="s">
        <v>7802</v>
      </c>
    </row>
    <row r="297" spans="1:4">
      <c r="A297" s="77">
        <v>295</v>
      </c>
      <c r="B297" s="10" t="s">
        <v>7983</v>
      </c>
      <c r="C297" s="78" t="s">
        <v>7277</v>
      </c>
      <c r="D297" s="78" t="s">
        <v>7802</v>
      </c>
    </row>
    <row r="298" spans="1:4">
      <c r="A298" s="77">
        <v>296</v>
      </c>
      <c r="B298" s="10" t="s">
        <v>7983</v>
      </c>
      <c r="C298" s="78" t="s">
        <v>2293</v>
      </c>
      <c r="D298" s="78" t="s">
        <v>7802</v>
      </c>
    </row>
    <row r="299" spans="1:4">
      <c r="A299" s="77">
        <v>297</v>
      </c>
      <c r="B299" s="10" t="s">
        <v>7983</v>
      </c>
      <c r="C299" s="78" t="s">
        <v>7834</v>
      </c>
      <c r="D299" s="78" t="s">
        <v>7802</v>
      </c>
    </row>
    <row r="300" spans="1:4">
      <c r="A300" s="77">
        <v>298</v>
      </c>
      <c r="B300" s="10" t="s">
        <v>7984</v>
      </c>
      <c r="C300" s="78" t="s">
        <v>7196</v>
      </c>
      <c r="D300" s="78" t="s">
        <v>7802</v>
      </c>
    </row>
    <row r="301" spans="1:4">
      <c r="A301" s="77">
        <v>299</v>
      </c>
      <c r="B301" s="10" t="s">
        <v>7985</v>
      </c>
      <c r="C301" s="78" t="s">
        <v>4635</v>
      </c>
      <c r="D301" s="78" t="s">
        <v>7802</v>
      </c>
    </row>
    <row r="302" spans="1:4">
      <c r="A302" s="77">
        <v>300</v>
      </c>
      <c r="B302" s="10" t="s">
        <v>7985</v>
      </c>
      <c r="C302" s="78" t="s">
        <v>7902</v>
      </c>
      <c r="D302" s="78" t="s">
        <v>7802</v>
      </c>
    </row>
    <row r="303" spans="1:4">
      <c r="A303" s="77">
        <v>301</v>
      </c>
      <c r="B303" s="10" t="s">
        <v>7986</v>
      </c>
      <c r="C303" s="78" t="s">
        <v>7146</v>
      </c>
      <c r="D303" s="78" t="s">
        <v>7802</v>
      </c>
    </row>
    <row r="304" spans="1:4">
      <c r="A304" s="77">
        <v>302</v>
      </c>
      <c r="B304" s="10" t="s">
        <v>7987</v>
      </c>
      <c r="C304" s="78" t="s">
        <v>6409</v>
      </c>
      <c r="D304" s="78" t="s">
        <v>7802</v>
      </c>
    </row>
    <row r="305" spans="1:4">
      <c r="A305" s="77">
        <v>303</v>
      </c>
      <c r="B305" s="10" t="s">
        <v>7987</v>
      </c>
      <c r="C305" s="78" t="s">
        <v>7196</v>
      </c>
      <c r="D305" s="78" t="s">
        <v>7802</v>
      </c>
    </row>
    <row r="306" spans="1:4">
      <c r="A306" s="77">
        <v>304</v>
      </c>
      <c r="B306" s="10" t="s">
        <v>7988</v>
      </c>
      <c r="C306" s="78" t="s">
        <v>7095</v>
      </c>
      <c r="D306" s="78" t="s">
        <v>7802</v>
      </c>
    </row>
    <row r="307" spans="1:4">
      <c r="A307" s="77">
        <v>305</v>
      </c>
      <c r="B307" s="10" t="s">
        <v>7988</v>
      </c>
      <c r="C307" s="78" t="s">
        <v>7010</v>
      </c>
      <c r="D307" s="78" t="s">
        <v>7802</v>
      </c>
    </row>
    <row r="308" spans="1:4">
      <c r="A308" s="77">
        <v>306</v>
      </c>
      <c r="B308" s="10" t="s">
        <v>7988</v>
      </c>
      <c r="C308" s="78" t="s">
        <v>7989</v>
      </c>
      <c r="D308" s="78" t="s">
        <v>7802</v>
      </c>
    </row>
    <row r="309" spans="1:4">
      <c r="A309" s="77">
        <v>307</v>
      </c>
      <c r="B309" s="10" t="s">
        <v>7988</v>
      </c>
      <c r="C309" s="78" t="s">
        <v>7277</v>
      </c>
      <c r="D309" s="78" t="s">
        <v>7802</v>
      </c>
    </row>
    <row r="310" spans="1:4">
      <c r="A310" s="77">
        <v>308</v>
      </c>
      <c r="B310" s="10" t="s">
        <v>7988</v>
      </c>
      <c r="C310" s="78" t="s">
        <v>7460</v>
      </c>
      <c r="D310" s="78" t="s">
        <v>7802</v>
      </c>
    </row>
    <row r="311" spans="1:4">
      <c r="A311" s="77">
        <v>309</v>
      </c>
      <c r="B311" s="10" t="s">
        <v>7990</v>
      </c>
      <c r="C311" s="78" t="s">
        <v>7842</v>
      </c>
      <c r="D311" s="78" t="s">
        <v>7802</v>
      </c>
    </row>
    <row r="312" spans="1:4">
      <c r="A312" s="77">
        <v>310</v>
      </c>
      <c r="B312" s="10" t="s">
        <v>7990</v>
      </c>
      <c r="C312" s="78" t="s">
        <v>7975</v>
      </c>
      <c r="D312" s="78" t="s">
        <v>7802</v>
      </c>
    </row>
    <row r="313" spans="1:4">
      <c r="A313" s="77">
        <v>311</v>
      </c>
      <c r="B313" s="10" t="s">
        <v>7990</v>
      </c>
      <c r="C313" s="78" t="s">
        <v>6689</v>
      </c>
      <c r="D313" s="78" t="s">
        <v>7802</v>
      </c>
    </row>
    <row r="314" spans="1:4">
      <c r="A314" s="77">
        <v>312</v>
      </c>
      <c r="B314" s="10" t="s">
        <v>7991</v>
      </c>
      <c r="C314" s="78" t="s">
        <v>7305</v>
      </c>
      <c r="D314" s="78" t="s">
        <v>7802</v>
      </c>
    </row>
    <row r="315" spans="1:4">
      <c r="A315" s="77">
        <v>313</v>
      </c>
      <c r="B315" s="10" t="s">
        <v>7991</v>
      </c>
      <c r="C315" s="78" t="s">
        <v>7992</v>
      </c>
      <c r="D315" s="78" t="s">
        <v>7802</v>
      </c>
    </row>
    <row r="316" spans="1:4">
      <c r="A316" s="77">
        <v>314</v>
      </c>
      <c r="B316" s="10" t="s">
        <v>7993</v>
      </c>
      <c r="C316" s="78" t="s">
        <v>7175</v>
      </c>
      <c r="D316" s="78" t="s">
        <v>7802</v>
      </c>
    </row>
    <row r="317" spans="1:4">
      <c r="A317" s="77">
        <v>315</v>
      </c>
      <c r="B317" s="10" t="s">
        <v>7993</v>
      </c>
      <c r="C317" s="78" t="s">
        <v>5099</v>
      </c>
      <c r="D317" s="78" t="s">
        <v>7802</v>
      </c>
    </row>
    <row r="318" spans="1:4">
      <c r="A318" s="77">
        <v>316</v>
      </c>
      <c r="B318" s="10" t="s">
        <v>7993</v>
      </c>
      <c r="C318" s="78" t="s">
        <v>6746</v>
      </c>
      <c r="D318" s="78" t="s">
        <v>7802</v>
      </c>
    </row>
    <row r="319" spans="1:4">
      <c r="A319" s="77">
        <v>317</v>
      </c>
      <c r="B319" s="10" t="s">
        <v>7993</v>
      </c>
      <c r="C319" s="78" t="s">
        <v>1446</v>
      </c>
      <c r="D319" s="78" t="s">
        <v>7802</v>
      </c>
    </row>
    <row r="320" spans="1:4">
      <c r="A320" s="77">
        <v>318</v>
      </c>
      <c r="B320" s="10" t="s">
        <v>7993</v>
      </c>
      <c r="C320" s="78" t="s">
        <v>7973</v>
      </c>
      <c r="D320" s="78" t="s">
        <v>7802</v>
      </c>
    </row>
    <row r="321" spans="1:4">
      <c r="A321" s="77">
        <v>319</v>
      </c>
      <c r="B321" s="10" t="s">
        <v>7993</v>
      </c>
      <c r="C321" s="78" t="s">
        <v>7994</v>
      </c>
      <c r="D321" s="78" t="s">
        <v>7802</v>
      </c>
    </row>
    <row r="322" spans="1:4">
      <c r="A322" s="77">
        <v>320</v>
      </c>
      <c r="B322" s="10" t="s">
        <v>7995</v>
      </c>
      <c r="C322" s="78" t="s">
        <v>7834</v>
      </c>
      <c r="D322" s="78" t="s">
        <v>7802</v>
      </c>
    </row>
    <row r="323" spans="1:4">
      <c r="A323" s="77">
        <v>321</v>
      </c>
      <c r="B323" s="10" t="s">
        <v>7995</v>
      </c>
      <c r="C323" s="78" t="s">
        <v>7975</v>
      </c>
      <c r="D323" s="78" t="s">
        <v>7802</v>
      </c>
    </row>
    <row r="324" spans="1:4">
      <c r="A324" s="77">
        <v>322</v>
      </c>
      <c r="B324" s="10" t="s">
        <v>7995</v>
      </c>
      <c r="C324" s="78" t="s">
        <v>7825</v>
      </c>
      <c r="D324" s="78" t="s">
        <v>7802</v>
      </c>
    </row>
    <row r="325" spans="1:4">
      <c r="A325" s="77">
        <v>323</v>
      </c>
      <c r="B325" s="10" t="s">
        <v>7995</v>
      </c>
      <c r="C325" s="78" t="s">
        <v>7305</v>
      </c>
      <c r="D325" s="78" t="s">
        <v>7802</v>
      </c>
    </row>
    <row r="326" spans="1:4">
      <c r="A326" s="77">
        <v>324</v>
      </c>
      <c r="B326" s="10" t="s">
        <v>7995</v>
      </c>
      <c r="C326" s="78" t="s">
        <v>7977</v>
      </c>
      <c r="D326" s="78" t="s">
        <v>7802</v>
      </c>
    </row>
    <row r="327" spans="1:4">
      <c r="A327" s="77">
        <v>325</v>
      </c>
      <c r="B327" s="10" t="s">
        <v>7995</v>
      </c>
      <c r="C327" s="78" t="s">
        <v>6409</v>
      </c>
      <c r="D327" s="78" t="s">
        <v>7802</v>
      </c>
    </row>
    <row r="328" spans="1:4">
      <c r="A328" s="77">
        <v>326</v>
      </c>
      <c r="B328" s="10" t="s">
        <v>7995</v>
      </c>
      <c r="C328" s="78" t="s">
        <v>5982</v>
      </c>
      <c r="D328" s="78" t="s">
        <v>7802</v>
      </c>
    </row>
    <row r="329" spans="1:4">
      <c r="A329" s="77">
        <v>327</v>
      </c>
      <c r="B329" s="10" t="s">
        <v>7996</v>
      </c>
      <c r="C329" s="78" t="s">
        <v>7810</v>
      </c>
      <c r="D329" s="78" t="s">
        <v>7802</v>
      </c>
    </row>
    <row r="330" spans="1:4">
      <c r="A330" s="77">
        <v>328</v>
      </c>
      <c r="B330" s="10" t="s">
        <v>7997</v>
      </c>
      <c r="C330" s="78" t="s">
        <v>7175</v>
      </c>
      <c r="D330" s="78" t="s">
        <v>7802</v>
      </c>
    </row>
    <row r="331" spans="1:4">
      <c r="A331" s="77">
        <v>329</v>
      </c>
      <c r="B331" s="10" t="s">
        <v>7998</v>
      </c>
      <c r="C331" s="78" t="s">
        <v>7999</v>
      </c>
      <c r="D331" s="78" t="s">
        <v>7802</v>
      </c>
    </row>
    <row r="332" spans="1:4">
      <c r="A332" s="77">
        <v>330</v>
      </c>
      <c r="B332" s="10" t="s">
        <v>7998</v>
      </c>
      <c r="C332" s="78" t="s">
        <v>8000</v>
      </c>
      <c r="D332" s="78" t="s">
        <v>7802</v>
      </c>
    </row>
    <row r="333" spans="1:4">
      <c r="A333" s="77">
        <v>331</v>
      </c>
      <c r="B333" s="10" t="s">
        <v>7998</v>
      </c>
      <c r="C333" s="78" t="s">
        <v>8001</v>
      </c>
      <c r="D333" s="78" t="s">
        <v>7802</v>
      </c>
    </row>
    <row r="334" spans="1:4">
      <c r="A334" s="77">
        <v>332</v>
      </c>
      <c r="B334" s="10" t="s">
        <v>7998</v>
      </c>
      <c r="C334" s="78" t="s">
        <v>7435</v>
      </c>
      <c r="D334" s="78" t="s">
        <v>7802</v>
      </c>
    </row>
    <row r="335" spans="1:4">
      <c r="A335" s="77">
        <v>333</v>
      </c>
      <c r="B335" s="10" t="s">
        <v>7998</v>
      </c>
      <c r="C335" s="78" t="s">
        <v>8002</v>
      </c>
      <c r="D335" s="78" t="s">
        <v>7802</v>
      </c>
    </row>
    <row r="336" spans="1:4">
      <c r="A336" s="77">
        <v>334</v>
      </c>
      <c r="B336" s="10" t="s">
        <v>8003</v>
      </c>
      <c r="C336" s="78" t="s">
        <v>7469</v>
      </c>
      <c r="D336" s="78" t="s">
        <v>7802</v>
      </c>
    </row>
    <row r="337" spans="1:4">
      <c r="A337" s="77">
        <v>335</v>
      </c>
      <c r="B337" s="10" t="s">
        <v>8003</v>
      </c>
      <c r="C337" s="78" t="s">
        <v>7975</v>
      </c>
      <c r="D337" s="78" t="s">
        <v>7802</v>
      </c>
    </row>
    <row r="338" spans="1:4">
      <c r="A338" s="77">
        <v>336</v>
      </c>
      <c r="B338" s="10" t="s">
        <v>8003</v>
      </c>
      <c r="C338" s="78" t="s">
        <v>7196</v>
      </c>
      <c r="D338" s="78" t="s">
        <v>7802</v>
      </c>
    </row>
    <row r="339" spans="1:4">
      <c r="A339" s="77">
        <v>337</v>
      </c>
      <c r="B339" s="10" t="s">
        <v>8003</v>
      </c>
      <c r="C339" s="78" t="s">
        <v>7801</v>
      </c>
      <c r="D339" s="78" t="s">
        <v>7802</v>
      </c>
    </row>
    <row r="340" spans="1:4">
      <c r="A340" s="77">
        <v>338</v>
      </c>
      <c r="B340" s="10" t="s">
        <v>8004</v>
      </c>
      <c r="C340" s="78" t="s">
        <v>7447</v>
      </c>
      <c r="D340" s="78" t="s">
        <v>7802</v>
      </c>
    </row>
    <row r="341" spans="1:4">
      <c r="A341" s="77">
        <v>339</v>
      </c>
      <c r="B341" s="10" t="s">
        <v>8004</v>
      </c>
      <c r="C341" s="78" t="s">
        <v>7442</v>
      </c>
      <c r="D341" s="78" t="s">
        <v>7802</v>
      </c>
    </row>
    <row r="342" spans="1:4">
      <c r="A342" s="77">
        <v>340</v>
      </c>
      <c r="B342" s="10" t="s">
        <v>8005</v>
      </c>
      <c r="C342" s="78" t="s">
        <v>8006</v>
      </c>
      <c r="D342" s="78" t="s">
        <v>7802</v>
      </c>
    </row>
    <row r="343" spans="1:4">
      <c r="A343" s="77">
        <v>341</v>
      </c>
      <c r="B343" s="10" t="s">
        <v>8005</v>
      </c>
      <c r="C343" s="78" t="s">
        <v>7447</v>
      </c>
      <c r="D343" s="78" t="s">
        <v>7802</v>
      </c>
    </row>
    <row r="344" spans="1:4">
      <c r="A344" s="77">
        <v>342</v>
      </c>
      <c r="B344" s="10" t="s">
        <v>8005</v>
      </c>
      <c r="C344" s="78" t="s">
        <v>8007</v>
      </c>
      <c r="D344" s="78" t="s">
        <v>7802</v>
      </c>
    </row>
    <row r="345" spans="1:4">
      <c r="A345" s="77">
        <v>343</v>
      </c>
      <c r="B345" s="10" t="s">
        <v>8005</v>
      </c>
      <c r="C345" s="78" t="s">
        <v>7442</v>
      </c>
      <c r="D345" s="78" t="s">
        <v>7802</v>
      </c>
    </row>
    <row r="346" spans="1:4">
      <c r="A346" s="77">
        <v>344</v>
      </c>
      <c r="B346" s="10" t="s">
        <v>8008</v>
      </c>
      <c r="C346" s="78" t="s">
        <v>7052</v>
      </c>
      <c r="D346" s="78" t="s">
        <v>7802</v>
      </c>
    </row>
    <row r="347" spans="1:4">
      <c r="A347" s="77">
        <v>345</v>
      </c>
      <c r="B347" s="10" t="s">
        <v>8008</v>
      </c>
      <c r="C347" s="78" t="s">
        <v>7435</v>
      </c>
      <c r="D347" s="78" t="s">
        <v>7802</v>
      </c>
    </row>
    <row r="348" spans="1:4">
      <c r="A348" s="77">
        <v>346</v>
      </c>
      <c r="B348" s="10" t="s">
        <v>8008</v>
      </c>
      <c r="C348" s="78" t="s">
        <v>7442</v>
      </c>
      <c r="D348" s="78" t="s">
        <v>7802</v>
      </c>
    </row>
    <row r="349" spans="1:4">
      <c r="A349" s="77">
        <v>347</v>
      </c>
      <c r="B349" s="10" t="s">
        <v>8008</v>
      </c>
      <c r="C349" s="78" t="s">
        <v>8000</v>
      </c>
      <c r="D349" s="78" t="s">
        <v>7802</v>
      </c>
    </row>
    <row r="350" spans="1:4">
      <c r="A350" s="77">
        <v>348</v>
      </c>
      <c r="B350" s="10" t="s">
        <v>8009</v>
      </c>
      <c r="C350" s="78" t="s">
        <v>7973</v>
      </c>
      <c r="D350" s="78" t="s">
        <v>7802</v>
      </c>
    </row>
    <row r="351" spans="1:4">
      <c r="A351" s="77">
        <v>349</v>
      </c>
      <c r="B351" s="10" t="s">
        <v>8009</v>
      </c>
      <c r="C351" s="78" t="s">
        <v>6696</v>
      </c>
      <c r="D351" s="78" t="s">
        <v>7802</v>
      </c>
    </row>
    <row r="352" spans="1:4">
      <c r="A352" s="77">
        <v>350</v>
      </c>
      <c r="B352" s="10" t="s">
        <v>8009</v>
      </c>
      <c r="C352" s="78" t="s">
        <v>8010</v>
      </c>
      <c r="D352" s="78" t="s">
        <v>7802</v>
      </c>
    </row>
    <row r="353" spans="1:4">
      <c r="A353" s="77">
        <v>351</v>
      </c>
      <c r="B353" s="10" t="s">
        <v>8009</v>
      </c>
      <c r="C353" s="78" t="s">
        <v>4975</v>
      </c>
      <c r="D353" s="78" t="s">
        <v>7802</v>
      </c>
    </row>
    <row r="354" spans="1:4">
      <c r="A354" s="77">
        <v>352</v>
      </c>
      <c r="B354" s="10" t="s">
        <v>8009</v>
      </c>
      <c r="C354" s="78" t="s">
        <v>8011</v>
      </c>
      <c r="D354" s="78" t="s">
        <v>7802</v>
      </c>
    </row>
    <row r="355" spans="1:4">
      <c r="A355" s="77">
        <v>353</v>
      </c>
      <c r="B355" s="10" t="s">
        <v>8009</v>
      </c>
      <c r="C355" s="78" t="s">
        <v>7810</v>
      </c>
      <c r="D355" s="78" t="s">
        <v>7802</v>
      </c>
    </row>
    <row r="356" spans="1:4">
      <c r="A356" s="77">
        <v>354</v>
      </c>
      <c r="B356" s="10" t="s">
        <v>8012</v>
      </c>
      <c r="C356" s="78" t="s">
        <v>7801</v>
      </c>
      <c r="D356" s="78" t="s">
        <v>7802</v>
      </c>
    </row>
    <row r="357" spans="1:4">
      <c r="A357" s="77">
        <v>355</v>
      </c>
      <c r="B357" s="10" t="s">
        <v>8013</v>
      </c>
      <c r="C357" s="78" t="s">
        <v>7322</v>
      </c>
      <c r="D357" s="78" t="s">
        <v>7802</v>
      </c>
    </row>
    <row r="358" spans="1:4">
      <c r="A358" s="77">
        <v>356</v>
      </c>
      <c r="B358" s="10" t="s">
        <v>8013</v>
      </c>
      <c r="C358" s="78" t="s">
        <v>5825</v>
      </c>
      <c r="D358" s="78" t="s">
        <v>7802</v>
      </c>
    </row>
    <row r="359" spans="1:4">
      <c r="A359" s="77">
        <v>357</v>
      </c>
      <c r="B359" s="10" t="s">
        <v>8014</v>
      </c>
      <c r="C359" s="78" t="s">
        <v>7165</v>
      </c>
      <c r="D359" s="78" t="s">
        <v>7802</v>
      </c>
    </row>
    <row r="360" spans="1:4">
      <c r="A360" s="77">
        <v>358</v>
      </c>
      <c r="B360" s="10" t="s">
        <v>8014</v>
      </c>
      <c r="C360" s="78" t="s">
        <v>5785</v>
      </c>
      <c r="D360" s="78" t="s">
        <v>7802</v>
      </c>
    </row>
    <row r="361" spans="1:4">
      <c r="A361" s="77">
        <v>359</v>
      </c>
      <c r="B361" s="10" t="s">
        <v>8015</v>
      </c>
      <c r="C361" s="78" t="s">
        <v>8016</v>
      </c>
      <c r="D361" s="78" t="s">
        <v>7802</v>
      </c>
    </row>
    <row r="362" spans="1:4">
      <c r="A362" s="77">
        <v>360</v>
      </c>
      <c r="B362" s="10" t="s">
        <v>8017</v>
      </c>
      <c r="C362" s="78" t="s">
        <v>3281</v>
      </c>
      <c r="D362" s="78" t="s">
        <v>7802</v>
      </c>
    </row>
    <row r="363" spans="1:4">
      <c r="A363" s="77">
        <v>361</v>
      </c>
      <c r="B363" s="10" t="s">
        <v>8017</v>
      </c>
      <c r="C363" s="78" t="s">
        <v>7146</v>
      </c>
      <c r="D363" s="78" t="s">
        <v>7802</v>
      </c>
    </row>
    <row r="364" spans="1:4">
      <c r="A364" s="77">
        <v>362</v>
      </c>
      <c r="B364" s="10" t="s">
        <v>8017</v>
      </c>
      <c r="C364" s="78" t="s">
        <v>8018</v>
      </c>
      <c r="D364" s="78" t="s">
        <v>7802</v>
      </c>
    </row>
    <row r="365" spans="1:4">
      <c r="A365" s="77">
        <v>363</v>
      </c>
      <c r="B365" s="10" t="s">
        <v>8017</v>
      </c>
      <c r="C365" s="78" t="s">
        <v>7361</v>
      </c>
      <c r="D365" s="78" t="s">
        <v>7802</v>
      </c>
    </row>
    <row r="366" spans="1:4">
      <c r="A366" s="77">
        <v>364</v>
      </c>
      <c r="B366" s="10" t="s">
        <v>8019</v>
      </c>
      <c r="C366" s="78" t="s">
        <v>7193</v>
      </c>
      <c r="D366" s="78" t="s">
        <v>7802</v>
      </c>
    </row>
    <row r="367" spans="1:4">
      <c r="A367" s="77">
        <v>365</v>
      </c>
      <c r="B367" s="10" t="s">
        <v>8019</v>
      </c>
      <c r="C367" s="78" t="s">
        <v>7450</v>
      </c>
      <c r="D367" s="78" t="s">
        <v>7802</v>
      </c>
    </row>
    <row r="368" spans="1:4">
      <c r="A368" s="77">
        <v>366</v>
      </c>
      <c r="B368" s="10" t="s">
        <v>8019</v>
      </c>
      <c r="C368" s="78" t="s">
        <v>7661</v>
      </c>
      <c r="D368" s="78" t="s">
        <v>7802</v>
      </c>
    </row>
    <row r="369" spans="1:4">
      <c r="A369" s="77">
        <v>367</v>
      </c>
      <c r="B369" s="10" t="s">
        <v>8019</v>
      </c>
      <c r="C369" s="78" t="s">
        <v>8020</v>
      </c>
      <c r="D369" s="78" t="s">
        <v>7802</v>
      </c>
    </row>
    <row r="370" spans="1:4">
      <c r="A370" s="77">
        <v>368</v>
      </c>
      <c r="B370" s="10" t="s">
        <v>8019</v>
      </c>
      <c r="C370" s="78" t="s">
        <v>7332</v>
      </c>
      <c r="D370" s="78" t="s">
        <v>7802</v>
      </c>
    </row>
    <row r="371" spans="1:4">
      <c r="A371" s="77">
        <v>369</v>
      </c>
      <c r="B371" s="10" t="s">
        <v>8019</v>
      </c>
      <c r="C371" s="78" t="s">
        <v>7287</v>
      </c>
      <c r="D371" s="78" t="s">
        <v>7802</v>
      </c>
    </row>
    <row r="372" spans="1:4">
      <c r="A372" s="77">
        <v>370</v>
      </c>
      <c r="B372" s="10" t="s">
        <v>8019</v>
      </c>
      <c r="C372" s="78" t="s">
        <v>8021</v>
      </c>
      <c r="D372" s="78" t="s">
        <v>7802</v>
      </c>
    </row>
    <row r="373" spans="1:4">
      <c r="A373" s="77">
        <v>371</v>
      </c>
      <c r="B373" s="10" t="s">
        <v>8022</v>
      </c>
      <c r="C373" s="78" t="s">
        <v>8023</v>
      </c>
      <c r="D373" s="78" t="s">
        <v>7802</v>
      </c>
    </row>
    <row r="374" spans="1:4">
      <c r="A374" s="77">
        <v>372</v>
      </c>
      <c r="B374" s="10" t="s">
        <v>8024</v>
      </c>
      <c r="C374" s="78" t="s">
        <v>7661</v>
      </c>
      <c r="D374" s="78" t="s">
        <v>7802</v>
      </c>
    </row>
    <row r="375" spans="1:4">
      <c r="A375" s="77">
        <v>373</v>
      </c>
      <c r="B375" s="10" t="s">
        <v>8024</v>
      </c>
      <c r="C375" s="78" t="s">
        <v>7450</v>
      </c>
      <c r="D375" s="78" t="s">
        <v>7802</v>
      </c>
    </row>
    <row r="376" spans="1:4">
      <c r="A376" s="77">
        <v>374</v>
      </c>
      <c r="B376" s="10" t="s">
        <v>8024</v>
      </c>
      <c r="C376" s="78" t="s">
        <v>7200</v>
      </c>
      <c r="D376" s="78" t="s">
        <v>7802</v>
      </c>
    </row>
    <row r="377" spans="1:4">
      <c r="A377" s="77">
        <v>375</v>
      </c>
      <c r="B377" s="10" t="s">
        <v>8024</v>
      </c>
      <c r="C377" s="78" t="s">
        <v>5079</v>
      </c>
      <c r="D377" s="78" t="s">
        <v>7802</v>
      </c>
    </row>
    <row r="378" spans="1:4">
      <c r="A378" s="77">
        <v>376</v>
      </c>
      <c r="B378" s="10" t="s">
        <v>8024</v>
      </c>
      <c r="C378" s="78" t="s">
        <v>7193</v>
      </c>
      <c r="D378" s="78" t="s">
        <v>7802</v>
      </c>
    </row>
    <row r="379" spans="1:4">
      <c r="A379" s="77">
        <v>377</v>
      </c>
      <c r="B379" s="10" t="s">
        <v>8024</v>
      </c>
      <c r="C379" s="78" t="s">
        <v>1446</v>
      </c>
      <c r="D379" s="78" t="s">
        <v>7802</v>
      </c>
    </row>
    <row r="380" spans="1:4">
      <c r="A380" s="77">
        <v>378</v>
      </c>
      <c r="B380" s="10" t="s">
        <v>8024</v>
      </c>
      <c r="C380" s="78" t="s">
        <v>7863</v>
      </c>
      <c r="D380" s="78" t="s">
        <v>7802</v>
      </c>
    </row>
    <row r="381" spans="1:4">
      <c r="A381" s="77">
        <v>379</v>
      </c>
      <c r="B381" s="10" t="s">
        <v>8024</v>
      </c>
      <c r="C381" s="78" t="s">
        <v>7368</v>
      </c>
      <c r="D381" s="78" t="s">
        <v>7802</v>
      </c>
    </row>
    <row r="382" spans="1:4">
      <c r="A382" s="77">
        <v>380</v>
      </c>
      <c r="B382" s="10" t="s">
        <v>8024</v>
      </c>
      <c r="C382" s="78" t="s">
        <v>8025</v>
      </c>
      <c r="D382" s="78" t="s">
        <v>7802</v>
      </c>
    </row>
    <row r="383" spans="1:4">
      <c r="A383" s="77">
        <v>381</v>
      </c>
      <c r="B383" s="10" t="s">
        <v>8024</v>
      </c>
      <c r="C383" s="78" t="s">
        <v>7374</v>
      </c>
      <c r="D383" s="78" t="s">
        <v>7802</v>
      </c>
    </row>
    <row r="384" spans="1:4">
      <c r="A384" s="77">
        <v>382</v>
      </c>
      <c r="B384" s="10" t="s">
        <v>8024</v>
      </c>
      <c r="C384" s="78" t="s">
        <v>5099</v>
      </c>
      <c r="D384" s="78" t="s">
        <v>7802</v>
      </c>
    </row>
    <row r="385" spans="1:4">
      <c r="A385" s="77">
        <v>383</v>
      </c>
      <c r="B385" s="10" t="s">
        <v>8024</v>
      </c>
      <c r="C385" s="78" t="s">
        <v>7450</v>
      </c>
      <c r="D385" s="78" t="s">
        <v>7802</v>
      </c>
    </row>
    <row r="386" spans="1:4">
      <c r="A386" s="77">
        <v>384</v>
      </c>
      <c r="B386" s="10" t="s">
        <v>8024</v>
      </c>
      <c r="C386" s="78" t="s">
        <v>6722</v>
      </c>
      <c r="D386" s="78" t="s">
        <v>7802</v>
      </c>
    </row>
    <row r="387" spans="1:4">
      <c r="A387" s="77">
        <v>385</v>
      </c>
      <c r="B387" s="10" t="s">
        <v>8024</v>
      </c>
      <c r="C387" s="78" t="s">
        <v>4975</v>
      </c>
      <c r="D387" s="78" t="s">
        <v>7802</v>
      </c>
    </row>
    <row r="388" spans="1:4">
      <c r="A388" s="77">
        <v>386</v>
      </c>
      <c r="B388" s="10" t="s">
        <v>8026</v>
      </c>
      <c r="C388" s="78" t="s">
        <v>7450</v>
      </c>
      <c r="D388" s="78" t="s">
        <v>7802</v>
      </c>
    </row>
    <row r="389" spans="1:4">
      <c r="A389" s="77">
        <v>387</v>
      </c>
      <c r="B389" s="10" t="s">
        <v>8026</v>
      </c>
      <c r="C389" s="78" t="s">
        <v>7193</v>
      </c>
      <c r="D389" s="78" t="s">
        <v>7802</v>
      </c>
    </row>
    <row r="390" spans="1:4">
      <c r="A390" s="77">
        <v>388</v>
      </c>
      <c r="B390" s="10" t="s">
        <v>8027</v>
      </c>
      <c r="C390" s="78" t="s">
        <v>7118</v>
      </c>
      <c r="D390" s="78" t="s">
        <v>7802</v>
      </c>
    </row>
    <row r="391" spans="1:4">
      <c r="A391" s="77">
        <v>389</v>
      </c>
      <c r="B391" s="10" t="s">
        <v>8027</v>
      </c>
      <c r="C391" s="78" t="s">
        <v>7965</v>
      </c>
      <c r="D391" s="78" t="s">
        <v>7802</v>
      </c>
    </row>
    <row r="392" spans="1:4">
      <c r="A392" s="77">
        <v>390</v>
      </c>
      <c r="B392" s="10" t="s">
        <v>8028</v>
      </c>
      <c r="C392" s="78" t="s">
        <v>7494</v>
      </c>
      <c r="D392" s="78" t="s">
        <v>7802</v>
      </c>
    </row>
    <row r="393" spans="1:4">
      <c r="A393" s="77">
        <v>391</v>
      </c>
      <c r="B393" s="10" t="s">
        <v>8028</v>
      </c>
      <c r="C393" s="78" t="s">
        <v>8029</v>
      </c>
      <c r="D393" s="78" t="s">
        <v>7802</v>
      </c>
    </row>
    <row r="394" spans="1:4">
      <c r="A394" s="77">
        <v>392</v>
      </c>
      <c r="B394" s="10" t="s">
        <v>8030</v>
      </c>
      <c r="C394" s="78" t="s">
        <v>7852</v>
      </c>
      <c r="D394" s="78" t="s">
        <v>7802</v>
      </c>
    </row>
    <row r="395" spans="1:4">
      <c r="A395" s="77">
        <v>393</v>
      </c>
      <c r="B395" s="10" t="s">
        <v>8030</v>
      </c>
      <c r="C395" s="78" t="s">
        <v>7447</v>
      </c>
      <c r="D395" s="78" t="s">
        <v>7802</v>
      </c>
    </row>
    <row r="396" spans="1:4">
      <c r="A396" s="77">
        <v>394</v>
      </c>
      <c r="B396" s="10" t="s">
        <v>8031</v>
      </c>
      <c r="C396" s="78" t="s">
        <v>7273</v>
      </c>
      <c r="D396" s="78" t="s">
        <v>7802</v>
      </c>
    </row>
    <row r="397" spans="1:4">
      <c r="A397" s="77">
        <v>395</v>
      </c>
      <c r="B397" s="10" t="s">
        <v>8031</v>
      </c>
      <c r="C397" s="78" t="s">
        <v>2363</v>
      </c>
      <c r="D397" s="78" t="s">
        <v>7802</v>
      </c>
    </row>
    <row r="398" spans="1:4">
      <c r="A398" s="77">
        <v>396</v>
      </c>
      <c r="B398" s="10" t="s">
        <v>8031</v>
      </c>
      <c r="C398" s="78" t="s">
        <v>5397</v>
      </c>
      <c r="D398" s="78" t="s">
        <v>7802</v>
      </c>
    </row>
    <row r="399" spans="1:4">
      <c r="A399" s="77">
        <v>397</v>
      </c>
      <c r="B399" s="10" t="s">
        <v>8032</v>
      </c>
      <c r="C399" s="78" t="s">
        <v>7878</v>
      </c>
      <c r="D399" s="78" t="s">
        <v>7802</v>
      </c>
    </row>
    <row r="400" spans="1:4">
      <c r="A400" s="77">
        <v>398</v>
      </c>
      <c r="B400" s="10" t="s">
        <v>8032</v>
      </c>
      <c r="C400" s="78" t="s">
        <v>8033</v>
      </c>
      <c r="D400" s="78" t="s">
        <v>7802</v>
      </c>
    </row>
    <row r="401" spans="1:4">
      <c r="A401" s="77">
        <v>399</v>
      </c>
      <c r="B401" s="10" t="s">
        <v>8032</v>
      </c>
      <c r="C401" s="78" t="s">
        <v>7435</v>
      </c>
      <c r="D401" s="78" t="s">
        <v>7802</v>
      </c>
    </row>
    <row r="402" spans="1:4">
      <c r="A402" s="77">
        <v>400</v>
      </c>
      <c r="B402" s="10" t="s">
        <v>8034</v>
      </c>
      <c r="C402" s="78" t="s">
        <v>7801</v>
      </c>
      <c r="D402" s="78" t="s">
        <v>7802</v>
      </c>
    </row>
    <row r="403" spans="1:4">
      <c r="A403" s="77">
        <v>401</v>
      </c>
      <c r="B403" s="10" t="s">
        <v>8034</v>
      </c>
      <c r="C403" s="78" t="s">
        <v>8035</v>
      </c>
      <c r="D403" s="78" t="s">
        <v>7802</v>
      </c>
    </row>
    <row r="404" spans="1:4">
      <c r="A404" s="77">
        <v>402</v>
      </c>
      <c r="B404" s="10" t="s">
        <v>8034</v>
      </c>
      <c r="C404" s="78" t="s">
        <v>7810</v>
      </c>
      <c r="D404" s="78" t="s">
        <v>7802</v>
      </c>
    </row>
    <row r="405" spans="1:4">
      <c r="A405" s="77">
        <v>403</v>
      </c>
      <c r="B405" s="10" t="s">
        <v>8034</v>
      </c>
      <c r="C405" s="78" t="s">
        <v>7193</v>
      </c>
      <c r="D405" s="78" t="s">
        <v>7802</v>
      </c>
    </row>
    <row r="406" spans="1:4">
      <c r="A406" s="77">
        <v>404</v>
      </c>
      <c r="B406" s="10" t="s">
        <v>8036</v>
      </c>
      <c r="C406" s="78" t="s">
        <v>7175</v>
      </c>
      <c r="D406" s="78" t="s">
        <v>7802</v>
      </c>
    </row>
    <row r="407" spans="1:4">
      <c r="A407" s="77">
        <v>405</v>
      </c>
      <c r="B407" s="10" t="s">
        <v>8037</v>
      </c>
      <c r="C407" s="78" t="s">
        <v>7450</v>
      </c>
      <c r="D407" s="78" t="s">
        <v>7802</v>
      </c>
    </row>
    <row r="408" spans="1:4">
      <c r="A408" s="77">
        <v>406</v>
      </c>
      <c r="B408" s="10" t="s">
        <v>8037</v>
      </c>
      <c r="C408" s="78" t="s">
        <v>7196</v>
      </c>
      <c r="D408" s="78" t="s">
        <v>7802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90057-9BF8-4899-99D7-713F37F836CF}">
  <sheetPr>
    <tabColor rgb="FF006432"/>
  </sheetPr>
  <dimension ref="A1:E160"/>
  <sheetViews>
    <sheetView workbookViewId="0">
      <pane ySplit="3" topLeftCell="A4" activePane="bottomLeft" state="frozen"/>
      <selection pane="bottomLeft" activeCell="C3" sqref="C3"/>
    </sheetView>
  </sheetViews>
  <sheetFormatPr defaultRowHeight="15"/>
  <cols>
    <col min="1" max="1" width="4.85546875" customWidth="1"/>
    <col min="2" max="2" width="33.140625" customWidth="1"/>
    <col min="3" max="3" width="19.85546875" customWidth="1"/>
    <col min="4" max="4" width="11.85546875" customWidth="1"/>
    <col min="5" max="5" width="16.5703125" customWidth="1"/>
  </cols>
  <sheetData>
    <row r="1" spans="1:5" ht="16.5" thickBot="1">
      <c r="A1" s="26" t="s">
        <v>8038</v>
      </c>
      <c r="B1" s="26"/>
    </row>
    <row r="2" spans="1:5" ht="8.25" customHeight="1" thickTop="1"/>
    <row r="3" spans="1:5" ht="25.5">
      <c r="A3" s="46" t="s">
        <v>114</v>
      </c>
      <c r="B3" s="46" t="s">
        <v>8039</v>
      </c>
      <c r="C3" s="46" t="s">
        <v>117</v>
      </c>
      <c r="D3" s="46" t="s">
        <v>8040</v>
      </c>
      <c r="E3" s="46" t="s">
        <v>8041</v>
      </c>
    </row>
    <row r="4" spans="1:5">
      <c r="A4" s="10">
        <v>1</v>
      </c>
      <c r="B4" s="104" t="s">
        <v>8042</v>
      </c>
      <c r="C4" s="6" t="s">
        <v>122</v>
      </c>
      <c r="D4" s="77" t="s">
        <v>8043</v>
      </c>
      <c r="E4" s="10">
        <f>3193600/1000</f>
        <v>3193.6</v>
      </c>
    </row>
    <row r="5" spans="1:5">
      <c r="A5" s="10">
        <f>A4+1</f>
        <v>2</v>
      </c>
      <c r="B5" s="104" t="s">
        <v>8044</v>
      </c>
      <c r="C5" s="6" t="s">
        <v>122</v>
      </c>
      <c r="D5" s="77" t="s">
        <v>8043</v>
      </c>
      <c r="E5" s="10">
        <f>16546610/1000</f>
        <v>16546.61</v>
      </c>
    </row>
    <row r="6" spans="1:5">
      <c r="A6" s="10">
        <f>A5+1</f>
        <v>3</v>
      </c>
      <c r="B6" s="104" t="s">
        <v>8045</v>
      </c>
      <c r="C6" s="6" t="s">
        <v>122</v>
      </c>
      <c r="D6" s="77" t="s">
        <v>8043</v>
      </c>
      <c r="E6" s="10">
        <f>1264300/1000</f>
        <v>1264.3</v>
      </c>
    </row>
    <row r="7" spans="1:5">
      <c r="A7" s="10">
        <f t="shared" ref="A7:A70" si="0">A6+1</f>
        <v>4</v>
      </c>
      <c r="B7" s="104" t="s">
        <v>8046</v>
      </c>
      <c r="C7" s="6" t="s">
        <v>122</v>
      </c>
      <c r="D7" s="77" t="s">
        <v>8043</v>
      </c>
      <c r="E7" s="105">
        <f>3363300/1000</f>
        <v>3363.3</v>
      </c>
    </row>
    <row r="8" spans="1:5">
      <c r="A8" s="10">
        <f t="shared" si="0"/>
        <v>5</v>
      </c>
      <c r="B8" s="104" t="s">
        <v>8047</v>
      </c>
      <c r="C8" s="6" t="s">
        <v>122</v>
      </c>
      <c r="D8" s="77" t="s">
        <v>8043</v>
      </c>
      <c r="E8" s="246">
        <v>38.720000000000006</v>
      </c>
    </row>
    <row r="9" spans="1:5">
      <c r="A9" s="10">
        <f t="shared" si="0"/>
        <v>6</v>
      </c>
      <c r="B9" s="104" t="s">
        <v>8048</v>
      </c>
      <c r="C9" s="6" t="s">
        <v>122</v>
      </c>
      <c r="D9" s="77" t="s">
        <v>8043</v>
      </c>
      <c r="E9" s="10">
        <f>19304410/1000</f>
        <v>19304.41</v>
      </c>
    </row>
    <row r="10" spans="1:5">
      <c r="A10" s="10">
        <f>A9+1</f>
        <v>7</v>
      </c>
      <c r="B10" s="104" t="s">
        <v>8049</v>
      </c>
      <c r="C10" s="6" t="s">
        <v>122</v>
      </c>
      <c r="D10" s="77" t="s">
        <v>8043</v>
      </c>
      <c r="E10" s="10">
        <f>73601700/1000</f>
        <v>73601.7</v>
      </c>
    </row>
    <row r="11" spans="1:5">
      <c r="A11" s="10">
        <f t="shared" si="0"/>
        <v>8</v>
      </c>
      <c r="B11" s="104" t="s">
        <v>8050</v>
      </c>
      <c r="C11" s="6" t="s">
        <v>122</v>
      </c>
      <c r="D11" s="77" t="s">
        <v>8043</v>
      </c>
      <c r="E11" s="10">
        <f>3303850/1000</f>
        <v>3303.85</v>
      </c>
    </row>
    <row r="12" spans="1:5">
      <c r="A12" s="10">
        <f t="shared" si="0"/>
        <v>9</v>
      </c>
      <c r="B12" s="104" t="s">
        <v>8051</v>
      </c>
      <c r="C12" s="6" t="s">
        <v>122</v>
      </c>
      <c r="D12" s="77" t="s">
        <v>8043</v>
      </c>
      <c r="E12" s="10">
        <f>64824960/1000</f>
        <v>64824.959999999999</v>
      </c>
    </row>
    <row r="13" spans="1:5">
      <c r="A13" s="10">
        <f t="shared" si="0"/>
        <v>10</v>
      </c>
      <c r="B13" s="104" t="s">
        <v>8052</v>
      </c>
      <c r="C13" s="6" t="s">
        <v>122</v>
      </c>
      <c r="D13" s="77" t="s">
        <v>8043</v>
      </c>
      <c r="E13" s="10">
        <f>12512950/1000</f>
        <v>12512.95</v>
      </c>
    </row>
    <row r="14" spans="1:5">
      <c r="A14" s="10">
        <f t="shared" si="0"/>
        <v>11</v>
      </c>
      <c r="B14" s="104" t="s">
        <v>8053</v>
      </c>
      <c r="C14" s="6" t="s">
        <v>122</v>
      </c>
      <c r="D14" s="77" t="s">
        <v>8043</v>
      </c>
      <c r="E14" s="10">
        <f>25751300/1000</f>
        <v>25751.3</v>
      </c>
    </row>
    <row r="15" spans="1:5">
      <c r="A15" s="10">
        <f>A14+1</f>
        <v>12</v>
      </c>
      <c r="B15" s="104" t="s">
        <v>8054</v>
      </c>
      <c r="C15" s="6" t="s">
        <v>122</v>
      </c>
      <c r="D15" s="77" t="s">
        <v>8043</v>
      </c>
      <c r="E15" s="10">
        <f>3323600/1000</f>
        <v>3323.6</v>
      </c>
    </row>
    <row r="16" spans="1:5">
      <c r="A16" s="10">
        <f>A15+1</f>
        <v>13</v>
      </c>
      <c r="B16" s="104" t="s">
        <v>8055</v>
      </c>
      <c r="C16" s="6" t="s">
        <v>122</v>
      </c>
      <c r="D16" s="77" t="s">
        <v>8043</v>
      </c>
      <c r="E16" s="10">
        <f>3318080/1000</f>
        <v>3318.08</v>
      </c>
    </row>
    <row r="17" spans="1:5">
      <c r="A17" s="10">
        <f t="shared" si="0"/>
        <v>14</v>
      </c>
      <c r="B17" s="104" t="s">
        <v>8056</v>
      </c>
      <c r="C17" s="6" t="s">
        <v>122</v>
      </c>
      <c r="D17" s="77" t="s">
        <v>8043</v>
      </c>
      <c r="E17" s="10">
        <f>3206000/1000</f>
        <v>3206</v>
      </c>
    </row>
    <row r="18" spans="1:5">
      <c r="A18" s="10">
        <f>A17+1</f>
        <v>15</v>
      </c>
      <c r="B18" s="104" t="s">
        <v>8057</v>
      </c>
      <c r="C18" s="6" t="s">
        <v>122</v>
      </c>
      <c r="D18" s="77" t="s">
        <v>8043</v>
      </c>
      <c r="E18" s="10">
        <f>10004950/1000</f>
        <v>10004.950000000001</v>
      </c>
    </row>
    <row r="19" spans="1:5">
      <c r="A19" s="10">
        <f t="shared" si="0"/>
        <v>16</v>
      </c>
      <c r="B19" s="104" t="s">
        <v>8058</v>
      </c>
      <c r="C19" s="6" t="s">
        <v>122</v>
      </c>
      <c r="D19" s="77" t="s">
        <v>8043</v>
      </c>
      <c r="E19" s="10">
        <v>6501170</v>
      </c>
    </row>
    <row r="20" spans="1:5">
      <c r="A20" s="10">
        <f>A19+1</f>
        <v>17</v>
      </c>
      <c r="B20" s="104" t="s">
        <v>8059</v>
      </c>
      <c r="C20" s="6" t="s">
        <v>122</v>
      </c>
      <c r="D20" s="77" t="s">
        <v>8043</v>
      </c>
      <c r="E20" s="10">
        <f>83726490/1000</f>
        <v>83726.490000000005</v>
      </c>
    </row>
    <row r="21" spans="1:5">
      <c r="A21" s="246">
        <f t="shared" si="0"/>
        <v>18</v>
      </c>
      <c r="B21" s="363" t="s">
        <v>8060</v>
      </c>
      <c r="C21" s="221" t="s">
        <v>122</v>
      </c>
      <c r="D21" s="364" t="s">
        <v>8043</v>
      </c>
      <c r="E21" s="246">
        <v>0.3</v>
      </c>
    </row>
    <row r="22" spans="1:5">
      <c r="A22" s="10">
        <f>A21+1</f>
        <v>19</v>
      </c>
      <c r="B22" s="104" t="s">
        <v>8061</v>
      </c>
      <c r="C22" s="6" t="s">
        <v>122</v>
      </c>
      <c r="D22" s="77" t="s">
        <v>8043</v>
      </c>
      <c r="E22" s="10">
        <f>3637650/1000</f>
        <v>3637.65</v>
      </c>
    </row>
    <row r="23" spans="1:5">
      <c r="A23" s="10">
        <f t="shared" si="0"/>
        <v>20</v>
      </c>
      <c r="B23" s="104" t="s">
        <v>8062</v>
      </c>
      <c r="C23" s="6" t="s">
        <v>122</v>
      </c>
      <c r="D23" s="77" t="s">
        <v>8043</v>
      </c>
      <c r="E23" s="246">
        <v>1.76</v>
      </c>
    </row>
    <row r="24" spans="1:5">
      <c r="A24" s="10">
        <f t="shared" si="0"/>
        <v>21</v>
      </c>
      <c r="B24" s="104" t="s">
        <v>8063</v>
      </c>
      <c r="C24" s="6" t="s">
        <v>122</v>
      </c>
      <c r="D24" s="77" t="s">
        <v>8043</v>
      </c>
      <c r="E24" s="10">
        <f>6468850/1000</f>
        <v>6468.85</v>
      </c>
    </row>
    <row r="25" spans="1:5">
      <c r="A25" s="10">
        <f>A24+1</f>
        <v>22</v>
      </c>
      <c r="B25" s="104" t="s">
        <v>8064</v>
      </c>
      <c r="C25" s="6" t="s">
        <v>122</v>
      </c>
      <c r="D25" s="77" t="s">
        <v>8043</v>
      </c>
      <c r="E25" s="10">
        <f>31412290/1000</f>
        <v>31412.29</v>
      </c>
    </row>
    <row r="26" spans="1:5">
      <c r="A26" s="10">
        <f t="shared" si="0"/>
        <v>23</v>
      </c>
      <c r="B26" s="104" t="s">
        <v>8065</v>
      </c>
      <c r="C26" s="6" t="s">
        <v>122</v>
      </c>
      <c r="D26" s="77" t="s">
        <v>8043</v>
      </c>
      <c r="E26" s="10">
        <f>9461830/1000</f>
        <v>9461.83</v>
      </c>
    </row>
    <row r="27" spans="1:5">
      <c r="A27" s="10">
        <f t="shared" si="0"/>
        <v>24</v>
      </c>
      <c r="B27" s="104" t="s">
        <v>8066</v>
      </c>
      <c r="C27" s="6" t="s">
        <v>122</v>
      </c>
      <c r="D27" s="77" t="s">
        <v>8043</v>
      </c>
      <c r="E27" s="10">
        <f>6227050/1000</f>
        <v>6227.05</v>
      </c>
    </row>
    <row r="28" spans="1:5">
      <c r="A28" s="10">
        <f t="shared" si="0"/>
        <v>25</v>
      </c>
      <c r="B28" s="104" t="s">
        <v>8067</v>
      </c>
      <c r="C28" s="6" t="s">
        <v>122</v>
      </c>
      <c r="D28" s="77" t="s">
        <v>8043</v>
      </c>
      <c r="E28" s="10">
        <f>9403030/1000</f>
        <v>9403.0300000000007</v>
      </c>
    </row>
    <row r="29" spans="1:5">
      <c r="A29" s="10">
        <f>A28+1</f>
        <v>26</v>
      </c>
      <c r="B29" s="104" t="s">
        <v>168</v>
      </c>
      <c r="C29" s="6" t="s">
        <v>122</v>
      </c>
      <c r="D29" s="77" t="s">
        <v>8043</v>
      </c>
      <c r="E29" s="10">
        <f>65184890/1000</f>
        <v>65184.89</v>
      </c>
    </row>
    <row r="30" spans="1:5">
      <c r="A30" s="10">
        <f t="shared" si="0"/>
        <v>27</v>
      </c>
      <c r="B30" s="104" t="s">
        <v>8068</v>
      </c>
      <c r="C30" s="6" t="s">
        <v>122</v>
      </c>
      <c r="D30" s="77" t="s">
        <v>8043</v>
      </c>
      <c r="E30" s="10">
        <f>217050/1000</f>
        <v>217.05</v>
      </c>
    </row>
    <row r="31" spans="1:5">
      <c r="A31" s="10">
        <f>A30+1</f>
        <v>28</v>
      </c>
      <c r="B31" s="104" t="s">
        <v>169</v>
      </c>
      <c r="C31" s="6" t="s">
        <v>122</v>
      </c>
      <c r="D31" s="77" t="s">
        <v>8043</v>
      </c>
      <c r="E31" s="10">
        <f>48290630/1000</f>
        <v>48290.63</v>
      </c>
    </row>
    <row r="32" spans="1:5">
      <c r="A32" s="10">
        <f t="shared" si="0"/>
        <v>29</v>
      </c>
      <c r="B32" s="104" t="s">
        <v>8069</v>
      </c>
      <c r="C32" s="6" t="s">
        <v>122</v>
      </c>
      <c r="D32" s="77" t="s">
        <v>8043</v>
      </c>
      <c r="E32" s="10">
        <f>3180500/1000</f>
        <v>3180.5</v>
      </c>
    </row>
    <row r="33" spans="1:5">
      <c r="A33" s="10">
        <f>A32+1</f>
        <v>30</v>
      </c>
      <c r="B33" s="104" t="s">
        <v>8070</v>
      </c>
      <c r="C33" s="6" t="s">
        <v>122</v>
      </c>
      <c r="D33" s="77" t="s">
        <v>8043</v>
      </c>
      <c r="E33" s="10">
        <f>9403400/1000</f>
        <v>9403.4</v>
      </c>
    </row>
    <row r="34" spans="1:5">
      <c r="A34" s="10">
        <f t="shared" si="0"/>
        <v>31</v>
      </c>
      <c r="B34" s="104" t="s">
        <v>8071</v>
      </c>
      <c r="C34" s="6" t="s">
        <v>122</v>
      </c>
      <c r="D34" s="77" t="s">
        <v>8043</v>
      </c>
      <c r="E34" s="10">
        <f>5411150/1000</f>
        <v>5411.15</v>
      </c>
    </row>
    <row r="35" spans="1:5">
      <c r="A35" s="10">
        <f t="shared" si="0"/>
        <v>32</v>
      </c>
      <c r="B35" s="104" t="s">
        <v>8072</v>
      </c>
      <c r="C35" s="6" t="s">
        <v>122</v>
      </c>
      <c r="D35" s="77" t="s">
        <v>8043</v>
      </c>
      <c r="E35" s="10">
        <f>3361700/1000</f>
        <v>3361.7</v>
      </c>
    </row>
    <row r="36" spans="1:5">
      <c r="A36" s="10">
        <f t="shared" si="0"/>
        <v>33</v>
      </c>
      <c r="B36" s="104" t="s">
        <v>8073</v>
      </c>
      <c r="C36" s="6" t="s">
        <v>122</v>
      </c>
      <c r="D36" s="77" t="s">
        <v>8043</v>
      </c>
      <c r="E36" s="10">
        <f>12984210/1000</f>
        <v>12984.21</v>
      </c>
    </row>
    <row r="37" spans="1:5">
      <c r="A37" s="10">
        <f>A36+1</f>
        <v>34</v>
      </c>
      <c r="B37" s="104" t="s">
        <v>8074</v>
      </c>
      <c r="C37" s="6" t="s">
        <v>122</v>
      </c>
      <c r="D37" s="77" t="s">
        <v>8043</v>
      </c>
      <c r="E37" s="10">
        <f>97640/1000</f>
        <v>97.64</v>
      </c>
    </row>
    <row r="38" spans="1:5">
      <c r="A38" s="10">
        <f t="shared" si="0"/>
        <v>35</v>
      </c>
      <c r="B38" s="104" t="s">
        <v>8075</v>
      </c>
      <c r="C38" s="6" t="s">
        <v>122</v>
      </c>
      <c r="D38" s="77" t="s">
        <v>8043</v>
      </c>
      <c r="E38" s="10">
        <f>6387740/1000</f>
        <v>6387.74</v>
      </c>
    </row>
    <row r="39" spans="1:5">
      <c r="A39" s="246">
        <f t="shared" si="0"/>
        <v>36</v>
      </c>
      <c r="B39" s="363" t="s">
        <v>8076</v>
      </c>
      <c r="C39" s="221" t="s">
        <v>122</v>
      </c>
      <c r="D39" s="364" t="s">
        <v>8043</v>
      </c>
      <c r="E39" s="246">
        <v>62</v>
      </c>
    </row>
    <row r="40" spans="1:5">
      <c r="A40" s="10">
        <f>A39+1</f>
        <v>37</v>
      </c>
      <c r="B40" s="104" t="s">
        <v>8077</v>
      </c>
      <c r="C40" s="6" t="s">
        <v>122</v>
      </c>
      <c r="D40" s="77" t="s">
        <v>8043</v>
      </c>
      <c r="E40" s="10">
        <f>3178800/1000</f>
        <v>3178.8</v>
      </c>
    </row>
    <row r="41" spans="1:5">
      <c r="A41" s="10">
        <f t="shared" si="0"/>
        <v>38</v>
      </c>
      <c r="B41" s="104" t="s">
        <v>8078</v>
      </c>
      <c r="C41" s="6" t="s">
        <v>122</v>
      </c>
      <c r="D41" s="77" t="s">
        <v>8043</v>
      </c>
      <c r="E41" s="10">
        <f>155737050/1000</f>
        <v>155737.04999999999</v>
      </c>
    </row>
    <row r="42" spans="1:5">
      <c r="A42" s="10">
        <f t="shared" si="0"/>
        <v>39</v>
      </c>
      <c r="B42" s="104" t="s">
        <v>8079</v>
      </c>
      <c r="C42" s="6" t="s">
        <v>122</v>
      </c>
      <c r="D42" s="77" t="s">
        <v>8043</v>
      </c>
      <c r="E42" s="10">
        <f>6570850/1000</f>
        <v>6570.85</v>
      </c>
    </row>
    <row r="43" spans="1:5">
      <c r="A43" s="10">
        <f>A42+1</f>
        <v>40</v>
      </c>
      <c r="B43" s="104" t="s">
        <v>8080</v>
      </c>
      <c r="C43" s="6" t="s">
        <v>122</v>
      </c>
      <c r="D43" s="77" t="s">
        <v>8043</v>
      </c>
      <c r="E43" s="10">
        <f>332087172/1000</f>
        <v>332087.17200000002</v>
      </c>
    </row>
    <row r="44" spans="1:5">
      <c r="A44" s="10">
        <f t="shared" si="0"/>
        <v>41</v>
      </c>
      <c r="B44" s="104" t="s">
        <v>8081</v>
      </c>
      <c r="C44" s="6" t="s">
        <v>122</v>
      </c>
      <c r="D44" s="77" t="s">
        <v>8043</v>
      </c>
      <c r="E44" s="10">
        <f>3320200/1000</f>
        <v>3320.2</v>
      </c>
    </row>
    <row r="45" spans="1:5">
      <c r="A45" s="10">
        <f t="shared" si="0"/>
        <v>42</v>
      </c>
      <c r="B45" s="104" t="s">
        <v>8082</v>
      </c>
      <c r="C45" s="6" t="s">
        <v>122</v>
      </c>
      <c r="D45" s="77" t="s">
        <v>8043</v>
      </c>
      <c r="E45" s="10">
        <f>59023600/1000</f>
        <v>59023.6</v>
      </c>
    </row>
    <row r="46" spans="1:5">
      <c r="A46" s="10">
        <f t="shared" si="0"/>
        <v>43</v>
      </c>
      <c r="B46" s="104" t="s">
        <v>8083</v>
      </c>
      <c r="C46" s="6" t="s">
        <v>122</v>
      </c>
      <c r="D46" s="77" t="s">
        <v>8043</v>
      </c>
      <c r="E46" s="10">
        <f>3123120/1000</f>
        <v>3123.12</v>
      </c>
    </row>
    <row r="47" spans="1:5">
      <c r="A47" s="10">
        <f t="shared" si="0"/>
        <v>44</v>
      </c>
      <c r="B47" s="104" t="s">
        <v>8084</v>
      </c>
      <c r="C47" s="6" t="s">
        <v>122</v>
      </c>
      <c r="D47" s="77" t="s">
        <v>8043</v>
      </c>
      <c r="E47" s="10">
        <f>12928000/1000</f>
        <v>12928</v>
      </c>
    </row>
    <row r="48" spans="1:5">
      <c r="A48" s="10">
        <f>A47+1</f>
        <v>45</v>
      </c>
      <c r="B48" s="104" t="s">
        <v>8085</v>
      </c>
      <c r="C48" s="6" t="s">
        <v>122</v>
      </c>
      <c r="D48" s="77" t="s">
        <v>8043</v>
      </c>
      <c r="E48" s="10">
        <f>3170900/1000</f>
        <v>3170.9</v>
      </c>
    </row>
    <row r="49" spans="1:5">
      <c r="A49" s="10">
        <f t="shared" si="0"/>
        <v>46</v>
      </c>
      <c r="B49" s="104" t="s">
        <v>8086</v>
      </c>
      <c r="C49" s="6" t="s">
        <v>122</v>
      </c>
      <c r="D49" s="77" t="s">
        <v>8043</v>
      </c>
      <c r="E49" s="10">
        <f>6489050/1000</f>
        <v>6489.05</v>
      </c>
    </row>
    <row r="50" spans="1:5">
      <c r="A50" s="10">
        <f t="shared" si="0"/>
        <v>47</v>
      </c>
      <c r="B50" s="104" t="s">
        <v>8087</v>
      </c>
      <c r="C50" s="6" t="s">
        <v>122</v>
      </c>
      <c r="D50" s="77" t="s">
        <v>8043</v>
      </c>
      <c r="E50" s="10">
        <f>14000/1000</f>
        <v>14</v>
      </c>
    </row>
    <row r="51" spans="1:5">
      <c r="A51" s="10">
        <f>A50+1</f>
        <v>48</v>
      </c>
      <c r="B51" s="104" t="s">
        <v>8088</v>
      </c>
      <c r="C51" s="6" t="s">
        <v>122</v>
      </c>
      <c r="D51" s="77" t="s">
        <v>8043</v>
      </c>
      <c r="E51" s="10">
        <f>7506890/1000</f>
        <v>7506.89</v>
      </c>
    </row>
    <row r="52" spans="1:5">
      <c r="A52" s="10">
        <f t="shared" si="0"/>
        <v>49</v>
      </c>
      <c r="B52" s="104" t="s">
        <v>8089</v>
      </c>
      <c r="C52" s="6" t="s">
        <v>122</v>
      </c>
      <c r="D52" s="77" t="s">
        <v>8043</v>
      </c>
      <c r="E52" s="10">
        <f>41342400/1000</f>
        <v>41342.400000000001</v>
      </c>
    </row>
    <row r="53" spans="1:5">
      <c r="A53" s="10">
        <f t="shared" si="0"/>
        <v>50</v>
      </c>
      <c r="B53" s="104" t="s">
        <v>8090</v>
      </c>
      <c r="C53" s="6" t="s">
        <v>122</v>
      </c>
      <c r="D53" s="77" t="s">
        <v>8043</v>
      </c>
      <c r="E53" s="10">
        <f>9389850/1000</f>
        <v>9389.85</v>
      </c>
    </row>
    <row r="54" spans="1:5">
      <c r="A54" s="10">
        <f>A53+1</f>
        <v>51</v>
      </c>
      <c r="B54" s="104" t="s">
        <v>8091</v>
      </c>
      <c r="C54" s="6" t="s">
        <v>122</v>
      </c>
      <c r="D54" s="77" t="s">
        <v>8043</v>
      </c>
      <c r="E54" s="10">
        <f>6502200/1000</f>
        <v>6502.2</v>
      </c>
    </row>
    <row r="55" spans="1:5">
      <c r="A55" s="10">
        <f t="shared" si="0"/>
        <v>52</v>
      </c>
      <c r="B55" s="104" t="s">
        <v>8092</v>
      </c>
      <c r="C55" s="6" t="s">
        <v>122</v>
      </c>
      <c r="D55" s="77" t="s">
        <v>8043</v>
      </c>
      <c r="E55" s="10">
        <f>3130300/1000</f>
        <v>3130.3</v>
      </c>
    </row>
    <row r="56" spans="1:5">
      <c r="A56" s="10">
        <f t="shared" si="0"/>
        <v>53</v>
      </c>
      <c r="B56" s="104" t="s">
        <v>8093</v>
      </c>
      <c r="C56" s="6" t="s">
        <v>122</v>
      </c>
      <c r="D56" s="77" t="s">
        <v>8043</v>
      </c>
      <c r="E56" s="10">
        <f>3067930/1000</f>
        <v>3067.93</v>
      </c>
    </row>
    <row r="57" spans="1:5">
      <c r="A57" s="10">
        <f t="shared" si="0"/>
        <v>54</v>
      </c>
      <c r="B57" s="104" t="s">
        <v>8094</v>
      </c>
      <c r="C57" s="6" t="s">
        <v>122</v>
      </c>
      <c r="D57" s="77" t="s">
        <v>8043</v>
      </c>
      <c r="E57" s="10">
        <f>103640100/1000</f>
        <v>103640.1</v>
      </c>
    </row>
    <row r="58" spans="1:5">
      <c r="A58" s="10">
        <f>A57+1</f>
        <v>55</v>
      </c>
      <c r="B58" s="104" t="s">
        <v>8095</v>
      </c>
      <c r="C58" s="6" t="s">
        <v>122</v>
      </c>
      <c r="D58" s="77" t="s">
        <v>8043</v>
      </c>
      <c r="E58" s="10">
        <f>9641300/1000</f>
        <v>9641.2999999999993</v>
      </c>
    </row>
    <row r="59" spans="1:5">
      <c r="A59" s="10">
        <f>A58+1</f>
        <v>56</v>
      </c>
      <c r="B59" s="104" t="s">
        <v>8096</v>
      </c>
      <c r="C59" s="6" t="s">
        <v>122</v>
      </c>
      <c r="D59" s="77" t="s">
        <v>8043</v>
      </c>
      <c r="E59" s="10">
        <f>172636230/1000</f>
        <v>172636.23</v>
      </c>
    </row>
    <row r="60" spans="1:5">
      <c r="A60" s="10">
        <f t="shared" si="0"/>
        <v>57</v>
      </c>
      <c r="B60" s="104" t="s">
        <v>8097</v>
      </c>
      <c r="C60" s="6" t="s">
        <v>122</v>
      </c>
      <c r="D60" s="77" t="s">
        <v>8043</v>
      </c>
      <c r="E60" s="10">
        <f>6337880/1000</f>
        <v>6337.88</v>
      </c>
    </row>
    <row r="61" spans="1:5">
      <c r="A61" s="10">
        <f t="shared" si="0"/>
        <v>58</v>
      </c>
      <c r="B61" s="104" t="s">
        <v>8098</v>
      </c>
      <c r="C61" s="6" t="s">
        <v>122</v>
      </c>
      <c r="D61" s="77" t="s">
        <v>8043</v>
      </c>
      <c r="E61" s="10">
        <f>589432560/1000</f>
        <v>589432.56000000006</v>
      </c>
    </row>
    <row r="62" spans="1:5">
      <c r="A62" s="10">
        <f t="shared" si="0"/>
        <v>59</v>
      </c>
      <c r="B62" s="104" t="s">
        <v>8099</v>
      </c>
      <c r="C62" s="6" t="s">
        <v>122</v>
      </c>
      <c r="D62" s="77" t="s">
        <v>8043</v>
      </c>
      <c r="E62" s="10">
        <f>3068200/1000</f>
        <v>3068.2</v>
      </c>
    </row>
    <row r="63" spans="1:5">
      <c r="A63" s="10">
        <f t="shared" si="0"/>
        <v>60</v>
      </c>
      <c r="B63" s="104" t="s">
        <v>8100</v>
      </c>
      <c r="C63" s="6" t="s">
        <v>122</v>
      </c>
      <c r="D63" s="77" t="s">
        <v>8043</v>
      </c>
      <c r="E63" s="10">
        <f>3363700/1000</f>
        <v>3363.7</v>
      </c>
    </row>
    <row r="64" spans="1:5">
      <c r="A64" s="10">
        <f t="shared" si="0"/>
        <v>61</v>
      </c>
      <c r="B64" s="104" t="s">
        <v>8101</v>
      </c>
      <c r="C64" s="6" t="s">
        <v>122</v>
      </c>
      <c r="D64" s="77" t="s">
        <v>8043</v>
      </c>
      <c r="E64" s="10">
        <f>36051310/1000</f>
        <v>36051.31</v>
      </c>
    </row>
    <row r="65" spans="1:5">
      <c r="A65" s="10">
        <f t="shared" si="0"/>
        <v>62</v>
      </c>
      <c r="B65" s="104" t="s">
        <v>8102</v>
      </c>
      <c r="C65" s="6" t="s">
        <v>122</v>
      </c>
      <c r="D65" s="77" t="s">
        <v>8043</v>
      </c>
      <c r="E65" s="10">
        <f>11426050/1000</f>
        <v>11426.05</v>
      </c>
    </row>
    <row r="66" spans="1:5">
      <c r="A66" s="10">
        <f t="shared" si="0"/>
        <v>63</v>
      </c>
      <c r="B66" s="104" t="s">
        <v>8103</v>
      </c>
      <c r="C66" s="6" t="s">
        <v>122</v>
      </c>
      <c r="D66" s="77" t="s">
        <v>8043</v>
      </c>
      <c r="E66" s="10">
        <f>3174580/1000</f>
        <v>3174.58</v>
      </c>
    </row>
    <row r="67" spans="1:5">
      <c r="A67" s="10">
        <f>A66+1</f>
        <v>64</v>
      </c>
      <c r="B67" s="104" t="s">
        <v>8104</v>
      </c>
      <c r="C67" s="6" t="s">
        <v>122</v>
      </c>
      <c r="D67" s="77" t="s">
        <v>8043</v>
      </c>
      <c r="E67" s="10">
        <f>6526400/1000</f>
        <v>6526.4</v>
      </c>
    </row>
    <row r="68" spans="1:5">
      <c r="A68" s="10">
        <f t="shared" si="0"/>
        <v>65</v>
      </c>
      <c r="B68" s="104" t="s">
        <v>8105</v>
      </c>
      <c r="C68" s="6" t="s">
        <v>122</v>
      </c>
      <c r="D68" s="77" t="s">
        <v>8043</v>
      </c>
      <c r="E68" s="10">
        <f>6454660/1000</f>
        <v>6454.66</v>
      </c>
    </row>
    <row r="69" spans="1:5">
      <c r="A69" s="10">
        <f t="shared" si="0"/>
        <v>66</v>
      </c>
      <c r="B69" s="104" t="s">
        <v>8106</v>
      </c>
      <c r="C69" s="6" t="s">
        <v>122</v>
      </c>
      <c r="D69" s="77" t="s">
        <v>8043</v>
      </c>
      <c r="E69" s="10">
        <f>3396850/1000</f>
        <v>3396.85</v>
      </c>
    </row>
    <row r="70" spans="1:5">
      <c r="A70" s="10">
        <f t="shared" si="0"/>
        <v>67</v>
      </c>
      <c r="B70" s="104" t="s">
        <v>8107</v>
      </c>
      <c r="C70" s="6" t="s">
        <v>122</v>
      </c>
      <c r="D70" s="77" t="s">
        <v>8043</v>
      </c>
      <c r="E70" s="10">
        <f>25890100/1000</f>
        <v>25890.1</v>
      </c>
    </row>
    <row r="71" spans="1:5">
      <c r="A71" s="10">
        <f t="shared" ref="A71:A134" si="1">A70+1</f>
        <v>68</v>
      </c>
      <c r="B71" s="104" t="s">
        <v>8108</v>
      </c>
      <c r="C71" s="6" t="s">
        <v>122</v>
      </c>
      <c r="D71" s="77" t="s">
        <v>8043</v>
      </c>
      <c r="E71" s="10">
        <f>3164650/1000</f>
        <v>3164.65</v>
      </c>
    </row>
    <row r="72" spans="1:5">
      <c r="A72" s="10">
        <f t="shared" si="1"/>
        <v>69</v>
      </c>
      <c r="B72" s="104" t="s">
        <v>8109</v>
      </c>
      <c r="C72" s="6" t="s">
        <v>122</v>
      </c>
      <c r="D72" s="77" t="s">
        <v>8043</v>
      </c>
      <c r="E72" s="10">
        <f>34938880/1000</f>
        <v>34938.879999999997</v>
      </c>
    </row>
    <row r="73" spans="1:5">
      <c r="A73" s="10">
        <f>A72+1</f>
        <v>70</v>
      </c>
      <c r="B73" s="104" t="s">
        <v>196</v>
      </c>
      <c r="C73" s="6" t="s">
        <v>122</v>
      </c>
      <c r="D73" s="77" t="s">
        <v>8043</v>
      </c>
      <c r="E73" s="10">
        <f>153065150/1000</f>
        <v>153065.15</v>
      </c>
    </row>
    <row r="74" spans="1:5">
      <c r="A74" s="10">
        <f t="shared" si="1"/>
        <v>71</v>
      </c>
      <c r="B74" s="104" t="s">
        <v>8110</v>
      </c>
      <c r="C74" s="6" t="s">
        <v>122</v>
      </c>
      <c r="D74" s="77" t="s">
        <v>8043</v>
      </c>
      <c r="E74" s="10">
        <f>3114490/1000</f>
        <v>3114.49</v>
      </c>
    </row>
    <row r="75" spans="1:5">
      <c r="A75" s="10">
        <f>A74+1</f>
        <v>72</v>
      </c>
      <c r="B75" s="104" t="s">
        <v>8111</v>
      </c>
      <c r="C75" s="6" t="s">
        <v>122</v>
      </c>
      <c r="D75" s="77" t="s">
        <v>8043</v>
      </c>
      <c r="E75" s="10">
        <f>20027200/1000</f>
        <v>20027.2</v>
      </c>
    </row>
    <row r="76" spans="1:5">
      <c r="A76" s="10">
        <f t="shared" si="1"/>
        <v>73</v>
      </c>
      <c r="B76" s="104" t="s">
        <v>8112</v>
      </c>
      <c r="C76" s="6" t="s">
        <v>122</v>
      </c>
      <c r="D76" s="77" t="s">
        <v>8043</v>
      </c>
      <c r="E76" s="10">
        <f>3109360/1000</f>
        <v>3109.36</v>
      </c>
    </row>
    <row r="77" spans="1:5">
      <c r="A77" s="10">
        <f t="shared" si="1"/>
        <v>74</v>
      </c>
      <c r="B77" s="104" t="s">
        <v>8113</v>
      </c>
      <c r="C77" s="6" t="s">
        <v>122</v>
      </c>
      <c r="D77" s="77" t="s">
        <v>8043</v>
      </c>
      <c r="E77" s="10">
        <f>3208040/1000</f>
        <v>3208.04</v>
      </c>
    </row>
    <row r="78" spans="1:5">
      <c r="A78" s="10">
        <f t="shared" si="1"/>
        <v>75</v>
      </c>
      <c r="B78" s="104" t="s">
        <v>8114</v>
      </c>
      <c r="C78" s="6" t="s">
        <v>122</v>
      </c>
      <c r="D78" s="77" t="s">
        <v>8043</v>
      </c>
      <c r="E78" s="10">
        <f>3091780/1000</f>
        <v>3091.78</v>
      </c>
    </row>
    <row r="79" spans="1:5">
      <c r="A79" s="10">
        <f t="shared" si="1"/>
        <v>76</v>
      </c>
      <c r="B79" s="104" t="s">
        <v>8115</v>
      </c>
      <c r="C79" s="6" t="s">
        <v>122</v>
      </c>
      <c r="D79" s="77" t="s">
        <v>8043</v>
      </c>
      <c r="E79" s="10">
        <f>3069120/1000</f>
        <v>3069.12</v>
      </c>
    </row>
    <row r="80" spans="1:5">
      <c r="A80" s="10">
        <f t="shared" si="1"/>
        <v>77</v>
      </c>
      <c r="B80" s="104" t="s">
        <v>8116</v>
      </c>
      <c r="C80" s="6" t="s">
        <v>122</v>
      </c>
      <c r="D80" s="77" t="s">
        <v>8043</v>
      </c>
      <c r="E80" s="246">
        <v>6.38</v>
      </c>
    </row>
    <row r="81" spans="1:5">
      <c r="A81" s="10">
        <f t="shared" si="1"/>
        <v>78</v>
      </c>
      <c r="B81" s="104" t="s">
        <v>8117</v>
      </c>
      <c r="C81" s="6" t="s">
        <v>122</v>
      </c>
      <c r="D81" s="77" t="s">
        <v>8043</v>
      </c>
      <c r="E81" s="10">
        <f>3174140/1000</f>
        <v>3174.14</v>
      </c>
    </row>
    <row r="82" spans="1:5">
      <c r="A82" s="10">
        <f t="shared" si="1"/>
        <v>79</v>
      </c>
      <c r="B82" s="104" t="s">
        <v>8118</v>
      </c>
      <c r="C82" s="6" t="s">
        <v>122</v>
      </c>
      <c r="D82" s="77" t="s">
        <v>8043</v>
      </c>
      <c r="E82" s="10">
        <f>25398260/1000</f>
        <v>25398.26</v>
      </c>
    </row>
    <row r="83" spans="1:5">
      <c r="A83" s="10">
        <f t="shared" si="1"/>
        <v>80</v>
      </c>
      <c r="B83" s="104" t="s">
        <v>8119</v>
      </c>
      <c r="C83" s="6" t="s">
        <v>122</v>
      </c>
      <c r="D83" s="77" t="s">
        <v>8043</v>
      </c>
      <c r="E83" s="10">
        <f>7231090989/1000</f>
        <v>7231090.9890000001</v>
      </c>
    </row>
    <row r="84" spans="1:5">
      <c r="A84" s="10">
        <f t="shared" si="1"/>
        <v>81</v>
      </c>
      <c r="B84" s="104" t="s">
        <v>8120</v>
      </c>
      <c r="C84" s="6" t="s">
        <v>122</v>
      </c>
      <c r="D84" s="77" t="s">
        <v>8043</v>
      </c>
      <c r="E84" s="10">
        <f>2481672550.1/1000</f>
        <v>2481672.5501000001</v>
      </c>
    </row>
    <row r="85" spans="1:5">
      <c r="A85" s="10">
        <f t="shared" si="1"/>
        <v>82</v>
      </c>
      <c r="B85" s="104" t="s">
        <v>8121</v>
      </c>
      <c r="C85" s="6" t="s">
        <v>122</v>
      </c>
      <c r="D85" s="77" t="s">
        <v>8043</v>
      </c>
      <c r="E85" s="10">
        <f>3263600/1000</f>
        <v>3263.6</v>
      </c>
    </row>
    <row r="86" spans="1:5">
      <c r="A86" s="10">
        <f t="shared" si="1"/>
        <v>83</v>
      </c>
      <c r="B86" s="104" t="s">
        <v>8122</v>
      </c>
      <c r="C86" s="6" t="s">
        <v>122</v>
      </c>
      <c r="D86" s="77" t="s">
        <v>8043</v>
      </c>
      <c r="E86" s="10">
        <f>21711880/1000</f>
        <v>21711.88</v>
      </c>
    </row>
    <row r="87" spans="1:5">
      <c r="A87" s="10">
        <f t="shared" si="1"/>
        <v>84</v>
      </c>
      <c r="B87" s="104" t="s">
        <v>8123</v>
      </c>
      <c r="C87" s="6" t="s">
        <v>122</v>
      </c>
      <c r="D87" s="77" t="s">
        <v>8043</v>
      </c>
      <c r="E87" s="10">
        <f>3100440/1000</f>
        <v>3100.44</v>
      </c>
    </row>
    <row r="88" spans="1:5">
      <c r="A88" s="10">
        <f t="shared" si="1"/>
        <v>85</v>
      </c>
      <c r="B88" s="104" t="s">
        <v>8124</v>
      </c>
      <c r="C88" s="6" t="s">
        <v>122</v>
      </c>
      <c r="D88" s="77" t="s">
        <v>8043</v>
      </c>
      <c r="E88" s="10">
        <f>3286600/1000</f>
        <v>3286.6</v>
      </c>
    </row>
    <row r="89" spans="1:5">
      <c r="A89" s="10">
        <f t="shared" si="1"/>
        <v>86</v>
      </c>
      <c r="B89" s="104" t="s">
        <v>8125</v>
      </c>
      <c r="C89" s="6" t="s">
        <v>122</v>
      </c>
      <c r="D89" s="77" t="s">
        <v>8043</v>
      </c>
      <c r="E89" s="10">
        <f>19000250/1000</f>
        <v>19000.25</v>
      </c>
    </row>
    <row r="90" spans="1:5">
      <c r="A90" s="10">
        <f t="shared" si="1"/>
        <v>87</v>
      </c>
      <c r="B90" s="104" t="s">
        <v>8126</v>
      </c>
      <c r="C90" s="6" t="s">
        <v>122</v>
      </c>
      <c r="D90" s="77" t="s">
        <v>8043</v>
      </c>
      <c r="E90" s="10">
        <f>90489820/1000</f>
        <v>90489.82</v>
      </c>
    </row>
    <row r="91" spans="1:5">
      <c r="A91" s="10">
        <f t="shared" si="1"/>
        <v>88</v>
      </c>
      <c r="B91" s="104" t="s">
        <v>8127</v>
      </c>
      <c r="C91" s="6" t="s">
        <v>122</v>
      </c>
      <c r="D91" s="77" t="s">
        <v>8043</v>
      </c>
      <c r="E91" s="10">
        <f>26455400/1000</f>
        <v>26455.4</v>
      </c>
    </row>
    <row r="92" spans="1:5">
      <c r="A92" s="10">
        <f t="shared" si="1"/>
        <v>89</v>
      </c>
      <c r="B92" s="104" t="s">
        <v>8128</v>
      </c>
      <c r="C92" s="6" t="s">
        <v>122</v>
      </c>
      <c r="D92" s="77" t="s">
        <v>8043</v>
      </c>
      <c r="E92" s="10">
        <f>19717600/1000</f>
        <v>19717.599999999999</v>
      </c>
    </row>
    <row r="93" spans="1:5">
      <c r="A93" s="10">
        <f t="shared" si="1"/>
        <v>90</v>
      </c>
      <c r="B93" s="104" t="s">
        <v>8129</v>
      </c>
      <c r="C93" s="6" t="s">
        <v>122</v>
      </c>
      <c r="D93" s="77" t="s">
        <v>8043</v>
      </c>
      <c r="E93" s="10">
        <f>12721940/1000</f>
        <v>12721.94</v>
      </c>
    </row>
    <row r="94" spans="1:5">
      <c r="A94" s="10">
        <f t="shared" si="1"/>
        <v>91</v>
      </c>
      <c r="B94" s="104" t="s">
        <v>8130</v>
      </c>
      <c r="C94" s="6" t="s">
        <v>122</v>
      </c>
      <c r="D94" s="77" t="s">
        <v>8043</v>
      </c>
      <c r="E94" s="10">
        <f>3312140/1000</f>
        <v>3312.14</v>
      </c>
    </row>
    <row r="95" spans="1:5">
      <c r="A95" s="10">
        <f t="shared" si="1"/>
        <v>92</v>
      </c>
      <c r="B95" s="104" t="s">
        <v>8131</v>
      </c>
      <c r="C95" s="6" t="s">
        <v>122</v>
      </c>
      <c r="D95" s="77" t="s">
        <v>8043</v>
      </c>
      <c r="E95" s="10">
        <f>227281100/1000</f>
        <v>227281.1</v>
      </c>
    </row>
    <row r="96" spans="1:5">
      <c r="A96" s="10">
        <f t="shared" si="1"/>
        <v>93</v>
      </c>
      <c r="B96" s="104" t="s">
        <v>8132</v>
      </c>
      <c r="C96" s="6" t="s">
        <v>122</v>
      </c>
      <c r="D96" s="77" t="s">
        <v>8043</v>
      </c>
      <c r="E96" s="10">
        <f>3358500/1000</f>
        <v>3358.5</v>
      </c>
    </row>
    <row r="97" spans="1:5">
      <c r="A97" s="10">
        <f t="shared" si="1"/>
        <v>94</v>
      </c>
      <c r="B97" s="104" t="s">
        <v>239</v>
      </c>
      <c r="C97" s="6" t="s">
        <v>122</v>
      </c>
      <c r="D97" s="77" t="s">
        <v>8043</v>
      </c>
      <c r="E97" s="10">
        <f>2874269400/1000</f>
        <v>2874269.4</v>
      </c>
    </row>
    <row r="98" spans="1:5">
      <c r="A98" s="10">
        <f t="shared" si="1"/>
        <v>95</v>
      </c>
      <c r="B98" s="104" t="s">
        <v>8133</v>
      </c>
      <c r="C98" s="6" t="s">
        <v>122</v>
      </c>
      <c r="D98" s="77" t="s">
        <v>8043</v>
      </c>
      <c r="E98" s="10">
        <f>32529740/1000</f>
        <v>32529.74</v>
      </c>
    </row>
    <row r="99" spans="1:5">
      <c r="A99" s="10">
        <f t="shared" si="1"/>
        <v>96</v>
      </c>
      <c r="B99" s="104" t="s">
        <v>8134</v>
      </c>
      <c r="C99" s="6" t="s">
        <v>122</v>
      </c>
      <c r="D99" s="77" t="s">
        <v>8043</v>
      </c>
      <c r="E99" s="10">
        <f>3144100/1000</f>
        <v>3144.1</v>
      </c>
    </row>
    <row r="100" spans="1:5">
      <c r="A100" s="10">
        <f t="shared" si="1"/>
        <v>97</v>
      </c>
      <c r="B100" s="104" t="s">
        <v>8135</v>
      </c>
      <c r="C100" s="6" t="s">
        <v>122</v>
      </c>
      <c r="D100" s="77" t="s">
        <v>8043</v>
      </c>
      <c r="E100" s="10">
        <f>3182200/1000</f>
        <v>3182.2</v>
      </c>
    </row>
    <row r="101" spans="1:5">
      <c r="A101" s="10">
        <f t="shared" si="1"/>
        <v>98</v>
      </c>
      <c r="B101" s="104" t="s">
        <v>8136</v>
      </c>
      <c r="C101" s="6" t="s">
        <v>122</v>
      </c>
      <c r="D101" s="77" t="s">
        <v>8043</v>
      </c>
      <c r="E101" s="10">
        <f>6166900/1000</f>
        <v>6166.9</v>
      </c>
    </row>
    <row r="102" spans="1:5">
      <c r="A102" s="10">
        <f t="shared" si="1"/>
        <v>99</v>
      </c>
      <c r="B102" s="104" t="s">
        <v>8137</v>
      </c>
      <c r="C102" s="6" t="s">
        <v>122</v>
      </c>
      <c r="D102" s="77" t="s">
        <v>8043</v>
      </c>
      <c r="E102" s="10">
        <f>9058790/1000</f>
        <v>9058.7900000000009</v>
      </c>
    </row>
    <row r="103" spans="1:5">
      <c r="A103" s="10">
        <f t="shared" si="1"/>
        <v>100</v>
      </c>
      <c r="B103" s="104" t="s">
        <v>8138</v>
      </c>
      <c r="C103" s="6" t="s">
        <v>122</v>
      </c>
      <c r="D103" s="77" t="s">
        <v>8043</v>
      </c>
      <c r="E103" s="10">
        <f>3368634500/1000</f>
        <v>3368634.5</v>
      </c>
    </row>
    <row r="104" spans="1:5">
      <c r="A104" s="10">
        <f t="shared" si="1"/>
        <v>101</v>
      </c>
      <c r="B104" s="104" t="s">
        <v>244</v>
      </c>
      <c r="C104" s="6" t="s">
        <v>122</v>
      </c>
      <c r="D104" s="77" t="s">
        <v>8043</v>
      </c>
      <c r="E104" s="10">
        <f>654418100/1000</f>
        <v>654418.1</v>
      </c>
    </row>
    <row r="105" spans="1:5">
      <c r="A105" s="10">
        <f t="shared" si="1"/>
        <v>102</v>
      </c>
      <c r="B105" s="104" t="s">
        <v>8139</v>
      </c>
      <c r="C105" s="6" t="s">
        <v>122</v>
      </c>
      <c r="D105" s="77" t="s">
        <v>8043</v>
      </c>
      <c r="E105" s="10">
        <f>6695800/1000</f>
        <v>6695.8</v>
      </c>
    </row>
    <row r="106" spans="1:5">
      <c r="A106" s="10">
        <f t="shared" si="1"/>
        <v>103</v>
      </c>
      <c r="B106" s="104" t="s">
        <v>8140</v>
      </c>
      <c r="C106" s="6" t="s">
        <v>122</v>
      </c>
      <c r="D106" s="77" t="s">
        <v>8043</v>
      </c>
      <c r="E106" s="246">
        <v>1743.2</v>
      </c>
    </row>
    <row r="107" spans="1:5">
      <c r="A107" s="10">
        <f t="shared" si="1"/>
        <v>104</v>
      </c>
      <c r="B107" s="104" t="s">
        <v>248</v>
      </c>
      <c r="C107" s="6" t="s">
        <v>122</v>
      </c>
      <c r="D107" s="77" t="s">
        <v>8043</v>
      </c>
      <c r="E107" s="10">
        <f>400823800/1000</f>
        <v>400823.8</v>
      </c>
    </row>
    <row r="108" spans="1:5">
      <c r="A108" s="10">
        <f t="shared" si="1"/>
        <v>105</v>
      </c>
      <c r="B108" s="104" t="s">
        <v>8141</v>
      </c>
      <c r="C108" s="6" t="s">
        <v>122</v>
      </c>
      <c r="D108" s="77" t="s">
        <v>8043</v>
      </c>
      <c r="E108" s="10">
        <f>10172700/1000</f>
        <v>10172.700000000001</v>
      </c>
    </row>
    <row r="109" spans="1:5">
      <c r="A109" s="10">
        <f t="shared" si="1"/>
        <v>106</v>
      </c>
      <c r="B109" s="104" t="s">
        <v>8142</v>
      </c>
      <c r="C109" s="6" t="s">
        <v>122</v>
      </c>
      <c r="D109" s="77" t="s">
        <v>8043</v>
      </c>
      <c r="E109" s="10">
        <f>6299000/1000</f>
        <v>6299</v>
      </c>
    </row>
    <row r="110" spans="1:5">
      <c r="A110" s="10">
        <f t="shared" si="1"/>
        <v>107</v>
      </c>
      <c r="B110" s="104" t="s">
        <v>8143</v>
      </c>
      <c r="C110" s="6" t="s">
        <v>122</v>
      </c>
      <c r="D110" s="77" t="s">
        <v>8043</v>
      </c>
      <c r="E110" s="10">
        <f>13091700/1000</f>
        <v>13091.7</v>
      </c>
    </row>
    <row r="111" spans="1:5">
      <c r="A111" s="10">
        <f t="shared" si="1"/>
        <v>108</v>
      </c>
      <c r="B111" s="104" t="s">
        <v>8144</v>
      </c>
      <c r="C111" s="6" t="s">
        <v>122</v>
      </c>
      <c r="D111" s="77" t="s">
        <v>8043</v>
      </c>
      <c r="E111" s="10">
        <f>13423900/1000</f>
        <v>13423.9</v>
      </c>
    </row>
    <row r="112" spans="1:5">
      <c r="A112" s="10">
        <f t="shared" si="1"/>
        <v>109</v>
      </c>
      <c r="B112" s="104" t="s">
        <v>8145</v>
      </c>
      <c r="C112" s="6" t="s">
        <v>122</v>
      </c>
      <c r="D112" s="77" t="s">
        <v>8043</v>
      </c>
      <c r="E112" s="10">
        <f>6407500/1000</f>
        <v>6407.5</v>
      </c>
    </row>
    <row r="113" spans="1:5">
      <c r="A113" s="10">
        <f t="shared" si="1"/>
        <v>110</v>
      </c>
      <c r="B113" s="104" t="s">
        <v>8146</v>
      </c>
      <c r="C113" s="6" t="s">
        <v>122</v>
      </c>
      <c r="D113" s="77" t="s">
        <v>8043</v>
      </c>
      <c r="E113" s="10">
        <f>2000/1000</f>
        <v>2</v>
      </c>
    </row>
    <row r="114" spans="1:5">
      <c r="A114" s="10">
        <f t="shared" si="1"/>
        <v>111</v>
      </c>
      <c r="B114" s="104" t="s">
        <v>251</v>
      </c>
      <c r="C114" s="6" t="s">
        <v>122</v>
      </c>
      <c r="D114" s="77" t="s">
        <v>8043</v>
      </c>
      <c r="E114" s="10">
        <f>2238053670/1000</f>
        <v>2238053.67</v>
      </c>
    </row>
    <row r="115" spans="1:5">
      <c r="A115" s="10">
        <f t="shared" si="1"/>
        <v>112</v>
      </c>
      <c r="B115" s="104" t="s">
        <v>8147</v>
      </c>
      <c r="C115" s="6" t="s">
        <v>122</v>
      </c>
      <c r="D115" s="77" t="s">
        <v>8043</v>
      </c>
      <c r="E115" s="10">
        <f>6544000/1000</f>
        <v>6544</v>
      </c>
    </row>
    <row r="116" spans="1:5">
      <c r="A116" s="10">
        <f t="shared" si="1"/>
        <v>113</v>
      </c>
      <c r="B116" s="104" t="s">
        <v>264</v>
      </c>
      <c r="C116" s="6" t="s">
        <v>122</v>
      </c>
      <c r="D116" s="77" t="s">
        <v>8043</v>
      </c>
      <c r="E116" s="10">
        <f>148342400/1000</f>
        <v>148342.39999999999</v>
      </c>
    </row>
    <row r="117" spans="1:5">
      <c r="A117" s="10">
        <f t="shared" si="1"/>
        <v>114</v>
      </c>
      <c r="B117" s="104" t="s">
        <v>8148</v>
      </c>
      <c r="C117" s="6" t="s">
        <v>122</v>
      </c>
      <c r="D117" s="77" t="s">
        <v>8043</v>
      </c>
      <c r="E117" s="10">
        <f>21105386/1000</f>
        <v>21105.385999999999</v>
      </c>
    </row>
    <row r="118" spans="1:5">
      <c r="A118" s="10">
        <f t="shared" si="1"/>
        <v>115</v>
      </c>
      <c r="B118" s="104" t="s">
        <v>8149</v>
      </c>
      <c r="C118" s="6" t="s">
        <v>122</v>
      </c>
      <c r="D118" s="77" t="s">
        <v>8043</v>
      </c>
      <c r="E118" s="10">
        <f>3334440/1000</f>
        <v>3334.44</v>
      </c>
    </row>
    <row r="119" spans="1:5">
      <c r="A119" s="10">
        <f t="shared" si="1"/>
        <v>116</v>
      </c>
      <c r="B119" s="104" t="s">
        <v>268</v>
      </c>
      <c r="C119" s="6" t="s">
        <v>122</v>
      </c>
      <c r="D119" s="77" t="s">
        <v>8043</v>
      </c>
      <c r="E119" s="10">
        <f>447660850/1000</f>
        <v>447660.85</v>
      </c>
    </row>
    <row r="120" spans="1:5">
      <c r="A120" s="10">
        <f t="shared" si="1"/>
        <v>117</v>
      </c>
      <c r="B120" s="104" t="s">
        <v>8150</v>
      </c>
      <c r="C120" s="6" t="s">
        <v>122</v>
      </c>
      <c r="D120" s="77" t="s">
        <v>8043</v>
      </c>
      <c r="E120" s="10">
        <f>3326050/1000</f>
        <v>3326.05</v>
      </c>
    </row>
    <row r="121" spans="1:5">
      <c r="A121" s="10">
        <f t="shared" si="1"/>
        <v>118</v>
      </c>
      <c r="B121" s="104" t="s">
        <v>8151</v>
      </c>
      <c r="C121" s="6" t="s">
        <v>122</v>
      </c>
      <c r="D121" s="77" t="s">
        <v>8043</v>
      </c>
      <c r="E121" s="10">
        <f>6240450/1000</f>
        <v>6240.45</v>
      </c>
    </row>
    <row r="122" spans="1:5">
      <c r="A122" s="10">
        <f t="shared" si="1"/>
        <v>119</v>
      </c>
      <c r="B122" s="104" t="s">
        <v>8152</v>
      </c>
      <c r="C122" s="6" t="s">
        <v>122</v>
      </c>
      <c r="D122" s="77" t="s">
        <v>8043</v>
      </c>
      <c r="E122" s="10">
        <f>9383320/1000</f>
        <v>9383.32</v>
      </c>
    </row>
    <row r="123" spans="1:5">
      <c r="A123" s="10">
        <f t="shared" si="1"/>
        <v>120</v>
      </c>
      <c r="B123" s="104" t="s">
        <v>8153</v>
      </c>
      <c r="C123" s="6" t="s">
        <v>122</v>
      </c>
      <c r="D123" s="77" t="s">
        <v>8043</v>
      </c>
      <c r="E123" s="10">
        <f>3274400/1000</f>
        <v>3274.4</v>
      </c>
    </row>
    <row r="124" spans="1:5">
      <c r="A124" s="10">
        <f t="shared" si="1"/>
        <v>121</v>
      </c>
      <c r="B124" s="104" t="s">
        <v>8154</v>
      </c>
      <c r="C124" s="6" t="s">
        <v>122</v>
      </c>
      <c r="D124" s="77" t="s">
        <v>8043</v>
      </c>
      <c r="E124" s="10">
        <f>9550050/1000</f>
        <v>9550.0499999999993</v>
      </c>
    </row>
    <row r="125" spans="1:5">
      <c r="A125" s="10">
        <f t="shared" si="1"/>
        <v>122</v>
      </c>
      <c r="B125" s="104" t="s">
        <v>8155</v>
      </c>
      <c r="C125" s="6" t="s">
        <v>122</v>
      </c>
      <c r="D125" s="77" t="s">
        <v>8043</v>
      </c>
      <c r="E125" s="10">
        <f>93696660/1000</f>
        <v>93696.66</v>
      </c>
    </row>
    <row r="126" spans="1:5">
      <c r="A126" s="10">
        <f t="shared" si="1"/>
        <v>123</v>
      </c>
      <c r="B126" s="104" t="s">
        <v>279</v>
      </c>
      <c r="C126" s="6" t="s">
        <v>122</v>
      </c>
      <c r="D126" s="77" t="s">
        <v>8043</v>
      </c>
      <c r="E126" s="10">
        <f>309140960/1000</f>
        <v>309140.96000000002</v>
      </c>
    </row>
    <row r="127" spans="1:5">
      <c r="A127" s="10">
        <f t="shared" si="1"/>
        <v>124</v>
      </c>
      <c r="B127" s="104" t="s">
        <v>8156</v>
      </c>
      <c r="C127" s="6" t="s">
        <v>122</v>
      </c>
      <c r="D127" s="77" t="s">
        <v>8043</v>
      </c>
      <c r="E127" s="10">
        <f>3280600/1000</f>
        <v>3280.6</v>
      </c>
    </row>
    <row r="128" spans="1:5">
      <c r="A128" s="10">
        <f t="shared" si="1"/>
        <v>125</v>
      </c>
      <c r="B128" s="104" t="s">
        <v>8157</v>
      </c>
      <c r="C128" s="6" t="s">
        <v>122</v>
      </c>
      <c r="D128" s="77" t="s">
        <v>8043</v>
      </c>
      <c r="E128" s="10">
        <f>12583170/1000</f>
        <v>12583.17</v>
      </c>
    </row>
    <row r="129" spans="1:5">
      <c r="A129" s="10">
        <f t="shared" si="1"/>
        <v>126</v>
      </c>
      <c r="B129" s="104" t="s">
        <v>8158</v>
      </c>
      <c r="C129" s="6" t="s">
        <v>122</v>
      </c>
      <c r="D129" s="77" t="s">
        <v>8043</v>
      </c>
      <c r="E129" s="10">
        <f>20000/1000</f>
        <v>20</v>
      </c>
    </row>
    <row r="130" spans="1:5">
      <c r="A130" s="10">
        <f t="shared" si="1"/>
        <v>127</v>
      </c>
      <c r="B130" s="104" t="s">
        <v>8159</v>
      </c>
      <c r="C130" s="6" t="s">
        <v>122</v>
      </c>
      <c r="D130" s="77" t="s">
        <v>8043</v>
      </c>
      <c r="E130" s="10">
        <f>7402330/1000</f>
        <v>7402.33</v>
      </c>
    </row>
    <row r="131" spans="1:5">
      <c r="A131" s="10">
        <f t="shared" si="1"/>
        <v>128</v>
      </c>
      <c r="B131" s="104" t="s">
        <v>8160</v>
      </c>
      <c r="C131" s="6" t="s">
        <v>122</v>
      </c>
      <c r="D131" s="77" t="s">
        <v>8043</v>
      </c>
      <c r="E131" s="10">
        <f>1036993120/1000</f>
        <v>1036993.12</v>
      </c>
    </row>
    <row r="132" spans="1:5">
      <c r="A132" s="10">
        <f t="shared" si="1"/>
        <v>129</v>
      </c>
      <c r="B132" s="104" t="s">
        <v>8161</v>
      </c>
      <c r="C132" s="6" t="s">
        <v>122</v>
      </c>
      <c r="D132" s="77" t="s">
        <v>8043</v>
      </c>
      <c r="E132" s="10">
        <f>3329350/1000</f>
        <v>3329.35</v>
      </c>
    </row>
    <row r="133" spans="1:5">
      <c r="A133" s="10">
        <f t="shared" si="1"/>
        <v>130</v>
      </c>
      <c r="B133" s="104" t="s">
        <v>8162</v>
      </c>
      <c r="C133" s="6" t="s">
        <v>122</v>
      </c>
      <c r="D133" s="77" t="s">
        <v>8043</v>
      </c>
      <c r="E133" s="10">
        <f>6534260/1000</f>
        <v>6534.26</v>
      </c>
    </row>
    <row r="134" spans="1:5">
      <c r="A134" s="10">
        <f t="shared" si="1"/>
        <v>131</v>
      </c>
      <c r="B134" s="104" t="s">
        <v>8163</v>
      </c>
      <c r="C134" s="6" t="s">
        <v>122</v>
      </c>
      <c r="D134" s="77" t="s">
        <v>8043</v>
      </c>
      <c r="E134" s="246">
        <v>22.2</v>
      </c>
    </row>
    <row r="135" spans="1:5">
      <c r="A135" s="10">
        <f t="shared" ref="A135:A159" si="2">A134+1</f>
        <v>132</v>
      </c>
      <c r="B135" s="104" t="s">
        <v>8164</v>
      </c>
      <c r="C135" s="6" t="s">
        <v>122</v>
      </c>
      <c r="D135" s="77" t="s">
        <v>8043</v>
      </c>
      <c r="E135" s="10">
        <f>3110960/1000</f>
        <v>3110.96</v>
      </c>
    </row>
    <row r="136" spans="1:5">
      <c r="A136" s="10">
        <f t="shared" si="2"/>
        <v>133</v>
      </c>
      <c r="B136" s="104" t="s">
        <v>8165</v>
      </c>
      <c r="C136" s="6" t="s">
        <v>122</v>
      </c>
      <c r="D136" s="77" t="s">
        <v>8043</v>
      </c>
      <c r="E136" s="10">
        <f>9375860/1000</f>
        <v>9375.86</v>
      </c>
    </row>
    <row r="137" spans="1:5">
      <c r="A137" s="10">
        <f t="shared" si="2"/>
        <v>134</v>
      </c>
      <c r="B137" s="104" t="s">
        <v>8166</v>
      </c>
      <c r="C137" s="6" t="s">
        <v>122</v>
      </c>
      <c r="D137" s="77" t="s">
        <v>8043</v>
      </c>
      <c r="E137" s="10">
        <f>12816620/1000</f>
        <v>12816.62</v>
      </c>
    </row>
    <row r="138" spans="1:5">
      <c r="A138" s="10">
        <f t="shared" si="2"/>
        <v>135</v>
      </c>
      <c r="B138" s="104" t="s">
        <v>296</v>
      </c>
      <c r="C138" s="6" t="s">
        <v>122</v>
      </c>
      <c r="D138" s="77" t="s">
        <v>8043</v>
      </c>
      <c r="E138" s="10">
        <f>699674250/1000</f>
        <v>699674.25</v>
      </c>
    </row>
    <row r="139" spans="1:5">
      <c r="A139" s="10">
        <f t="shared" si="2"/>
        <v>136</v>
      </c>
      <c r="B139" s="104" t="s">
        <v>8167</v>
      </c>
      <c r="C139" s="6" t="s">
        <v>122</v>
      </c>
      <c r="D139" s="77" t="s">
        <v>8043</v>
      </c>
      <c r="E139" s="10">
        <f>158640180/1000</f>
        <v>158640.18</v>
      </c>
    </row>
    <row r="140" spans="1:5">
      <c r="A140" s="10">
        <f t="shared" si="2"/>
        <v>137</v>
      </c>
      <c r="B140" s="104" t="s">
        <v>8168</v>
      </c>
      <c r="C140" s="6" t="s">
        <v>122</v>
      </c>
      <c r="D140" s="77" t="s">
        <v>8043</v>
      </c>
      <c r="E140" s="10">
        <f>3197950/1000</f>
        <v>3197.95</v>
      </c>
    </row>
    <row r="141" spans="1:5">
      <c r="A141" s="10">
        <f t="shared" si="2"/>
        <v>138</v>
      </c>
      <c r="B141" s="104" t="s">
        <v>299</v>
      </c>
      <c r="C141" s="6" t="s">
        <v>122</v>
      </c>
      <c r="D141" s="77" t="s">
        <v>8043</v>
      </c>
      <c r="E141" s="10">
        <f>2470161550/1000</f>
        <v>2470161.5499999998</v>
      </c>
    </row>
    <row r="142" spans="1:5">
      <c r="A142" s="10">
        <f t="shared" si="2"/>
        <v>139</v>
      </c>
      <c r="B142" s="104" t="s">
        <v>300</v>
      </c>
      <c r="C142" s="6" t="s">
        <v>122</v>
      </c>
      <c r="D142" s="77" t="s">
        <v>8043</v>
      </c>
      <c r="E142" s="10">
        <f>773530500/1000</f>
        <v>773530.5</v>
      </c>
    </row>
    <row r="143" spans="1:5">
      <c r="A143" s="10">
        <f t="shared" si="2"/>
        <v>140</v>
      </c>
      <c r="B143" s="104" t="s">
        <v>8169</v>
      </c>
      <c r="C143" s="6" t="s">
        <v>122</v>
      </c>
      <c r="D143" s="77" t="s">
        <v>8043</v>
      </c>
      <c r="E143" s="10">
        <f>39275340/1000</f>
        <v>39275.339999999997</v>
      </c>
    </row>
    <row r="144" spans="1:5">
      <c r="A144" s="10">
        <f t="shared" si="2"/>
        <v>141</v>
      </c>
      <c r="B144" s="104" t="s">
        <v>8170</v>
      </c>
      <c r="C144" s="6" t="s">
        <v>122</v>
      </c>
      <c r="D144" s="77" t="s">
        <v>8043</v>
      </c>
      <c r="E144" s="10">
        <f>9510360/1000</f>
        <v>9510.36</v>
      </c>
    </row>
    <row r="145" spans="1:5">
      <c r="A145" s="10">
        <f t="shared" si="2"/>
        <v>142</v>
      </c>
      <c r="B145" s="104" t="s">
        <v>8171</v>
      </c>
      <c r="C145" s="6" t="s">
        <v>122</v>
      </c>
      <c r="D145" s="77" t="s">
        <v>8043</v>
      </c>
      <c r="E145" s="10">
        <f>6546200/1000</f>
        <v>6546.2</v>
      </c>
    </row>
    <row r="146" spans="1:5">
      <c r="A146" s="10">
        <f t="shared" si="2"/>
        <v>143</v>
      </c>
      <c r="B146" s="104" t="s">
        <v>8172</v>
      </c>
      <c r="C146" s="6" t="s">
        <v>122</v>
      </c>
      <c r="D146" s="77" t="s">
        <v>8043</v>
      </c>
      <c r="E146" s="10">
        <f>12559200/1000</f>
        <v>12559.2</v>
      </c>
    </row>
    <row r="147" spans="1:5">
      <c r="A147" s="10">
        <f t="shared" si="2"/>
        <v>144</v>
      </c>
      <c r="B147" s="104" t="s">
        <v>8173</v>
      </c>
      <c r="C147" s="6" t="s">
        <v>122</v>
      </c>
      <c r="D147" s="77" t="s">
        <v>8043</v>
      </c>
      <c r="E147" s="10">
        <f>85792600/1000</f>
        <v>85792.6</v>
      </c>
    </row>
    <row r="148" spans="1:5">
      <c r="A148" s="10">
        <f t="shared" si="2"/>
        <v>145</v>
      </c>
      <c r="B148" s="104" t="s">
        <v>8174</v>
      </c>
      <c r="C148" s="6" t="s">
        <v>122</v>
      </c>
      <c r="D148" s="77" t="s">
        <v>8043</v>
      </c>
      <c r="E148" s="10">
        <f>9619500/1000</f>
        <v>9619.5</v>
      </c>
    </row>
    <row r="149" spans="1:5">
      <c r="A149" s="10">
        <f t="shared" si="2"/>
        <v>146</v>
      </c>
      <c r="B149" s="104" t="s">
        <v>8175</v>
      </c>
      <c r="C149" s="6" t="s">
        <v>122</v>
      </c>
      <c r="D149" s="77" t="s">
        <v>8043</v>
      </c>
      <c r="E149" s="10">
        <f>18049710/1000</f>
        <v>18049.71</v>
      </c>
    </row>
    <row r="150" spans="1:5">
      <c r="A150" s="10">
        <f t="shared" si="2"/>
        <v>147</v>
      </c>
      <c r="B150" s="104" t="s">
        <v>8176</v>
      </c>
      <c r="C150" s="6" t="s">
        <v>122</v>
      </c>
      <c r="D150" s="77" t="s">
        <v>8043</v>
      </c>
      <c r="E150" s="10">
        <f>71278900/1000</f>
        <v>71278.899999999994</v>
      </c>
    </row>
    <row r="151" spans="1:5">
      <c r="A151" s="10">
        <f t="shared" si="2"/>
        <v>148</v>
      </c>
      <c r="B151" s="104" t="s">
        <v>8177</v>
      </c>
      <c r="C151" s="6" t="s">
        <v>122</v>
      </c>
      <c r="D151" s="77" t="s">
        <v>8043</v>
      </c>
      <c r="E151" s="10">
        <f>3181620/1000</f>
        <v>3181.62</v>
      </c>
    </row>
    <row r="152" spans="1:5">
      <c r="A152" s="10">
        <f t="shared" si="2"/>
        <v>149</v>
      </c>
      <c r="B152" s="104" t="s">
        <v>8178</v>
      </c>
      <c r="C152" s="6" t="s">
        <v>122</v>
      </c>
      <c r="D152" s="77" t="s">
        <v>8043</v>
      </c>
      <c r="E152" s="10">
        <f>9488490/1000</f>
        <v>9488.49</v>
      </c>
    </row>
    <row r="153" spans="1:5">
      <c r="A153" s="10">
        <f t="shared" si="2"/>
        <v>150</v>
      </c>
      <c r="B153" s="104" t="s">
        <v>8179</v>
      </c>
      <c r="C153" s="6" t="s">
        <v>122</v>
      </c>
      <c r="D153" s="77" t="s">
        <v>8043</v>
      </c>
      <c r="E153" s="10">
        <f>60000/1000</f>
        <v>60</v>
      </c>
    </row>
    <row r="154" spans="1:5">
      <c r="A154" s="10">
        <f t="shared" si="2"/>
        <v>151</v>
      </c>
      <c r="B154" s="104" t="s">
        <v>319</v>
      </c>
      <c r="C154" s="6" t="s">
        <v>122</v>
      </c>
      <c r="D154" s="77" t="s">
        <v>8043</v>
      </c>
      <c r="E154" s="10">
        <f>7387762200/1000</f>
        <v>7387762.2000000002</v>
      </c>
    </row>
    <row r="155" spans="1:5">
      <c r="A155" s="10">
        <f t="shared" si="2"/>
        <v>152</v>
      </c>
      <c r="B155" s="104" t="s">
        <v>8180</v>
      </c>
      <c r="C155" s="6" t="s">
        <v>122</v>
      </c>
      <c r="D155" s="77" t="s">
        <v>8043</v>
      </c>
      <c r="E155" s="10">
        <f>3330700/1000</f>
        <v>3330.7</v>
      </c>
    </row>
    <row r="156" spans="1:5">
      <c r="A156" s="10">
        <f t="shared" si="2"/>
        <v>153</v>
      </c>
      <c r="B156" s="104" t="s">
        <v>8181</v>
      </c>
      <c r="C156" s="6" t="s">
        <v>122</v>
      </c>
      <c r="D156" s="77" t="s">
        <v>8043</v>
      </c>
      <c r="E156" s="10">
        <f>26943367133/1000</f>
        <v>26943367.133000001</v>
      </c>
    </row>
    <row r="157" spans="1:5">
      <c r="A157" s="10">
        <f t="shared" si="2"/>
        <v>154</v>
      </c>
      <c r="B157" s="104" t="s">
        <v>8182</v>
      </c>
      <c r="C157" s="6" t="s">
        <v>122</v>
      </c>
      <c r="D157" s="77" t="s">
        <v>8043</v>
      </c>
      <c r="E157" s="10">
        <f>407590/1000</f>
        <v>407.59</v>
      </c>
    </row>
    <row r="158" spans="1:5">
      <c r="A158" s="10">
        <f t="shared" si="2"/>
        <v>155</v>
      </c>
      <c r="B158" s="104" t="s">
        <v>8183</v>
      </c>
      <c r="C158" s="6" t="s">
        <v>122</v>
      </c>
      <c r="D158" s="77" t="s">
        <v>8043</v>
      </c>
      <c r="E158" s="246">
        <v>139.19</v>
      </c>
    </row>
    <row r="159" spans="1:5">
      <c r="A159" s="10">
        <f t="shared" si="2"/>
        <v>156</v>
      </c>
      <c r="B159" s="104" t="s">
        <v>8184</v>
      </c>
      <c r="C159" s="6" t="s">
        <v>122</v>
      </c>
      <c r="D159" s="77" t="s">
        <v>8043</v>
      </c>
      <c r="E159" s="10">
        <f>3013850/1000</f>
        <v>3013.85</v>
      </c>
    </row>
    <row r="160" spans="1:5">
      <c r="A160" s="512" t="s">
        <v>628</v>
      </c>
      <c r="B160" s="513"/>
      <c r="C160" s="513"/>
      <c r="D160" s="514"/>
      <c r="E160" s="106">
        <f>SUM(E4:E159)</f>
        <v>69602872.430100024</v>
      </c>
    </row>
  </sheetData>
  <mergeCells count="1">
    <mergeCell ref="A160:D16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26DD1-DD73-4FBA-9CBF-7E80479C6697}">
  <sheetPr>
    <tabColor rgb="FF006432"/>
  </sheetPr>
  <dimension ref="A1:J182"/>
  <sheetViews>
    <sheetView workbookViewId="0">
      <pane ySplit="4" topLeftCell="A5" activePane="bottomLeft" state="frozen"/>
      <selection pane="bottomLeft" activeCell="G8" sqref="G8"/>
    </sheetView>
  </sheetViews>
  <sheetFormatPr defaultRowHeight="15"/>
  <cols>
    <col min="1" max="1" width="4.140625" style="8" customWidth="1"/>
    <col min="2" max="2" width="19.7109375" customWidth="1"/>
    <col min="3" max="3" width="12.42578125" customWidth="1"/>
    <col min="4" max="4" width="22.140625" customWidth="1"/>
    <col min="5" max="5" width="9.28515625" style="5" customWidth="1"/>
    <col min="6" max="6" width="10.28515625" style="7" customWidth="1"/>
  </cols>
  <sheetData>
    <row r="1" spans="1:10" ht="16.5" customHeight="1" thickBot="1">
      <c r="A1" s="641" t="s">
        <v>8185</v>
      </c>
      <c r="B1" s="641"/>
      <c r="C1" s="641"/>
      <c r="D1" s="641"/>
      <c r="E1" s="641"/>
      <c r="F1" s="641"/>
      <c r="G1" s="641"/>
      <c r="H1" s="641"/>
      <c r="I1" s="641"/>
      <c r="J1" s="641"/>
    </row>
    <row r="2" spans="1:10" ht="6.75" customHeight="1" thickTop="1">
      <c r="A2" s="73"/>
      <c r="B2" s="73"/>
      <c r="C2" s="73"/>
      <c r="D2" s="73"/>
      <c r="E2" s="73"/>
      <c r="F2" s="73"/>
      <c r="G2" s="73"/>
      <c r="H2" s="73"/>
    </row>
    <row r="3" spans="1:10" ht="24" customHeight="1">
      <c r="A3" s="529" t="s">
        <v>114</v>
      </c>
      <c r="B3" s="529" t="s">
        <v>8039</v>
      </c>
      <c r="C3" s="529" t="s">
        <v>8186</v>
      </c>
      <c r="D3" s="529" t="s">
        <v>8187</v>
      </c>
      <c r="E3" s="530" t="s">
        <v>8188</v>
      </c>
      <c r="F3" s="531"/>
    </row>
    <row r="4" spans="1:10" ht="26.25" customHeight="1">
      <c r="A4" s="506"/>
      <c r="B4" s="506"/>
      <c r="C4" s="506"/>
      <c r="D4" s="506"/>
      <c r="E4" s="46" t="s">
        <v>8040</v>
      </c>
      <c r="F4" s="46" t="s">
        <v>8189</v>
      </c>
    </row>
    <row r="5" spans="1:10">
      <c r="A5" s="517">
        <v>1</v>
      </c>
      <c r="B5" s="515" t="s">
        <v>4085</v>
      </c>
      <c r="C5" s="515" t="s">
        <v>8190</v>
      </c>
      <c r="D5" s="10" t="s">
        <v>132</v>
      </c>
      <c r="E5" s="6" t="s">
        <v>8191</v>
      </c>
      <c r="F5" s="108">
        <v>217.67</v>
      </c>
    </row>
    <row r="6" spans="1:10">
      <c r="A6" s="518"/>
      <c r="B6" s="516"/>
      <c r="C6" s="516"/>
      <c r="D6" s="10" t="s">
        <v>898</v>
      </c>
      <c r="E6" s="6" t="s">
        <v>8191</v>
      </c>
      <c r="F6" s="108">
        <v>19.079999999999998</v>
      </c>
    </row>
    <row r="7" spans="1:10">
      <c r="A7" s="177">
        <v>2</v>
      </c>
      <c r="B7" s="109" t="s">
        <v>4274</v>
      </c>
      <c r="C7" s="12" t="s">
        <v>8192</v>
      </c>
      <c r="D7" s="12" t="s">
        <v>8193</v>
      </c>
      <c r="E7" s="6" t="s">
        <v>8194</v>
      </c>
      <c r="F7" s="110">
        <v>271</v>
      </c>
      <c r="G7" s="107"/>
    </row>
    <row r="8" spans="1:10" ht="25.5">
      <c r="A8" s="6">
        <v>3</v>
      </c>
      <c r="B8" s="2" t="s">
        <v>8195</v>
      </c>
      <c r="C8" s="11" t="s">
        <v>8190</v>
      </c>
      <c r="D8" s="12" t="s">
        <v>132</v>
      </c>
      <c r="E8" s="6" t="s">
        <v>8191</v>
      </c>
      <c r="F8" s="108">
        <v>1438.55</v>
      </c>
    </row>
    <row r="9" spans="1:10">
      <c r="A9" s="517">
        <v>4</v>
      </c>
      <c r="B9" s="515" t="s">
        <v>8196</v>
      </c>
      <c r="C9" s="12" t="s">
        <v>8190</v>
      </c>
      <c r="D9" s="12" t="s">
        <v>843</v>
      </c>
      <c r="E9" s="6" t="s">
        <v>8043</v>
      </c>
      <c r="F9" s="108">
        <v>3.74</v>
      </c>
    </row>
    <row r="10" spans="1:10">
      <c r="A10" s="523"/>
      <c r="B10" s="519"/>
      <c r="C10" s="515" t="s">
        <v>8192</v>
      </c>
      <c r="D10" s="12" t="s">
        <v>843</v>
      </c>
      <c r="E10" s="6" t="s">
        <v>8043</v>
      </c>
      <c r="F10" s="108">
        <v>2.79</v>
      </c>
    </row>
    <row r="11" spans="1:10">
      <c r="A11" s="518"/>
      <c r="B11" s="516"/>
      <c r="C11" s="516"/>
      <c r="D11" s="12" t="s">
        <v>212</v>
      </c>
      <c r="E11" s="6" t="s">
        <v>8043</v>
      </c>
      <c r="F11" s="108">
        <v>1.82</v>
      </c>
    </row>
    <row r="12" spans="1:10">
      <c r="A12" s="517">
        <v>5</v>
      </c>
      <c r="B12" s="527" t="s">
        <v>1622</v>
      </c>
      <c r="C12" s="12" t="s">
        <v>8190</v>
      </c>
      <c r="D12" s="2" t="s">
        <v>153</v>
      </c>
      <c r="E12" s="6" t="s">
        <v>8043</v>
      </c>
      <c r="F12" s="108">
        <v>363.08</v>
      </c>
    </row>
    <row r="13" spans="1:10">
      <c r="A13" s="518"/>
      <c r="B13" s="528"/>
      <c r="C13" s="12" t="s">
        <v>8192</v>
      </c>
      <c r="D13" s="2" t="s">
        <v>153</v>
      </c>
      <c r="E13" s="6" t="s">
        <v>8043</v>
      </c>
      <c r="F13" s="111">
        <v>65.3</v>
      </c>
    </row>
    <row r="14" spans="1:10" ht="25.5">
      <c r="A14" s="517">
        <v>6</v>
      </c>
      <c r="B14" s="515" t="s">
        <v>4409</v>
      </c>
      <c r="C14" s="12" t="s">
        <v>8190</v>
      </c>
      <c r="D14" s="2" t="s">
        <v>8197</v>
      </c>
      <c r="E14" s="6" t="s">
        <v>8043</v>
      </c>
      <c r="F14" s="108">
        <v>83.65</v>
      </c>
    </row>
    <row r="15" spans="1:10" ht="25.5">
      <c r="A15" s="518"/>
      <c r="B15" s="516"/>
      <c r="C15" s="12" t="s">
        <v>8192</v>
      </c>
      <c r="D15" s="2" t="s">
        <v>8197</v>
      </c>
      <c r="E15" s="6" t="s">
        <v>8043</v>
      </c>
      <c r="F15" s="108">
        <v>54.91</v>
      </c>
    </row>
    <row r="16" spans="1:10">
      <c r="A16" s="6">
        <v>7</v>
      </c>
      <c r="B16" s="12" t="s">
        <v>1685</v>
      </c>
      <c r="C16" s="12" t="s">
        <v>8192</v>
      </c>
      <c r="D16" s="12" t="s">
        <v>8198</v>
      </c>
      <c r="E16" s="6" t="s">
        <v>8043</v>
      </c>
      <c r="F16" s="108">
        <v>1345.77</v>
      </c>
    </row>
    <row r="17" spans="1:6">
      <c r="A17" s="517">
        <v>8</v>
      </c>
      <c r="B17" s="515" t="s">
        <v>847</v>
      </c>
      <c r="C17" s="515" t="s">
        <v>8190</v>
      </c>
      <c r="D17" s="12" t="s">
        <v>132</v>
      </c>
      <c r="E17" s="6" t="s">
        <v>8191</v>
      </c>
      <c r="F17" s="108">
        <v>2093.73</v>
      </c>
    </row>
    <row r="18" spans="1:6">
      <c r="A18" s="518"/>
      <c r="B18" s="516"/>
      <c r="C18" s="516"/>
      <c r="D18" s="12" t="s">
        <v>898</v>
      </c>
      <c r="E18" s="6" t="s">
        <v>8191</v>
      </c>
      <c r="F18" s="108">
        <v>429.23</v>
      </c>
    </row>
    <row r="19" spans="1:6">
      <c r="A19" s="517">
        <v>9</v>
      </c>
      <c r="B19" s="515" t="s">
        <v>2780</v>
      </c>
      <c r="C19" s="515" t="s">
        <v>8190</v>
      </c>
      <c r="D19" s="12" t="s">
        <v>132</v>
      </c>
      <c r="E19" s="6" t="s">
        <v>8191</v>
      </c>
      <c r="F19" s="108">
        <v>9.25</v>
      </c>
    </row>
    <row r="20" spans="1:6">
      <c r="A20" s="518"/>
      <c r="B20" s="516"/>
      <c r="C20" s="516"/>
      <c r="D20" s="12" t="s">
        <v>898</v>
      </c>
      <c r="E20" s="6" t="s">
        <v>8191</v>
      </c>
      <c r="F20" s="108">
        <v>1.07</v>
      </c>
    </row>
    <row r="21" spans="1:6">
      <c r="A21" s="517">
        <v>10</v>
      </c>
      <c r="B21" s="515" t="s">
        <v>3115</v>
      </c>
      <c r="C21" s="12" t="s">
        <v>8192</v>
      </c>
      <c r="D21" s="12" t="s">
        <v>122</v>
      </c>
      <c r="E21" s="6" t="s">
        <v>8043</v>
      </c>
      <c r="F21" s="108">
        <v>592.49</v>
      </c>
    </row>
    <row r="22" spans="1:6">
      <c r="A22" s="518"/>
      <c r="B22" s="516"/>
      <c r="C22" s="12" t="s">
        <v>8190</v>
      </c>
      <c r="D22" s="12" t="s">
        <v>122</v>
      </c>
      <c r="E22" s="6" t="s">
        <v>8043</v>
      </c>
      <c r="F22" s="108">
        <v>2.17</v>
      </c>
    </row>
    <row r="23" spans="1:6">
      <c r="A23" s="6">
        <v>11</v>
      </c>
      <c r="B23" s="12" t="s">
        <v>194</v>
      </c>
      <c r="C23" s="12" t="s">
        <v>8190</v>
      </c>
      <c r="D23" s="12" t="s">
        <v>8198</v>
      </c>
      <c r="E23" s="6" t="s">
        <v>8043</v>
      </c>
      <c r="F23" s="108">
        <v>1745.56</v>
      </c>
    </row>
    <row r="24" spans="1:6">
      <c r="A24" s="6">
        <v>12</v>
      </c>
      <c r="B24" s="12" t="s">
        <v>8199</v>
      </c>
      <c r="C24" s="12" t="s">
        <v>8192</v>
      </c>
      <c r="D24" s="12" t="s">
        <v>122</v>
      </c>
      <c r="E24" s="6" t="s">
        <v>8043</v>
      </c>
      <c r="F24" s="111">
        <v>153.44999999999999</v>
      </c>
    </row>
    <row r="25" spans="1:6">
      <c r="A25" s="517">
        <v>13</v>
      </c>
      <c r="B25" s="524" t="s">
        <v>8200</v>
      </c>
      <c r="C25" s="12" t="s">
        <v>8190</v>
      </c>
      <c r="D25" s="12" t="s">
        <v>8201</v>
      </c>
      <c r="E25" s="6" t="s">
        <v>8043</v>
      </c>
      <c r="F25" s="108">
        <v>83.85</v>
      </c>
    </row>
    <row r="26" spans="1:6">
      <c r="A26" s="523"/>
      <c r="B26" s="525"/>
      <c r="C26" s="515" t="s">
        <v>8192</v>
      </c>
      <c r="D26" s="12" t="s">
        <v>8202</v>
      </c>
      <c r="E26" s="6" t="s">
        <v>8043</v>
      </c>
      <c r="F26" s="108">
        <v>1485.49</v>
      </c>
    </row>
    <row r="27" spans="1:6">
      <c r="A27" s="518"/>
      <c r="B27" s="526"/>
      <c r="C27" s="516"/>
      <c r="D27" s="12" t="s">
        <v>8203</v>
      </c>
      <c r="E27" s="6" t="s">
        <v>8043</v>
      </c>
      <c r="F27" s="108">
        <v>1081.49</v>
      </c>
    </row>
    <row r="28" spans="1:6">
      <c r="A28" s="6">
        <v>14</v>
      </c>
      <c r="B28" s="12" t="s">
        <v>952</v>
      </c>
      <c r="C28" s="12" t="s">
        <v>8190</v>
      </c>
      <c r="D28" s="12" t="s">
        <v>122</v>
      </c>
      <c r="E28" s="6" t="s">
        <v>8043</v>
      </c>
      <c r="F28" s="191">
        <v>146.59</v>
      </c>
    </row>
    <row r="29" spans="1:6">
      <c r="A29" s="517">
        <v>15</v>
      </c>
      <c r="B29" s="515" t="s">
        <v>801</v>
      </c>
      <c r="C29" s="12" t="s">
        <v>8190</v>
      </c>
      <c r="D29" s="12" t="s">
        <v>132</v>
      </c>
      <c r="E29" s="6" t="s">
        <v>8191</v>
      </c>
      <c r="F29" s="108">
        <v>9.82</v>
      </c>
    </row>
    <row r="30" spans="1:6" ht="25.5">
      <c r="A30" s="523"/>
      <c r="B30" s="519"/>
      <c r="C30" s="515" t="s">
        <v>8192</v>
      </c>
      <c r="D30" s="2" t="s">
        <v>8204</v>
      </c>
      <c r="E30" s="6" t="s">
        <v>8194</v>
      </c>
      <c r="F30" s="191">
        <v>391</v>
      </c>
    </row>
    <row r="31" spans="1:6" ht="25.5">
      <c r="A31" s="523"/>
      <c r="B31" s="519"/>
      <c r="C31" s="519"/>
      <c r="D31" s="2" t="s">
        <v>8205</v>
      </c>
      <c r="E31" s="6" t="s">
        <v>8194</v>
      </c>
      <c r="F31" s="108">
        <v>210.1</v>
      </c>
    </row>
    <row r="32" spans="1:6" ht="25.5" customHeight="1">
      <c r="A32" s="523"/>
      <c r="B32" s="519"/>
      <c r="C32" s="519"/>
      <c r="D32" s="2" t="s">
        <v>8206</v>
      </c>
      <c r="E32" s="6" t="s">
        <v>8043</v>
      </c>
      <c r="F32" s="191">
        <v>222.23</v>
      </c>
    </row>
    <row r="33" spans="1:6" ht="25.5" customHeight="1">
      <c r="A33" s="523"/>
      <c r="B33" s="519"/>
      <c r="C33" s="519"/>
      <c r="D33" s="2" t="s">
        <v>8207</v>
      </c>
      <c r="E33" s="6" t="s">
        <v>8043</v>
      </c>
      <c r="F33" s="191">
        <v>514.13</v>
      </c>
    </row>
    <row r="34" spans="1:6" ht="25.5" customHeight="1">
      <c r="A34" s="523"/>
      <c r="B34" s="519"/>
      <c r="C34" s="519"/>
      <c r="D34" s="2" t="s">
        <v>8208</v>
      </c>
      <c r="E34" s="6" t="s">
        <v>8043</v>
      </c>
      <c r="F34" s="191">
        <v>115.2</v>
      </c>
    </row>
    <row r="35" spans="1:6" ht="25.5" customHeight="1">
      <c r="A35" s="518"/>
      <c r="B35" s="516"/>
      <c r="C35" s="516"/>
      <c r="D35" s="2" t="s">
        <v>8209</v>
      </c>
      <c r="E35" s="6" t="s">
        <v>8043</v>
      </c>
      <c r="F35" s="191">
        <v>5.63</v>
      </c>
    </row>
    <row r="36" spans="1:6">
      <c r="A36" s="517">
        <v>16</v>
      </c>
      <c r="B36" s="515" t="s">
        <v>1041</v>
      </c>
      <c r="C36" s="515" t="s">
        <v>8192</v>
      </c>
      <c r="D36" s="12" t="s">
        <v>8210</v>
      </c>
      <c r="E36" s="6" t="s">
        <v>8043</v>
      </c>
      <c r="F36" s="191">
        <v>3.34</v>
      </c>
    </row>
    <row r="37" spans="1:6">
      <c r="A37" s="523"/>
      <c r="B37" s="519"/>
      <c r="C37" s="519"/>
      <c r="D37" s="12" t="s">
        <v>1925</v>
      </c>
      <c r="E37" s="6" t="s">
        <v>8043</v>
      </c>
      <c r="F37" s="191">
        <v>38.79</v>
      </c>
    </row>
    <row r="38" spans="1:6">
      <c r="A38" s="518"/>
      <c r="B38" s="516"/>
      <c r="C38" s="516"/>
      <c r="D38" s="12" t="s">
        <v>8211</v>
      </c>
      <c r="E38" s="6" t="s">
        <v>8043</v>
      </c>
      <c r="F38" s="191">
        <v>153.76</v>
      </c>
    </row>
    <row r="39" spans="1:6">
      <c r="A39" s="6">
        <v>17</v>
      </c>
      <c r="B39" s="12" t="s">
        <v>840</v>
      </c>
      <c r="C39" s="12" t="s">
        <v>8190</v>
      </c>
      <c r="D39" s="12" t="s">
        <v>132</v>
      </c>
      <c r="E39" s="6" t="s">
        <v>8191</v>
      </c>
      <c r="F39" s="108">
        <v>230.46</v>
      </c>
    </row>
    <row r="40" spans="1:6">
      <c r="A40" s="517">
        <v>18</v>
      </c>
      <c r="B40" s="515" t="s">
        <v>1069</v>
      </c>
      <c r="C40" s="12" t="s">
        <v>8190</v>
      </c>
      <c r="D40" s="12" t="s">
        <v>8212</v>
      </c>
      <c r="E40" s="6" t="s">
        <v>8043</v>
      </c>
      <c r="F40" s="108">
        <v>424.56</v>
      </c>
    </row>
    <row r="41" spans="1:6">
      <c r="A41" s="518"/>
      <c r="B41" s="516"/>
      <c r="C41" s="10" t="s">
        <v>8192</v>
      </c>
      <c r="D41" s="22" t="s">
        <v>8212</v>
      </c>
      <c r="E41" s="6" t="s">
        <v>8043</v>
      </c>
      <c r="F41" s="195">
        <v>16.12</v>
      </c>
    </row>
    <row r="42" spans="1:6" ht="25.5">
      <c r="A42" s="177">
        <v>19</v>
      </c>
      <c r="B42" s="367" t="s">
        <v>8213</v>
      </c>
      <c r="C42" s="12" t="s">
        <v>8190</v>
      </c>
      <c r="D42" s="59" t="s">
        <v>132</v>
      </c>
      <c r="E42" s="6" t="s">
        <v>8191</v>
      </c>
      <c r="F42" s="195">
        <v>304.88</v>
      </c>
    </row>
    <row r="43" spans="1:6">
      <c r="A43" s="177">
        <v>20</v>
      </c>
      <c r="B43" s="12" t="s">
        <v>4656</v>
      </c>
      <c r="C43" s="12" t="s">
        <v>8192</v>
      </c>
      <c r="D43" s="12" t="s">
        <v>843</v>
      </c>
      <c r="E43" s="6" t="s">
        <v>8043</v>
      </c>
      <c r="F43" s="108" t="s">
        <v>8214</v>
      </c>
    </row>
    <row r="44" spans="1:6">
      <c r="A44" s="77">
        <v>21</v>
      </c>
      <c r="B44" s="10" t="s">
        <v>8215</v>
      </c>
      <c r="C44" s="10" t="s">
        <v>8192</v>
      </c>
      <c r="D44" s="10" t="s">
        <v>8216</v>
      </c>
      <c r="E44" s="6" t="s">
        <v>8043</v>
      </c>
      <c r="F44" s="191">
        <v>823.18</v>
      </c>
    </row>
    <row r="45" spans="1:6">
      <c r="A45" s="517">
        <v>22</v>
      </c>
      <c r="B45" s="515" t="s">
        <v>8217</v>
      </c>
      <c r="C45" s="515" t="s">
        <v>8190</v>
      </c>
      <c r="D45" s="10" t="s">
        <v>8218</v>
      </c>
      <c r="E45" s="6" t="s">
        <v>8219</v>
      </c>
      <c r="F45" s="191">
        <v>14411</v>
      </c>
    </row>
    <row r="46" spans="1:6">
      <c r="A46" s="523"/>
      <c r="B46" s="519"/>
      <c r="C46" s="519"/>
      <c r="D46" s="10" t="s">
        <v>8220</v>
      </c>
      <c r="E46" s="6" t="s">
        <v>8219</v>
      </c>
      <c r="F46" s="191">
        <v>6276</v>
      </c>
    </row>
    <row r="47" spans="1:6">
      <c r="A47" s="523"/>
      <c r="B47" s="519"/>
      <c r="C47" s="519"/>
      <c r="D47" s="10" t="s">
        <v>8221</v>
      </c>
      <c r="E47" s="6" t="s">
        <v>8219</v>
      </c>
      <c r="F47" s="191">
        <v>1805</v>
      </c>
    </row>
    <row r="48" spans="1:6">
      <c r="A48" s="518"/>
      <c r="B48" s="516"/>
      <c r="C48" s="516"/>
      <c r="D48" s="10" t="s">
        <v>8222</v>
      </c>
      <c r="E48" s="6" t="s">
        <v>8219</v>
      </c>
      <c r="F48" s="191">
        <v>2379</v>
      </c>
    </row>
    <row r="49" spans="1:6">
      <c r="A49" s="517">
        <v>23</v>
      </c>
      <c r="B49" s="515" t="s">
        <v>3394</v>
      </c>
      <c r="C49" s="10" t="s">
        <v>8190</v>
      </c>
      <c r="D49" s="10" t="s">
        <v>153</v>
      </c>
      <c r="E49" s="6" t="s">
        <v>8043</v>
      </c>
      <c r="F49" s="191">
        <v>457.15</v>
      </c>
    </row>
    <row r="50" spans="1:6">
      <c r="A50" s="518"/>
      <c r="B50" s="516"/>
      <c r="C50" s="10" t="s">
        <v>8192</v>
      </c>
      <c r="D50" s="10" t="s">
        <v>153</v>
      </c>
      <c r="E50" s="6" t="s">
        <v>8043</v>
      </c>
      <c r="F50" s="191">
        <v>3038.82</v>
      </c>
    </row>
    <row r="51" spans="1:6">
      <c r="A51" s="77">
        <v>24</v>
      </c>
      <c r="B51" s="10" t="s">
        <v>835</v>
      </c>
      <c r="C51" s="10" t="s">
        <v>8190</v>
      </c>
      <c r="D51" s="10" t="s">
        <v>132</v>
      </c>
      <c r="E51" s="6" t="s">
        <v>8191</v>
      </c>
      <c r="F51" s="108">
        <v>145.74</v>
      </c>
    </row>
    <row r="52" spans="1:6">
      <c r="A52" s="517">
        <v>25</v>
      </c>
      <c r="B52" s="515" t="s">
        <v>2276</v>
      </c>
      <c r="C52" s="515" t="s">
        <v>8192</v>
      </c>
      <c r="D52" s="10" t="s">
        <v>8223</v>
      </c>
      <c r="E52" s="6" t="s">
        <v>8043</v>
      </c>
      <c r="F52" s="108" t="s">
        <v>8224</v>
      </c>
    </row>
    <row r="53" spans="1:6">
      <c r="A53" s="523"/>
      <c r="B53" s="519"/>
      <c r="C53" s="519"/>
      <c r="D53" s="10" t="s">
        <v>8225</v>
      </c>
      <c r="E53" s="6" t="s">
        <v>8043</v>
      </c>
      <c r="F53" s="191">
        <v>1229.5999999999999</v>
      </c>
    </row>
    <row r="54" spans="1:6">
      <c r="A54" s="518"/>
      <c r="B54" s="516"/>
      <c r="C54" s="516"/>
      <c r="D54" s="10" t="s">
        <v>245</v>
      </c>
      <c r="E54" s="6" t="s">
        <v>8043</v>
      </c>
      <c r="F54" s="191">
        <v>234.42</v>
      </c>
    </row>
    <row r="55" spans="1:6">
      <c r="A55" s="517">
        <v>26</v>
      </c>
      <c r="B55" s="515" t="s">
        <v>3025</v>
      </c>
      <c r="C55" s="10" t="s">
        <v>8190</v>
      </c>
      <c r="D55" s="10" t="s">
        <v>122</v>
      </c>
      <c r="E55" s="6" t="s">
        <v>8043</v>
      </c>
      <c r="F55" s="108">
        <v>10.38</v>
      </c>
    </row>
    <row r="56" spans="1:6">
      <c r="A56" s="518"/>
      <c r="B56" s="516"/>
      <c r="C56" s="10" t="s">
        <v>8192</v>
      </c>
      <c r="D56" s="10" t="s">
        <v>122</v>
      </c>
      <c r="E56" s="6" t="s">
        <v>8043</v>
      </c>
      <c r="F56" s="108">
        <v>697.63</v>
      </c>
    </row>
    <row r="57" spans="1:6">
      <c r="A57" s="517">
        <v>27</v>
      </c>
      <c r="B57" s="515" t="s">
        <v>1259</v>
      </c>
      <c r="C57" s="10" t="s">
        <v>8190</v>
      </c>
      <c r="D57" s="10" t="s">
        <v>8226</v>
      </c>
      <c r="E57" s="6" t="s">
        <v>8043</v>
      </c>
      <c r="F57" s="108">
        <v>3.56</v>
      </c>
    </row>
    <row r="58" spans="1:6">
      <c r="A58" s="518"/>
      <c r="B58" s="516"/>
      <c r="C58" s="10" t="s">
        <v>8192</v>
      </c>
      <c r="D58" s="10" t="s">
        <v>8226</v>
      </c>
      <c r="E58" s="6" t="s">
        <v>8043</v>
      </c>
      <c r="F58" s="111">
        <v>43</v>
      </c>
    </row>
    <row r="59" spans="1:6">
      <c r="A59" s="517">
        <v>28</v>
      </c>
      <c r="B59" s="515" t="s">
        <v>8227</v>
      </c>
      <c r="C59" s="10" t="s">
        <v>8190</v>
      </c>
      <c r="D59" s="10" t="s">
        <v>122</v>
      </c>
      <c r="E59" s="6" t="s">
        <v>8194</v>
      </c>
      <c r="F59" s="108">
        <v>181.95</v>
      </c>
    </row>
    <row r="60" spans="1:6">
      <c r="A60" s="518"/>
      <c r="B60" s="516"/>
      <c r="C60" s="10" t="s">
        <v>8192</v>
      </c>
      <c r="D60" s="10" t="s">
        <v>122</v>
      </c>
      <c r="E60" s="6" t="s">
        <v>8043</v>
      </c>
      <c r="F60" s="108">
        <v>147.13999999999999</v>
      </c>
    </row>
    <row r="61" spans="1:6">
      <c r="A61" s="517">
        <v>29</v>
      </c>
      <c r="B61" s="515" t="s">
        <v>8228</v>
      </c>
      <c r="C61" s="515" t="s">
        <v>8190</v>
      </c>
      <c r="D61" s="10" t="s">
        <v>132</v>
      </c>
      <c r="E61" s="6" t="s">
        <v>8191</v>
      </c>
      <c r="F61" s="191">
        <v>138</v>
      </c>
    </row>
    <row r="62" spans="1:6">
      <c r="A62" s="518"/>
      <c r="B62" s="516"/>
      <c r="C62" s="516"/>
      <c r="D62" s="10" t="s">
        <v>898</v>
      </c>
      <c r="E62" s="6" t="s">
        <v>8191</v>
      </c>
      <c r="F62" s="191">
        <v>11.7</v>
      </c>
    </row>
    <row r="63" spans="1:6">
      <c r="A63" s="77">
        <v>30</v>
      </c>
      <c r="B63" s="10" t="s">
        <v>1291</v>
      </c>
      <c r="C63" s="10" t="s">
        <v>8190</v>
      </c>
      <c r="D63" s="10" t="s">
        <v>132</v>
      </c>
      <c r="E63" s="6" t="s">
        <v>8191</v>
      </c>
      <c r="F63" s="108">
        <v>141.30000000000001</v>
      </c>
    </row>
    <row r="64" spans="1:6">
      <c r="A64" s="517">
        <v>31</v>
      </c>
      <c r="B64" s="515" t="s">
        <v>4763</v>
      </c>
      <c r="C64" s="10" t="s">
        <v>8190</v>
      </c>
      <c r="D64" s="10" t="s">
        <v>8229</v>
      </c>
      <c r="E64" s="6" t="s">
        <v>8194</v>
      </c>
      <c r="F64" s="111">
        <v>334</v>
      </c>
    </row>
    <row r="65" spans="1:6">
      <c r="A65" s="518"/>
      <c r="B65" s="516"/>
      <c r="C65" s="10" t="s">
        <v>8192</v>
      </c>
      <c r="D65" s="10" t="s">
        <v>8229</v>
      </c>
      <c r="E65" s="6" t="s">
        <v>8043</v>
      </c>
      <c r="F65" s="108">
        <v>450.59</v>
      </c>
    </row>
    <row r="66" spans="1:6">
      <c r="A66" s="517">
        <v>32</v>
      </c>
      <c r="B66" s="515" t="s">
        <v>981</v>
      </c>
      <c r="C66" s="515" t="s">
        <v>8190</v>
      </c>
      <c r="D66" s="10" t="s">
        <v>132</v>
      </c>
      <c r="E66" s="6" t="s">
        <v>8191</v>
      </c>
      <c r="F66" s="108">
        <v>371.57</v>
      </c>
    </row>
    <row r="67" spans="1:6">
      <c r="A67" s="518"/>
      <c r="B67" s="516"/>
      <c r="C67" s="516"/>
      <c r="D67" s="10" t="s">
        <v>898</v>
      </c>
      <c r="E67" s="6" t="s">
        <v>8191</v>
      </c>
      <c r="F67" s="108">
        <v>159.06</v>
      </c>
    </row>
    <row r="68" spans="1:6">
      <c r="A68" s="517">
        <v>33</v>
      </c>
      <c r="B68" s="515" t="s">
        <v>8230</v>
      </c>
      <c r="C68" s="10" t="s">
        <v>8190</v>
      </c>
      <c r="D68" s="10" t="s">
        <v>122</v>
      </c>
      <c r="E68" s="6" t="s">
        <v>8043</v>
      </c>
      <c r="F68" s="191">
        <v>152.54</v>
      </c>
    </row>
    <row r="69" spans="1:6">
      <c r="A69" s="518"/>
      <c r="B69" s="516"/>
      <c r="C69" s="10" t="s">
        <v>8192</v>
      </c>
      <c r="D69" s="10" t="s">
        <v>122</v>
      </c>
      <c r="E69" s="6" t="s">
        <v>8043</v>
      </c>
      <c r="F69" s="191">
        <v>322.27999999999997</v>
      </c>
    </row>
    <row r="70" spans="1:6">
      <c r="A70" s="77">
        <v>34</v>
      </c>
      <c r="B70" s="10" t="s">
        <v>8231</v>
      </c>
      <c r="C70" s="10" t="s">
        <v>8190</v>
      </c>
      <c r="D70" s="10" t="s">
        <v>132</v>
      </c>
      <c r="E70" s="6" t="s">
        <v>8191</v>
      </c>
      <c r="F70" s="191">
        <v>1227.8800000000001</v>
      </c>
    </row>
    <row r="71" spans="1:6">
      <c r="A71" s="517">
        <v>35</v>
      </c>
      <c r="B71" s="515" t="s">
        <v>8232</v>
      </c>
      <c r="C71" s="515" t="s">
        <v>8190</v>
      </c>
      <c r="D71" s="10" t="s">
        <v>8233</v>
      </c>
      <c r="E71" s="6" t="s">
        <v>8043</v>
      </c>
      <c r="F71" s="108">
        <v>19.079999999999998</v>
      </c>
    </row>
    <row r="72" spans="1:6">
      <c r="A72" s="523"/>
      <c r="B72" s="519"/>
      <c r="C72" s="516"/>
      <c r="D72" s="10" t="s">
        <v>8234</v>
      </c>
      <c r="E72" s="6" t="s">
        <v>8043</v>
      </c>
      <c r="F72" s="191">
        <v>1.07</v>
      </c>
    </row>
    <row r="73" spans="1:6">
      <c r="A73" s="523"/>
      <c r="B73" s="519"/>
      <c r="C73" s="515" t="s">
        <v>8192</v>
      </c>
      <c r="D73" s="10" t="s">
        <v>8235</v>
      </c>
      <c r="E73" s="6" t="s">
        <v>8043</v>
      </c>
      <c r="F73" s="108">
        <v>686.27</v>
      </c>
    </row>
    <row r="74" spans="1:6">
      <c r="A74" s="518"/>
      <c r="B74" s="516"/>
      <c r="C74" s="516"/>
      <c r="D74" s="10" t="s">
        <v>8236</v>
      </c>
      <c r="E74" s="6" t="s">
        <v>8043</v>
      </c>
      <c r="F74" s="108">
        <v>420.79</v>
      </c>
    </row>
    <row r="75" spans="1:6">
      <c r="A75" s="517">
        <v>36</v>
      </c>
      <c r="B75" s="515" t="s">
        <v>2973</v>
      </c>
      <c r="C75" s="10" t="s">
        <v>8190</v>
      </c>
      <c r="D75" s="10" t="s">
        <v>843</v>
      </c>
      <c r="E75" s="6" t="s">
        <v>8043</v>
      </c>
      <c r="F75" s="108">
        <v>1.78</v>
      </c>
    </row>
    <row r="76" spans="1:6">
      <c r="A76" s="518"/>
      <c r="B76" s="516"/>
      <c r="C76" s="22" t="s">
        <v>8192</v>
      </c>
      <c r="D76" s="10" t="s">
        <v>843</v>
      </c>
      <c r="E76" s="6" t="s">
        <v>8043</v>
      </c>
      <c r="F76" s="195">
        <v>15.35</v>
      </c>
    </row>
    <row r="77" spans="1:6">
      <c r="A77" s="77">
        <v>37</v>
      </c>
      <c r="B77" s="10" t="s">
        <v>8237</v>
      </c>
      <c r="C77" s="10" t="s">
        <v>8190</v>
      </c>
      <c r="D77" s="10" t="s">
        <v>8238</v>
      </c>
      <c r="E77" s="6" t="s">
        <v>8191</v>
      </c>
      <c r="F77" s="108">
        <v>218.6</v>
      </c>
    </row>
    <row r="78" spans="1:6">
      <c r="A78" s="77">
        <v>38</v>
      </c>
      <c r="B78" s="10" t="s">
        <v>3370</v>
      </c>
      <c r="C78" s="10" t="s">
        <v>8192</v>
      </c>
      <c r="D78" s="10" t="s">
        <v>8223</v>
      </c>
      <c r="E78" s="6" t="s">
        <v>8043</v>
      </c>
      <c r="F78" s="191">
        <v>700.13</v>
      </c>
    </row>
    <row r="79" spans="1:6">
      <c r="A79" s="517">
        <v>39</v>
      </c>
      <c r="B79" s="515" t="s">
        <v>4317</v>
      </c>
      <c r="C79" s="10" t="s">
        <v>8190</v>
      </c>
      <c r="D79" s="10" t="s">
        <v>122</v>
      </c>
      <c r="E79" s="6" t="s">
        <v>8043</v>
      </c>
      <c r="F79" s="108">
        <v>54.58</v>
      </c>
    </row>
    <row r="80" spans="1:6">
      <c r="A80" s="518"/>
      <c r="B80" s="516"/>
      <c r="C80" s="10" t="s">
        <v>8192</v>
      </c>
      <c r="D80" s="10" t="s">
        <v>122</v>
      </c>
      <c r="E80" s="6" t="s">
        <v>8043</v>
      </c>
      <c r="F80" s="108">
        <v>190.94</v>
      </c>
    </row>
    <row r="81" spans="1:6">
      <c r="A81" s="77">
        <v>40</v>
      </c>
      <c r="B81" s="10" t="s">
        <v>3281</v>
      </c>
      <c r="C81" s="10" t="s">
        <v>8192</v>
      </c>
      <c r="D81" s="10" t="s">
        <v>122</v>
      </c>
      <c r="E81" s="6" t="s">
        <v>8043</v>
      </c>
      <c r="F81" s="108">
        <v>822.32</v>
      </c>
    </row>
    <row r="82" spans="1:6">
      <c r="A82" s="517">
        <v>41</v>
      </c>
      <c r="B82" s="515" t="s">
        <v>2190</v>
      </c>
      <c r="C82" s="515" t="s">
        <v>8190</v>
      </c>
      <c r="D82" s="10" t="s">
        <v>898</v>
      </c>
      <c r="E82" s="6" t="s">
        <v>8191</v>
      </c>
      <c r="F82" s="198">
        <v>0.19</v>
      </c>
    </row>
    <row r="83" spans="1:6">
      <c r="A83" s="523"/>
      <c r="B83" s="519"/>
      <c r="C83" s="519"/>
      <c r="D83" s="10" t="s">
        <v>132</v>
      </c>
      <c r="E83" s="6" t="s">
        <v>8191</v>
      </c>
      <c r="F83" s="111">
        <v>16.600000000000001</v>
      </c>
    </row>
    <row r="84" spans="1:6">
      <c r="A84" s="518"/>
      <c r="B84" s="516"/>
      <c r="C84" s="516"/>
      <c r="D84" s="10" t="s">
        <v>843</v>
      </c>
      <c r="E84" s="6" t="s">
        <v>8043</v>
      </c>
      <c r="F84" s="191">
        <v>30</v>
      </c>
    </row>
    <row r="85" spans="1:6">
      <c r="A85" s="520">
        <v>42</v>
      </c>
      <c r="B85" s="515" t="s">
        <v>309</v>
      </c>
      <c r="C85" s="515" t="s">
        <v>8190</v>
      </c>
      <c r="D85" s="10" t="s">
        <v>122</v>
      </c>
      <c r="E85" s="6" t="s">
        <v>8043</v>
      </c>
      <c r="F85" s="191">
        <v>1611.78</v>
      </c>
    </row>
    <row r="86" spans="1:6">
      <c r="A86" s="521"/>
      <c r="B86" s="519"/>
      <c r="C86" s="519"/>
      <c r="D86" s="10" t="s">
        <v>132</v>
      </c>
      <c r="E86" s="6" t="s">
        <v>8191</v>
      </c>
      <c r="F86" s="111">
        <v>26.7</v>
      </c>
    </row>
    <row r="87" spans="1:6">
      <c r="A87" s="521"/>
      <c r="B87" s="519"/>
      <c r="C87" s="516"/>
      <c r="D87" s="10" t="s">
        <v>898</v>
      </c>
      <c r="E87" s="6" t="s">
        <v>8191</v>
      </c>
      <c r="F87" s="111">
        <v>2.6</v>
      </c>
    </row>
    <row r="88" spans="1:6">
      <c r="A88" s="522"/>
      <c r="B88" s="516"/>
      <c r="C88" s="10" t="s">
        <v>8192</v>
      </c>
      <c r="D88" s="10" t="s">
        <v>122</v>
      </c>
      <c r="E88" s="6" t="s">
        <v>8043</v>
      </c>
      <c r="F88" s="108" t="s">
        <v>8239</v>
      </c>
    </row>
    <row r="89" spans="1:6">
      <c r="A89" s="77">
        <v>43</v>
      </c>
      <c r="B89" s="10" t="s">
        <v>4407</v>
      </c>
      <c r="C89" s="10" t="s">
        <v>8190</v>
      </c>
      <c r="D89" s="10" t="s">
        <v>132</v>
      </c>
      <c r="E89" s="6" t="s">
        <v>8191</v>
      </c>
      <c r="F89" s="111">
        <v>60.1</v>
      </c>
    </row>
    <row r="90" spans="1:6">
      <c r="A90" s="77">
        <v>44</v>
      </c>
      <c r="B90" s="10" t="s">
        <v>2107</v>
      </c>
      <c r="C90" s="10" t="s">
        <v>8190</v>
      </c>
      <c r="D90" s="10" t="s">
        <v>8233</v>
      </c>
      <c r="E90" s="6" t="s">
        <v>8043</v>
      </c>
      <c r="F90" s="108">
        <v>113.01</v>
      </c>
    </row>
    <row r="91" spans="1:6">
      <c r="A91" s="77">
        <v>45</v>
      </c>
      <c r="B91" s="10" t="s">
        <v>8240</v>
      </c>
      <c r="C91" s="10" t="s">
        <v>8190</v>
      </c>
      <c r="D91" s="10" t="s">
        <v>8223</v>
      </c>
      <c r="E91" s="6" t="s">
        <v>8043</v>
      </c>
      <c r="F91" s="191">
        <v>494.02</v>
      </c>
    </row>
    <row r="92" spans="1:6">
      <c r="A92" s="517">
        <v>46</v>
      </c>
      <c r="B92" s="515" t="s">
        <v>8241</v>
      </c>
      <c r="C92" s="10" t="s">
        <v>8190</v>
      </c>
      <c r="D92" s="10" t="s">
        <v>8242</v>
      </c>
      <c r="E92" s="6" t="s">
        <v>8043</v>
      </c>
      <c r="F92" s="108">
        <v>33.79</v>
      </c>
    </row>
    <row r="93" spans="1:6">
      <c r="A93" s="523"/>
      <c r="B93" s="519"/>
      <c r="C93" s="515" t="s">
        <v>8192</v>
      </c>
      <c r="D93" s="10" t="s">
        <v>8242</v>
      </c>
      <c r="E93" s="6" t="s">
        <v>8043</v>
      </c>
      <c r="F93" s="191">
        <v>1217.23</v>
      </c>
    </row>
    <row r="94" spans="1:6">
      <c r="A94" s="518"/>
      <c r="B94" s="516"/>
      <c r="C94" s="516"/>
      <c r="D94" s="10" t="s">
        <v>8223</v>
      </c>
      <c r="E94" s="6" t="s">
        <v>8043</v>
      </c>
      <c r="F94" s="191">
        <v>28052.2</v>
      </c>
    </row>
    <row r="95" spans="1:6">
      <c r="A95" s="77">
        <v>47</v>
      </c>
      <c r="B95" s="10" t="s">
        <v>8243</v>
      </c>
      <c r="C95" s="10" t="s">
        <v>8190</v>
      </c>
      <c r="D95" s="10" t="s">
        <v>8212</v>
      </c>
      <c r="E95" s="6" t="s">
        <v>8043</v>
      </c>
      <c r="F95" s="108">
        <v>7.12</v>
      </c>
    </row>
    <row r="96" spans="1:6">
      <c r="A96" s="517">
        <v>48</v>
      </c>
      <c r="B96" s="515" t="s">
        <v>8244</v>
      </c>
      <c r="C96" s="515" t="s">
        <v>8192</v>
      </c>
      <c r="D96" s="10" t="s">
        <v>8216</v>
      </c>
      <c r="E96" s="6" t="s">
        <v>8043</v>
      </c>
      <c r="F96" s="108">
        <v>604.66</v>
      </c>
    </row>
    <row r="97" spans="1:6">
      <c r="A97" s="518"/>
      <c r="B97" s="516"/>
      <c r="C97" s="516"/>
      <c r="D97" s="10" t="s">
        <v>8245</v>
      </c>
      <c r="E97" s="6" t="s">
        <v>8043</v>
      </c>
      <c r="F97" s="108">
        <v>5.73</v>
      </c>
    </row>
    <row r="98" spans="1:6">
      <c r="E98"/>
      <c r="F98"/>
    </row>
    <row r="99" spans="1:6">
      <c r="E99"/>
      <c r="F99"/>
    </row>
    <row r="100" spans="1:6">
      <c r="E100"/>
      <c r="F100"/>
    </row>
    <row r="101" spans="1:6">
      <c r="E101"/>
      <c r="F101"/>
    </row>
    <row r="102" spans="1:6">
      <c r="E102"/>
      <c r="F102"/>
    </row>
    <row r="103" spans="1:6">
      <c r="E103"/>
      <c r="F103"/>
    </row>
    <row r="104" spans="1:6">
      <c r="E104"/>
      <c r="F104"/>
    </row>
    <row r="105" spans="1:6">
      <c r="E105"/>
      <c r="F105"/>
    </row>
    <row r="106" spans="1:6">
      <c r="E106"/>
      <c r="F106"/>
    </row>
    <row r="107" spans="1:6">
      <c r="E107"/>
      <c r="F107"/>
    </row>
    <row r="108" spans="1:6">
      <c r="E108"/>
      <c r="F108"/>
    </row>
    <row r="109" spans="1:6">
      <c r="E109"/>
      <c r="F109"/>
    </row>
    <row r="110" spans="1:6">
      <c r="E110"/>
      <c r="F110"/>
    </row>
    <row r="111" spans="1:6">
      <c r="E111"/>
      <c r="F111"/>
    </row>
    <row r="112" spans="1:6">
      <c r="E112"/>
      <c r="F112"/>
    </row>
    <row r="113" spans="1:1" customFormat="1">
      <c r="A113" s="8"/>
    </row>
    <row r="114" spans="1:1" customFormat="1">
      <c r="A114" s="8"/>
    </row>
    <row r="115" spans="1:1" customFormat="1">
      <c r="A115" s="8"/>
    </row>
    <row r="116" spans="1:1" customFormat="1">
      <c r="A116" s="8"/>
    </row>
    <row r="117" spans="1:1" customFormat="1">
      <c r="A117" s="8"/>
    </row>
    <row r="118" spans="1:1" customFormat="1">
      <c r="A118" s="8"/>
    </row>
    <row r="119" spans="1:1" customFormat="1">
      <c r="A119" s="8"/>
    </row>
    <row r="120" spans="1:1" customFormat="1">
      <c r="A120" s="8"/>
    </row>
    <row r="121" spans="1:1" customFormat="1">
      <c r="A121" s="8"/>
    </row>
    <row r="122" spans="1:1" customFormat="1">
      <c r="A122" s="8"/>
    </row>
    <row r="123" spans="1:1" customFormat="1">
      <c r="A123" s="8"/>
    </row>
    <row r="124" spans="1:1" customFormat="1">
      <c r="A124" s="8"/>
    </row>
    <row r="125" spans="1:1" customFormat="1">
      <c r="A125" s="8"/>
    </row>
    <row r="126" spans="1:1" customFormat="1">
      <c r="A126" s="8"/>
    </row>
    <row r="127" spans="1:1" customFormat="1">
      <c r="A127" s="8"/>
    </row>
    <row r="128" spans="1:1" customFormat="1">
      <c r="A128" s="8"/>
    </row>
    <row r="129" spans="1:1" customFormat="1">
      <c r="A129" s="8"/>
    </row>
    <row r="130" spans="1:1" customFormat="1">
      <c r="A130" s="8"/>
    </row>
    <row r="131" spans="1:1" customFormat="1">
      <c r="A131" s="8"/>
    </row>
    <row r="132" spans="1:1" customFormat="1">
      <c r="A132" s="8"/>
    </row>
    <row r="133" spans="1:1" customFormat="1">
      <c r="A133" s="8"/>
    </row>
    <row r="134" spans="1:1" customFormat="1">
      <c r="A134" s="8"/>
    </row>
    <row r="135" spans="1:1" customFormat="1">
      <c r="A135" s="8"/>
    </row>
    <row r="136" spans="1:1" customFormat="1">
      <c r="A136" s="8"/>
    </row>
    <row r="137" spans="1:1" customFormat="1">
      <c r="A137" s="8"/>
    </row>
    <row r="138" spans="1:1" customFormat="1">
      <c r="A138" s="8"/>
    </row>
    <row r="139" spans="1:1" customFormat="1">
      <c r="A139" s="8"/>
    </row>
    <row r="140" spans="1:1" customFormat="1">
      <c r="A140" s="8"/>
    </row>
    <row r="141" spans="1:1" customFormat="1">
      <c r="A141" s="8"/>
    </row>
    <row r="142" spans="1:1" customFormat="1">
      <c r="A142" s="8"/>
    </row>
    <row r="143" spans="1:1" customFormat="1">
      <c r="A143" s="8"/>
    </row>
    <row r="144" spans="1:1" customFormat="1">
      <c r="A144" s="8"/>
    </row>
    <row r="145" spans="1:1" customFormat="1">
      <c r="A145" s="8"/>
    </row>
    <row r="146" spans="1:1" customFormat="1">
      <c r="A146" s="8"/>
    </row>
    <row r="147" spans="1:1" customFormat="1">
      <c r="A147" s="8"/>
    </row>
    <row r="148" spans="1:1" customFormat="1">
      <c r="A148" s="8"/>
    </row>
    <row r="149" spans="1:1" customFormat="1">
      <c r="A149" s="8"/>
    </row>
    <row r="150" spans="1:1" customFormat="1">
      <c r="A150" s="8"/>
    </row>
    <row r="151" spans="1:1" customFormat="1">
      <c r="A151" s="8"/>
    </row>
    <row r="152" spans="1:1" customFormat="1">
      <c r="A152" s="8"/>
    </row>
    <row r="153" spans="1:1" customFormat="1">
      <c r="A153" s="8"/>
    </row>
    <row r="154" spans="1:1" customFormat="1">
      <c r="A154" s="8"/>
    </row>
    <row r="155" spans="1:1" customFormat="1">
      <c r="A155" s="8"/>
    </row>
    <row r="156" spans="1:1" customFormat="1">
      <c r="A156" s="8"/>
    </row>
    <row r="157" spans="1:1" customFormat="1">
      <c r="A157" s="8"/>
    </row>
    <row r="158" spans="1:1" customFormat="1">
      <c r="A158" s="8"/>
    </row>
    <row r="159" spans="1:1" customFormat="1">
      <c r="A159" s="8"/>
    </row>
    <row r="160" spans="1:1" customFormat="1">
      <c r="A160" s="8"/>
    </row>
    <row r="161" spans="1:1" customFormat="1">
      <c r="A161" s="8"/>
    </row>
    <row r="162" spans="1:1" customFormat="1">
      <c r="A162" s="8"/>
    </row>
    <row r="163" spans="1:1" customFormat="1">
      <c r="A163" s="8"/>
    </row>
    <row r="164" spans="1:1" customFormat="1">
      <c r="A164" s="8"/>
    </row>
    <row r="165" spans="1:1" customFormat="1">
      <c r="A165" s="8"/>
    </row>
    <row r="166" spans="1:1" customFormat="1">
      <c r="A166" s="8"/>
    </row>
    <row r="167" spans="1:1" customFormat="1">
      <c r="A167" s="8"/>
    </row>
    <row r="168" spans="1:1" customFormat="1">
      <c r="A168" s="8"/>
    </row>
    <row r="169" spans="1:1" customFormat="1">
      <c r="A169" s="8"/>
    </row>
    <row r="170" spans="1:1" customFormat="1">
      <c r="A170" s="8"/>
    </row>
    <row r="171" spans="1:1" customFormat="1">
      <c r="A171" s="8"/>
    </row>
    <row r="172" spans="1:1" customFormat="1">
      <c r="A172" s="8"/>
    </row>
    <row r="173" spans="1:1" customFormat="1">
      <c r="A173" s="8"/>
    </row>
    <row r="174" spans="1:1" customFormat="1">
      <c r="A174" s="8"/>
    </row>
    <row r="175" spans="1:1" customFormat="1">
      <c r="A175" s="8"/>
    </row>
    <row r="176" spans="1:1" customFormat="1">
      <c r="A176" s="8"/>
    </row>
    <row r="177" spans="1:1" customFormat="1">
      <c r="A177" s="8"/>
    </row>
    <row r="178" spans="1:1" customFormat="1">
      <c r="A178" s="8"/>
    </row>
    <row r="179" spans="1:1" customFormat="1">
      <c r="A179" s="8"/>
    </row>
    <row r="180" spans="1:1" customFormat="1">
      <c r="A180" s="8"/>
    </row>
    <row r="181" spans="1:1" customFormat="1">
      <c r="A181" s="8"/>
    </row>
    <row r="182" spans="1:1" customFormat="1">
      <c r="A182" s="8"/>
    </row>
  </sheetData>
  <mergeCells count="79">
    <mergeCell ref="B66:B67"/>
    <mergeCell ref="A66:A67"/>
    <mergeCell ref="C66:C67"/>
    <mergeCell ref="B75:B76"/>
    <mergeCell ref="A75:A76"/>
    <mergeCell ref="B68:B69"/>
    <mergeCell ref="A68:A69"/>
    <mergeCell ref="C71:C72"/>
    <mergeCell ref="C73:C74"/>
    <mergeCell ref="B71:B74"/>
    <mergeCell ref="A71:A74"/>
    <mergeCell ref="B57:B58"/>
    <mergeCell ref="A57:A58"/>
    <mergeCell ref="B59:B60"/>
    <mergeCell ref="A59:A60"/>
    <mergeCell ref="B64:B65"/>
    <mergeCell ref="A64:A65"/>
    <mergeCell ref="C52:C54"/>
    <mergeCell ref="B52:B54"/>
    <mergeCell ref="A52:A54"/>
    <mergeCell ref="B55:B56"/>
    <mergeCell ref="A55:A56"/>
    <mergeCell ref="B40:B41"/>
    <mergeCell ref="A40:A41"/>
    <mergeCell ref="A49:A50"/>
    <mergeCell ref="B49:B50"/>
    <mergeCell ref="C45:C48"/>
    <mergeCell ref="B45:B48"/>
    <mergeCell ref="A45:A48"/>
    <mergeCell ref="A3:A4"/>
    <mergeCell ref="B3:B4"/>
    <mergeCell ref="C3:C4"/>
    <mergeCell ref="D3:D4"/>
    <mergeCell ref="E3:F3"/>
    <mergeCell ref="A5:A6"/>
    <mergeCell ref="B5:B6"/>
    <mergeCell ref="C5:C6"/>
    <mergeCell ref="A9:A11"/>
    <mergeCell ref="B9:B11"/>
    <mergeCell ref="C10:C11"/>
    <mergeCell ref="C26:C27"/>
    <mergeCell ref="A12:A13"/>
    <mergeCell ref="B12:B13"/>
    <mergeCell ref="A14:A15"/>
    <mergeCell ref="B14:B15"/>
    <mergeCell ref="A17:A18"/>
    <mergeCell ref="B17:B18"/>
    <mergeCell ref="B82:B84"/>
    <mergeCell ref="A82:A84"/>
    <mergeCell ref="C17:C18"/>
    <mergeCell ref="A19:A20"/>
    <mergeCell ref="B19:B20"/>
    <mergeCell ref="C19:C20"/>
    <mergeCell ref="A21:A22"/>
    <mergeCell ref="B21:B22"/>
    <mergeCell ref="A36:A38"/>
    <mergeCell ref="B36:B38"/>
    <mergeCell ref="C36:C38"/>
    <mergeCell ref="B25:B27"/>
    <mergeCell ref="A25:A27"/>
    <mergeCell ref="A29:A35"/>
    <mergeCell ref="B29:B35"/>
    <mergeCell ref="C30:C35"/>
    <mergeCell ref="A1:J1"/>
    <mergeCell ref="C61:C62"/>
    <mergeCell ref="B61:B62"/>
    <mergeCell ref="A61:A62"/>
    <mergeCell ref="C96:C97"/>
    <mergeCell ref="B96:B97"/>
    <mergeCell ref="A96:A97"/>
    <mergeCell ref="C85:C87"/>
    <mergeCell ref="B85:B88"/>
    <mergeCell ref="A85:A88"/>
    <mergeCell ref="C93:C94"/>
    <mergeCell ref="B92:B94"/>
    <mergeCell ref="A92:A94"/>
    <mergeCell ref="B79:B80"/>
    <mergeCell ref="A79:A80"/>
    <mergeCell ref="C82:C84"/>
  </mergeCells>
  <phoneticPr fontId="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FEEB7-F46E-4F15-B517-2E64957162EA}">
  <sheetPr>
    <tabColor rgb="FF006432"/>
  </sheetPr>
  <dimension ref="A1:J128"/>
  <sheetViews>
    <sheetView workbookViewId="0">
      <pane ySplit="3" topLeftCell="A4" activePane="bottomLeft" state="frozen"/>
      <selection pane="bottomLeft" activeCell="H112" sqref="H112"/>
    </sheetView>
  </sheetViews>
  <sheetFormatPr defaultRowHeight="15"/>
  <cols>
    <col min="1" max="1" width="4.5703125" customWidth="1"/>
    <col min="2" max="2" width="11.7109375" customWidth="1"/>
    <col min="3" max="3" width="32.7109375" customWidth="1"/>
    <col min="4" max="4" width="21.42578125" style="8" customWidth="1"/>
    <col min="5" max="5" width="17.140625" style="8" customWidth="1"/>
    <col min="6" max="6" width="31.140625" style="207" customWidth="1"/>
  </cols>
  <sheetData>
    <row r="1" spans="1:10" ht="16.5" thickBot="1">
      <c r="A1" s="641" t="s">
        <v>8246</v>
      </c>
      <c r="B1" s="641"/>
      <c r="C1" s="641"/>
      <c r="D1" s="641"/>
      <c r="E1" s="641"/>
      <c r="F1" s="641"/>
      <c r="G1" s="641"/>
      <c r="H1" s="641"/>
      <c r="I1" s="641"/>
      <c r="J1" s="641"/>
    </row>
    <row r="2" spans="1:10" ht="7.5" customHeight="1" thickTop="1">
      <c r="B2" s="53"/>
      <c r="C2" s="44"/>
      <c r="D2" s="44"/>
      <c r="E2" s="44"/>
      <c r="F2" s="44"/>
    </row>
    <row r="3" spans="1:10" ht="51">
      <c r="A3" s="46" t="s">
        <v>114</v>
      </c>
      <c r="B3" s="46" t="s">
        <v>621</v>
      </c>
      <c r="C3" s="46" t="s">
        <v>115</v>
      </c>
      <c r="D3" s="46" t="s">
        <v>8247</v>
      </c>
      <c r="E3" s="46" t="s">
        <v>8248</v>
      </c>
      <c r="F3" s="46" t="s">
        <v>8249</v>
      </c>
    </row>
    <row r="4" spans="1:10">
      <c r="A4" s="10">
        <v>1</v>
      </c>
      <c r="B4" s="9">
        <v>2011239</v>
      </c>
      <c r="C4" s="20" t="s">
        <v>121</v>
      </c>
      <c r="D4" s="77" t="s">
        <v>8250</v>
      </c>
      <c r="E4" s="77" t="s">
        <v>8250</v>
      </c>
      <c r="F4" s="77" t="s">
        <v>382</v>
      </c>
    </row>
    <row r="5" spans="1:10">
      <c r="A5" s="203">
        <f>A4+1</f>
        <v>2</v>
      </c>
      <c r="B5" s="201">
        <v>5097517</v>
      </c>
      <c r="C5" s="200" t="s">
        <v>126</v>
      </c>
      <c r="D5" s="204"/>
      <c r="E5" s="204"/>
      <c r="F5" s="204"/>
    </row>
    <row r="6" spans="1:10">
      <c r="A6" s="10">
        <f t="shared" ref="A6:A69" si="0">A5+1</f>
        <v>3</v>
      </c>
      <c r="B6" s="9">
        <v>5809797</v>
      </c>
      <c r="C6" s="20" t="s">
        <v>131</v>
      </c>
      <c r="D6" s="77" t="s">
        <v>8250</v>
      </c>
      <c r="E6" s="77" t="s">
        <v>8250</v>
      </c>
      <c r="F6" s="77" t="s">
        <v>382</v>
      </c>
    </row>
    <row r="7" spans="1:10">
      <c r="A7" s="10">
        <f t="shared" si="0"/>
        <v>4</v>
      </c>
      <c r="B7" s="9">
        <v>5118344</v>
      </c>
      <c r="C7" s="20" t="s">
        <v>133</v>
      </c>
      <c r="D7" s="77" t="s">
        <v>8250</v>
      </c>
      <c r="E7" s="77" t="s">
        <v>8250</v>
      </c>
      <c r="F7" s="77" t="s">
        <v>382</v>
      </c>
    </row>
    <row r="8" spans="1:10">
      <c r="A8" s="10">
        <f t="shared" si="0"/>
        <v>5</v>
      </c>
      <c r="B8" s="9">
        <v>5095549</v>
      </c>
      <c r="C8" s="20" t="s">
        <v>136</v>
      </c>
      <c r="D8" s="77" t="s">
        <v>8250</v>
      </c>
      <c r="E8" s="77" t="s">
        <v>8250</v>
      </c>
      <c r="F8" s="77" t="s">
        <v>8251</v>
      </c>
    </row>
    <row r="9" spans="1:10">
      <c r="A9" s="10">
        <f t="shared" si="0"/>
        <v>6</v>
      </c>
      <c r="B9" s="9">
        <v>2784165</v>
      </c>
      <c r="C9" s="20" t="s">
        <v>140</v>
      </c>
      <c r="D9" s="77" t="s">
        <v>8250</v>
      </c>
      <c r="E9" s="77" t="s">
        <v>8250</v>
      </c>
      <c r="F9" s="77" t="s">
        <v>382</v>
      </c>
    </row>
    <row r="10" spans="1:10">
      <c r="A10" s="10">
        <f t="shared" si="0"/>
        <v>7</v>
      </c>
      <c r="B10" s="9">
        <v>5133351</v>
      </c>
      <c r="C10" s="20" t="s">
        <v>143</v>
      </c>
      <c r="D10" s="77" t="s">
        <v>8250</v>
      </c>
      <c r="E10" s="77" t="s">
        <v>8250</v>
      </c>
      <c r="F10" s="77" t="s">
        <v>8252</v>
      </c>
    </row>
    <row r="11" spans="1:10">
      <c r="A11" s="10">
        <f t="shared" si="0"/>
        <v>8</v>
      </c>
      <c r="B11" s="9">
        <v>6172768</v>
      </c>
      <c r="C11" s="20" t="s">
        <v>144</v>
      </c>
      <c r="D11" s="77" t="s">
        <v>382</v>
      </c>
      <c r="E11" s="77" t="s">
        <v>382</v>
      </c>
      <c r="F11" s="77" t="s">
        <v>382</v>
      </c>
    </row>
    <row r="12" spans="1:10">
      <c r="A12" s="203">
        <f t="shared" si="0"/>
        <v>9</v>
      </c>
      <c r="B12" s="201">
        <v>2788705</v>
      </c>
      <c r="C12" s="200" t="s">
        <v>146</v>
      </c>
      <c r="D12" s="204"/>
      <c r="E12" s="204"/>
      <c r="F12" s="204"/>
    </row>
    <row r="13" spans="1:10">
      <c r="A13" s="10">
        <f t="shared" si="0"/>
        <v>10</v>
      </c>
      <c r="B13" s="9">
        <v>5439183</v>
      </c>
      <c r="C13" s="20" t="s">
        <v>629</v>
      </c>
      <c r="D13" s="77" t="s">
        <v>8250</v>
      </c>
      <c r="E13" s="77" t="s">
        <v>8250</v>
      </c>
      <c r="F13" s="77" t="s">
        <v>382</v>
      </c>
    </row>
    <row r="14" spans="1:10">
      <c r="A14" s="10">
        <f t="shared" si="0"/>
        <v>11</v>
      </c>
      <c r="B14" s="9">
        <v>2008572</v>
      </c>
      <c r="C14" s="20" t="s">
        <v>152</v>
      </c>
      <c r="D14" s="77" t="s">
        <v>8250</v>
      </c>
      <c r="E14" s="77" t="s">
        <v>8250</v>
      </c>
      <c r="F14" s="77" t="s">
        <v>8253</v>
      </c>
    </row>
    <row r="15" spans="1:10">
      <c r="A15" s="10">
        <f t="shared" si="0"/>
        <v>12</v>
      </c>
      <c r="B15" s="9">
        <v>5215919</v>
      </c>
      <c r="C15" s="20" t="s">
        <v>155</v>
      </c>
      <c r="D15" s="77" t="s">
        <v>8250</v>
      </c>
      <c r="E15" s="77" t="s">
        <v>8250</v>
      </c>
      <c r="F15" s="77" t="s">
        <v>382</v>
      </c>
    </row>
    <row r="16" spans="1:10">
      <c r="A16" s="10">
        <f t="shared" si="0"/>
        <v>13</v>
      </c>
      <c r="B16" s="9">
        <v>5502977</v>
      </c>
      <c r="C16" s="20" t="s">
        <v>157</v>
      </c>
      <c r="D16" s="77" t="s">
        <v>8250</v>
      </c>
      <c r="E16" s="77" t="s">
        <v>8250</v>
      </c>
      <c r="F16" s="77" t="s">
        <v>382</v>
      </c>
    </row>
    <row r="17" spans="1:6">
      <c r="A17" s="10">
        <f t="shared" si="0"/>
        <v>14</v>
      </c>
      <c r="B17" s="9">
        <v>2708701</v>
      </c>
      <c r="C17" s="20" t="s">
        <v>159</v>
      </c>
      <c r="D17" s="77" t="s">
        <v>8250</v>
      </c>
      <c r="E17" s="77" t="s">
        <v>8250</v>
      </c>
      <c r="F17" s="77" t="s">
        <v>8254</v>
      </c>
    </row>
    <row r="18" spans="1:6">
      <c r="A18" s="10">
        <f t="shared" si="0"/>
        <v>15</v>
      </c>
      <c r="B18" s="9">
        <v>2014491</v>
      </c>
      <c r="C18" s="20" t="s">
        <v>161</v>
      </c>
      <c r="D18" s="77" t="s">
        <v>382</v>
      </c>
      <c r="E18" s="77" t="s">
        <v>382</v>
      </c>
      <c r="F18" s="77" t="s">
        <v>382</v>
      </c>
    </row>
    <row r="19" spans="1:6">
      <c r="A19" s="10">
        <f t="shared" si="0"/>
        <v>16</v>
      </c>
      <c r="B19" s="9">
        <v>6414877</v>
      </c>
      <c r="C19" s="20" t="s">
        <v>165</v>
      </c>
      <c r="D19" s="77" t="s">
        <v>8250</v>
      </c>
      <c r="E19" s="77" t="s">
        <v>8250</v>
      </c>
      <c r="F19" s="77" t="s">
        <v>8255</v>
      </c>
    </row>
    <row r="20" spans="1:6">
      <c r="A20" s="10">
        <f t="shared" si="0"/>
        <v>17</v>
      </c>
      <c r="B20" s="9">
        <v>5369223</v>
      </c>
      <c r="C20" s="20" t="s">
        <v>168</v>
      </c>
      <c r="D20" s="77" t="s">
        <v>8250</v>
      </c>
      <c r="E20" s="77" t="s">
        <v>8250</v>
      </c>
      <c r="F20" s="77" t="s">
        <v>8256</v>
      </c>
    </row>
    <row r="21" spans="1:6">
      <c r="A21" s="10">
        <f t="shared" si="0"/>
        <v>18</v>
      </c>
      <c r="B21" s="9">
        <v>5294088</v>
      </c>
      <c r="C21" s="20" t="s">
        <v>169</v>
      </c>
      <c r="D21" s="77" t="s">
        <v>8250</v>
      </c>
      <c r="E21" s="77" t="s">
        <v>8250</v>
      </c>
      <c r="F21" s="77" t="s">
        <v>382</v>
      </c>
    </row>
    <row r="22" spans="1:6">
      <c r="A22" s="10">
        <f t="shared" si="0"/>
        <v>19</v>
      </c>
      <c r="B22" s="9">
        <v>2855119</v>
      </c>
      <c r="C22" s="20" t="s">
        <v>173</v>
      </c>
      <c r="D22" s="77" t="s">
        <v>8250</v>
      </c>
      <c r="E22" s="77" t="s">
        <v>8250</v>
      </c>
      <c r="F22" s="77" t="s">
        <v>8257</v>
      </c>
    </row>
    <row r="23" spans="1:6">
      <c r="A23" s="10">
        <f t="shared" si="0"/>
        <v>20</v>
      </c>
      <c r="B23" s="9">
        <v>2094533</v>
      </c>
      <c r="C23" s="20" t="s">
        <v>174</v>
      </c>
      <c r="D23" s="77" t="s">
        <v>8250</v>
      </c>
      <c r="E23" s="77" t="s">
        <v>8250</v>
      </c>
      <c r="F23" s="77" t="s">
        <v>8258</v>
      </c>
    </row>
    <row r="24" spans="1:6">
      <c r="A24" s="10">
        <f t="shared" si="0"/>
        <v>21</v>
      </c>
      <c r="B24" s="9">
        <v>5722942</v>
      </c>
      <c r="C24" s="20" t="s">
        <v>175</v>
      </c>
      <c r="D24" s="77" t="s">
        <v>382</v>
      </c>
      <c r="E24" s="77" t="s">
        <v>382</v>
      </c>
      <c r="F24" s="77" t="s">
        <v>382</v>
      </c>
    </row>
    <row r="25" spans="1:6">
      <c r="A25" s="10">
        <f t="shared" si="0"/>
        <v>22</v>
      </c>
      <c r="B25" s="9">
        <v>2867494</v>
      </c>
      <c r="C25" s="20" t="s">
        <v>176</v>
      </c>
      <c r="D25" s="77" t="s">
        <v>8250</v>
      </c>
      <c r="E25" s="77" t="s">
        <v>8259</v>
      </c>
      <c r="F25" s="77" t="s">
        <v>382</v>
      </c>
    </row>
    <row r="26" spans="1:6">
      <c r="A26" s="10">
        <f t="shared" si="0"/>
        <v>23</v>
      </c>
      <c r="B26" s="9">
        <v>6463932</v>
      </c>
      <c r="C26" s="20" t="s">
        <v>177</v>
      </c>
      <c r="D26" s="77" t="s">
        <v>8250</v>
      </c>
      <c r="E26" s="77" t="s">
        <v>8250</v>
      </c>
      <c r="F26" s="77" t="s">
        <v>382</v>
      </c>
    </row>
    <row r="27" spans="1:6">
      <c r="A27" s="203">
        <f t="shared" si="0"/>
        <v>24</v>
      </c>
      <c r="B27" s="201">
        <v>5260833</v>
      </c>
      <c r="C27" s="200" t="s">
        <v>178</v>
      </c>
      <c r="D27" s="204"/>
      <c r="E27" s="204"/>
      <c r="F27" s="204"/>
    </row>
    <row r="28" spans="1:6">
      <c r="A28" s="203">
        <f t="shared" si="0"/>
        <v>25</v>
      </c>
      <c r="B28" s="201">
        <v>2051303</v>
      </c>
      <c r="C28" s="200" t="s">
        <v>179</v>
      </c>
      <c r="D28" s="204"/>
      <c r="E28" s="204"/>
      <c r="F28" s="204"/>
    </row>
    <row r="29" spans="1:6">
      <c r="A29" s="10">
        <f t="shared" si="0"/>
        <v>26</v>
      </c>
      <c r="B29" s="9">
        <v>2061848</v>
      </c>
      <c r="C29" s="20" t="s">
        <v>183</v>
      </c>
      <c r="D29" s="77" t="s">
        <v>8250</v>
      </c>
      <c r="E29" s="77" t="s">
        <v>8250</v>
      </c>
      <c r="F29" s="77" t="s">
        <v>8260</v>
      </c>
    </row>
    <row r="30" spans="1:6">
      <c r="A30" s="203">
        <f t="shared" si="0"/>
        <v>27</v>
      </c>
      <c r="B30" s="201">
        <v>2766337</v>
      </c>
      <c r="C30" s="200" t="s">
        <v>185</v>
      </c>
      <c r="D30" s="204"/>
      <c r="E30" s="204"/>
      <c r="F30" s="204"/>
    </row>
    <row r="31" spans="1:6">
      <c r="A31" s="203">
        <f t="shared" si="0"/>
        <v>28</v>
      </c>
      <c r="B31" s="201">
        <v>5810086</v>
      </c>
      <c r="C31" s="200" t="s">
        <v>187</v>
      </c>
      <c r="D31" s="204"/>
      <c r="E31" s="204"/>
      <c r="F31" s="204"/>
    </row>
    <row r="32" spans="1:6">
      <c r="A32" s="10">
        <f t="shared" si="0"/>
        <v>29</v>
      </c>
      <c r="B32" s="9">
        <v>5217652</v>
      </c>
      <c r="C32" s="20" t="s">
        <v>188</v>
      </c>
      <c r="D32" s="77" t="s">
        <v>8250</v>
      </c>
      <c r="E32" s="77" t="s">
        <v>8250</v>
      </c>
      <c r="F32" s="77" t="s">
        <v>8261</v>
      </c>
    </row>
    <row r="33" spans="1:6">
      <c r="A33" s="10">
        <f t="shared" si="0"/>
        <v>30</v>
      </c>
      <c r="B33" s="9">
        <v>2780518</v>
      </c>
      <c r="C33" s="20" t="s">
        <v>189</v>
      </c>
      <c r="D33" s="77" t="s">
        <v>8250</v>
      </c>
      <c r="E33" s="77" t="s">
        <v>8250</v>
      </c>
      <c r="F33" s="77" t="s">
        <v>8262</v>
      </c>
    </row>
    <row r="34" spans="1:6">
      <c r="A34" s="203">
        <f t="shared" si="0"/>
        <v>31</v>
      </c>
      <c r="B34" s="201">
        <v>5272378</v>
      </c>
      <c r="C34" s="200" t="s">
        <v>193</v>
      </c>
      <c r="D34" s="204"/>
      <c r="E34" s="204"/>
      <c r="F34" s="204"/>
    </row>
    <row r="35" spans="1:6">
      <c r="A35" s="10">
        <f t="shared" si="0"/>
        <v>32</v>
      </c>
      <c r="B35" s="9">
        <v>5467268</v>
      </c>
      <c r="C35" s="20" t="s">
        <v>194</v>
      </c>
      <c r="D35" s="77" t="s">
        <v>8250</v>
      </c>
      <c r="E35" s="77" t="s">
        <v>8250</v>
      </c>
      <c r="F35" s="77" t="s">
        <v>8263</v>
      </c>
    </row>
    <row r="36" spans="1:6">
      <c r="A36" s="10">
        <f t="shared" si="0"/>
        <v>33</v>
      </c>
      <c r="B36" s="9">
        <v>5522935</v>
      </c>
      <c r="C36" s="20" t="s">
        <v>196</v>
      </c>
      <c r="D36" s="77" t="s">
        <v>8250</v>
      </c>
      <c r="E36" s="77" t="s">
        <v>8250</v>
      </c>
      <c r="F36" s="77" t="s">
        <v>382</v>
      </c>
    </row>
    <row r="37" spans="1:6">
      <c r="A37" s="203">
        <f t="shared" si="0"/>
        <v>34</v>
      </c>
      <c r="B37" s="201">
        <v>5528089</v>
      </c>
      <c r="C37" s="200" t="s">
        <v>197</v>
      </c>
      <c r="D37" s="205"/>
      <c r="E37" s="205"/>
      <c r="F37" s="206"/>
    </row>
    <row r="38" spans="1:6">
      <c r="A38" s="10">
        <f t="shared" si="0"/>
        <v>35</v>
      </c>
      <c r="B38" s="9">
        <v>5396662</v>
      </c>
      <c r="C38" s="20" t="s">
        <v>198</v>
      </c>
      <c r="D38" s="77" t="s">
        <v>8250</v>
      </c>
      <c r="E38" s="77" t="s">
        <v>8250</v>
      </c>
      <c r="F38" s="77" t="s">
        <v>382</v>
      </c>
    </row>
    <row r="39" spans="1:6">
      <c r="A39" s="10">
        <f t="shared" si="0"/>
        <v>36</v>
      </c>
      <c r="B39" s="9">
        <v>5830974</v>
      </c>
      <c r="C39" s="20" t="s">
        <v>199</v>
      </c>
      <c r="D39" s="77" t="s">
        <v>8250</v>
      </c>
      <c r="E39" s="199" t="s">
        <v>8259</v>
      </c>
      <c r="F39" s="77" t="s">
        <v>8264</v>
      </c>
    </row>
    <row r="40" spans="1:6">
      <c r="A40" s="10">
        <f t="shared" si="0"/>
        <v>37</v>
      </c>
      <c r="B40" s="9">
        <v>2057573</v>
      </c>
      <c r="C40" s="20" t="s">
        <v>201</v>
      </c>
      <c r="D40" s="77" t="s">
        <v>8250</v>
      </c>
      <c r="E40" s="77" t="s">
        <v>8250</v>
      </c>
      <c r="F40" s="77" t="s">
        <v>382</v>
      </c>
    </row>
    <row r="41" spans="1:6">
      <c r="A41" s="10">
        <f t="shared" si="0"/>
        <v>38</v>
      </c>
      <c r="B41" s="9">
        <v>5699134</v>
      </c>
      <c r="C41" s="20" t="s">
        <v>202</v>
      </c>
      <c r="D41" s="77" t="s">
        <v>8250</v>
      </c>
      <c r="E41" s="77" t="s">
        <v>8250</v>
      </c>
      <c r="F41" s="77" t="s">
        <v>382</v>
      </c>
    </row>
    <row r="42" spans="1:6">
      <c r="A42" s="10">
        <f t="shared" si="0"/>
        <v>39</v>
      </c>
      <c r="B42" s="9">
        <v>5412153</v>
      </c>
      <c r="C42" s="20" t="s">
        <v>203</v>
      </c>
      <c r="D42" s="77" t="s">
        <v>8250</v>
      </c>
      <c r="E42" s="77" t="s">
        <v>8250</v>
      </c>
      <c r="F42" s="77" t="s">
        <v>8265</v>
      </c>
    </row>
    <row r="43" spans="1:6">
      <c r="A43" s="10">
        <f t="shared" si="0"/>
        <v>40</v>
      </c>
      <c r="B43" s="9">
        <v>2034859</v>
      </c>
      <c r="C43" s="20" t="s">
        <v>204</v>
      </c>
      <c r="D43" s="77" t="s">
        <v>8250</v>
      </c>
      <c r="E43" s="77" t="s">
        <v>8250</v>
      </c>
      <c r="F43" s="77" t="s">
        <v>382</v>
      </c>
    </row>
    <row r="44" spans="1:6">
      <c r="A44" s="10">
        <f t="shared" si="0"/>
        <v>41</v>
      </c>
      <c r="B44" s="9">
        <v>5253535</v>
      </c>
      <c r="C44" s="20" t="s">
        <v>208</v>
      </c>
      <c r="D44" s="77" t="s">
        <v>8250</v>
      </c>
      <c r="E44" s="77" t="s">
        <v>8250</v>
      </c>
      <c r="F44" s="77" t="s">
        <v>382</v>
      </c>
    </row>
    <row r="45" spans="1:6">
      <c r="A45" s="10">
        <f t="shared" si="0"/>
        <v>42</v>
      </c>
      <c r="B45" s="9">
        <v>5150884</v>
      </c>
      <c r="C45" s="20" t="s">
        <v>210</v>
      </c>
      <c r="D45" s="77" t="s">
        <v>8250</v>
      </c>
      <c r="E45" s="77" t="s">
        <v>8250</v>
      </c>
      <c r="F45" s="77" t="s">
        <v>382</v>
      </c>
    </row>
    <row r="46" spans="1:6">
      <c r="A46" s="10">
        <f t="shared" si="0"/>
        <v>43</v>
      </c>
      <c r="B46" s="9">
        <v>5051304</v>
      </c>
      <c r="C46" s="20" t="s">
        <v>211</v>
      </c>
      <c r="D46" s="77" t="s">
        <v>8250</v>
      </c>
      <c r="E46" s="77" t="s">
        <v>8250</v>
      </c>
      <c r="F46" s="77" t="s">
        <v>8266</v>
      </c>
    </row>
    <row r="47" spans="1:6">
      <c r="A47" s="203">
        <f t="shared" si="0"/>
        <v>44</v>
      </c>
      <c r="B47" s="201">
        <v>5401801</v>
      </c>
      <c r="C47" s="200" t="s">
        <v>213</v>
      </c>
      <c r="D47" s="205"/>
      <c r="E47" s="205"/>
      <c r="F47" s="206"/>
    </row>
    <row r="48" spans="1:6">
      <c r="A48" s="10">
        <f t="shared" si="0"/>
        <v>45</v>
      </c>
      <c r="B48" s="9">
        <v>2550466</v>
      </c>
      <c r="C48" s="20" t="s">
        <v>214</v>
      </c>
      <c r="D48" s="77" t="s">
        <v>8250</v>
      </c>
      <c r="E48" s="77" t="s">
        <v>8250</v>
      </c>
      <c r="F48" s="77" t="s">
        <v>8267</v>
      </c>
    </row>
    <row r="49" spans="1:6">
      <c r="A49" s="10">
        <f t="shared" si="0"/>
        <v>46</v>
      </c>
      <c r="B49" s="9">
        <v>5051134</v>
      </c>
      <c r="C49" s="20" t="s">
        <v>216</v>
      </c>
      <c r="D49" s="77" t="s">
        <v>8250</v>
      </c>
      <c r="E49" s="77" t="s">
        <v>8250</v>
      </c>
      <c r="F49" s="77" t="s">
        <v>8268</v>
      </c>
    </row>
    <row r="50" spans="1:6">
      <c r="A50" s="10">
        <f t="shared" si="0"/>
        <v>47</v>
      </c>
      <c r="B50" s="9">
        <v>2095025</v>
      </c>
      <c r="C50" s="20" t="s">
        <v>217</v>
      </c>
      <c r="D50" s="77" t="s">
        <v>8250</v>
      </c>
      <c r="E50" s="199" t="s">
        <v>8259</v>
      </c>
      <c r="F50" s="77" t="s">
        <v>382</v>
      </c>
    </row>
    <row r="51" spans="1:6">
      <c r="A51" s="10">
        <f t="shared" si="0"/>
        <v>48</v>
      </c>
      <c r="B51" s="9">
        <v>2045931</v>
      </c>
      <c r="C51" s="20" t="s">
        <v>218</v>
      </c>
      <c r="D51" s="77" t="s">
        <v>8250</v>
      </c>
      <c r="E51" s="77" t="s">
        <v>8250</v>
      </c>
      <c r="F51" s="77" t="s">
        <v>382</v>
      </c>
    </row>
    <row r="52" spans="1:6">
      <c r="A52" s="10">
        <f t="shared" si="0"/>
        <v>49</v>
      </c>
      <c r="B52" s="9">
        <v>2029278</v>
      </c>
      <c r="C52" s="20" t="s">
        <v>219</v>
      </c>
      <c r="D52" s="77" t="s">
        <v>8250</v>
      </c>
      <c r="E52" s="77" t="s">
        <v>8250</v>
      </c>
      <c r="F52" s="77" t="s">
        <v>382</v>
      </c>
    </row>
    <row r="53" spans="1:6">
      <c r="A53" s="10">
        <f t="shared" si="0"/>
        <v>50</v>
      </c>
      <c r="B53" s="9">
        <v>5106567</v>
      </c>
      <c r="C53" s="20" t="s">
        <v>220</v>
      </c>
      <c r="D53" s="77" t="s">
        <v>8250</v>
      </c>
      <c r="E53" s="77" t="s">
        <v>8250</v>
      </c>
      <c r="F53" s="77" t="s">
        <v>8269</v>
      </c>
    </row>
    <row r="54" spans="1:6">
      <c r="A54" s="10">
        <f t="shared" si="0"/>
        <v>51</v>
      </c>
      <c r="B54" s="9">
        <v>5141583</v>
      </c>
      <c r="C54" s="20" t="s">
        <v>222</v>
      </c>
      <c r="D54" s="6" t="s">
        <v>8250</v>
      </c>
      <c r="E54" s="6" t="s">
        <v>8250</v>
      </c>
      <c r="F54" s="6" t="s">
        <v>8270</v>
      </c>
    </row>
    <row r="55" spans="1:6">
      <c r="A55" s="10">
        <f t="shared" si="0"/>
        <v>52</v>
      </c>
      <c r="B55" s="9">
        <v>5118115</v>
      </c>
      <c r="C55" s="20" t="s">
        <v>223</v>
      </c>
      <c r="D55" s="6" t="s">
        <v>8250</v>
      </c>
      <c r="E55" s="6" t="s">
        <v>8250</v>
      </c>
      <c r="F55" s="6" t="s">
        <v>8271</v>
      </c>
    </row>
    <row r="56" spans="1:6">
      <c r="A56" s="10">
        <f t="shared" si="0"/>
        <v>53</v>
      </c>
      <c r="B56" s="9">
        <v>5106656</v>
      </c>
      <c r="C56" s="20" t="s">
        <v>224</v>
      </c>
      <c r="D56" s="6" t="s">
        <v>8250</v>
      </c>
      <c r="E56" s="6" t="s">
        <v>8250</v>
      </c>
      <c r="F56" s="6" t="s">
        <v>8272</v>
      </c>
    </row>
    <row r="57" spans="1:6">
      <c r="A57" s="10">
        <f t="shared" si="0"/>
        <v>54</v>
      </c>
      <c r="B57" s="9">
        <v>2010895</v>
      </c>
      <c r="C57" s="20" t="s">
        <v>225</v>
      </c>
      <c r="D57" s="6" t="s">
        <v>8250</v>
      </c>
      <c r="E57" s="6" t="s">
        <v>8250</v>
      </c>
      <c r="F57" s="6" t="s">
        <v>8273</v>
      </c>
    </row>
    <row r="58" spans="1:6">
      <c r="A58" s="10">
        <f t="shared" si="0"/>
        <v>55</v>
      </c>
      <c r="B58" s="9">
        <v>5295858</v>
      </c>
      <c r="C58" s="20" t="s">
        <v>227</v>
      </c>
      <c r="D58" s="6" t="s">
        <v>8250</v>
      </c>
      <c r="E58" s="6" t="s">
        <v>8250</v>
      </c>
      <c r="F58" s="6" t="s">
        <v>8274</v>
      </c>
    </row>
    <row r="59" spans="1:6">
      <c r="A59" s="10">
        <f t="shared" si="0"/>
        <v>56</v>
      </c>
      <c r="B59" s="9">
        <v>6287727</v>
      </c>
      <c r="C59" s="20" t="s">
        <v>228</v>
      </c>
      <c r="D59" s="77" t="s">
        <v>8250</v>
      </c>
      <c r="E59" s="77" t="s">
        <v>8250</v>
      </c>
      <c r="F59" s="77" t="s">
        <v>382</v>
      </c>
    </row>
    <row r="60" spans="1:6">
      <c r="A60" s="203">
        <f t="shared" si="0"/>
        <v>57</v>
      </c>
      <c r="B60" s="201">
        <v>2659603</v>
      </c>
      <c r="C60" s="200" t="s">
        <v>229</v>
      </c>
      <c r="D60" s="202"/>
      <c r="E60" s="202"/>
      <c r="F60" s="202"/>
    </row>
    <row r="61" spans="1:6">
      <c r="A61" s="10">
        <f t="shared" si="0"/>
        <v>58</v>
      </c>
      <c r="B61" s="9">
        <v>2678187</v>
      </c>
      <c r="C61" s="20" t="s">
        <v>230</v>
      </c>
      <c r="D61" s="77" t="s">
        <v>8250</v>
      </c>
      <c r="E61" s="77" t="s">
        <v>8250</v>
      </c>
      <c r="F61" s="6" t="s">
        <v>8275</v>
      </c>
    </row>
    <row r="62" spans="1:6">
      <c r="A62" s="10">
        <f t="shared" si="0"/>
        <v>59</v>
      </c>
      <c r="B62" s="9">
        <v>2657457</v>
      </c>
      <c r="C62" s="20" t="s">
        <v>231</v>
      </c>
      <c r="D62" s="77" t="s">
        <v>8250</v>
      </c>
      <c r="E62" s="77" t="s">
        <v>8250</v>
      </c>
      <c r="F62" s="6" t="s">
        <v>8276</v>
      </c>
    </row>
    <row r="63" spans="1:6">
      <c r="A63" s="10">
        <f t="shared" si="0"/>
        <v>60</v>
      </c>
      <c r="B63" s="9">
        <v>3615243</v>
      </c>
      <c r="C63" s="20" t="s">
        <v>232</v>
      </c>
      <c r="D63" s="77" t="s">
        <v>8250</v>
      </c>
      <c r="E63" s="77" t="s">
        <v>8250</v>
      </c>
      <c r="F63" s="77" t="s">
        <v>382</v>
      </c>
    </row>
    <row r="64" spans="1:6">
      <c r="A64" s="10">
        <f t="shared" si="0"/>
        <v>61</v>
      </c>
      <c r="B64" s="9">
        <v>3623955</v>
      </c>
      <c r="C64" s="20" t="s">
        <v>236</v>
      </c>
      <c r="D64" s="77" t="s">
        <v>8250</v>
      </c>
      <c r="E64" s="77" t="s">
        <v>8250</v>
      </c>
      <c r="F64" s="77" t="s">
        <v>382</v>
      </c>
    </row>
    <row r="65" spans="1:6">
      <c r="A65" s="10">
        <f t="shared" si="0"/>
        <v>62</v>
      </c>
      <c r="B65" s="9">
        <v>5199077</v>
      </c>
      <c r="C65" s="20" t="s">
        <v>239</v>
      </c>
      <c r="D65" s="77" t="s">
        <v>8250</v>
      </c>
      <c r="E65" s="77" t="s">
        <v>8250</v>
      </c>
      <c r="F65" s="6" t="s">
        <v>8277</v>
      </c>
    </row>
    <row r="66" spans="1:6">
      <c r="A66" s="203">
        <f t="shared" si="0"/>
        <v>63</v>
      </c>
      <c r="B66" s="201">
        <v>2075385</v>
      </c>
      <c r="C66" s="200" t="s">
        <v>240</v>
      </c>
      <c r="D66" s="202"/>
      <c r="E66" s="202"/>
      <c r="F66" s="202"/>
    </row>
    <row r="67" spans="1:6">
      <c r="A67" s="203">
        <f t="shared" si="0"/>
        <v>64</v>
      </c>
      <c r="B67" s="201">
        <v>2867095</v>
      </c>
      <c r="C67" s="200" t="s">
        <v>241</v>
      </c>
      <c r="D67" s="202"/>
      <c r="E67" s="202"/>
      <c r="F67" s="202"/>
    </row>
    <row r="68" spans="1:6">
      <c r="A68" s="10">
        <f t="shared" si="0"/>
        <v>65</v>
      </c>
      <c r="B68" s="9">
        <v>5076285</v>
      </c>
      <c r="C68" s="20" t="s">
        <v>242</v>
      </c>
      <c r="D68" s="77" t="s">
        <v>8250</v>
      </c>
      <c r="E68" s="77" t="s">
        <v>8250</v>
      </c>
      <c r="F68" s="77" t="s">
        <v>382</v>
      </c>
    </row>
    <row r="69" spans="1:6">
      <c r="A69" s="10">
        <f t="shared" si="0"/>
        <v>66</v>
      </c>
      <c r="B69" s="9">
        <v>5084555</v>
      </c>
      <c r="C69" s="20" t="s">
        <v>243</v>
      </c>
      <c r="D69" s="77" t="s">
        <v>8250</v>
      </c>
      <c r="E69" s="77" t="s">
        <v>8250</v>
      </c>
      <c r="F69" s="6" t="s">
        <v>8278</v>
      </c>
    </row>
    <row r="70" spans="1:6">
      <c r="A70" s="10">
        <f t="shared" ref="A70:A128" si="1">A69+1</f>
        <v>67</v>
      </c>
      <c r="B70" s="9">
        <v>5261198</v>
      </c>
      <c r="C70" s="20" t="s">
        <v>244</v>
      </c>
      <c r="D70" s="77" t="s">
        <v>8250</v>
      </c>
      <c r="E70" s="77" t="s">
        <v>8250</v>
      </c>
      <c r="F70" s="77" t="s">
        <v>382</v>
      </c>
    </row>
    <row r="71" spans="1:6">
      <c r="A71" s="10">
        <f t="shared" si="1"/>
        <v>68</v>
      </c>
      <c r="B71" s="9">
        <v>5288703</v>
      </c>
      <c r="C71" s="20" t="s">
        <v>246</v>
      </c>
      <c r="D71" s="77" t="s">
        <v>8250</v>
      </c>
      <c r="E71" s="77" t="s">
        <v>8250</v>
      </c>
      <c r="F71" s="77" t="s">
        <v>8279</v>
      </c>
    </row>
    <row r="72" spans="1:6">
      <c r="A72" s="10">
        <f t="shared" si="1"/>
        <v>69</v>
      </c>
      <c r="B72" s="9">
        <v>6232485</v>
      </c>
      <c r="C72" s="20" t="s">
        <v>248</v>
      </c>
      <c r="D72" s="77" t="s">
        <v>8250</v>
      </c>
      <c r="E72" s="77" t="s">
        <v>8250</v>
      </c>
      <c r="F72" s="6" t="s">
        <v>8280</v>
      </c>
    </row>
    <row r="73" spans="1:6">
      <c r="A73" s="10">
        <f t="shared" si="1"/>
        <v>70</v>
      </c>
      <c r="B73" s="9">
        <v>6101615</v>
      </c>
      <c r="C73" s="20" t="s">
        <v>249</v>
      </c>
      <c r="D73" s="77" t="s">
        <v>8250</v>
      </c>
      <c r="E73" s="77" t="s">
        <v>8250</v>
      </c>
      <c r="F73" s="6" t="s">
        <v>8281</v>
      </c>
    </row>
    <row r="74" spans="1:6">
      <c r="A74" s="203">
        <f t="shared" si="1"/>
        <v>71</v>
      </c>
      <c r="B74" s="201">
        <v>5120365</v>
      </c>
      <c r="C74" s="200" t="s">
        <v>250</v>
      </c>
      <c r="D74" s="202"/>
      <c r="E74" s="202"/>
      <c r="F74" s="202"/>
    </row>
    <row r="75" spans="1:6">
      <c r="A75" s="203">
        <f t="shared" si="1"/>
        <v>72</v>
      </c>
      <c r="B75" s="201">
        <v>2016656</v>
      </c>
      <c r="C75" s="200" t="s">
        <v>251</v>
      </c>
      <c r="D75" s="202"/>
      <c r="E75" s="202"/>
      <c r="F75" s="202"/>
    </row>
    <row r="76" spans="1:6">
      <c r="A76" s="10">
        <f t="shared" si="1"/>
        <v>73</v>
      </c>
      <c r="B76" s="9">
        <v>5872006</v>
      </c>
      <c r="C76" s="20" t="s">
        <v>253</v>
      </c>
      <c r="D76" s="77" t="s">
        <v>8250</v>
      </c>
      <c r="E76" s="77" t="s">
        <v>8250</v>
      </c>
      <c r="F76" s="77" t="s">
        <v>382</v>
      </c>
    </row>
    <row r="77" spans="1:6">
      <c r="A77" s="203">
        <f t="shared" si="1"/>
        <v>74</v>
      </c>
      <c r="B77" s="201">
        <v>5774047</v>
      </c>
      <c r="C77" s="200" t="s">
        <v>254</v>
      </c>
      <c r="D77" s="202"/>
      <c r="E77" s="202"/>
      <c r="F77" s="202"/>
    </row>
    <row r="78" spans="1:6">
      <c r="A78" s="203">
        <f t="shared" si="1"/>
        <v>75</v>
      </c>
      <c r="B78" s="201">
        <v>5105439</v>
      </c>
      <c r="C78" s="200" t="s">
        <v>257</v>
      </c>
      <c r="D78" s="202"/>
      <c r="E78" s="202"/>
      <c r="F78" s="202"/>
    </row>
    <row r="79" spans="1:6">
      <c r="A79" s="10">
        <f t="shared" si="1"/>
        <v>76</v>
      </c>
      <c r="B79" s="9">
        <v>2663813</v>
      </c>
      <c r="C79" s="20" t="s">
        <v>258</v>
      </c>
      <c r="D79" s="77" t="s">
        <v>8250</v>
      </c>
      <c r="E79" s="77" t="s">
        <v>8250</v>
      </c>
      <c r="F79" s="77" t="s">
        <v>382</v>
      </c>
    </row>
    <row r="80" spans="1:6">
      <c r="A80" s="10">
        <f t="shared" si="1"/>
        <v>77</v>
      </c>
      <c r="B80" s="9">
        <v>2016931</v>
      </c>
      <c r="C80" s="20" t="s">
        <v>260</v>
      </c>
      <c r="D80" s="77" t="s">
        <v>8250</v>
      </c>
      <c r="E80" s="77" t="s">
        <v>8250</v>
      </c>
      <c r="F80" s="6" t="s">
        <v>8282</v>
      </c>
    </row>
    <row r="81" spans="1:6">
      <c r="A81" s="10">
        <f t="shared" si="1"/>
        <v>78</v>
      </c>
      <c r="B81" s="9">
        <v>5513618</v>
      </c>
      <c r="C81" s="20" t="s">
        <v>263</v>
      </c>
      <c r="D81" s="77" t="s">
        <v>8250</v>
      </c>
      <c r="E81" s="77" t="s">
        <v>8250</v>
      </c>
      <c r="F81" s="6" t="s">
        <v>8283</v>
      </c>
    </row>
    <row r="82" spans="1:6">
      <c r="A82" s="10">
        <f t="shared" si="1"/>
        <v>79</v>
      </c>
      <c r="B82" s="9">
        <v>2807459</v>
      </c>
      <c r="C82" s="20" t="s">
        <v>264</v>
      </c>
      <c r="D82" s="77" t="s">
        <v>8250</v>
      </c>
      <c r="E82" s="77" t="s">
        <v>8250</v>
      </c>
      <c r="F82" s="6" t="s">
        <v>8284</v>
      </c>
    </row>
    <row r="83" spans="1:6">
      <c r="A83" s="10">
        <f t="shared" si="1"/>
        <v>80</v>
      </c>
      <c r="B83" s="9">
        <v>2872943</v>
      </c>
      <c r="C83" s="20" t="s">
        <v>265</v>
      </c>
      <c r="D83" s="77" t="s">
        <v>8250</v>
      </c>
      <c r="E83" s="77" t="s">
        <v>8250</v>
      </c>
      <c r="F83" s="77" t="s">
        <v>382</v>
      </c>
    </row>
    <row r="84" spans="1:6">
      <c r="A84" s="10">
        <f t="shared" si="1"/>
        <v>81</v>
      </c>
      <c r="B84" s="9">
        <v>6268048</v>
      </c>
      <c r="C84" s="20" t="s">
        <v>266</v>
      </c>
      <c r="D84" s="77" t="s">
        <v>8250</v>
      </c>
      <c r="E84" s="77" t="s">
        <v>8250</v>
      </c>
      <c r="F84" s="6" t="s">
        <v>8285</v>
      </c>
    </row>
    <row r="85" spans="1:6">
      <c r="A85" s="10">
        <f t="shared" si="1"/>
        <v>82</v>
      </c>
      <c r="B85" s="9">
        <v>5874963</v>
      </c>
      <c r="C85" s="20" t="s">
        <v>268</v>
      </c>
      <c r="D85" s="77" t="s">
        <v>8250</v>
      </c>
      <c r="E85" s="77" t="s">
        <v>8250</v>
      </c>
      <c r="F85" s="6" t="s">
        <v>8286</v>
      </c>
    </row>
    <row r="86" spans="1:6">
      <c r="A86" s="10">
        <f t="shared" si="1"/>
        <v>83</v>
      </c>
      <c r="B86" s="9">
        <v>6636624</v>
      </c>
      <c r="C86" s="20" t="s">
        <v>269</v>
      </c>
      <c r="D86" s="77" t="s">
        <v>8250</v>
      </c>
      <c r="E86" s="77" t="s">
        <v>8250</v>
      </c>
      <c r="F86" s="77" t="s">
        <v>382</v>
      </c>
    </row>
    <row r="87" spans="1:6">
      <c r="A87" s="10">
        <f t="shared" si="1"/>
        <v>84</v>
      </c>
      <c r="B87" s="9">
        <v>2839717</v>
      </c>
      <c r="C87" s="20" t="s">
        <v>270</v>
      </c>
      <c r="D87" s="77" t="s">
        <v>8250</v>
      </c>
      <c r="E87" s="77" t="s">
        <v>8250</v>
      </c>
      <c r="F87" s="6" t="s">
        <v>8287</v>
      </c>
    </row>
    <row r="88" spans="1:6">
      <c r="A88" s="10">
        <f t="shared" si="1"/>
        <v>85</v>
      </c>
      <c r="B88" s="9">
        <v>2344343</v>
      </c>
      <c r="C88" s="20" t="s">
        <v>271</v>
      </c>
      <c r="D88" s="77" t="s">
        <v>8250</v>
      </c>
      <c r="E88" s="77" t="s">
        <v>8250</v>
      </c>
      <c r="F88" s="6" t="s">
        <v>8288</v>
      </c>
    </row>
    <row r="89" spans="1:6">
      <c r="A89" s="10">
        <f t="shared" si="1"/>
        <v>86</v>
      </c>
      <c r="B89" s="9">
        <v>2819996</v>
      </c>
      <c r="C89" s="20" t="s">
        <v>273</v>
      </c>
      <c r="D89" s="77" t="s">
        <v>8250</v>
      </c>
      <c r="E89" s="77" t="s">
        <v>8250</v>
      </c>
      <c r="F89" s="77" t="s">
        <v>382</v>
      </c>
    </row>
    <row r="90" spans="1:6">
      <c r="A90" s="10">
        <f t="shared" si="1"/>
        <v>87</v>
      </c>
      <c r="B90" s="9">
        <v>2868687</v>
      </c>
      <c r="C90" s="20" t="s">
        <v>277</v>
      </c>
      <c r="D90" s="77" t="s">
        <v>8250</v>
      </c>
      <c r="E90" s="77" t="s">
        <v>8250</v>
      </c>
      <c r="F90" s="77" t="s">
        <v>382</v>
      </c>
    </row>
    <row r="91" spans="1:6">
      <c r="A91" s="10">
        <f t="shared" si="1"/>
        <v>88</v>
      </c>
      <c r="B91" s="9">
        <v>5877288</v>
      </c>
      <c r="C91" s="20" t="s">
        <v>279</v>
      </c>
      <c r="D91" s="77" t="s">
        <v>8250</v>
      </c>
      <c r="E91" s="77" t="s">
        <v>8250</v>
      </c>
      <c r="F91" s="6" t="s">
        <v>8289</v>
      </c>
    </row>
    <row r="92" spans="1:6">
      <c r="A92" s="10">
        <f t="shared" si="1"/>
        <v>89</v>
      </c>
      <c r="B92" s="9">
        <v>6195598</v>
      </c>
      <c r="C92" s="20" t="s">
        <v>281</v>
      </c>
      <c r="D92" s="77" t="s">
        <v>8250</v>
      </c>
      <c r="E92" s="77" t="s">
        <v>8250</v>
      </c>
      <c r="F92" s="77" t="s">
        <v>382</v>
      </c>
    </row>
    <row r="93" spans="1:6">
      <c r="A93" s="10">
        <f t="shared" si="1"/>
        <v>90</v>
      </c>
      <c r="B93" s="9">
        <v>6413811</v>
      </c>
      <c r="C93" s="20" t="s">
        <v>282</v>
      </c>
      <c r="D93" s="77" t="s">
        <v>8250</v>
      </c>
      <c r="E93" s="77" t="s">
        <v>8250</v>
      </c>
      <c r="F93" s="6" t="s">
        <v>8290</v>
      </c>
    </row>
    <row r="94" spans="1:6">
      <c r="A94" s="10">
        <f t="shared" si="1"/>
        <v>91</v>
      </c>
      <c r="B94" s="9">
        <v>2887134</v>
      </c>
      <c r="C94" s="20" t="s">
        <v>283</v>
      </c>
      <c r="D94" s="77" t="s">
        <v>8250</v>
      </c>
      <c r="E94" s="77" t="s">
        <v>8250</v>
      </c>
      <c r="F94" s="6" t="s">
        <v>8291</v>
      </c>
    </row>
    <row r="95" spans="1:6">
      <c r="A95" s="10">
        <f t="shared" si="1"/>
        <v>92</v>
      </c>
      <c r="B95" s="9">
        <v>2618176</v>
      </c>
      <c r="C95" s="20" t="s">
        <v>284</v>
      </c>
      <c r="D95" s="77" t="s">
        <v>8250</v>
      </c>
      <c r="E95" s="77" t="s">
        <v>8250</v>
      </c>
      <c r="F95" s="77" t="s">
        <v>382</v>
      </c>
    </row>
    <row r="96" spans="1:6">
      <c r="A96" s="203">
        <f t="shared" si="1"/>
        <v>93</v>
      </c>
      <c r="B96" s="201">
        <v>5364884</v>
      </c>
      <c r="C96" s="200" t="s">
        <v>285</v>
      </c>
      <c r="D96" s="202"/>
      <c r="E96" s="202"/>
      <c r="F96" s="202"/>
    </row>
    <row r="97" spans="1:6">
      <c r="A97" s="10">
        <f t="shared" si="1"/>
        <v>94</v>
      </c>
      <c r="B97" s="9">
        <v>2100231</v>
      </c>
      <c r="C97" s="20" t="s">
        <v>286</v>
      </c>
      <c r="D97" s="77" t="s">
        <v>8250</v>
      </c>
      <c r="E97" s="77" t="s">
        <v>8250</v>
      </c>
      <c r="F97" s="77" t="s">
        <v>382</v>
      </c>
    </row>
    <row r="98" spans="1:6">
      <c r="A98" s="10">
        <f t="shared" si="1"/>
        <v>95</v>
      </c>
      <c r="B98" s="9">
        <v>2661128</v>
      </c>
      <c r="C98" s="20" t="s">
        <v>287</v>
      </c>
      <c r="D98" s="77" t="s">
        <v>8250</v>
      </c>
      <c r="E98" s="77" t="s">
        <v>8250</v>
      </c>
      <c r="F98" s="6" t="s">
        <v>8292</v>
      </c>
    </row>
    <row r="99" spans="1:6">
      <c r="A99" s="10">
        <f t="shared" si="1"/>
        <v>96</v>
      </c>
      <c r="B99" s="9">
        <v>5878756</v>
      </c>
      <c r="C99" s="20" t="s">
        <v>290</v>
      </c>
      <c r="D99" s="6" t="s">
        <v>8259</v>
      </c>
      <c r="E99" s="6" t="s">
        <v>8259</v>
      </c>
      <c r="F99" s="77" t="s">
        <v>382</v>
      </c>
    </row>
    <row r="100" spans="1:6">
      <c r="A100" s="10">
        <f t="shared" si="1"/>
        <v>97</v>
      </c>
      <c r="B100" s="9">
        <v>2166631</v>
      </c>
      <c r="C100" s="20" t="s">
        <v>292</v>
      </c>
      <c r="D100" s="77" t="s">
        <v>8250</v>
      </c>
      <c r="E100" s="77" t="s">
        <v>8250</v>
      </c>
      <c r="F100" s="6" t="s">
        <v>8293</v>
      </c>
    </row>
    <row r="101" spans="1:6">
      <c r="A101" s="10">
        <f t="shared" si="1"/>
        <v>98</v>
      </c>
      <c r="B101" s="9">
        <v>5671833</v>
      </c>
      <c r="C101" s="20" t="s">
        <v>296</v>
      </c>
      <c r="D101" s="77" t="s">
        <v>8250</v>
      </c>
      <c r="E101" s="77" t="s">
        <v>8250</v>
      </c>
      <c r="F101" s="6" t="s">
        <v>8294</v>
      </c>
    </row>
    <row r="102" spans="1:6">
      <c r="A102" s="203">
        <f t="shared" si="1"/>
        <v>99</v>
      </c>
      <c r="B102" s="201">
        <v>5104424</v>
      </c>
      <c r="C102" s="200" t="s">
        <v>297</v>
      </c>
      <c r="D102" s="202"/>
      <c r="E102" s="202"/>
      <c r="F102" s="202"/>
    </row>
    <row r="103" spans="1:6">
      <c r="A103" s="10">
        <f t="shared" si="1"/>
        <v>100</v>
      </c>
      <c r="B103" s="9">
        <v>2668505</v>
      </c>
      <c r="C103" s="20" t="s">
        <v>298</v>
      </c>
      <c r="D103" s="77" t="s">
        <v>8250</v>
      </c>
      <c r="E103" s="77" t="s">
        <v>8250</v>
      </c>
      <c r="F103" s="77" t="s">
        <v>382</v>
      </c>
    </row>
    <row r="104" spans="1:6">
      <c r="A104" s="203">
        <f t="shared" si="1"/>
        <v>101</v>
      </c>
      <c r="B104" s="201">
        <v>2697947</v>
      </c>
      <c r="C104" s="200" t="s">
        <v>299</v>
      </c>
      <c r="D104" s="202"/>
      <c r="E104" s="202"/>
      <c r="F104" s="202"/>
    </row>
    <row r="105" spans="1:6">
      <c r="A105" s="10">
        <f t="shared" si="1"/>
        <v>102</v>
      </c>
      <c r="B105" s="9">
        <v>5352827</v>
      </c>
      <c r="C105" s="20" t="s">
        <v>300</v>
      </c>
      <c r="D105" s="77" t="s">
        <v>8250</v>
      </c>
      <c r="E105" s="77" t="s">
        <v>8250</v>
      </c>
      <c r="F105" s="77" t="s">
        <v>382</v>
      </c>
    </row>
    <row r="106" spans="1:6">
      <c r="A106" s="10">
        <f t="shared" si="1"/>
        <v>103</v>
      </c>
      <c r="B106" s="9">
        <v>2548747</v>
      </c>
      <c r="C106" s="20" t="s">
        <v>301</v>
      </c>
      <c r="D106" s="77" t="s">
        <v>8250</v>
      </c>
      <c r="E106" s="77" t="s">
        <v>8250</v>
      </c>
      <c r="F106" s="6" t="s">
        <v>8295</v>
      </c>
    </row>
    <row r="107" spans="1:6">
      <c r="A107" s="203">
        <f t="shared" si="1"/>
        <v>104</v>
      </c>
      <c r="B107" s="201">
        <v>2641984</v>
      </c>
      <c r="C107" s="200" t="s">
        <v>303</v>
      </c>
      <c r="D107" s="202"/>
      <c r="E107" s="202"/>
      <c r="F107" s="202"/>
    </row>
    <row r="108" spans="1:6">
      <c r="A108" s="10">
        <f t="shared" si="1"/>
        <v>105</v>
      </c>
      <c r="B108" s="9">
        <v>6342485</v>
      </c>
      <c r="C108" s="20" t="s">
        <v>306</v>
      </c>
      <c r="D108" s="6" t="s">
        <v>8250</v>
      </c>
      <c r="E108" s="6" t="s">
        <v>8259</v>
      </c>
      <c r="F108" s="77" t="s">
        <v>382</v>
      </c>
    </row>
    <row r="109" spans="1:6">
      <c r="A109" s="10">
        <f t="shared" si="1"/>
        <v>106</v>
      </c>
      <c r="B109" s="9">
        <v>5166667</v>
      </c>
      <c r="C109" s="20" t="s">
        <v>307</v>
      </c>
      <c r="D109" s="77" t="s">
        <v>8250</v>
      </c>
      <c r="E109" s="77" t="s">
        <v>8250</v>
      </c>
      <c r="F109" s="6" t="s">
        <v>8296</v>
      </c>
    </row>
    <row r="110" spans="1:6">
      <c r="A110" s="10">
        <f t="shared" si="1"/>
        <v>107</v>
      </c>
      <c r="B110" s="9">
        <v>5482046</v>
      </c>
      <c r="C110" s="20" t="s">
        <v>308</v>
      </c>
      <c r="D110" s="6" t="s">
        <v>8250</v>
      </c>
      <c r="E110" s="6" t="s">
        <v>8259</v>
      </c>
      <c r="F110" s="6" t="s">
        <v>8297</v>
      </c>
    </row>
    <row r="111" spans="1:6">
      <c r="A111" s="10">
        <f t="shared" si="1"/>
        <v>108</v>
      </c>
      <c r="B111" s="9">
        <v>2050374</v>
      </c>
      <c r="C111" s="20" t="s">
        <v>309</v>
      </c>
      <c r="D111" s="77" t="s">
        <v>8250</v>
      </c>
      <c r="E111" s="77" t="s">
        <v>8250</v>
      </c>
      <c r="F111" s="77" t="s">
        <v>382</v>
      </c>
    </row>
    <row r="112" spans="1:6">
      <c r="A112" s="10">
        <f t="shared" si="1"/>
        <v>109</v>
      </c>
      <c r="B112" s="9">
        <v>2004879</v>
      </c>
      <c r="C112" s="20" t="s">
        <v>311</v>
      </c>
      <c r="D112" s="77" t="s">
        <v>8250</v>
      </c>
      <c r="E112" s="77" t="s">
        <v>8250</v>
      </c>
      <c r="F112" s="77" t="s">
        <v>382</v>
      </c>
    </row>
    <row r="113" spans="1:6">
      <c r="A113" s="203">
        <f t="shared" si="1"/>
        <v>110</v>
      </c>
      <c r="B113" s="201">
        <v>2830213</v>
      </c>
      <c r="C113" s="200" t="s">
        <v>314</v>
      </c>
      <c r="D113" s="202"/>
      <c r="E113" s="202"/>
      <c r="F113" s="202"/>
    </row>
    <row r="114" spans="1:6">
      <c r="A114" s="10">
        <f t="shared" si="1"/>
        <v>111</v>
      </c>
      <c r="B114" s="9">
        <v>5320607</v>
      </c>
      <c r="C114" s="20" t="s">
        <v>315</v>
      </c>
      <c r="D114" s="77" t="s">
        <v>8250</v>
      </c>
      <c r="E114" s="77" t="s">
        <v>8250</v>
      </c>
      <c r="F114" s="6" t="s">
        <v>8298</v>
      </c>
    </row>
    <row r="115" spans="1:6">
      <c r="A115" s="203">
        <f t="shared" si="1"/>
        <v>112</v>
      </c>
      <c r="B115" s="201">
        <v>5586119</v>
      </c>
      <c r="C115" s="200" t="s">
        <v>316</v>
      </c>
      <c r="D115" s="202"/>
      <c r="E115" s="202"/>
      <c r="F115" s="202"/>
    </row>
    <row r="116" spans="1:6">
      <c r="A116" s="10">
        <f t="shared" si="1"/>
        <v>113</v>
      </c>
      <c r="B116" s="9">
        <v>5015243</v>
      </c>
      <c r="C116" s="20" t="s">
        <v>317</v>
      </c>
      <c r="D116" s="77" t="s">
        <v>8250</v>
      </c>
      <c r="E116" s="77" t="s">
        <v>8250</v>
      </c>
      <c r="F116" s="6" t="s">
        <v>8299</v>
      </c>
    </row>
    <row r="117" spans="1:6">
      <c r="A117" s="10">
        <f t="shared" si="1"/>
        <v>114</v>
      </c>
      <c r="B117" s="9">
        <v>5452503</v>
      </c>
      <c r="C117" s="20" t="s">
        <v>318</v>
      </c>
      <c r="D117" s="6" t="s">
        <v>382</v>
      </c>
      <c r="E117" s="6" t="s">
        <v>382</v>
      </c>
      <c r="F117" s="6" t="s">
        <v>382</v>
      </c>
    </row>
    <row r="118" spans="1:6">
      <c r="A118" s="10">
        <f t="shared" si="1"/>
        <v>115</v>
      </c>
      <c r="B118" s="9">
        <v>2887746</v>
      </c>
      <c r="C118" s="20" t="s">
        <v>319</v>
      </c>
      <c r="D118" s="77" t="s">
        <v>8250</v>
      </c>
      <c r="E118" s="77" t="s">
        <v>8250</v>
      </c>
      <c r="F118" s="6" t="s">
        <v>8300</v>
      </c>
    </row>
    <row r="119" spans="1:6">
      <c r="A119" s="10">
        <f t="shared" si="1"/>
        <v>116</v>
      </c>
      <c r="B119" s="9">
        <v>5618339</v>
      </c>
      <c r="C119" s="20" t="s">
        <v>320</v>
      </c>
      <c r="D119" s="77" t="s">
        <v>8250</v>
      </c>
      <c r="E119" s="77" t="s">
        <v>8250</v>
      </c>
      <c r="F119" s="6" t="s">
        <v>8301</v>
      </c>
    </row>
    <row r="120" spans="1:6">
      <c r="A120" s="10">
        <f t="shared" si="1"/>
        <v>117</v>
      </c>
      <c r="B120" s="9">
        <v>2718243</v>
      </c>
      <c r="C120" s="20" t="s">
        <v>321</v>
      </c>
      <c r="D120" s="77" t="s">
        <v>8250</v>
      </c>
      <c r="E120" s="77" t="s">
        <v>8250</v>
      </c>
      <c r="F120" s="6" t="s">
        <v>8302</v>
      </c>
    </row>
    <row r="121" spans="1:6">
      <c r="A121" s="10">
        <f t="shared" si="1"/>
        <v>118</v>
      </c>
      <c r="B121" s="9">
        <v>6896197</v>
      </c>
      <c r="C121" s="20" t="s">
        <v>322</v>
      </c>
      <c r="D121" s="77" t="s">
        <v>8250</v>
      </c>
      <c r="E121" s="77" t="s">
        <v>8250</v>
      </c>
      <c r="F121" s="6" t="s">
        <v>382</v>
      </c>
    </row>
    <row r="122" spans="1:6">
      <c r="A122" s="10">
        <f t="shared" si="1"/>
        <v>119</v>
      </c>
      <c r="B122" s="9">
        <v>5435528</v>
      </c>
      <c r="C122" s="20" t="s">
        <v>323</v>
      </c>
      <c r="D122" s="77" t="s">
        <v>8250</v>
      </c>
      <c r="E122" s="77" t="s">
        <v>8250</v>
      </c>
      <c r="F122" s="6" t="s">
        <v>8303</v>
      </c>
    </row>
    <row r="123" spans="1:6">
      <c r="A123" s="203">
        <f t="shared" si="1"/>
        <v>120</v>
      </c>
      <c r="B123" s="201">
        <v>5824826</v>
      </c>
      <c r="C123" s="200" t="s">
        <v>324</v>
      </c>
      <c r="D123" s="202"/>
      <c r="E123" s="202"/>
      <c r="F123" s="202"/>
    </row>
    <row r="124" spans="1:6">
      <c r="A124" s="10">
        <f t="shared" si="1"/>
        <v>121</v>
      </c>
      <c r="B124" s="9">
        <v>6141536</v>
      </c>
      <c r="C124" s="20" t="s">
        <v>325</v>
      </c>
      <c r="D124" s="6" t="s">
        <v>382</v>
      </c>
      <c r="E124" s="6" t="s">
        <v>382</v>
      </c>
      <c r="F124" s="6" t="s">
        <v>382</v>
      </c>
    </row>
    <row r="125" spans="1:6">
      <c r="A125" s="10">
        <f t="shared" si="1"/>
        <v>122</v>
      </c>
      <c r="B125" s="9">
        <v>5124913</v>
      </c>
      <c r="C125" s="20" t="s">
        <v>326</v>
      </c>
      <c r="D125" s="77" t="s">
        <v>8250</v>
      </c>
      <c r="E125" s="77" t="s">
        <v>8250</v>
      </c>
      <c r="F125" s="6" t="s">
        <v>8304</v>
      </c>
    </row>
    <row r="126" spans="1:6">
      <c r="A126" s="10">
        <f t="shared" si="1"/>
        <v>123</v>
      </c>
      <c r="B126" s="9">
        <v>2074192</v>
      </c>
      <c r="C126" s="20" t="s">
        <v>327</v>
      </c>
      <c r="D126" s="6" t="s">
        <v>8250</v>
      </c>
      <c r="E126" s="6" t="s">
        <v>8250</v>
      </c>
      <c r="F126" s="6" t="s">
        <v>382</v>
      </c>
    </row>
    <row r="127" spans="1:6">
      <c r="A127" s="203">
        <f t="shared" si="1"/>
        <v>124</v>
      </c>
      <c r="B127" s="201">
        <v>2861224</v>
      </c>
      <c r="C127" s="200" t="s">
        <v>331</v>
      </c>
      <c r="D127" s="202"/>
      <c r="E127" s="202"/>
      <c r="F127" s="202"/>
    </row>
    <row r="128" spans="1:6">
      <c r="A128" s="10">
        <f t="shared" si="1"/>
        <v>125</v>
      </c>
      <c r="B128" s="9">
        <v>5137977</v>
      </c>
      <c r="C128" s="20" t="s">
        <v>332</v>
      </c>
      <c r="D128" s="6" t="s">
        <v>8250</v>
      </c>
      <c r="E128" s="6" t="s">
        <v>8250</v>
      </c>
      <c r="F128" s="6" t="s">
        <v>382</v>
      </c>
    </row>
  </sheetData>
  <mergeCells count="1">
    <mergeCell ref="A1:J1"/>
  </mergeCells>
  <conditionalFormatting sqref="B4:B33 B89">
    <cfRule type="duplicateValues" dxfId="459" priority="12"/>
  </conditionalFormatting>
  <conditionalFormatting sqref="B34:B83">
    <cfRule type="duplicateValues" dxfId="458" priority="11"/>
  </conditionalFormatting>
  <conditionalFormatting sqref="B84">
    <cfRule type="duplicateValues" dxfId="457" priority="10"/>
  </conditionalFormatting>
  <conditionalFormatting sqref="B85">
    <cfRule type="duplicateValues" dxfId="456" priority="9"/>
  </conditionalFormatting>
  <conditionalFormatting sqref="B86">
    <cfRule type="duplicateValues" dxfId="455" priority="8"/>
  </conditionalFormatting>
  <conditionalFormatting sqref="B87">
    <cfRule type="duplicateValues" dxfId="454" priority="7"/>
  </conditionalFormatting>
  <conditionalFormatting sqref="B88">
    <cfRule type="duplicateValues" dxfId="453" priority="6"/>
  </conditionalFormatting>
  <conditionalFormatting sqref="B90:B128">
    <cfRule type="duplicateValues" dxfId="452" priority="13"/>
  </conditionalFormatting>
  <conditionalFormatting sqref="C4:C33 C89">
    <cfRule type="duplicateValues" dxfId="451" priority="4"/>
  </conditionalFormatting>
  <conditionalFormatting sqref="C34:C83">
    <cfRule type="duplicateValues" dxfId="450" priority="3"/>
  </conditionalFormatting>
  <conditionalFormatting sqref="C84">
    <cfRule type="duplicateValues" dxfId="449" priority="1"/>
  </conditionalFormatting>
  <conditionalFormatting sqref="C85:C88">
    <cfRule type="duplicateValues" dxfId="448" priority="2"/>
  </conditionalFormatting>
  <conditionalFormatting sqref="C90:C128">
    <cfRule type="duplicateValues" dxfId="447" priority="5"/>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ED843-24FC-4A1C-810C-BFA468366BB3}">
  <sheetPr>
    <tabColor rgb="FF006432"/>
  </sheetPr>
  <dimension ref="A1:P189"/>
  <sheetViews>
    <sheetView workbookViewId="0">
      <pane xSplit="1" ySplit="2" topLeftCell="B3" activePane="bottomRight" state="frozen"/>
      <selection pane="bottomRight" activeCell="H2" sqref="H2"/>
      <selection pane="bottomLeft" activeCell="A3" sqref="A3"/>
      <selection pane="topRight" activeCell="B1" sqref="B1"/>
    </sheetView>
  </sheetViews>
  <sheetFormatPr defaultRowHeight="15"/>
  <cols>
    <col min="1" max="1" width="6" customWidth="1"/>
    <col min="2" max="2" width="21.28515625" style="336" bestFit="1" customWidth="1"/>
    <col min="3" max="3" width="9.42578125" customWidth="1"/>
    <col min="4" max="4" width="26.85546875" customWidth="1"/>
    <col min="5" max="5" width="8.140625" bestFit="1" customWidth="1"/>
    <col min="6" max="6" width="16.85546875" customWidth="1"/>
    <col min="7" max="7" width="7.85546875" customWidth="1"/>
    <col min="8" max="8" width="18.5703125" customWidth="1"/>
    <col min="9" max="9" width="23.7109375" customWidth="1"/>
    <col min="10" max="10" width="10.140625" customWidth="1"/>
    <col min="11" max="11" width="11.140625" customWidth="1"/>
    <col min="12" max="12" width="10.85546875" customWidth="1"/>
    <col min="13" max="13" width="25.140625" customWidth="1"/>
    <col min="14" max="14" width="13.140625" customWidth="1"/>
    <col min="15" max="15" width="15.5703125" customWidth="1"/>
  </cols>
  <sheetData>
    <row r="1" spans="1:16" ht="16.5" thickBot="1">
      <c r="A1" s="641" t="s">
        <v>8305</v>
      </c>
      <c r="B1" s="641"/>
      <c r="C1" s="641"/>
      <c r="D1" s="641"/>
      <c r="E1" s="641"/>
      <c r="F1" s="641"/>
      <c r="G1" s="641"/>
      <c r="H1" s="641"/>
    </row>
    <row r="2" spans="1:16" ht="75" customHeight="1" thickTop="1">
      <c r="A2" s="16" t="s">
        <v>114</v>
      </c>
      <c r="B2" s="16" t="s">
        <v>690</v>
      </c>
      <c r="C2" s="16" t="s">
        <v>116</v>
      </c>
      <c r="D2" s="446" t="s">
        <v>8306</v>
      </c>
      <c r="E2" s="446" t="s">
        <v>5421</v>
      </c>
      <c r="F2" s="446" t="s">
        <v>8307</v>
      </c>
      <c r="G2" s="446" t="s">
        <v>8308</v>
      </c>
      <c r="H2" s="446" t="s">
        <v>8309</v>
      </c>
      <c r="I2" s="446" t="s">
        <v>8310</v>
      </c>
      <c r="J2" s="446" t="s">
        <v>8311</v>
      </c>
      <c r="K2" s="446" t="s">
        <v>8312</v>
      </c>
      <c r="L2" s="446" t="s">
        <v>8313</v>
      </c>
      <c r="M2" s="447" t="s">
        <v>8314</v>
      </c>
      <c r="N2" s="446" t="s">
        <v>8315</v>
      </c>
      <c r="O2" s="446" t="s">
        <v>8316</v>
      </c>
    </row>
    <row r="3" spans="1:16" s="11" customFormat="1" ht="25.5">
      <c r="A3" s="6">
        <v>1</v>
      </c>
      <c r="B3" s="334" t="s">
        <v>1076</v>
      </c>
      <c r="C3" s="6">
        <v>2008572</v>
      </c>
      <c r="D3" s="96" t="s">
        <v>8317</v>
      </c>
      <c r="E3" s="97" t="s">
        <v>737</v>
      </c>
      <c r="F3" s="97" t="s">
        <v>8318</v>
      </c>
      <c r="G3" s="97">
        <v>75</v>
      </c>
      <c r="H3" s="97" t="s">
        <v>8319</v>
      </c>
      <c r="I3" s="217" t="s">
        <v>8320</v>
      </c>
      <c r="J3" s="97">
        <v>1</v>
      </c>
      <c r="K3" s="98">
        <v>45017</v>
      </c>
      <c r="L3" s="97">
        <v>1</v>
      </c>
      <c r="M3" s="329">
        <v>16274700</v>
      </c>
      <c r="N3" s="97" t="s">
        <v>8259</v>
      </c>
      <c r="O3" s="97" t="s">
        <v>8250</v>
      </c>
    </row>
    <row r="4" spans="1:16" s="11" customFormat="1" ht="25.5">
      <c r="A4" s="6">
        <f t="shared" ref="A4:A43" si="0">SUM(A3+1)</f>
        <v>2</v>
      </c>
      <c r="B4" s="334" t="s">
        <v>1076</v>
      </c>
      <c r="C4" s="6">
        <v>2008572</v>
      </c>
      <c r="D4" s="99" t="s">
        <v>8321</v>
      </c>
      <c r="E4" s="100" t="s">
        <v>737</v>
      </c>
      <c r="F4" s="100" t="s">
        <v>8318</v>
      </c>
      <c r="G4" s="100">
        <v>75</v>
      </c>
      <c r="H4" s="100" t="s">
        <v>3446</v>
      </c>
      <c r="I4" s="217" t="s">
        <v>8320</v>
      </c>
      <c r="J4" s="100">
        <v>1</v>
      </c>
      <c r="K4" s="101">
        <v>45017</v>
      </c>
      <c r="L4" s="100">
        <v>1</v>
      </c>
      <c r="M4" s="330">
        <v>15298800</v>
      </c>
      <c r="N4" s="100" t="s">
        <v>8259</v>
      </c>
      <c r="O4" s="100" t="s">
        <v>8250</v>
      </c>
    </row>
    <row r="5" spans="1:16" s="11" customFormat="1" ht="25.5">
      <c r="A5" s="6">
        <f t="shared" si="0"/>
        <v>3</v>
      </c>
      <c r="B5" s="334" t="s">
        <v>1076</v>
      </c>
      <c r="C5" s="6">
        <v>2008572</v>
      </c>
      <c r="D5" s="96" t="s">
        <v>8322</v>
      </c>
      <c r="E5" s="97" t="s">
        <v>736</v>
      </c>
      <c r="F5" s="97" t="s">
        <v>8318</v>
      </c>
      <c r="G5" s="97">
        <v>75</v>
      </c>
      <c r="H5" s="97" t="s">
        <v>3446</v>
      </c>
      <c r="I5" s="217" t="s">
        <v>8320</v>
      </c>
      <c r="J5" s="97">
        <v>1</v>
      </c>
      <c r="K5" s="98">
        <v>45017</v>
      </c>
      <c r="L5" s="97">
        <v>1</v>
      </c>
      <c r="M5" s="329">
        <v>14308800</v>
      </c>
      <c r="N5" s="97" t="s">
        <v>8259</v>
      </c>
      <c r="O5" s="97" t="s">
        <v>8250</v>
      </c>
      <c r="P5" s="13"/>
    </row>
    <row r="6" spans="1:16" s="11" customFormat="1" ht="25.5">
      <c r="A6" s="6">
        <f t="shared" si="0"/>
        <v>4</v>
      </c>
      <c r="B6" s="334" t="s">
        <v>1076</v>
      </c>
      <c r="C6" s="6">
        <v>2008572</v>
      </c>
      <c r="D6" s="96" t="s">
        <v>8323</v>
      </c>
      <c r="E6" s="97" t="s">
        <v>736</v>
      </c>
      <c r="F6" s="97" t="s">
        <v>8318</v>
      </c>
      <c r="G6" s="97">
        <v>75</v>
      </c>
      <c r="H6" s="97" t="s">
        <v>3446</v>
      </c>
      <c r="I6" s="217" t="s">
        <v>8320</v>
      </c>
      <c r="J6" s="97">
        <v>1</v>
      </c>
      <c r="K6" s="98">
        <v>45017</v>
      </c>
      <c r="L6" s="97">
        <v>1</v>
      </c>
      <c r="M6" s="329">
        <v>15738800</v>
      </c>
      <c r="N6" s="97" t="s">
        <v>8259</v>
      </c>
      <c r="O6" s="97" t="s">
        <v>8250</v>
      </c>
      <c r="P6" s="13"/>
    </row>
    <row r="7" spans="1:16" s="11" customFormat="1" ht="25.5">
      <c r="A7" s="6">
        <f t="shared" si="0"/>
        <v>5</v>
      </c>
      <c r="B7" s="334" t="s">
        <v>1076</v>
      </c>
      <c r="C7" s="6">
        <v>2008572</v>
      </c>
      <c r="D7" s="96" t="s">
        <v>8324</v>
      </c>
      <c r="E7" s="97" t="s">
        <v>736</v>
      </c>
      <c r="F7" s="97" t="s">
        <v>8318</v>
      </c>
      <c r="G7" s="97">
        <v>75</v>
      </c>
      <c r="H7" s="97" t="s">
        <v>3446</v>
      </c>
      <c r="I7" s="217" t="s">
        <v>8320</v>
      </c>
      <c r="J7" s="97">
        <v>1</v>
      </c>
      <c r="K7" s="98">
        <v>45017</v>
      </c>
      <c r="L7" s="97">
        <v>1</v>
      </c>
      <c r="M7" s="329">
        <v>13628800</v>
      </c>
      <c r="N7" s="97" t="s">
        <v>8259</v>
      </c>
      <c r="O7" s="97" t="s">
        <v>8250</v>
      </c>
      <c r="P7" s="13"/>
    </row>
    <row r="8" spans="1:16" s="11" customFormat="1" ht="25.5">
      <c r="A8" s="6">
        <f t="shared" si="0"/>
        <v>6</v>
      </c>
      <c r="B8" s="334" t="s">
        <v>1076</v>
      </c>
      <c r="C8" s="6">
        <v>2008572</v>
      </c>
      <c r="D8" s="96" t="s">
        <v>8325</v>
      </c>
      <c r="E8" s="97" t="s">
        <v>736</v>
      </c>
      <c r="F8" s="97" t="s">
        <v>8318</v>
      </c>
      <c r="G8" s="97">
        <v>75</v>
      </c>
      <c r="H8" s="97" t="s">
        <v>3446</v>
      </c>
      <c r="I8" s="217" t="s">
        <v>8320</v>
      </c>
      <c r="J8" s="97">
        <v>1</v>
      </c>
      <c r="K8" s="98">
        <v>45017</v>
      </c>
      <c r="L8" s="97">
        <v>1</v>
      </c>
      <c r="M8" s="329">
        <v>15628800</v>
      </c>
      <c r="N8" s="97" t="s">
        <v>8259</v>
      </c>
      <c r="O8" s="97" t="s">
        <v>8250</v>
      </c>
      <c r="P8" s="13"/>
    </row>
    <row r="9" spans="1:16" s="11" customFormat="1" ht="25.5">
      <c r="A9" s="6">
        <f t="shared" si="0"/>
        <v>7</v>
      </c>
      <c r="B9" s="334" t="s">
        <v>1076</v>
      </c>
      <c r="C9" s="6">
        <v>2008572</v>
      </c>
      <c r="D9" s="96" t="s">
        <v>8326</v>
      </c>
      <c r="E9" s="97" t="s">
        <v>736</v>
      </c>
      <c r="F9" s="97" t="s">
        <v>8327</v>
      </c>
      <c r="G9" s="97">
        <v>0</v>
      </c>
      <c r="H9" s="97" t="s">
        <v>8328</v>
      </c>
      <c r="I9" s="217" t="s">
        <v>8320</v>
      </c>
      <c r="J9" s="97">
        <v>1</v>
      </c>
      <c r="K9" s="98">
        <v>45017</v>
      </c>
      <c r="L9" s="97">
        <v>1</v>
      </c>
      <c r="M9" s="329">
        <v>20763600</v>
      </c>
      <c r="N9" s="97" t="s">
        <v>8259</v>
      </c>
      <c r="O9" s="97" t="s">
        <v>8250</v>
      </c>
      <c r="P9" s="13"/>
    </row>
    <row r="10" spans="1:16" s="11" customFormat="1" ht="25.5">
      <c r="A10" s="6">
        <f t="shared" si="0"/>
        <v>8</v>
      </c>
      <c r="B10" s="334" t="s">
        <v>1076</v>
      </c>
      <c r="C10" s="6">
        <v>2008572</v>
      </c>
      <c r="D10" s="96" t="s">
        <v>8329</v>
      </c>
      <c r="E10" s="97" t="s">
        <v>737</v>
      </c>
      <c r="F10" s="97" t="s">
        <v>8327</v>
      </c>
      <c r="G10" s="97">
        <v>0</v>
      </c>
      <c r="H10" s="97" t="s">
        <v>8328</v>
      </c>
      <c r="I10" s="217" t="s">
        <v>8320</v>
      </c>
      <c r="J10" s="97">
        <v>1</v>
      </c>
      <c r="K10" s="98">
        <v>45017</v>
      </c>
      <c r="L10" s="97">
        <v>1</v>
      </c>
      <c r="M10" s="329">
        <v>20900000</v>
      </c>
      <c r="N10" s="97" t="s">
        <v>8259</v>
      </c>
      <c r="O10" s="97" t="s">
        <v>8250</v>
      </c>
      <c r="P10" s="13"/>
    </row>
    <row r="11" spans="1:16" s="11" customFormat="1" ht="25.5">
      <c r="A11" s="6">
        <f t="shared" si="0"/>
        <v>9</v>
      </c>
      <c r="B11" s="334" t="s">
        <v>1076</v>
      </c>
      <c r="C11" s="6">
        <v>2008572</v>
      </c>
      <c r="D11" s="96" t="s">
        <v>8330</v>
      </c>
      <c r="E11" s="97" t="s">
        <v>736</v>
      </c>
      <c r="F11" s="97" t="s">
        <v>8327</v>
      </c>
      <c r="G11" s="97">
        <v>0</v>
      </c>
      <c r="H11" s="97" t="s">
        <v>8328</v>
      </c>
      <c r="I11" s="217" t="s">
        <v>8320</v>
      </c>
      <c r="J11" s="97">
        <v>1</v>
      </c>
      <c r="K11" s="98">
        <v>45017</v>
      </c>
      <c r="L11" s="97">
        <v>1</v>
      </c>
      <c r="M11" s="329">
        <v>20350000</v>
      </c>
      <c r="N11" s="97" t="s">
        <v>8259</v>
      </c>
      <c r="O11" s="97" t="s">
        <v>8250</v>
      </c>
    </row>
    <row r="12" spans="1:16" s="11" customFormat="1" ht="25.5">
      <c r="A12" s="6">
        <f t="shared" si="0"/>
        <v>10</v>
      </c>
      <c r="B12" s="334" t="s">
        <v>1076</v>
      </c>
      <c r="C12" s="6">
        <v>2008572</v>
      </c>
      <c r="D12" s="96" t="s">
        <v>8331</v>
      </c>
      <c r="E12" s="97" t="s">
        <v>737</v>
      </c>
      <c r="F12" s="97" t="s">
        <v>8327</v>
      </c>
      <c r="G12" s="97">
        <v>0</v>
      </c>
      <c r="H12" s="97" t="s">
        <v>8328</v>
      </c>
      <c r="I12" s="217" t="s">
        <v>8320</v>
      </c>
      <c r="J12" s="97">
        <v>1</v>
      </c>
      <c r="K12" s="98">
        <v>45017</v>
      </c>
      <c r="L12" s="97">
        <v>1</v>
      </c>
      <c r="M12" s="329">
        <v>19113600</v>
      </c>
      <c r="N12" s="97" t="s">
        <v>8259</v>
      </c>
      <c r="O12" s="97" t="s">
        <v>8250</v>
      </c>
    </row>
    <row r="13" spans="1:16" s="11" customFormat="1" ht="25.5">
      <c r="A13" s="6">
        <f t="shared" si="0"/>
        <v>11</v>
      </c>
      <c r="B13" s="334" t="s">
        <v>1076</v>
      </c>
      <c r="C13" s="6">
        <v>2008572</v>
      </c>
      <c r="D13" s="99" t="s">
        <v>8332</v>
      </c>
      <c r="E13" s="100" t="s">
        <v>736</v>
      </c>
      <c r="F13" s="100" t="s">
        <v>8327</v>
      </c>
      <c r="G13" s="100">
        <v>21</v>
      </c>
      <c r="H13" s="100" t="s">
        <v>3446</v>
      </c>
      <c r="I13" s="217" t="s">
        <v>8320</v>
      </c>
      <c r="J13" s="100">
        <v>1</v>
      </c>
      <c r="K13" s="101">
        <v>43922</v>
      </c>
      <c r="L13" s="100">
        <v>3</v>
      </c>
      <c r="M13" s="330">
        <v>23118000</v>
      </c>
      <c r="N13" s="100" t="s">
        <v>8259</v>
      </c>
      <c r="O13" s="100" t="s">
        <v>8250</v>
      </c>
    </row>
    <row r="14" spans="1:16" s="11" customFormat="1" ht="25.5">
      <c r="A14" s="6">
        <f t="shared" si="0"/>
        <v>12</v>
      </c>
      <c r="B14" s="334" t="s">
        <v>1076</v>
      </c>
      <c r="C14" s="6">
        <v>2008572</v>
      </c>
      <c r="D14" s="96" t="s">
        <v>8333</v>
      </c>
      <c r="E14" s="97" t="s">
        <v>736</v>
      </c>
      <c r="F14" s="97" t="s">
        <v>8327</v>
      </c>
      <c r="G14" s="97">
        <v>21</v>
      </c>
      <c r="H14" s="97" t="s">
        <v>3446</v>
      </c>
      <c r="I14" s="217" t="s">
        <v>8320</v>
      </c>
      <c r="J14" s="97">
        <v>1</v>
      </c>
      <c r="K14" s="98">
        <v>43922</v>
      </c>
      <c r="L14" s="97">
        <v>3</v>
      </c>
      <c r="M14" s="329">
        <v>20918000</v>
      </c>
      <c r="N14" s="97" t="s">
        <v>8259</v>
      </c>
      <c r="O14" s="97" t="s">
        <v>8250</v>
      </c>
    </row>
    <row r="15" spans="1:16" s="11" customFormat="1">
      <c r="A15" s="6">
        <f t="shared" si="0"/>
        <v>13</v>
      </c>
      <c r="B15" s="328" t="s">
        <v>155</v>
      </c>
      <c r="C15" s="59"/>
      <c r="D15" s="62"/>
      <c r="E15" s="62"/>
      <c r="F15" s="62"/>
      <c r="G15" s="62"/>
      <c r="H15" s="62"/>
      <c r="I15" s="62"/>
      <c r="J15" s="62"/>
      <c r="K15" s="62"/>
      <c r="L15" s="62"/>
      <c r="M15" s="331"/>
      <c r="N15" s="62"/>
      <c r="O15" s="62"/>
    </row>
    <row r="16" spans="1:16" s="11" customFormat="1" ht="25.5">
      <c r="A16" s="6">
        <f t="shared" si="0"/>
        <v>14</v>
      </c>
      <c r="B16" s="334" t="s">
        <v>157</v>
      </c>
      <c r="C16" s="6">
        <v>5502977</v>
      </c>
      <c r="D16" s="96" t="s">
        <v>8334</v>
      </c>
      <c r="E16" s="97" t="s">
        <v>736</v>
      </c>
      <c r="F16" s="97" t="s">
        <v>8318</v>
      </c>
      <c r="G16" s="97">
        <v>34</v>
      </c>
      <c r="H16" s="97" t="s">
        <v>3446</v>
      </c>
      <c r="I16" s="97" t="s">
        <v>8335</v>
      </c>
      <c r="J16" s="97">
        <v>1</v>
      </c>
      <c r="K16" s="98">
        <v>44231</v>
      </c>
      <c r="L16" s="97">
        <v>4</v>
      </c>
      <c r="M16" s="329">
        <v>11520000</v>
      </c>
      <c r="N16" s="97" t="s">
        <v>8259</v>
      </c>
      <c r="O16" s="97" t="s">
        <v>8259</v>
      </c>
    </row>
    <row r="17" spans="1:16" s="11" customFormat="1" ht="51">
      <c r="A17" s="6">
        <f t="shared" si="0"/>
        <v>15</v>
      </c>
      <c r="B17" s="334" t="s">
        <v>157</v>
      </c>
      <c r="C17" s="6">
        <v>5502977</v>
      </c>
      <c r="D17" s="96" t="s">
        <v>8336</v>
      </c>
      <c r="E17" s="97" t="s">
        <v>736</v>
      </c>
      <c r="F17" s="97" t="s">
        <v>8318</v>
      </c>
      <c r="G17" s="97">
        <v>34</v>
      </c>
      <c r="H17" s="97" t="s">
        <v>3446</v>
      </c>
      <c r="I17" s="97" t="s">
        <v>8337</v>
      </c>
      <c r="J17" s="97">
        <v>3</v>
      </c>
      <c r="K17" s="98">
        <v>42865</v>
      </c>
      <c r="L17" s="97">
        <v>8</v>
      </c>
      <c r="M17" s="329">
        <v>11520000</v>
      </c>
      <c r="N17" s="97" t="s">
        <v>8259</v>
      </c>
      <c r="O17" s="97" t="s">
        <v>8259</v>
      </c>
    </row>
    <row r="18" spans="1:16" s="11" customFormat="1" ht="38.25">
      <c r="A18" s="6">
        <f t="shared" si="0"/>
        <v>16</v>
      </c>
      <c r="B18" s="334" t="s">
        <v>157</v>
      </c>
      <c r="C18" s="6">
        <v>5502977</v>
      </c>
      <c r="D18" s="96" t="s">
        <v>8338</v>
      </c>
      <c r="E18" s="97" t="s">
        <v>736</v>
      </c>
      <c r="F18" s="97" t="s">
        <v>8318</v>
      </c>
      <c r="G18" s="97">
        <v>34</v>
      </c>
      <c r="H18" s="97" t="s">
        <v>3446</v>
      </c>
      <c r="I18" s="97" t="s">
        <v>8339</v>
      </c>
      <c r="J18" s="97">
        <v>1</v>
      </c>
      <c r="K18" s="98">
        <v>45071</v>
      </c>
      <c r="L18" s="97">
        <v>2</v>
      </c>
      <c r="M18" s="329">
        <v>6720000</v>
      </c>
      <c r="N18" s="97" t="s">
        <v>8259</v>
      </c>
      <c r="O18" s="97" t="s">
        <v>8259</v>
      </c>
    </row>
    <row r="19" spans="1:16" s="11" customFormat="1">
      <c r="A19" s="6">
        <f t="shared" si="0"/>
        <v>17</v>
      </c>
      <c r="B19" s="334" t="s">
        <v>157</v>
      </c>
      <c r="C19" s="6">
        <v>5502977</v>
      </c>
      <c r="D19" s="96" t="s">
        <v>8340</v>
      </c>
      <c r="E19" s="97" t="s">
        <v>736</v>
      </c>
      <c r="F19" s="97" t="s">
        <v>8341</v>
      </c>
      <c r="G19" s="97">
        <v>66</v>
      </c>
      <c r="H19" s="97" t="s">
        <v>3446</v>
      </c>
      <c r="I19" s="97" t="s">
        <v>8342</v>
      </c>
      <c r="J19" s="97">
        <v>1</v>
      </c>
      <c r="K19" s="98">
        <v>44903</v>
      </c>
      <c r="L19" s="97">
        <v>2</v>
      </c>
      <c r="M19" s="329">
        <v>0</v>
      </c>
      <c r="N19" s="97" t="s">
        <v>8259</v>
      </c>
      <c r="O19" s="97" t="s">
        <v>8259</v>
      </c>
    </row>
    <row r="20" spans="1:16" s="11" customFormat="1">
      <c r="A20" s="6">
        <f t="shared" si="0"/>
        <v>18</v>
      </c>
      <c r="B20" s="334" t="s">
        <v>157</v>
      </c>
      <c r="C20" s="6">
        <v>5502977</v>
      </c>
      <c r="D20" s="96" t="s">
        <v>8343</v>
      </c>
      <c r="E20" s="97" t="s">
        <v>736</v>
      </c>
      <c r="F20" s="97" t="s">
        <v>8341</v>
      </c>
      <c r="G20" s="97">
        <v>66</v>
      </c>
      <c r="H20" s="97" t="s">
        <v>3446</v>
      </c>
      <c r="I20" s="97" t="s">
        <v>8342</v>
      </c>
      <c r="J20" s="97">
        <v>4</v>
      </c>
      <c r="K20" s="98">
        <v>43038</v>
      </c>
      <c r="L20" s="97">
        <v>7</v>
      </c>
      <c r="M20" s="329">
        <v>0</v>
      </c>
      <c r="N20" s="97" t="s">
        <v>8259</v>
      </c>
      <c r="O20" s="97" t="s">
        <v>8259</v>
      </c>
    </row>
    <row r="21" spans="1:16" s="11" customFormat="1">
      <c r="A21" s="6">
        <f t="shared" si="0"/>
        <v>19</v>
      </c>
      <c r="B21" s="334" t="s">
        <v>157</v>
      </c>
      <c r="C21" s="6">
        <v>5502977</v>
      </c>
      <c r="D21" s="96" t="s">
        <v>8344</v>
      </c>
      <c r="E21" s="97" t="s">
        <v>737</v>
      </c>
      <c r="F21" s="97" t="s">
        <v>8341</v>
      </c>
      <c r="G21" s="97">
        <v>66</v>
      </c>
      <c r="H21" s="97" t="s">
        <v>3446</v>
      </c>
      <c r="I21" s="97" t="s">
        <v>8342</v>
      </c>
      <c r="J21" s="97">
        <v>1</v>
      </c>
      <c r="K21" s="98">
        <v>43927</v>
      </c>
      <c r="L21" s="97">
        <v>5</v>
      </c>
      <c r="M21" s="329">
        <v>0</v>
      </c>
      <c r="N21" s="97" t="s">
        <v>8259</v>
      </c>
      <c r="O21" s="97" t="s">
        <v>8259</v>
      </c>
    </row>
    <row r="22" spans="1:16" s="11" customFormat="1">
      <c r="A22" s="6">
        <f t="shared" si="0"/>
        <v>20</v>
      </c>
      <c r="B22" s="334" t="s">
        <v>157</v>
      </c>
      <c r="C22" s="6">
        <v>5502977</v>
      </c>
      <c r="D22" s="99" t="s">
        <v>8345</v>
      </c>
      <c r="E22" s="100" t="s">
        <v>736</v>
      </c>
      <c r="F22" s="100" t="s">
        <v>8341</v>
      </c>
      <c r="G22" s="100">
        <v>66</v>
      </c>
      <c r="H22" s="100" t="s">
        <v>3446</v>
      </c>
      <c r="I22" s="100" t="s">
        <v>8342</v>
      </c>
      <c r="J22" s="100">
        <v>1</v>
      </c>
      <c r="K22" s="101">
        <v>44525</v>
      </c>
      <c r="L22" s="100">
        <v>3</v>
      </c>
      <c r="M22" s="330">
        <v>0</v>
      </c>
      <c r="N22" s="100" t="s">
        <v>8259</v>
      </c>
      <c r="O22" s="100" t="s">
        <v>8259</v>
      </c>
    </row>
    <row r="23" spans="1:16" s="11" customFormat="1">
      <c r="A23" s="6">
        <f t="shared" si="0"/>
        <v>21</v>
      </c>
      <c r="B23" s="334" t="s">
        <v>157</v>
      </c>
      <c r="C23" s="6">
        <v>5502977</v>
      </c>
      <c r="D23" s="96" t="s">
        <v>8346</v>
      </c>
      <c r="E23" s="97" t="s">
        <v>737</v>
      </c>
      <c r="F23" s="97" t="s">
        <v>8341</v>
      </c>
      <c r="G23" s="97">
        <v>66</v>
      </c>
      <c r="H23" s="97" t="s">
        <v>3446</v>
      </c>
      <c r="I23" s="97" t="s">
        <v>8342</v>
      </c>
      <c r="J23" s="97">
        <v>1</v>
      </c>
      <c r="K23" s="98">
        <v>45036</v>
      </c>
      <c r="L23" s="97">
        <v>2</v>
      </c>
      <c r="M23" s="329">
        <v>0</v>
      </c>
      <c r="N23" s="97" t="s">
        <v>8259</v>
      </c>
      <c r="O23" s="97" t="s">
        <v>8259</v>
      </c>
    </row>
    <row r="24" spans="1:16" s="11" customFormat="1" ht="15.75" thickBot="1">
      <c r="A24" s="6">
        <f t="shared" si="0"/>
        <v>22</v>
      </c>
      <c r="B24" s="334" t="s">
        <v>157</v>
      </c>
      <c r="C24" s="6">
        <v>5502977</v>
      </c>
      <c r="D24" s="96" t="s">
        <v>8347</v>
      </c>
      <c r="E24" s="97" t="s">
        <v>736</v>
      </c>
      <c r="F24" s="97" t="s">
        <v>8341</v>
      </c>
      <c r="G24" s="97">
        <v>66</v>
      </c>
      <c r="H24" s="97" t="s">
        <v>8319</v>
      </c>
      <c r="I24" s="97" t="s">
        <v>8342</v>
      </c>
      <c r="J24" s="97">
        <v>4</v>
      </c>
      <c r="K24" s="98">
        <v>43707</v>
      </c>
      <c r="L24" s="97">
        <v>6</v>
      </c>
      <c r="M24" s="329">
        <v>0</v>
      </c>
      <c r="N24" s="97" t="s">
        <v>8259</v>
      </c>
      <c r="O24" s="97" t="s">
        <v>8259</v>
      </c>
    </row>
    <row r="25" spans="1:16" s="11" customFormat="1" ht="15.75" thickBot="1">
      <c r="A25" s="6">
        <f t="shared" si="0"/>
        <v>23</v>
      </c>
      <c r="B25" s="334" t="s">
        <v>204</v>
      </c>
      <c r="C25" s="6">
        <v>2034859</v>
      </c>
      <c r="D25" s="96" t="s">
        <v>8348</v>
      </c>
      <c r="E25" s="97" t="s">
        <v>737</v>
      </c>
      <c r="F25" s="97" t="s">
        <v>8349</v>
      </c>
      <c r="G25" s="97">
        <v>0</v>
      </c>
      <c r="H25" s="97"/>
      <c r="I25" s="97" t="s">
        <v>8350</v>
      </c>
      <c r="J25" s="97">
        <v>1</v>
      </c>
      <c r="K25" s="98">
        <v>45059</v>
      </c>
      <c r="L25" s="97">
        <v>4</v>
      </c>
      <c r="M25" s="329">
        <v>15986000</v>
      </c>
      <c r="N25" s="97" t="s">
        <v>8259</v>
      </c>
      <c r="O25" s="97" t="s">
        <v>8250</v>
      </c>
      <c r="P25" s="102"/>
    </row>
    <row r="26" spans="1:16" s="11" customFormat="1" ht="15.75" thickBot="1">
      <c r="A26" s="6">
        <f t="shared" si="0"/>
        <v>24</v>
      </c>
      <c r="B26" s="335" t="s">
        <v>204</v>
      </c>
      <c r="C26" s="209">
        <v>2034859</v>
      </c>
      <c r="D26" s="295" t="s">
        <v>8351</v>
      </c>
      <c r="E26" s="217" t="s">
        <v>736</v>
      </c>
      <c r="F26" s="217" t="s">
        <v>8327</v>
      </c>
      <c r="G26" s="217">
        <v>0</v>
      </c>
      <c r="H26" s="217" t="s">
        <v>8328</v>
      </c>
      <c r="I26" s="217" t="s">
        <v>8350</v>
      </c>
      <c r="J26" s="217">
        <v>1</v>
      </c>
      <c r="K26" s="263">
        <v>45059</v>
      </c>
      <c r="L26" s="217">
        <v>1</v>
      </c>
      <c r="M26" s="332">
        <v>10500000</v>
      </c>
      <c r="N26" s="217" t="s">
        <v>8250</v>
      </c>
      <c r="O26" s="217" t="s">
        <v>8259</v>
      </c>
      <c r="P26" s="102"/>
    </row>
    <row r="27" spans="1:16" s="11" customFormat="1" ht="15.75" thickBot="1">
      <c r="A27" s="6">
        <f t="shared" si="0"/>
        <v>25</v>
      </c>
      <c r="B27" s="66" t="s">
        <v>204</v>
      </c>
      <c r="C27" s="209">
        <v>2034859</v>
      </c>
      <c r="D27" s="295" t="s">
        <v>8352</v>
      </c>
      <c r="E27" s="217" t="s">
        <v>736</v>
      </c>
      <c r="F27" s="217" t="s">
        <v>8327</v>
      </c>
      <c r="G27" s="217">
        <v>0</v>
      </c>
      <c r="H27" s="217" t="s">
        <v>8328</v>
      </c>
      <c r="I27" s="217" t="s">
        <v>8353</v>
      </c>
      <c r="J27" s="217">
        <v>1</v>
      </c>
      <c r="K27" s="263">
        <v>45059</v>
      </c>
      <c r="L27" s="217">
        <v>1</v>
      </c>
      <c r="M27" s="332">
        <v>15500000</v>
      </c>
      <c r="N27" s="217" t="s">
        <v>8259</v>
      </c>
      <c r="O27" s="217" t="s">
        <v>8259</v>
      </c>
      <c r="P27" s="102"/>
    </row>
    <row r="28" spans="1:16" s="11" customFormat="1">
      <c r="A28" s="6">
        <f t="shared" si="0"/>
        <v>26</v>
      </c>
      <c r="B28" s="66" t="s">
        <v>204</v>
      </c>
      <c r="C28" s="209">
        <v>2034859</v>
      </c>
      <c r="D28" s="295" t="s">
        <v>8354</v>
      </c>
      <c r="E28" s="217" t="s">
        <v>736</v>
      </c>
      <c r="F28" s="217" t="s">
        <v>8327</v>
      </c>
      <c r="G28" s="217">
        <v>0</v>
      </c>
      <c r="H28" s="217" t="s">
        <v>3446</v>
      </c>
      <c r="I28" s="217" t="s">
        <v>8350</v>
      </c>
      <c r="J28" s="217">
        <v>1</v>
      </c>
      <c r="K28" s="263">
        <v>45059</v>
      </c>
      <c r="L28" s="217">
        <v>8</v>
      </c>
      <c r="M28" s="332">
        <v>15500000</v>
      </c>
      <c r="N28" s="217" t="s">
        <v>8250</v>
      </c>
      <c r="O28" s="217" t="s">
        <v>8259</v>
      </c>
      <c r="P28" s="95"/>
    </row>
    <row r="29" spans="1:16" s="11" customFormat="1">
      <c r="A29" s="6">
        <f t="shared" si="0"/>
        <v>27</v>
      </c>
      <c r="B29" s="66" t="s">
        <v>204</v>
      </c>
      <c r="C29" s="209">
        <v>2034859</v>
      </c>
      <c r="D29" s="295" t="s">
        <v>8355</v>
      </c>
      <c r="E29" s="217" t="s">
        <v>736</v>
      </c>
      <c r="F29" s="217" t="s">
        <v>8327</v>
      </c>
      <c r="G29" s="217">
        <v>0</v>
      </c>
      <c r="H29" s="217" t="s">
        <v>3446</v>
      </c>
      <c r="I29" s="217" t="s">
        <v>8356</v>
      </c>
      <c r="J29" s="217">
        <v>1</v>
      </c>
      <c r="K29" s="263">
        <v>45059</v>
      </c>
      <c r="L29" s="217">
        <v>3</v>
      </c>
      <c r="M29" s="332">
        <v>15500000</v>
      </c>
      <c r="N29" s="217" t="s">
        <v>8259</v>
      </c>
      <c r="O29" s="217" t="s">
        <v>8259</v>
      </c>
    </row>
    <row r="30" spans="1:16" s="11" customFormat="1">
      <c r="A30" s="6">
        <f t="shared" si="0"/>
        <v>28</v>
      </c>
      <c r="B30" s="66" t="s">
        <v>204</v>
      </c>
      <c r="C30" s="209">
        <v>2034859</v>
      </c>
      <c r="D30" s="295" t="s">
        <v>8357</v>
      </c>
      <c r="E30" s="217" t="s">
        <v>736</v>
      </c>
      <c r="F30" s="217" t="s">
        <v>8327</v>
      </c>
      <c r="G30" s="217">
        <v>0</v>
      </c>
      <c r="H30" s="217" t="s">
        <v>3446</v>
      </c>
      <c r="I30" s="217" t="s">
        <v>8356</v>
      </c>
      <c r="J30" s="217">
        <v>1</v>
      </c>
      <c r="K30" s="263">
        <v>45059</v>
      </c>
      <c r="L30" s="217">
        <v>16</v>
      </c>
      <c r="M30" s="332">
        <v>15500000</v>
      </c>
      <c r="N30" s="217" t="s">
        <v>8250</v>
      </c>
      <c r="O30" s="217" t="s">
        <v>8259</v>
      </c>
    </row>
    <row r="31" spans="1:16" s="11" customFormat="1">
      <c r="A31" s="6">
        <f t="shared" si="0"/>
        <v>29</v>
      </c>
      <c r="B31" s="66" t="s">
        <v>204</v>
      </c>
      <c r="C31" s="209">
        <v>2034859</v>
      </c>
      <c r="D31" s="295" t="s">
        <v>8358</v>
      </c>
      <c r="E31" s="217" t="s">
        <v>736</v>
      </c>
      <c r="F31" s="217" t="s">
        <v>8327</v>
      </c>
      <c r="G31" s="217">
        <v>0</v>
      </c>
      <c r="H31" s="217" t="s">
        <v>8328</v>
      </c>
      <c r="I31" s="217" t="s">
        <v>8350</v>
      </c>
      <c r="J31" s="217">
        <v>1</v>
      </c>
      <c r="K31" s="263">
        <v>45059</v>
      </c>
      <c r="L31" s="217">
        <v>3</v>
      </c>
      <c r="M31" s="332">
        <v>15500000</v>
      </c>
      <c r="N31" s="217" t="s">
        <v>8250</v>
      </c>
      <c r="O31" s="217" t="s">
        <v>8259</v>
      </c>
    </row>
    <row r="32" spans="1:16" s="11" customFormat="1">
      <c r="A32" s="6">
        <f t="shared" si="0"/>
        <v>30</v>
      </c>
      <c r="B32" s="66" t="s">
        <v>204</v>
      </c>
      <c r="C32" s="209">
        <v>2034859</v>
      </c>
      <c r="D32" s="295" t="s">
        <v>8359</v>
      </c>
      <c r="E32" s="217" t="s">
        <v>736</v>
      </c>
      <c r="F32" s="217" t="s">
        <v>8349</v>
      </c>
      <c r="G32" s="217">
        <v>51</v>
      </c>
      <c r="H32" s="217" t="s">
        <v>3446</v>
      </c>
      <c r="I32" s="217" t="s">
        <v>8353</v>
      </c>
      <c r="J32" s="217">
        <v>1</v>
      </c>
      <c r="K32" s="263">
        <v>45059</v>
      </c>
      <c r="L32" s="217">
        <v>1</v>
      </c>
      <c r="M32" s="332">
        <v>10500000</v>
      </c>
      <c r="N32" s="217" t="s">
        <v>8250</v>
      </c>
      <c r="O32" s="217" t="s">
        <v>8259</v>
      </c>
    </row>
    <row r="33" spans="1:15" s="11" customFormat="1">
      <c r="A33" s="6">
        <f t="shared" si="0"/>
        <v>31</v>
      </c>
      <c r="B33" s="66" t="s">
        <v>204</v>
      </c>
      <c r="C33" s="209">
        <v>2034859</v>
      </c>
      <c r="D33" s="295" t="s">
        <v>8360</v>
      </c>
      <c r="E33" s="217" t="s">
        <v>736</v>
      </c>
      <c r="F33" s="217" t="s">
        <v>8349</v>
      </c>
      <c r="G33" s="217">
        <v>51</v>
      </c>
      <c r="H33" s="217" t="s">
        <v>8319</v>
      </c>
      <c r="I33" s="217" t="s">
        <v>8353</v>
      </c>
      <c r="J33" s="217">
        <v>1</v>
      </c>
      <c r="K33" s="263">
        <v>45059</v>
      </c>
      <c r="L33" s="217">
        <v>3</v>
      </c>
      <c r="M33" s="332">
        <v>15500000</v>
      </c>
      <c r="N33" s="217" t="s">
        <v>8250</v>
      </c>
      <c r="O33" s="217" t="s">
        <v>8259</v>
      </c>
    </row>
    <row r="34" spans="1:15" s="11" customFormat="1">
      <c r="A34" s="6">
        <f t="shared" si="0"/>
        <v>32</v>
      </c>
      <c r="B34" s="66" t="s">
        <v>204</v>
      </c>
      <c r="C34" s="209">
        <v>2034859</v>
      </c>
      <c r="D34" s="295" t="s">
        <v>8361</v>
      </c>
      <c r="E34" s="217" t="s">
        <v>736</v>
      </c>
      <c r="F34" s="217" t="s">
        <v>8349</v>
      </c>
      <c r="G34" s="217">
        <v>51</v>
      </c>
      <c r="H34" s="217" t="s">
        <v>3446</v>
      </c>
      <c r="I34" s="217" t="s">
        <v>8362</v>
      </c>
      <c r="J34" s="217">
        <v>1</v>
      </c>
      <c r="K34" s="263">
        <v>45059</v>
      </c>
      <c r="L34" s="217">
        <v>1</v>
      </c>
      <c r="M34" s="332">
        <v>15500000</v>
      </c>
      <c r="N34" s="217" t="s">
        <v>8250</v>
      </c>
      <c r="O34" s="217" t="s">
        <v>8259</v>
      </c>
    </row>
    <row r="35" spans="1:15" s="11" customFormat="1" ht="25.5">
      <c r="A35" s="6">
        <f t="shared" si="0"/>
        <v>33</v>
      </c>
      <c r="B35" s="66" t="s">
        <v>8215</v>
      </c>
      <c r="C35" s="209">
        <v>2657457</v>
      </c>
      <c r="D35" s="295" t="s">
        <v>8363</v>
      </c>
      <c r="E35" s="217" t="s">
        <v>737</v>
      </c>
      <c r="F35" s="217" t="s">
        <v>8341</v>
      </c>
      <c r="G35" s="217">
        <v>0</v>
      </c>
      <c r="H35" s="217" t="s">
        <v>3446</v>
      </c>
      <c r="I35" s="217" t="s">
        <v>8364</v>
      </c>
      <c r="J35" s="217">
        <v>0</v>
      </c>
      <c r="K35" s="263">
        <v>44673</v>
      </c>
      <c r="L35" s="217">
        <v>1</v>
      </c>
      <c r="M35" s="332">
        <v>0</v>
      </c>
      <c r="N35" s="217" t="s">
        <v>8259</v>
      </c>
      <c r="O35" s="217" t="s">
        <v>8259</v>
      </c>
    </row>
    <row r="36" spans="1:15" s="11" customFormat="1" ht="25.5">
      <c r="A36" s="6">
        <f t="shared" si="0"/>
        <v>34</v>
      </c>
      <c r="B36" s="66" t="s">
        <v>8215</v>
      </c>
      <c r="C36" s="209">
        <v>2657457</v>
      </c>
      <c r="D36" s="295" t="s">
        <v>8365</v>
      </c>
      <c r="E36" s="217" t="s">
        <v>736</v>
      </c>
      <c r="F36" s="217" t="s">
        <v>8341</v>
      </c>
      <c r="G36" s="217">
        <v>0</v>
      </c>
      <c r="H36" s="217" t="s">
        <v>3446</v>
      </c>
      <c r="I36" s="217" t="s">
        <v>8364</v>
      </c>
      <c r="J36" s="217">
        <v>0</v>
      </c>
      <c r="K36" s="263">
        <v>44260</v>
      </c>
      <c r="L36" s="217">
        <v>2</v>
      </c>
      <c r="M36" s="332">
        <v>0</v>
      </c>
      <c r="N36" s="217" t="s">
        <v>8259</v>
      </c>
      <c r="O36" s="217" t="s">
        <v>8259</v>
      </c>
    </row>
    <row r="37" spans="1:15" s="11" customFormat="1" ht="25.5">
      <c r="A37" s="6">
        <f t="shared" si="0"/>
        <v>35</v>
      </c>
      <c r="B37" s="66" t="s">
        <v>8215</v>
      </c>
      <c r="C37" s="209">
        <v>2657457</v>
      </c>
      <c r="D37" s="295" t="s">
        <v>8366</v>
      </c>
      <c r="E37" s="217" t="s">
        <v>736</v>
      </c>
      <c r="F37" s="217" t="s">
        <v>8341</v>
      </c>
      <c r="G37" s="217">
        <v>0</v>
      </c>
      <c r="H37" s="217" t="s">
        <v>3446</v>
      </c>
      <c r="I37" s="217" t="s">
        <v>8364</v>
      </c>
      <c r="J37" s="217">
        <v>0</v>
      </c>
      <c r="K37" s="263">
        <v>44673</v>
      </c>
      <c r="L37" s="217">
        <v>1</v>
      </c>
      <c r="M37" s="332">
        <v>0</v>
      </c>
      <c r="N37" s="217" t="s">
        <v>8259</v>
      </c>
      <c r="O37" s="217" t="s">
        <v>8259</v>
      </c>
    </row>
    <row r="38" spans="1:15" s="11" customFormat="1" ht="25.5">
      <c r="A38" s="209">
        <f t="shared" si="0"/>
        <v>36</v>
      </c>
      <c r="B38" s="66" t="s">
        <v>8215</v>
      </c>
      <c r="C38" s="209">
        <v>2657457</v>
      </c>
      <c r="D38" s="295" t="s">
        <v>8367</v>
      </c>
      <c r="E38" s="217" t="s">
        <v>736</v>
      </c>
      <c r="F38" s="217" t="s">
        <v>8341</v>
      </c>
      <c r="G38" s="217">
        <v>0</v>
      </c>
      <c r="H38" s="217" t="s">
        <v>3446</v>
      </c>
      <c r="I38" s="217" t="s">
        <v>8364</v>
      </c>
      <c r="J38" s="217">
        <v>0</v>
      </c>
      <c r="K38" s="263">
        <v>43353</v>
      </c>
      <c r="L38" s="217">
        <v>5</v>
      </c>
      <c r="M38" s="332">
        <v>0</v>
      </c>
      <c r="N38" s="217" t="s">
        <v>8259</v>
      </c>
      <c r="O38" s="217" t="s">
        <v>8259</v>
      </c>
    </row>
    <row r="39" spans="1:15" s="11" customFormat="1" ht="25.5">
      <c r="A39" s="209">
        <f t="shared" si="0"/>
        <v>37</v>
      </c>
      <c r="B39" s="66" t="s">
        <v>8215</v>
      </c>
      <c r="C39" s="209">
        <v>2657457</v>
      </c>
      <c r="D39" s="295" t="s">
        <v>8368</v>
      </c>
      <c r="E39" s="217" t="s">
        <v>736</v>
      </c>
      <c r="F39" s="217" t="s">
        <v>8341</v>
      </c>
      <c r="G39" s="217">
        <v>0</v>
      </c>
      <c r="H39" s="217" t="s">
        <v>3446</v>
      </c>
      <c r="I39" s="217" t="s">
        <v>8364</v>
      </c>
      <c r="J39" s="217">
        <v>0</v>
      </c>
      <c r="K39" s="263">
        <v>44911</v>
      </c>
      <c r="L39" s="217">
        <v>2</v>
      </c>
      <c r="M39" s="332">
        <v>0</v>
      </c>
      <c r="N39" s="217" t="s">
        <v>8259</v>
      </c>
      <c r="O39" s="217" t="s">
        <v>8259</v>
      </c>
    </row>
    <row r="40" spans="1:15" s="11" customFormat="1">
      <c r="A40" s="209">
        <f t="shared" si="0"/>
        <v>38</v>
      </c>
      <c r="B40" s="66" t="s">
        <v>8215</v>
      </c>
      <c r="C40" s="209">
        <v>2657457</v>
      </c>
      <c r="D40" s="295" t="s">
        <v>8369</v>
      </c>
      <c r="E40" s="217" t="s">
        <v>737</v>
      </c>
      <c r="F40" s="217" t="s">
        <v>8318</v>
      </c>
      <c r="G40" s="217">
        <v>0</v>
      </c>
      <c r="H40" s="217" t="s">
        <v>3446</v>
      </c>
      <c r="I40" s="217" t="s">
        <v>8370</v>
      </c>
      <c r="J40" s="217">
        <v>0</v>
      </c>
      <c r="K40" s="263">
        <v>44144</v>
      </c>
      <c r="L40" s="217">
        <v>4</v>
      </c>
      <c r="M40" s="332">
        <v>0</v>
      </c>
      <c r="N40" s="217" t="s">
        <v>8250</v>
      </c>
      <c r="O40" s="217" t="s">
        <v>8259</v>
      </c>
    </row>
    <row r="41" spans="1:15" s="11" customFormat="1">
      <c r="A41" s="209">
        <f t="shared" si="0"/>
        <v>39</v>
      </c>
      <c r="B41" s="66" t="s">
        <v>8215</v>
      </c>
      <c r="C41" s="209">
        <v>2657457</v>
      </c>
      <c r="D41" s="295" t="s">
        <v>8371</v>
      </c>
      <c r="E41" s="217" t="s">
        <v>737</v>
      </c>
      <c r="F41" s="217" t="s">
        <v>8318</v>
      </c>
      <c r="G41" s="217">
        <v>0</v>
      </c>
      <c r="H41" s="217" t="s">
        <v>3446</v>
      </c>
      <c r="I41" s="217" t="s">
        <v>8370</v>
      </c>
      <c r="J41" s="217">
        <v>0</v>
      </c>
      <c r="K41" s="263">
        <v>45036</v>
      </c>
      <c r="L41" s="217">
        <v>1</v>
      </c>
      <c r="M41" s="332">
        <v>0</v>
      </c>
      <c r="N41" s="217" t="s">
        <v>8250</v>
      </c>
      <c r="O41" s="217" t="s">
        <v>8259</v>
      </c>
    </row>
    <row r="42" spans="1:15" s="11" customFormat="1">
      <c r="A42" s="209">
        <f t="shared" si="0"/>
        <v>40</v>
      </c>
      <c r="B42" s="66" t="s">
        <v>8215</v>
      </c>
      <c r="C42" s="209">
        <v>2657457</v>
      </c>
      <c r="D42" s="295" t="s">
        <v>8372</v>
      </c>
      <c r="E42" s="217" t="s">
        <v>736</v>
      </c>
      <c r="F42" s="217" t="s">
        <v>8318</v>
      </c>
      <c r="G42" s="217">
        <v>0</v>
      </c>
      <c r="H42" s="217" t="s">
        <v>3446</v>
      </c>
      <c r="I42" s="217" t="s">
        <v>8370</v>
      </c>
      <c r="J42" s="217">
        <v>0</v>
      </c>
      <c r="K42" s="263">
        <v>44839</v>
      </c>
      <c r="L42" s="217">
        <v>2</v>
      </c>
      <c r="M42" s="332">
        <v>0</v>
      </c>
      <c r="N42" s="217" t="s">
        <v>8250</v>
      </c>
      <c r="O42" s="217" t="s">
        <v>8259</v>
      </c>
    </row>
    <row r="43" spans="1:15" s="11" customFormat="1" ht="25.5">
      <c r="A43" s="209">
        <f t="shared" si="0"/>
        <v>41</v>
      </c>
      <c r="B43" s="66" t="s">
        <v>8215</v>
      </c>
      <c r="C43" s="209">
        <v>2657457</v>
      </c>
      <c r="D43" s="295" t="s">
        <v>8373</v>
      </c>
      <c r="E43" s="217" t="s">
        <v>736</v>
      </c>
      <c r="F43" s="217" t="s">
        <v>8341</v>
      </c>
      <c r="G43" s="217">
        <v>0</v>
      </c>
      <c r="H43" s="217" t="s">
        <v>8319</v>
      </c>
      <c r="I43" s="217" t="s">
        <v>8364</v>
      </c>
      <c r="J43" s="217">
        <v>0</v>
      </c>
      <c r="K43" s="263">
        <v>40338</v>
      </c>
      <c r="L43" s="217">
        <v>14</v>
      </c>
      <c r="M43" s="332">
        <v>0</v>
      </c>
      <c r="N43" s="217" t="s">
        <v>8259</v>
      </c>
      <c r="O43" s="217" t="s">
        <v>8259</v>
      </c>
    </row>
    <row r="44" spans="1:15" s="11" customFormat="1">
      <c r="A44" s="209">
        <f>A43+1</f>
        <v>42</v>
      </c>
      <c r="B44" s="66" t="s">
        <v>8227</v>
      </c>
      <c r="C44" s="209">
        <v>2807459</v>
      </c>
      <c r="D44" s="295" t="s">
        <v>8374</v>
      </c>
      <c r="E44" s="217" t="s">
        <v>737</v>
      </c>
      <c r="F44" s="217" t="s">
        <v>8327</v>
      </c>
      <c r="G44" s="217">
        <v>65</v>
      </c>
      <c r="H44" s="217" t="s">
        <v>3446</v>
      </c>
      <c r="I44" s="217"/>
      <c r="J44" s="217">
        <v>0</v>
      </c>
      <c r="K44" s="263">
        <v>44614</v>
      </c>
      <c r="L44" s="217"/>
      <c r="M44" s="332">
        <v>0</v>
      </c>
      <c r="N44" s="217" t="s">
        <v>8259</v>
      </c>
      <c r="O44" s="217" t="s">
        <v>8259</v>
      </c>
    </row>
    <row r="45" spans="1:15" s="11" customFormat="1">
      <c r="A45" s="209">
        <f t="shared" ref="A45:A76" si="1">SUM(A44+1)</f>
        <v>43</v>
      </c>
      <c r="B45" s="66" t="s">
        <v>8227</v>
      </c>
      <c r="C45" s="209">
        <v>2807459</v>
      </c>
      <c r="D45" s="295" t="s">
        <v>8375</v>
      </c>
      <c r="E45" s="217" t="s">
        <v>736</v>
      </c>
      <c r="F45" s="217" t="s">
        <v>8327</v>
      </c>
      <c r="G45" s="217">
        <v>35</v>
      </c>
      <c r="H45" s="217" t="s">
        <v>3446</v>
      </c>
      <c r="I45" s="217"/>
      <c r="J45" s="217">
        <v>0</v>
      </c>
      <c r="K45" s="263">
        <v>44614</v>
      </c>
      <c r="L45" s="217"/>
      <c r="M45" s="332">
        <v>0</v>
      </c>
      <c r="N45" s="217" t="s">
        <v>8259</v>
      </c>
      <c r="O45" s="217" t="s">
        <v>8259</v>
      </c>
    </row>
    <row r="46" spans="1:15" s="11" customFormat="1">
      <c r="A46" s="209">
        <f t="shared" si="1"/>
        <v>44</v>
      </c>
      <c r="B46" s="66" t="s">
        <v>322</v>
      </c>
      <c r="C46" s="209">
        <v>6896197</v>
      </c>
      <c r="D46" s="295" t="s">
        <v>8376</v>
      </c>
      <c r="E46" s="217" t="s">
        <v>736</v>
      </c>
      <c r="F46" s="217" t="s">
        <v>8349</v>
      </c>
      <c r="G46" s="217">
        <v>0</v>
      </c>
      <c r="H46" s="217" t="s">
        <v>8319</v>
      </c>
      <c r="I46" s="217"/>
      <c r="J46" s="217">
        <v>0</v>
      </c>
      <c r="K46" s="217" t="s">
        <v>8377</v>
      </c>
      <c r="L46" s="217"/>
      <c r="M46" s="332">
        <v>0</v>
      </c>
      <c r="N46" s="217" t="s">
        <v>8250</v>
      </c>
      <c r="O46" s="217" t="s">
        <v>8259</v>
      </c>
    </row>
    <row r="47" spans="1:15" s="11" customFormat="1">
      <c r="A47" s="209">
        <f t="shared" si="1"/>
        <v>45</v>
      </c>
      <c r="B47" s="66" t="s">
        <v>322</v>
      </c>
      <c r="C47" s="209">
        <v>6896197</v>
      </c>
      <c r="D47" s="295" t="s">
        <v>8378</v>
      </c>
      <c r="E47" s="217" t="s">
        <v>736</v>
      </c>
      <c r="F47" s="217" t="s">
        <v>8349</v>
      </c>
      <c r="G47" s="217">
        <v>0</v>
      </c>
      <c r="H47" s="217" t="s">
        <v>3446</v>
      </c>
      <c r="I47" s="217"/>
      <c r="J47" s="217">
        <v>0</v>
      </c>
      <c r="K47" s="217" t="s">
        <v>8377</v>
      </c>
      <c r="L47" s="217"/>
      <c r="M47" s="332">
        <v>0</v>
      </c>
      <c r="N47" s="217" t="s">
        <v>8259</v>
      </c>
      <c r="O47" s="217" t="s">
        <v>8259</v>
      </c>
    </row>
    <row r="48" spans="1:15" s="11" customFormat="1" ht="25.5">
      <c r="A48" s="209">
        <f t="shared" si="1"/>
        <v>46</v>
      </c>
      <c r="B48" s="66" t="s">
        <v>8379</v>
      </c>
      <c r="C48" s="209">
        <v>5435528</v>
      </c>
      <c r="D48" s="295" t="s">
        <v>8380</v>
      </c>
      <c r="E48" s="217" t="s">
        <v>736</v>
      </c>
      <c r="F48" s="217" t="s">
        <v>8327</v>
      </c>
      <c r="G48" s="217">
        <v>0</v>
      </c>
      <c r="H48" s="217" t="s">
        <v>8328</v>
      </c>
      <c r="I48" s="217" t="s">
        <v>8320</v>
      </c>
      <c r="J48" s="217">
        <v>0</v>
      </c>
      <c r="K48" s="263">
        <v>45044</v>
      </c>
      <c r="L48" s="217" t="s">
        <v>8381</v>
      </c>
      <c r="M48" s="332">
        <v>18928600</v>
      </c>
      <c r="N48" s="217" t="s">
        <v>8259</v>
      </c>
      <c r="O48" s="217" t="s">
        <v>8250</v>
      </c>
    </row>
    <row r="49" spans="1:15" s="11" customFormat="1" ht="25.5">
      <c r="A49" s="209">
        <f t="shared" si="1"/>
        <v>47</v>
      </c>
      <c r="B49" s="66" t="s">
        <v>8379</v>
      </c>
      <c r="C49" s="209">
        <v>5435528</v>
      </c>
      <c r="D49" s="295" t="s">
        <v>8382</v>
      </c>
      <c r="E49" s="217" t="s">
        <v>737</v>
      </c>
      <c r="F49" s="217" t="s">
        <v>8327</v>
      </c>
      <c r="G49" s="217">
        <v>0</v>
      </c>
      <c r="H49" s="217" t="s">
        <v>8328</v>
      </c>
      <c r="I49" s="217" t="s">
        <v>8320</v>
      </c>
      <c r="J49" s="217">
        <v>0</v>
      </c>
      <c r="K49" s="263">
        <v>45044</v>
      </c>
      <c r="L49" s="217" t="s">
        <v>8381</v>
      </c>
      <c r="M49" s="332">
        <v>18928600</v>
      </c>
      <c r="N49" s="217" t="s">
        <v>8259</v>
      </c>
      <c r="O49" s="217" t="s">
        <v>8250</v>
      </c>
    </row>
    <row r="50" spans="1:15" s="11" customFormat="1" ht="25.5">
      <c r="A50" s="209">
        <f t="shared" si="1"/>
        <v>48</v>
      </c>
      <c r="B50" s="66" t="s">
        <v>8379</v>
      </c>
      <c r="C50" s="209">
        <v>5435528</v>
      </c>
      <c r="D50" s="295" t="s">
        <v>8383</v>
      </c>
      <c r="E50" s="217" t="s">
        <v>737</v>
      </c>
      <c r="F50" s="217" t="s">
        <v>8318</v>
      </c>
      <c r="G50" s="217">
        <v>0</v>
      </c>
      <c r="H50" s="217" t="s">
        <v>3446</v>
      </c>
      <c r="I50" s="217" t="s">
        <v>8320</v>
      </c>
      <c r="J50" s="217">
        <v>0</v>
      </c>
      <c r="K50" s="263">
        <v>45044</v>
      </c>
      <c r="L50" s="217" t="s">
        <v>8381</v>
      </c>
      <c r="M50" s="332">
        <v>16977200</v>
      </c>
      <c r="N50" s="217" t="s">
        <v>8259</v>
      </c>
      <c r="O50" s="217" t="s">
        <v>8250</v>
      </c>
    </row>
    <row r="51" spans="1:15" s="11" customFormat="1" ht="25.5">
      <c r="A51" s="209">
        <f t="shared" si="1"/>
        <v>49</v>
      </c>
      <c r="B51" s="66" t="s">
        <v>8379</v>
      </c>
      <c r="C51" s="209">
        <v>5435528</v>
      </c>
      <c r="D51" s="295" t="s">
        <v>8384</v>
      </c>
      <c r="E51" s="217" t="s">
        <v>736</v>
      </c>
      <c r="F51" s="217" t="s">
        <v>8318</v>
      </c>
      <c r="G51" s="217">
        <v>0</v>
      </c>
      <c r="H51" s="217" t="s">
        <v>3446</v>
      </c>
      <c r="I51" s="217" t="s">
        <v>8320</v>
      </c>
      <c r="J51" s="217">
        <v>0</v>
      </c>
      <c r="K51" s="263">
        <v>45044</v>
      </c>
      <c r="L51" s="217" t="s">
        <v>8381</v>
      </c>
      <c r="M51" s="332">
        <v>17465000</v>
      </c>
      <c r="N51" s="217" t="s">
        <v>8259</v>
      </c>
      <c r="O51" s="217" t="s">
        <v>8250</v>
      </c>
    </row>
    <row r="52" spans="1:15" s="11" customFormat="1" ht="25.5">
      <c r="A52" s="209">
        <f t="shared" si="1"/>
        <v>50</v>
      </c>
      <c r="B52" s="66" t="s">
        <v>8379</v>
      </c>
      <c r="C52" s="209">
        <v>5435528</v>
      </c>
      <c r="D52" s="295" t="s">
        <v>8385</v>
      </c>
      <c r="E52" s="217" t="s">
        <v>736</v>
      </c>
      <c r="F52" s="217" t="s">
        <v>8318</v>
      </c>
      <c r="G52" s="217">
        <v>0</v>
      </c>
      <c r="H52" s="217" t="s">
        <v>3446</v>
      </c>
      <c r="I52" s="217" t="s">
        <v>8386</v>
      </c>
      <c r="J52" s="217">
        <v>0</v>
      </c>
      <c r="K52" s="263">
        <v>45217</v>
      </c>
      <c r="L52" s="217" t="s">
        <v>8381</v>
      </c>
      <c r="M52" s="332">
        <v>7025040</v>
      </c>
      <c r="N52" s="217" t="s">
        <v>8259</v>
      </c>
      <c r="O52" s="217" t="s">
        <v>8250</v>
      </c>
    </row>
    <row r="53" spans="1:15" s="11" customFormat="1" ht="25.5">
      <c r="A53" s="209">
        <f t="shared" si="1"/>
        <v>51</v>
      </c>
      <c r="B53" s="66" t="s">
        <v>8379</v>
      </c>
      <c r="C53" s="209">
        <v>5435528</v>
      </c>
      <c r="D53" s="295" t="s">
        <v>8387</v>
      </c>
      <c r="E53" s="217" t="s">
        <v>736</v>
      </c>
      <c r="F53" s="217" t="s">
        <v>8318</v>
      </c>
      <c r="G53" s="217">
        <v>0</v>
      </c>
      <c r="H53" s="217" t="s">
        <v>8319</v>
      </c>
      <c r="I53" s="217" t="s">
        <v>8320</v>
      </c>
      <c r="J53" s="217">
        <v>0</v>
      </c>
      <c r="K53" s="263">
        <v>45044</v>
      </c>
      <c r="L53" s="217" t="s">
        <v>8381</v>
      </c>
      <c r="M53" s="332">
        <v>17660200</v>
      </c>
      <c r="N53" s="217" t="s">
        <v>8259</v>
      </c>
      <c r="O53" s="217" t="s">
        <v>8250</v>
      </c>
    </row>
    <row r="54" spans="1:15" s="11" customFormat="1" ht="25.5">
      <c r="A54" s="209">
        <f t="shared" si="1"/>
        <v>52</v>
      </c>
      <c r="B54" s="66" t="s">
        <v>8379</v>
      </c>
      <c r="C54" s="209">
        <v>5435528</v>
      </c>
      <c r="D54" s="295" t="s">
        <v>8388</v>
      </c>
      <c r="E54" s="217" t="s">
        <v>736</v>
      </c>
      <c r="F54" s="217" t="s">
        <v>8327</v>
      </c>
      <c r="G54" s="217">
        <v>0</v>
      </c>
      <c r="H54" s="217" t="s">
        <v>8328</v>
      </c>
      <c r="I54" s="217" t="s">
        <v>8320</v>
      </c>
      <c r="J54" s="217">
        <v>0</v>
      </c>
      <c r="K54" s="263">
        <v>45044</v>
      </c>
      <c r="L54" s="217" t="s">
        <v>8381</v>
      </c>
      <c r="M54" s="332">
        <v>19256400</v>
      </c>
      <c r="N54" s="217" t="s">
        <v>8259</v>
      </c>
      <c r="O54" s="217" t="s">
        <v>8250</v>
      </c>
    </row>
    <row r="55" spans="1:15" s="11" customFormat="1" ht="25.5">
      <c r="A55" s="209">
        <f t="shared" si="1"/>
        <v>53</v>
      </c>
      <c r="B55" s="66" t="s">
        <v>8243</v>
      </c>
      <c r="C55" s="209">
        <v>5124913</v>
      </c>
      <c r="D55" s="295" t="s">
        <v>8389</v>
      </c>
      <c r="E55" s="217" t="s">
        <v>737</v>
      </c>
      <c r="F55" s="217" t="s">
        <v>8318</v>
      </c>
      <c r="G55" s="217">
        <v>0</v>
      </c>
      <c r="H55" s="217" t="s">
        <v>8319</v>
      </c>
      <c r="I55" s="217" t="s">
        <v>8320</v>
      </c>
      <c r="J55" s="217">
        <v>3</v>
      </c>
      <c r="K55" s="263">
        <v>45044</v>
      </c>
      <c r="L55" s="217" t="s">
        <v>8390</v>
      </c>
      <c r="M55" s="332">
        <v>0</v>
      </c>
      <c r="N55" s="217" t="s">
        <v>8259</v>
      </c>
      <c r="O55" s="217" t="s">
        <v>8250</v>
      </c>
    </row>
    <row r="56" spans="1:15" s="11" customFormat="1" ht="25.5">
      <c r="A56" s="209">
        <f t="shared" si="1"/>
        <v>54</v>
      </c>
      <c r="B56" s="66" t="s">
        <v>8243</v>
      </c>
      <c r="C56" s="209">
        <v>5124913</v>
      </c>
      <c r="D56" s="295" t="s">
        <v>8391</v>
      </c>
      <c r="E56" s="217" t="s">
        <v>736</v>
      </c>
      <c r="F56" s="217" t="s">
        <v>8318</v>
      </c>
      <c r="G56" s="217">
        <v>0</v>
      </c>
      <c r="H56" s="217" t="s">
        <v>3446</v>
      </c>
      <c r="I56" s="217" t="s">
        <v>8320</v>
      </c>
      <c r="J56" s="217">
        <v>3</v>
      </c>
      <c r="K56" s="263">
        <v>45044</v>
      </c>
      <c r="L56" s="217">
        <v>2</v>
      </c>
      <c r="M56" s="332">
        <v>0</v>
      </c>
      <c r="N56" s="217" t="s">
        <v>8259</v>
      </c>
      <c r="O56" s="217" t="s">
        <v>8250</v>
      </c>
    </row>
    <row r="57" spans="1:15" s="11" customFormat="1" ht="25.5">
      <c r="A57" s="209">
        <f t="shared" si="1"/>
        <v>55</v>
      </c>
      <c r="B57" s="66" t="s">
        <v>8243</v>
      </c>
      <c r="C57" s="209">
        <v>5124913</v>
      </c>
      <c r="D57" s="295" t="s">
        <v>8392</v>
      </c>
      <c r="E57" s="217" t="s">
        <v>736</v>
      </c>
      <c r="F57" s="217" t="s">
        <v>8318</v>
      </c>
      <c r="G57" s="217">
        <v>0</v>
      </c>
      <c r="H57" s="217" t="s">
        <v>3446</v>
      </c>
      <c r="I57" s="217" t="s">
        <v>8320</v>
      </c>
      <c r="J57" s="217">
        <v>3</v>
      </c>
      <c r="K57" s="263">
        <v>45044</v>
      </c>
      <c r="L57" s="217">
        <v>1</v>
      </c>
      <c r="M57" s="332">
        <v>0</v>
      </c>
      <c r="N57" s="217" t="s">
        <v>8259</v>
      </c>
      <c r="O57" s="217" t="s">
        <v>8250</v>
      </c>
    </row>
    <row r="58" spans="1:15" s="11" customFormat="1" ht="25.5">
      <c r="A58" s="209">
        <f t="shared" si="1"/>
        <v>56</v>
      </c>
      <c r="B58" s="66" t="s">
        <v>8243</v>
      </c>
      <c r="C58" s="209">
        <v>5124913</v>
      </c>
      <c r="D58" s="295" t="s">
        <v>8393</v>
      </c>
      <c r="E58" s="217" t="s">
        <v>736</v>
      </c>
      <c r="F58" s="217" t="s">
        <v>8318</v>
      </c>
      <c r="G58" s="217">
        <v>0</v>
      </c>
      <c r="H58" s="217" t="s">
        <v>3446</v>
      </c>
      <c r="I58" s="217" t="s">
        <v>8320</v>
      </c>
      <c r="J58" s="217">
        <v>3</v>
      </c>
      <c r="K58" s="263">
        <v>45044</v>
      </c>
      <c r="L58" s="217">
        <v>1</v>
      </c>
      <c r="M58" s="332">
        <v>0</v>
      </c>
      <c r="N58" s="217" t="s">
        <v>8259</v>
      </c>
      <c r="O58" s="217" t="s">
        <v>8250</v>
      </c>
    </row>
    <row r="59" spans="1:15" s="11" customFormat="1" ht="25.5">
      <c r="A59" s="209">
        <f t="shared" si="1"/>
        <v>57</v>
      </c>
      <c r="B59" s="66" t="s">
        <v>8243</v>
      </c>
      <c r="C59" s="209">
        <v>5124913</v>
      </c>
      <c r="D59" s="295" t="s">
        <v>8394</v>
      </c>
      <c r="E59" s="217" t="s">
        <v>736</v>
      </c>
      <c r="F59" s="217" t="s">
        <v>8318</v>
      </c>
      <c r="G59" s="217">
        <v>0</v>
      </c>
      <c r="H59" s="217" t="s">
        <v>3446</v>
      </c>
      <c r="I59" s="217" t="s">
        <v>8320</v>
      </c>
      <c r="J59" s="217">
        <v>3</v>
      </c>
      <c r="K59" s="263">
        <v>45044</v>
      </c>
      <c r="L59" s="217">
        <v>1</v>
      </c>
      <c r="M59" s="332">
        <v>0</v>
      </c>
      <c r="N59" s="217" t="s">
        <v>8259</v>
      </c>
      <c r="O59" s="217" t="s">
        <v>8250</v>
      </c>
    </row>
    <row r="60" spans="1:15" s="11" customFormat="1" ht="25.5">
      <c r="A60" s="209">
        <f t="shared" si="1"/>
        <v>58</v>
      </c>
      <c r="B60" s="66" t="s">
        <v>8243</v>
      </c>
      <c r="C60" s="209">
        <v>5124913</v>
      </c>
      <c r="D60" s="295" t="s">
        <v>8395</v>
      </c>
      <c r="E60" s="217" t="s">
        <v>736</v>
      </c>
      <c r="F60" s="217" t="s">
        <v>8318</v>
      </c>
      <c r="G60" s="217">
        <v>0</v>
      </c>
      <c r="H60" s="217" t="s">
        <v>8328</v>
      </c>
      <c r="I60" s="217" t="s">
        <v>8320</v>
      </c>
      <c r="J60" s="217">
        <v>6</v>
      </c>
      <c r="K60" s="263">
        <v>45243</v>
      </c>
      <c r="L60" s="217" t="s">
        <v>8396</v>
      </c>
      <c r="M60" s="332">
        <v>0</v>
      </c>
      <c r="N60" s="217" t="s">
        <v>8259</v>
      </c>
      <c r="O60" s="217" t="s">
        <v>8250</v>
      </c>
    </row>
    <row r="61" spans="1:15" s="11" customFormat="1" ht="25.5">
      <c r="A61" s="209">
        <f t="shared" si="1"/>
        <v>59</v>
      </c>
      <c r="B61" s="66" t="s">
        <v>8243</v>
      </c>
      <c r="C61" s="209">
        <v>5124913</v>
      </c>
      <c r="D61" s="295" t="s">
        <v>8397</v>
      </c>
      <c r="E61" s="217" t="s">
        <v>736</v>
      </c>
      <c r="F61" s="217" t="s">
        <v>8318</v>
      </c>
      <c r="G61" s="217">
        <v>0</v>
      </c>
      <c r="H61" s="217" t="s">
        <v>8328</v>
      </c>
      <c r="I61" s="217" t="s">
        <v>8320</v>
      </c>
      <c r="J61" s="217">
        <v>3</v>
      </c>
      <c r="K61" s="263">
        <v>45044</v>
      </c>
      <c r="L61" s="217" t="s">
        <v>8398</v>
      </c>
      <c r="M61" s="332">
        <v>0</v>
      </c>
      <c r="N61" s="217" t="s">
        <v>8259</v>
      </c>
      <c r="O61" s="217" t="s">
        <v>8250</v>
      </c>
    </row>
    <row r="62" spans="1:15" s="11" customFormat="1" ht="25.5">
      <c r="A62" s="209">
        <f t="shared" si="1"/>
        <v>60</v>
      </c>
      <c r="B62" s="66" t="s">
        <v>8243</v>
      </c>
      <c r="C62" s="209">
        <v>5124913</v>
      </c>
      <c r="D62" s="295" t="s">
        <v>8399</v>
      </c>
      <c r="E62" s="217" t="s">
        <v>736</v>
      </c>
      <c r="F62" s="217" t="s">
        <v>8318</v>
      </c>
      <c r="G62" s="217">
        <v>0</v>
      </c>
      <c r="H62" s="217" t="s">
        <v>8328</v>
      </c>
      <c r="I62" s="217" t="s">
        <v>8320</v>
      </c>
      <c r="J62" s="217">
        <v>3</v>
      </c>
      <c r="K62" s="263">
        <v>45044</v>
      </c>
      <c r="L62" s="217">
        <v>2</v>
      </c>
      <c r="M62" s="332">
        <v>0</v>
      </c>
      <c r="N62" s="217" t="s">
        <v>8259</v>
      </c>
      <c r="O62" s="217" t="s">
        <v>8250</v>
      </c>
    </row>
    <row r="63" spans="1:15" s="11" customFormat="1" ht="25.5">
      <c r="A63" s="209">
        <f t="shared" si="1"/>
        <v>61</v>
      </c>
      <c r="B63" s="66" t="s">
        <v>8243</v>
      </c>
      <c r="C63" s="209">
        <v>5124913</v>
      </c>
      <c r="D63" s="295" t="s">
        <v>8400</v>
      </c>
      <c r="E63" s="217" t="s">
        <v>737</v>
      </c>
      <c r="F63" s="217" t="s">
        <v>8318</v>
      </c>
      <c r="G63" s="217">
        <v>0</v>
      </c>
      <c r="H63" s="217" t="s">
        <v>8328</v>
      </c>
      <c r="I63" s="217" t="s">
        <v>8320</v>
      </c>
      <c r="J63" s="217">
        <v>3</v>
      </c>
      <c r="K63" s="263">
        <v>45044</v>
      </c>
      <c r="L63" s="217">
        <v>1</v>
      </c>
      <c r="M63" s="332">
        <v>0</v>
      </c>
      <c r="N63" s="217" t="s">
        <v>8259</v>
      </c>
      <c r="O63" s="217" t="s">
        <v>8250</v>
      </c>
    </row>
    <row r="64" spans="1:15" s="11" customFormat="1" ht="25.5">
      <c r="A64" s="209">
        <f t="shared" si="1"/>
        <v>62</v>
      </c>
      <c r="B64" s="66" t="s">
        <v>8243</v>
      </c>
      <c r="C64" s="209">
        <v>5124913</v>
      </c>
      <c r="D64" s="295" t="s">
        <v>8401</v>
      </c>
      <c r="E64" s="217" t="s">
        <v>737</v>
      </c>
      <c r="F64" s="217" t="s">
        <v>8318</v>
      </c>
      <c r="G64" s="217">
        <v>0</v>
      </c>
      <c r="H64" s="217" t="s">
        <v>8328</v>
      </c>
      <c r="I64" s="217" t="s">
        <v>8320</v>
      </c>
      <c r="J64" s="217">
        <v>3</v>
      </c>
      <c r="K64" s="263">
        <v>45044</v>
      </c>
      <c r="L64" s="217">
        <v>1</v>
      </c>
      <c r="M64" s="332">
        <v>0</v>
      </c>
      <c r="N64" s="217" t="s">
        <v>8259</v>
      </c>
      <c r="O64" s="217" t="s">
        <v>8250</v>
      </c>
    </row>
    <row r="65" spans="1:15" s="11" customFormat="1" ht="25.5">
      <c r="A65" s="209">
        <f t="shared" si="1"/>
        <v>63</v>
      </c>
      <c r="B65" s="66" t="s">
        <v>8243</v>
      </c>
      <c r="C65" s="298">
        <v>5124913</v>
      </c>
      <c r="D65" s="337" t="s">
        <v>8402</v>
      </c>
      <c r="E65" s="338" t="s">
        <v>736</v>
      </c>
      <c r="F65" s="338" t="s">
        <v>8318</v>
      </c>
      <c r="G65" s="338">
        <v>0</v>
      </c>
      <c r="H65" s="338" t="s">
        <v>3446</v>
      </c>
      <c r="I65" s="338" t="s">
        <v>8320</v>
      </c>
      <c r="J65" s="338">
        <v>4</v>
      </c>
      <c r="K65" s="339">
        <v>45238</v>
      </c>
      <c r="L65" s="338" t="s">
        <v>8396</v>
      </c>
      <c r="M65" s="340">
        <v>0</v>
      </c>
      <c r="N65" s="338" t="s">
        <v>8259</v>
      </c>
      <c r="O65" s="338" t="s">
        <v>8250</v>
      </c>
    </row>
    <row r="66" spans="1:15">
      <c r="A66" s="209">
        <f t="shared" si="1"/>
        <v>64</v>
      </c>
      <c r="B66" s="448" t="s">
        <v>121</v>
      </c>
      <c r="C66" s="22" t="s">
        <v>382</v>
      </c>
      <c r="D66" s="22" t="s">
        <v>382</v>
      </c>
      <c r="E66" s="22" t="s">
        <v>382</v>
      </c>
      <c r="F66" s="22" t="s">
        <v>382</v>
      </c>
      <c r="G66" s="22" t="s">
        <v>382</v>
      </c>
      <c r="H66" s="22" t="s">
        <v>382</v>
      </c>
      <c r="I66" s="22" t="s">
        <v>382</v>
      </c>
      <c r="J66" s="22" t="s">
        <v>382</v>
      </c>
      <c r="K66" s="22" t="s">
        <v>382</v>
      </c>
      <c r="L66" s="22" t="s">
        <v>382</v>
      </c>
      <c r="M66" s="22" t="s">
        <v>382</v>
      </c>
      <c r="N66" s="22" t="s">
        <v>382</v>
      </c>
      <c r="O66" s="22" t="s">
        <v>382</v>
      </c>
    </row>
    <row r="67" spans="1:15">
      <c r="A67" s="209">
        <f t="shared" si="1"/>
        <v>65</v>
      </c>
      <c r="B67" s="448" t="s">
        <v>126</v>
      </c>
      <c r="C67" s="22" t="s">
        <v>382</v>
      </c>
      <c r="D67" s="22" t="s">
        <v>382</v>
      </c>
      <c r="E67" s="22" t="s">
        <v>382</v>
      </c>
      <c r="F67" s="22" t="s">
        <v>382</v>
      </c>
      <c r="G67" s="22" t="s">
        <v>382</v>
      </c>
      <c r="H67" s="22" t="s">
        <v>382</v>
      </c>
      <c r="I67" s="22" t="s">
        <v>382</v>
      </c>
      <c r="J67" s="22" t="s">
        <v>382</v>
      </c>
      <c r="K67" s="22" t="s">
        <v>382</v>
      </c>
      <c r="L67" s="22" t="s">
        <v>382</v>
      </c>
      <c r="M67" s="22" t="s">
        <v>382</v>
      </c>
      <c r="N67" s="22" t="s">
        <v>382</v>
      </c>
      <c r="O67" s="22" t="s">
        <v>382</v>
      </c>
    </row>
    <row r="68" spans="1:15">
      <c r="A68" s="209">
        <f t="shared" si="1"/>
        <v>66</v>
      </c>
      <c r="B68" s="448" t="s">
        <v>131</v>
      </c>
      <c r="C68" s="22" t="s">
        <v>382</v>
      </c>
      <c r="D68" s="22" t="s">
        <v>382</v>
      </c>
      <c r="E68" s="22" t="s">
        <v>382</v>
      </c>
      <c r="F68" s="22" t="s">
        <v>382</v>
      </c>
      <c r="G68" s="22" t="s">
        <v>382</v>
      </c>
      <c r="H68" s="22" t="s">
        <v>382</v>
      </c>
      <c r="I68" s="22" t="s">
        <v>382</v>
      </c>
      <c r="J68" s="22" t="s">
        <v>382</v>
      </c>
      <c r="K68" s="22" t="s">
        <v>382</v>
      </c>
      <c r="L68" s="22" t="s">
        <v>382</v>
      </c>
      <c r="M68" s="22" t="s">
        <v>382</v>
      </c>
      <c r="N68" s="22" t="s">
        <v>382</v>
      </c>
      <c r="O68" s="22" t="s">
        <v>382</v>
      </c>
    </row>
    <row r="69" spans="1:15" ht="25.5">
      <c r="A69" s="209">
        <f t="shared" si="1"/>
        <v>67</v>
      </c>
      <c r="B69" s="448" t="s">
        <v>133</v>
      </c>
      <c r="C69" s="22" t="s">
        <v>382</v>
      </c>
      <c r="D69" s="22" t="s">
        <v>382</v>
      </c>
      <c r="E69" s="22" t="s">
        <v>382</v>
      </c>
      <c r="F69" s="22" t="s">
        <v>382</v>
      </c>
      <c r="G69" s="22" t="s">
        <v>382</v>
      </c>
      <c r="H69" s="22" t="s">
        <v>382</v>
      </c>
      <c r="I69" s="22" t="s">
        <v>382</v>
      </c>
      <c r="J69" s="22" t="s">
        <v>382</v>
      </c>
      <c r="K69" s="22" t="s">
        <v>382</v>
      </c>
      <c r="L69" s="22" t="s">
        <v>382</v>
      </c>
      <c r="M69" s="22" t="s">
        <v>382</v>
      </c>
      <c r="N69" s="22" t="s">
        <v>382</v>
      </c>
      <c r="O69" s="22" t="s">
        <v>382</v>
      </c>
    </row>
    <row r="70" spans="1:15">
      <c r="A70" s="209">
        <f t="shared" si="1"/>
        <v>68</v>
      </c>
      <c r="B70" s="448" t="s">
        <v>136</v>
      </c>
      <c r="C70" s="22" t="s">
        <v>382</v>
      </c>
      <c r="D70" s="22" t="s">
        <v>382</v>
      </c>
      <c r="E70" s="22" t="s">
        <v>382</v>
      </c>
      <c r="F70" s="22" t="s">
        <v>382</v>
      </c>
      <c r="G70" s="22" t="s">
        <v>382</v>
      </c>
      <c r="H70" s="22" t="s">
        <v>382</v>
      </c>
      <c r="I70" s="22" t="s">
        <v>382</v>
      </c>
      <c r="J70" s="22" t="s">
        <v>382</v>
      </c>
      <c r="K70" s="22" t="s">
        <v>382</v>
      </c>
      <c r="L70" s="22" t="s">
        <v>382</v>
      </c>
      <c r="M70" s="22" t="s">
        <v>382</v>
      </c>
      <c r="N70" s="22" t="s">
        <v>382</v>
      </c>
      <c r="O70" s="22" t="s">
        <v>382</v>
      </c>
    </row>
    <row r="71" spans="1:15" ht="25.5">
      <c r="A71" s="209">
        <f t="shared" si="1"/>
        <v>69</v>
      </c>
      <c r="B71" s="448" t="s">
        <v>140</v>
      </c>
      <c r="C71" s="22" t="s">
        <v>382</v>
      </c>
      <c r="D71" s="22" t="s">
        <v>382</v>
      </c>
      <c r="E71" s="22" t="s">
        <v>382</v>
      </c>
      <c r="F71" s="22" t="s">
        <v>382</v>
      </c>
      <c r="G71" s="22" t="s">
        <v>382</v>
      </c>
      <c r="H71" s="22" t="s">
        <v>382</v>
      </c>
      <c r="I71" s="22" t="s">
        <v>382</v>
      </c>
      <c r="J71" s="22" t="s">
        <v>382</v>
      </c>
      <c r="K71" s="22" t="s">
        <v>382</v>
      </c>
      <c r="L71" s="22" t="s">
        <v>382</v>
      </c>
      <c r="M71" s="22" t="s">
        <v>382</v>
      </c>
      <c r="N71" s="22" t="s">
        <v>382</v>
      </c>
      <c r="O71" s="22" t="s">
        <v>382</v>
      </c>
    </row>
    <row r="72" spans="1:15">
      <c r="A72" s="209">
        <f t="shared" si="1"/>
        <v>70</v>
      </c>
      <c r="B72" s="448" t="s">
        <v>143</v>
      </c>
      <c r="C72" s="22" t="s">
        <v>382</v>
      </c>
      <c r="D72" s="22" t="s">
        <v>382</v>
      </c>
      <c r="E72" s="22" t="s">
        <v>382</v>
      </c>
      <c r="F72" s="22" t="s">
        <v>382</v>
      </c>
      <c r="G72" s="22" t="s">
        <v>382</v>
      </c>
      <c r="H72" s="22" t="s">
        <v>382</v>
      </c>
      <c r="I72" s="22" t="s">
        <v>382</v>
      </c>
      <c r="J72" s="22" t="s">
        <v>382</v>
      </c>
      <c r="K72" s="22" t="s">
        <v>382</v>
      </c>
      <c r="L72" s="22" t="s">
        <v>382</v>
      </c>
      <c r="M72" s="22" t="s">
        <v>382</v>
      </c>
      <c r="N72" s="22" t="s">
        <v>382</v>
      </c>
      <c r="O72" s="22" t="s">
        <v>382</v>
      </c>
    </row>
    <row r="73" spans="1:15">
      <c r="A73" s="209">
        <f t="shared" si="1"/>
        <v>71</v>
      </c>
      <c r="B73" s="448" t="s">
        <v>144</v>
      </c>
      <c r="C73" s="22" t="s">
        <v>382</v>
      </c>
      <c r="D73" s="22" t="s">
        <v>382</v>
      </c>
      <c r="E73" s="22" t="s">
        <v>382</v>
      </c>
      <c r="F73" s="22" t="s">
        <v>382</v>
      </c>
      <c r="G73" s="22" t="s">
        <v>382</v>
      </c>
      <c r="H73" s="22" t="s">
        <v>382</v>
      </c>
      <c r="I73" s="22" t="s">
        <v>382</v>
      </c>
      <c r="J73" s="22" t="s">
        <v>382</v>
      </c>
      <c r="K73" s="22" t="s">
        <v>382</v>
      </c>
      <c r="L73" s="22" t="s">
        <v>382</v>
      </c>
      <c r="M73" s="22" t="s">
        <v>382</v>
      </c>
      <c r="N73" s="22" t="s">
        <v>382</v>
      </c>
      <c r="O73" s="22" t="s">
        <v>382</v>
      </c>
    </row>
    <row r="74" spans="1:15">
      <c r="A74" s="209">
        <f t="shared" si="1"/>
        <v>72</v>
      </c>
      <c r="B74" s="448" t="s">
        <v>146</v>
      </c>
      <c r="C74" s="22" t="s">
        <v>382</v>
      </c>
      <c r="D74" s="22" t="s">
        <v>382</v>
      </c>
      <c r="E74" s="22" t="s">
        <v>382</v>
      </c>
      <c r="F74" s="22" t="s">
        <v>382</v>
      </c>
      <c r="G74" s="22" t="s">
        <v>382</v>
      </c>
      <c r="H74" s="22" t="s">
        <v>382</v>
      </c>
      <c r="I74" s="22" t="s">
        <v>382</v>
      </c>
      <c r="J74" s="22" t="s">
        <v>382</v>
      </c>
      <c r="K74" s="22" t="s">
        <v>382</v>
      </c>
      <c r="L74" s="22" t="s">
        <v>382</v>
      </c>
      <c r="M74" s="22" t="s">
        <v>382</v>
      </c>
      <c r="N74" s="22" t="s">
        <v>382</v>
      </c>
      <c r="O74" s="22" t="s">
        <v>382</v>
      </c>
    </row>
    <row r="75" spans="1:15">
      <c r="A75" s="209">
        <f t="shared" si="1"/>
        <v>73</v>
      </c>
      <c r="B75" s="448" t="s">
        <v>629</v>
      </c>
      <c r="C75" s="22" t="s">
        <v>382</v>
      </c>
      <c r="D75" s="22" t="s">
        <v>382</v>
      </c>
      <c r="E75" s="22" t="s">
        <v>382</v>
      </c>
      <c r="F75" s="22" t="s">
        <v>382</v>
      </c>
      <c r="G75" s="22" t="s">
        <v>382</v>
      </c>
      <c r="H75" s="22" t="s">
        <v>382</v>
      </c>
      <c r="I75" s="22" t="s">
        <v>382</v>
      </c>
      <c r="J75" s="22" t="s">
        <v>382</v>
      </c>
      <c r="K75" s="22" t="s">
        <v>382</v>
      </c>
      <c r="L75" s="22" t="s">
        <v>382</v>
      </c>
      <c r="M75" s="22" t="s">
        <v>382</v>
      </c>
      <c r="N75" s="22" t="s">
        <v>382</v>
      </c>
      <c r="O75" s="22" t="s">
        <v>382</v>
      </c>
    </row>
    <row r="76" spans="1:15" ht="25.5">
      <c r="A76" s="209">
        <f t="shared" si="1"/>
        <v>74</v>
      </c>
      <c r="B76" s="448" t="s">
        <v>159</v>
      </c>
      <c r="C76" s="22" t="s">
        <v>382</v>
      </c>
      <c r="D76" s="22" t="s">
        <v>382</v>
      </c>
      <c r="E76" s="22" t="s">
        <v>382</v>
      </c>
      <c r="F76" s="22" t="s">
        <v>382</v>
      </c>
      <c r="G76" s="22" t="s">
        <v>382</v>
      </c>
      <c r="H76" s="22" t="s">
        <v>382</v>
      </c>
      <c r="I76" s="22" t="s">
        <v>382</v>
      </c>
      <c r="J76" s="22" t="s">
        <v>382</v>
      </c>
      <c r="K76" s="22" t="s">
        <v>382</v>
      </c>
      <c r="L76" s="22" t="s">
        <v>382</v>
      </c>
      <c r="M76" s="22" t="s">
        <v>382</v>
      </c>
      <c r="N76" s="22" t="s">
        <v>382</v>
      </c>
      <c r="O76" s="22" t="s">
        <v>382</v>
      </c>
    </row>
    <row r="77" spans="1:15">
      <c r="A77" s="209">
        <f t="shared" ref="A77:A108" si="2">SUM(A76+1)</f>
        <v>75</v>
      </c>
      <c r="B77" s="448" t="s">
        <v>161</v>
      </c>
      <c r="C77" s="22" t="s">
        <v>382</v>
      </c>
      <c r="D77" s="22" t="s">
        <v>382</v>
      </c>
      <c r="E77" s="22" t="s">
        <v>382</v>
      </c>
      <c r="F77" s="22" t="s">
        <v>382</v>
      </c>
      <c r="G77" s="22" t="s">
        <v>382</v>
      </c>
      <c r="H77" s="22" t="s">
        <v>382</v>
      </c>
      <c r="I77" s="22" t="s">
        <v>382</v>
      </c>
      <c r="J77" s="22" t="s">
        <v>382</v>
      </c>
      <c r="K77" s="22" t="s">
        <v>382</v>
      </c>
      <c r="L77" s="22" t="s">
        <v>382</v>
      </c>
      <c r="M77" s="22" t="s">
        <v>382</v>
      </c>
      <c r="N77" s="22" t="s">
        <v>382</v>
      </c>
      <c r="O77" s="22" t="s">
        <v>382</v>
      </c>
    </row>
    <row r="78" spans="1:15">
      <c r="A78" s="209">
        <f t="shared" si="2"/>
        <v>76</v>
      </c>
      <c r="B78" s="448" t="s">
        <v>165</v>
      </c>
      <c r="C78" s="22" t="s">
        <v>382</v>
      </c>
      <c r="D78" s="22" t="s">
        <v>382</v>
      </c>
      <c r="E78" s="22" t="s">
        <v>382</v>
      </c>
      <c r="F78" s="22" t="s">
        <v>382</v>
      </c>
      <c r="G78" s="22" t="s">
        <v>382</v>
      </c>
      <c r="H78" s="22" t="s">
        <v>382</v>
      </c>
      <c r="I78" s="22" t="s">
        <v>382</v>
      </c>
      <c r="J78" s="22" t="s">
        <v>382</v>
      </c>
      <c r="K78" s="22" t="s">
        <v>382</v>
      </c>
      <c r="L78" s="22" t="s">
        <v>382</v>
      </c>
      <c r="M78" s="22" t="s">
        <v>382</v>
      </c>
      <c r="N78" s="22" t="s">
        <v>382</v>
      </c>
      <c r="O78" s="22" t="s">
        <v>382</v>
      </c>
    </row>
    <row r="79" spans="1:15" ht="25.5">
      <c r="A79" s="209">
        <f t="shared" si="2"/>
        <v>77</v>
      </c>
      <c r="B79" s="448" t="s">
        <v>168</v>
      </c>
      <c r="C79" s="22" t="s">
        <v>382</v>
      </c>
      <c r="D79" s="22" t="s">
        <v>382</v>
      </c>
      <c r="E79" s="22" t="s">
        <v>382</v>
      </c>
      <c r="F79" s="22" t="s">
        <v>382</v>
      </c>
      <c r="G79" s="22" t="s">
        <v>382</v>
      </c>
      <c r="H79" s="22" t="s">
        <v>382</v>
      </c>
      <c r="I79" s="22" t="s">
        <v>382</v>
      </c>
      <c r="J79" s="22" t="s">
        <v>382</v>
      </c>
      <c r="K79" s="22" t="s">
        <v>382</v>
      </c>
      <c r="L79" s="22" t="s">
        <v>382</v>
      </c>
      <c r="M79" s="22" t="s">
        <v>382</v>
      </c>
      <c r="N79" s="22" t="s">
        <v>382</v>
      </c>
      <c r="O79" s="22" t="s">
        <v>382</v>
      </c>
    </row>
    <row r="80" spans="1:15">
      <c r="A80" s="209">
        <f t="shared" si="2"/>
        <v>78</v>
      </c>
      <c r="B80" s="448" t="s">
        <v>169</v>
      </c>
      <c r="C80" s="22" t="s">
        <v>382</v>
      </c>
      <c r="D80" s="22" t="s">
        <v>382</v>
      </c>
      <c r="E80" s="22" t="s">
        <v>382</v>
      </c>
      <c r="F80" s="22" t="s">
        <v>382</v>
      </c>
      <c r="G80" s="22" t="s">
        <v>382</v>
      </c>
      <c r="H80" s="22" t="s">
        <v>382</v>
      </c>
      <c r="I80" s="22" t="s">
        <v>382</v>
      </c>
      <c r="J80" s="22" t="s">
        <v>382</v>
      </c>
      <c r="K80" s="22" t="s">
        <v>382</v>
      </c>
      <c r="L80" s="22" t="s">
        <v>382</v>
      </c>
      <c r="M80" s="22" t="s">
        <v>382</v>
      </c>
      <c r="N80" s="22" t="s">
        <v>382</v>
      </c>
      <c r="O80" s="22" t="s">
        <v>382</v>
      </c>
    </row>
    <row r="81" spans="1:15" ht="25.5">
      <c r="A81" s="209">
        <f t="shared" si="2"/>
        <v>79</v>
      </c>
      <c r="B81" s="448" t="s">
        <v>173</v>
      </c>
      <c r="C81" s="22" t="s">
        <v>382</v>
      </c>
      <c r="D81" s="22" t="s">
        <v>382</v>
      </c>
      <c r="E81" s="22" t="s">
        <v>382</v>
      </c>
      <c r="F81" s="22" t="s">
        <v>382</v>
      </c>
      <c r="G81" s="22" t="s">
        <v>382</v>
      </c>
      <c r="H81" s="22" t="s">
        <v>382</v>
      </c>
      <c r="I81" s="22" t="s">
        <v>382</v>
      </c>
      <c r="J81" s="22" t="s">
        <v>382</v>
      </c>
      <c r="K81" s="22" t="s">
        <v>382</v>
      </c>
      <c r="L81" s="22" t="s">
        <v>382</v>
      </c>
      <c r="M81" s="22" t="s">
        <v>382</v>
      </c>
      <c r="N81" s="22" t="s">
        <v>382</v>
      </c>
      <c r="O81" s="22" t="s">
        <v>382</v>
      </c>
    </row>
    <row r="82" spans="1:15">
      <c r="A82" s="209">
        <f t="shared" si="2"/>
        <v>80</v>
      </c>
      <c r="B82" s="448" t="s">
        <v>174</v>
      </c>
      <c r="C82" s="22" t="s">
        <v>382</v>
      </c>
      <c r="D82" s="22" t="s">
        <v>382</v>
      </c>
      <c r="E82" s="22" t="s">
        <v>382</v>
      </c>
      <c r="F82" s="22" t="s">
        <v>382</v>
      </c>
      <c r="G82" s="22" t="s">
        <v>382</v>
      </c>
      <c r="H82" s="22" t="s">
        <v>382</v>
      </c>
      <c r="I82" s="22" t="s">
        <v>382</v>
      </c>
      <c r="J82" s="22" t="s">
        <v>382</v>
      </c>
      <c r="K82" s="22" t="s">
        <v>382</v>
      </c>
      <c r="L82" s="22" t="s">
        <v>382</v>
      </c>
      <c r="M82" s="22" t="s">
        <v>382</v>
      </c>
      <c r="N82" s="22" t="s">
        <v>382</v>
      </c>
      <c r="O82" s="22" t="s">
        <v>382</v>
      </c>
    </row>
    <row r="83" spans="1:15">
      <c r="A83" s="209">
        <f t="shared" si="2"/>
        <v>81</v>
      </c>
      <c r="B83" s="448" t="s">
        <v>175</v>
      </c>
      <c r="C83" s="22" t="s">
        <v>382</v>
      </c>
      <c r="D83" s="22" t="s">
        <v>382</v>
      </c>
      <c r="E83" s="22" t="s">
        <v>382</v>
      </c>
      <c r="F83" s="22" t="s">
        <v>382</v>
      </c>
      <c r="G83" s="22" t="s">
        <v>382</v>
      </c>
      <c r="H83" s="22" t="s">
        <v>382</v>
      </c>
      <c r="I83" s="22" t="s">
        <v>382</v>
      </c>
      <c r="J83" s="22" t="s">
        <v>382</v>
      </c>
      <c r="K83" s="22" t="s">
        <v>382</v>
      </c>
      <c r="L83" s="22" t="s">
        <v>382</v>
      </c>
      <c r="M83" s="22" t="s">
        <v>382</v>
      </c>
      <c r="N83" s="22" t="s">
        <v>382</v>
      </c>
      <c r="O83" s="22" t="s">
        <v>382</v>
      </c>
    </row>
    <row r="84" spans="1:15">
      <c r="A84" s="209">
        <f t="shared" si="2"/>
        <v>82</v>
      </c>
      <c r="B84" s="448" t="s">
        <v>176</v>
      </c>
      <c r="C84" s="22" t="s">
        <v>382</v>
      </c>
      <c r="D84" s="22" t="s">
        <v>382</v>
      </c>
      <c r="E84" s="22" t="s">
        <v>382</v>
      </c>
      <c r="F84" s="22" t="s">
        <v>382</v>
      </c>
      <c r="G84" s="22" t="s">
        <v>382</v>
      </c>
      <c r="H84" s="22" t="s">
        <v>382</v>
      </c>
      <c r="I84" s="22" t="s">
        <v>382</v>
      </c>
      <c r="J84" s="22" t="s">
        <v>382</v>
      </c>
      <c r="K84" s="22" t="s">
        <v>382</v>
      </c>
      <c r="L84" s="22" t="s">
        <v>382</v>
      </c>
      <c r="M84" s="22" t="s">
        <v>382</v>
      </c>
      <c r="N84" s="22" t="s">
        <v>382</v>
      </c>
      <c r="O84" s="22" t="s">
        <v>382</v>
      </c>
    </row>
    <row r="85" spans="1:15" ht="25.5">
      <c r="A85" s="209">
        <f t="shared" si="2"/>
        <v>83</v>
      </c>
      <c r="B85" s="448" t="s">
        <v>177</v>
      </c>
      <c r="C85" s="22" t="s">
        <v>382</v>
      </c>
      <c r="D85" s="22" t="s">
        <v>382</v>
      </c>
      <c r="E85" s="22" t="s">
        <v>382</v>
      </c>
      <c r="F85" s="22" t="s">
        <v>382</v>
      </c>
      <c r="G85" s="22" t="s">
        <v>382</v>
      </c>
      <c r="H85" s="22" t="s">
        <v>382</v>
      </c>
      <c r="I85" s="22" t="s">
        <v>382</v>
      </c>
      <c r="J85" s="22" t="s">
        <v>382</v>
      </c>
      <c r="K85" s="22" t="s">
        <v>382</v>
      </c>
      <c r="L85" s="22" t="s">
        <v>382</v>
      </c>
      <c r="M85" s="22" t="s">
        <v>382</v>
      </c>
      <c r="N85" s="22" t="s">
        <v>382</v>
      </c>
      <c r="O85" s="22" t="s">
        <v>382</v>
      </c>
    </row>
    <row r="86" spans="1:15">
      <c r="A86" s="209">
        <f t="shared" si="2"/>
        <v>84</v>
      </c>
      <c r="B86" s="448" t="s">
        <v>178</v>
      </c>
      <c r="C86" s="22" t="s">
        <v>382</v>
      </c>
      <c r="D86" s="22" t="s">
        <v>382</v>
      </c>
      <c r="E86" s="22" t="s">
        <v>382</v>
      </c>
      <c r="F86" s="22" t="s">
        <v>382</v>
      </c>
      <c r="G86" s="22" t="s">
        <v>382</v>
      </c>
      <c r="H86" s="22" t="s">
        <v>382</v>
      </c>
      <c r="I86" s="22" t="s">
        <v>382</v>
      </c>
      <c r="J86" s="22" t="s">
        <v>382</v>
      </c>
      <c r="K86" s="22" t="s">
        <v>382</v>
      </c>
      <c r="L86" s="22" t="s">
        <v>382</v>
      </c>
      <c r="M86" s="22" t="s">
        <v>382</v>
      </c>
      <c r="N86" s="22" t="s">
        <v>382</v>
      </c>
      <c r="O86" s="22" t="s">
        <v>382</v>
      </c>
    </row>
    <row r="87" spans="1:15" ht="25.5">
      <c r="A87" s="209">
        <f t="shared" si="2"/>
        <v>85</v>
      </c>
      <c r="B87" s="448" t="s">
        <v>179</v>
      </c>
      <c r="C87" s="22" t="s">
        <v>382</v>
      </c>
      <c r="D87" s="22" t="s">
        <v>382</v>
      </c>
      <c r="E87" s="22" t="s">
        <v>382</v>
      </c>
      <c r="F87" s="22" t="s">
        <v>382</v>
      </c>
      <c r="G87" s="22" t="s">
        <v>382</v>
      </c>
      <c r="H87" s="22" t="s">
        <v>382</v>
      </c>
      <c r="I87" s="22" t="s">
        <v>382</v>
      </c>
      <c r="J87" s="22" t="s">
        <v>382</v>
      </c>
      <c r="K87" s="22" t="s">
        <v>382</v>
      </c>
      <c r="L87" s="22" t="s">
        <v>382</v>
      </c>
      <c r="M87" s="22" t="s">
        <v>382</v>
      </c>
      <c r="N87" s="22" t="s">
        <v>382</v>
      </c>
      <c r="O87" s="22" t="s">
        <v>382</v>
      </c>
    </row>
    <row r="88" spans="1:15">
      <c r="A88" s="209">
        <f t="shared" si="2"/>
        <v>86</v>
      </c>
      <c r="B88" s="448" t="s">
        <v>183</v>
      </c>
      <c r="C88" s="22" t="s">
        <v>382</v>
      </c>
      <c r="D88" s="22" t="s">
        <v>382</v>
      </c>
      <c r="E88" s="22" t="s">
        <v>382</v>
      </c>
      <c r="F88" s="22" t="s">
        <v>382</v>
      </c>
      <c r="G88" s="22" t="s">
        <v>382</v>
      </c>
      <c r="H88" s="22" t="s">
        <v>382</v>
      </c>
      <c r="I88" s="22" t="s">
        <v>382</v>
      </c>
      <c r="J88" s="22" t="s">
        <v>382</v>
      </c>
      <c r="K88" s="22" t="s">
        <v>382</v>
      </c>
      <c r="L88" s="22" t="s">
        <v>382</v>
      </c>
      <c r="M88" s="22" t="s">
        <v>382</v>
      </c>
      <c r="N88" s="22" t="s">
        <v>382</v>
      </c>
      <c r="O88" s="22" t="s">
        <v>382</v>
      </c>
    </row>
    <row r="89" spans="1:15" ht="25.5">
      <c r="A89" s="209">
        <f t="shared" si="2"/>
        <v>87</v>
      </c>
      <c r="B89" s="448" t="s">
        <v>185</v>
      </c>
      <c r="C89" s="22" t="s">
        <v>382</v>
      </c>
      <c r="D89" s="22" t="s">
        <v>382</v>
      </c>
      <c r="E89" s="22" t="s">
        <v>382</v>
      </c>
      <c r="F89" s="22" t="s">
        <v>382</v>
      </c>
      <c r="G89" s="22" t="s">
        <v>382</v>
      </c>
      <c r="H89" s="22" t="s">
        <v>382</v>
      </c>
      <c r="I89" s="22" t="s">
        <v>382</v>
      </c>
      <c r="J89" s="22" t="s">
        <v>382</v>
      </c>
      <c r="K89" s="22" t="s">
        <v>382</v>
      </c>
      <c r="L89" s="22" t="s">
        <v>382</v>
      </c>
      <c r="M89" s="22" t="s">
        <v>382</v>
      </c>
      <c r="N89" s="22" t="s">
        <v>382</v>
      </c>
      <c r="O89" s="22" t="s">
        <v>382</v>
      </c>
    </row>
    <row r="90" spans="1:15" ht="25.5">
      <c r="A90" s="209">
        <f t="shared" si="2"/>
        <v>88</v>
      </c>
      <c r="B90" s="448" t="s">
        <v>187</v>
      </c>
      <c r="C90" s="22" t="s">
        <v>382</v>
      </c>
      <c r="D90" s="22" t="s">
        <v>382</v>
      </c>
      <c r="E90" s="22" t="s">
        <v>382</v>
      </c>
      <c r="F90" s="22" t="s">
        <v>382</v>
      </c>
      <c r="G90" s="22" t="s">
        <v>382</v>
      </c>
      <c r="H90" s="22" t="s">
        <v>382</v>
      </c>
      <c r="I90" s="22" t="s">
        <v>382</v>
      </c>
      <c r="J90" s="22" t="s">
        <v>382</v>
      </c>
      <c r="K90" s="22" t="s">
        <v>382</v>
      </c>
      <c r="L90" s="22" t="s">
        <v>382</v>
      </c>
      <c r="M90" s="22" t="s">
        <v>382</v>
      </c>
      <c r="N90" s="22" t="s">
        <v>382</v>
      </c>
      <c r="O90" s="22" t="s">
        <v>382</v>
      </c>
    </row>
    <row r="91" spans="1:15">
      <c r="A91" s="209">
        <f t="shared" si="2"/>
        <v>89</v>
      </c>
      <c r="B91" s="448" t="s">
        <v>188</v>
      </c>
      <c r="C91" s="22" t="s">
        <v>382</v>
      </c>
      <c r="D91" s="22" t="s">
        <v>382</v>
      </c>
      <c r="E91" s="22" t="s">
        <v>382</v>
      </c>
      <c r="F91" s="22" t="s">
        <v>382</v>
      </c>
      <c r="G91" s="22" t="s">
        <v>382</v>
      </c>
      <c r="H91" s="22" t="s">
        <v>382</v>
      </c>
      <c r="I91" s="22" t="s">
        <v>382</v>
      </c>
      <c r="J91" s="22" t="s">
        <v>382</v>
      </c>
      <c r="K91" s="22" t="s">
        <v>382</v>
      </c>
      <c r="L91" s="22" t="s">
        <v>382</v>
      </c>
      <c r="M91" s="22" t="s">
        <v>382</v>
      </c>
      <c r="N91" s="22" t="s">
        <v>382</v>
      </c>
      <c r="O91" s="22" t="s">
        <v>382</v>
      </c>
    </row>
    <row r="92" spans="1:15">
      <c r="A92" s="209">
        <f t="shared" si="2"/>
        <v>90</v>
      </c>
      <c r="B92" s="448" t="s">
        <v>189</v>
      </c>
      <c r="C92" s="22" t="s">
        <v>382</v>
      </c>
      <c r="D92" s="22" t="s">
        <v>382</v>
      </c>
      <c r="E92" s="22" t="s">
        <v>382</v>
      </c>
      <c r="F92" s="22" t="s">
        <v>382</v>
      </c>
      <c r="G92" s="22" t="s">
        <v>382</v>
      </c>
      <c r="H92" s="22" t="s">
        <v>382</v>
      </c>
      <c r="I92" s="22" t="s">
        <v>382</v>
      </c>
      <c r="J92" s="22" t="s">
        <v>382</v>
      </c>
      <c r="K92" s="22" t="s">
        <v>382</v>
      </c>
      <c r="L92" s="22" t="s">
        <v>382</v>
      </c>
      <c r="M92" s="22" t="s">
        <v>382</v>
      </c>
      <c r="N92" s="22" t="s">
        <v>382</v>
      </c>
      <c r="O92" s="22" t="s">
        <v>382</v>
      </c>
    </row>
    <row r="93" spans="1:15">
      <c r="A93" s="209">
        <f t="shared" si="2"/>
        <v>91</v>
      </c>
      <c r="B93" s="448" t="s">
        <v>193</v>
      </c>
      <c r="C93" s="22" t="s">
        <v>382</v>
      </c>
      <c r="D93" s="22" t="s">
        <v>382</v>
      </c>
      <c r="E93" s="22" t="s">
        <v>382</v>
      </c>
      <c r="F93" s="22" t="s">
        <v>382</v>
      </c>
      <c r="G93" s="22" t="s">
        <v>382</v>
      </c>
      <c r="H93" s="22" t="s">
        <v>382</v>
      </c>
      <c r="I93" s="22" t="s">
        <v>382</v>
      </c>
      <c r="J93" s="22" t="s">
        <v>382</v>
      </c>
      <c r="K93" s="22" t="s">
        <v>382</v>
      </c>
      <c r="L93" s="22" t="s">
        <v>382</v>
      </c>
      <c r="M93" s="22" t="s">
        <v>382</v>
      </c>
      <c r="N93" s="22" t="s">
        <v>382</v>
      </c>
      <c r="O93" s="22" t="s">
        <v>382</v>
      </c>
    </row>
    <row r="94" spans="1:15">
      <c r="A94" s="209">
        <f t="shared" si="2"/>
        <v>92</v>
      </c>
      <c r="B94" s="448" t="s">
        <v>194</v>
      </c>
      <c r="C94" s="22" t="s">
        <v>382</v>
      </c>
      <c r="D94" s="22" t="s">
        <v>382</v>
      </c>
      <c r="E94" s="22" t="s">
        <v>382</v>
      </c>
      <c r="F94" s="22" t="s">
        <v>382</v>
      </c>
      <c r="G94" s="22" t="s">
        <v>382</v>
      </c>
      <c r="H94" s="22" t="s">
        <v>382</v>
      </c>
      <c r="I94" s="22" t="s">
        <v>382</v>
      </c>
      <c r="J94" s="22" t="s">
        <v>382</v>
      </c>
      <c r="K94" s="22" t="s">
        <v>382</v>
      </c>
      <c r="L94" s="22" t="s">
        <v>382</v>
      </c>
      <c r="M94" s="22" t="s">
        <v>382</v>
      </c>
      <c r="N94" s="22" t="s">
        <v>382</v>
      </c>
      <c r="O94" s="22" t="s">
        <v>382</v>
      </c>
    </row>
    <row r="95" spans="1:15">
      <c r="A95" s="209">
        <f t="shared" si="2"/>
        <v>93</v>
      </c>
      <c r="B95" s="448" t="s">
        <v>196</v>
      </c>
      <c r="C95" s="22" t="s">
        <v>382</v>
      </c>
      <c r="D95" s="22" t="s">
        <v>382</v>
      </c>
      <c r="E95" s="22" t="s">
        <v>382</v>
      </c>
      <c r="F95" s="22" t="s">
        <v>382</v>
      </c>
      <c r="G95" s="22" t="s">
        <v>382</v>
      </c>
      <c r="H95" s="22" t="s">
        <v>382</v>
      </c>
      <c r="I95" s="22" t="s">
        <v>382</v>
      </c>
      <c r="J95" s="22" t="s">
        <v>382</v>
      </c>
      <c r="K95" s="22" t="s">
        <v>382</v>
      </c>
      <c r="L95" s="22" t="s">
        <v>382</v>
      </c>
      <c r="M95" s="22" t="s">
        <v>382</v>
      </c>
      <c r="N95" s="22" t="s">
        <v>382</v>
      </c>
      <c r="O95" s="22" t="s">
        <v>382</v>
      </c>
    </row>
    <row r="96" spans="1:15">
      <c r="A96" s="209">
        <f t="shared" si="2"/>
        <v>94</v>
      </c>
      <c r="B96" s="448" t="s">
        <v>197</v>
      </c>
      <c r="C96" s="22" t="s">
        <v>382</v>
      </c>
      <c r="D96" s="22" t="s">
        <v>382</v>
      </c>
      <c r="E96" s="22" t="s">
        <v>382</v>
      </c>
      <c r="F96" s="22" t="s">
        <v>382</v>
      </c>
      <c r="G96" s="22" t="s">
        <v>382</v>
      </c>
      <c r="H96" s="22" t="s">
        <v>382</v>
      </c>
      <c r="I96" s="22" t="s">
        <v>382</v>
      </c>
      <c r="J96" s="22" t="s">
        <v>382</v>
      </c>
      <c r="K96" s="22" t="s">
        <v>382</v>
      </c>
      <c r="L96" s="22" t="s">
        <v>382</v>
      </c>
      <c r="M96" s="22" t="s">
        <v>382</v>
      </c>
      <c r="N96" s="22" t="s">
        <v>382</v>
      </c>
      <c r="O96" s="22" t="s">
        <v>382</v>
      </c>
    </row>
    <row r="97" spans="1:15">
      <c r="A97" s="209">
        <f t="shared" si="2"/>
        <v>95</v>
      </c>
      <c r="B97" s="448" t="s">
        <v>198</v>
      </c>
      <c r="C97" s="22" t="s">
        <v>382</v>
      </c>
      <c r="D97" s="22" t="s">
        <v>382</v>
      </c>
      <c r="E97" s="22" t="s">
        <v>382</v>
      </c>
      <c r="F97" s="22" t="s">
        <v>382</v>
      </c>
      <c r="G97" s="22" t="s">
        <v>382</v>
      </c>
      <c r="H97" s="22" t="s">
        <v>382</v>
      </c>
      <c r="I97" s="22" t="s">
        <v>382</v>
      </c>
      <c r="J97" s="22" t="s">
        <v>382</v>
      </c>
      <c r="K97" s="22" t="s">
        <v>382</v>
      </c>
      <c r="L97" s="22" t="s">
        <v>382</v>
      </c>
      <c r="M97" s="22" t="s">
        <v>382</v>
      </c>
      <c r="N97" s="22" t="s">
        <v>382</v>
      </c>
      <c r="O97" s="22" t="s">
        <v>382</v>
      </c>
    </row>
    <row r="98" spans="1:15">
      <c r="A98" s="209">
        <f t="shared" si="2"/>
        <v>96</v>
      </c>
      <c r="B98" s="448" t="s">
        <v>199</v>
      </c>
      <c r="C98" s="22" t="s">
        <v>382</v>
      </c>
      <c r="D98" s="22" t="s">
        <v>382</v>
      </c>
      <c r="E98" s="22" t="s">
        <v>382</v>
      </c>
      <c r="F98" s="22" t="s">
        <v>382</v>
      </c>
      <c r="G98" s="22" t="s">
        <v>382</v>
      </c>
      <c r="H98" s="22" t="s">
        <v>382</v>
      </c>
      <c r="I98" s="22" t="s">
        <v>382</v>
      </c>
      <c r="J98" s="22" t="s">
        <v>382</v>
      </c>
      <c r="K98" s="22" t="s">
        <v>382</v>
      </c>
      <c r="L98" s="22" t="s">
        <v>382</v>
      </c>
      <c r="M98" s="22" t="s">
        <v>382</v>
      </c>
      <c r="N98" s="22" t="s">
        <v>382</v>
      </c>
      <c r="O98" s="22" t="s">
        <v>382</v>
      </c>
    </row>
    <row r="99" spans="1:15">
      <c r="A99" s="209">
        <f t="shared" si="2"/>
        <v>97</v>
      </c>
      <c r="B99" s="448" t="s">
        <v>201</v>
      </c>
      <c r="C99" s="22" t="s">
        <v>382</v>
      </c>
      <c r="D99" s="22" t="s">
        <v>382</v>
      </c>
      <c r="E99" s="22" t="s">
        <v>382</v>
      </c>
      <c r="F99" s="22" t="s">
        <v>382</v>
      </c>
      <c r="G99" s="22" t="s">
        <v>382</v>
      </c>
      <c r="H99" s="22" t="s">
        <v>382</v>
      </c>
      <c r="I99" s="22" t="s">
        <v>382</v>
      </c>
      <c r="J99" s="22" t="s">
        <v>382</v>
      </c>
      <c r="K99" s="22" t="s">
        <v>382</v>
      </c>
      <c r="L99" s="22" t="s">
        <v>382</v>
      </c>
      <c r="M99" s="22" t="s">
        <v>382</v>
      </c>
      <c r="N99" s="22" t="s">
        <v>382</v>
      </c>
      <c r="O99" s="22" t="s">
        <v>382</v>
      </c>
    </row>
    <row r="100" spans="1:15">
      <c r="A100" s="209">
        <f t="shared" si="2"/>
        <v>98</v>
      </c>
      <c r="B100" s="448" t="s">
        <v>202</v>
      </c>
      <c r="C100" s="22" t="s">
        <v>382</v>
      </c>
      <c r="D100" s="22" t="s">
        <v>382</v>
      </c>
      <c r="E100" s="22" t="s">
        <v>382</v>
      </c>
      <c r="F100" s="22" t="s">
        <v>382</v>
      </c>
      <c r="G100" s="22" t="s">
        <v>382</v>
      </c>
      <c r="H100" s="22" t="s">
        <v>382</v>
      </c>
      <c r="I100" s="22" t="s">
        <v>382</v>
      </c>
      <c r="J100" s="22" t="s">
        <v>382</v>
      </c>
      <c r="K100" s="22" t="s">
        <v>382</v>
      </c>
      <c r="L100" s="22" t="s">
        <v>382</v>
      </c>
      <c r="M100" s="22" t="s">
        <v>382</v>
      </c>
      <c r="N100" s="22" t="s">
        <v>382</v>
      </c>
      <c r="O100" s="22" t="s">
        <v>382</v>
      </c>
    </row>
    <row r="101" spans="1:15">
      <c r="A101" s="209">
        <f t="shared" si="2"/>
        <v>99</v>
      </c>
      <c r="B101" s="448" t="s">
        <v>203</v>
      </c>
      <c r="C101" s="22" t="s">
        <v>382</v>
      </c>
      <c r="D101" s="22" t="s">
        <v>382</v>
      </c>
      <c r="E101" s="22" t="s">
        <v>382</v>
      </c>
      <c r="F101" s="22" t="s">
        <v>382</v>
      </c>
      <c r="G101" s="22" t="s">
        <v>382</v>
      </c>
      <c r="H101" s="22" t="s">
        <v>382</v>
      </c>
      <c r="I101" s="22" t="s">
        <v>382</v>
      </c>
      <c r="J101" s="22" t="s">
        <v>382</v>
      </c>
      <c r="K101" s="22" t="s">
        <v>382</v>
      </c>
      <c r="L101" s="22" t="s">
        <v>382</v>
      </c>
      <c r="M101" s="22" t="s">
        <v>382</v>
      </c>
      <c r="N101" s="22" t="s">
        <v>382</v>
      </c>
      <c r="O101" s="22" t="s">
        <v>382</v>
      </c>
    </row>
    <row r="102" spans="1:15" ht="25.5">
      <c r="A102" s="209">
        <f t="shared" si="2"/>
        <v>100</v>
      </c>
      <c r="B102" s="449" t="s">
        <v>208</v>
      </c>
      <c r="C102" s="22" t="s">
        <v>382</v>
      </c>
      <c r="D102" s="22" t="s">
        <v>382</v>
      </c>
      <c r="E102" s="22" t="s">
        <v>382</v>
      </c>
      <c r="F102" s="22" t="s">
        <v>382</v>
      </c>
      <c r="G102" s="22" t="s">
        <v>382</v>
      </c>
      <c r="H102" s="22" t="s">
        <v>382</v>
      </c>
      <c r="I102" s="22" t="s">
        <v>382</v>
      </c>
      <c r="J102" s="22" t="s">
        <v>382</v>
      </c>
      <c r="K102" s="22" t="s">
        <v>382</v>
      </c>
      <c r="L102" s="22" t="s">
        <v>382</v>
      </c>
      <c r="M102" s="22" t="s">
        <v>382</v>
      </c>
      <c r="N102" s="22" t="s">
        <v>382</v>
      </c>
      <c r="O102" s="22" t="s">
        <v>382</v>
      </c>
    </row>
    <row r="103" spans="1:15" ht="25.5">
      <c r="A103" s="209">
        <f t="shared" si="2"/>
        <v>101</v>
      </c>
      <c r="B103" s="449" t="s">
        <v>210</v>
      </c>
      <c r="C103" s="22" t="s">
        <v>382</v>
      </c>
      <c r="D103" s="22" t="s">
        <v>382</v>
      </c>
      <c r="E103" s="22" t="s">
        <v>382</v>
      </c>
      <c r="F103" s="22" t="s">
        <v>382</v>
      </c>
      <c r="G103" s="22" t="s">
        <v>382</v>
      </c>
      <c r="H103" s="22" t="s">
        <v>382</v>
      </c>
      <c r="I103" s="22" t="s">
        <v>382</v>
      </c>
      <c r="J103" s="22" t="s">
        <v>382</v>
      </c>
      <c r="K103" s="22" t="s">
        <v>382</v>
      </c>
      <c r="L103" s="22" t="s">
        <v>382</v>
      </c>
      <c r="M103" s="22" t="s">
        <v>382</v>
      </c>
      <c r="N103" s="22" t="s">
        <v>382</v>
      </c>
      <c r="O103" s="22" t="s">
        <v>382</v>
      </c>
    </row>
    <row r="104" spans="1:15">
      <c r="A104" s="209">
        <f t="shared" si="2"/>
        <v>102</v>
      </c>
      <c r="B104" s="449" t="s">
        <v>211</v>
      </c>
      <c r="C104" s="22" t="s">
        <v>382</v>
      </c>
      <c r="D104" s="22" t="s">
        <v>382</v>
      </c>
      <c r="E104" s="22" t="s">
        <v>382</v>
      </c>
      <c r="F104" s="22" t="s">
        <v>382</v>
      </c>
      <c r="G104" s="22" t="s">
        <v>382</v>
      </c>
      <c r="H104" s="22" t="s">
        <v>382</v>
      </c>
      <c r="I104" s="22" t="s">
        <v>382</v>
      </c>
      <c r="J104" s="22" t="s">
        <v>382</v>
      </c>
      <c r="K104" s="22" t="s">
        <v>382</v>
      </c>
      <c r="L104" s="22" t="s">
        <v>382</v>
      </c>
      <c r="M104" s="22" t="s">
        <v>382</v>
      </c>
      <c r="N104" s="22" t="s">
        <v>382</v>
      </c>
      <c r="O104" s="22" t="s">
        <v>382</v>
      </c>
    </row>
    <row r="105" spans="1:15" ht="25.5">
      <c r="A105" s="209">
        <f t="shared" si="2"/>
        <v>103</v>
      </c>
      <c r="B105" s="449" t="s">
        <v>213</v>
      </c>
      <c r="C105" s="22" t="s">
        <v>382</v>
      </c>
      <c r="D105" s="22" t="s">
        <v>382</v>
      </c>
      <c r="E105" s="22" t="s">
        <v>382</v>
      </c>
      <c r="F105" s="22" t="s">
        <v>382</v>
      </c>
      <c r="G105" s="22" t="s">
        <v>382</v>
      </c>
      <c r="H105" s="22" t="s">
        <v>382</v>
      </c>
      <c r="I105" s="22" t="s">
        <v>382</v>
      </c>
      <c r="J105" s="22" t="s">
        <v>382</v>
      </c>
      <c r="K105" s="22" t="s">
        <v>382</v>
      </c>
      <c r="L105" s="22" t="s">
        <v>382</v>
      </c>
      <c r="M105" s="22" t="s">
        <v>382</v>
      </c>
      <c r="N105" s="22" t="s">
        <v>382</v>
      </c>
      <c r="O105" s="22" t="s">
        <v>382</v>
      </c>
    </row>
    <row r="106" spans="1:15" ht="25.5">
      <c r="A106" s="209">
        <f t="shared" si="2"/>
        <v>104</v>
      </c>
      <c r="B106" s="449" t="s">
        <v>214</v>
      </c>
      <c r="C106" s="22" t="s">
        <v>382</v>
      </c>
      <c r="D106" s="22" t="s">
        <v>382</v>
      </c>
      <c r="E106" s="22" t="s">
        <v>382</v>
      </c>
      <c r="F106" s="22" t="s">
        <v>382</v>
      </c>
      <c r="G106" s="22" t="s">
        <v>382</v>
      </c>
      <c r="H106" s="22" t="s">
        <v>382</v>
      </c>
      <c r="I106" s="22" t="s">
        <v>382</v>
      </c>
      <c r="J106" s="22" t="s">
        <v>382</v>
      </c>
      <c r="K106" s="22" t="s">
        <v>382</v>
      </c>
      <c r="L106" s="22" t="s">
        <v>382</v>
      </c>
      <c r="M106" s="22" t="s">
        <v>382</v>
      </c>
      <c r="N106" s="22" t="s">
        <v>382</v>
      </c>
      <c r="O106" s="22" t="s">
        <v>382</v>
      </c>
    </row>
    <row r="107" spans="1:15">
      <c r="A107" s="209">
        <f t="shared" si="2"/>
        <v>105</v>
      </c>
      <c r="B107" s="449" t="s">
        <v>216</v>
      </c>
      <c r="C107" s="22" t="s">
        <v>382</v>
      </c>
      <c r="D107" s="22" t="s">
        <v>382</v>
      </c>
      <c r="E107" s="22" t="s">
        <v>382</v>
      </c>
      <c r="F107" s="22" t="s">
        <v>382</v>
      </c>
      <c r="G107" s="22" t="s">
        <v>382</v>
      </c>
      <c r="H107" s="22" t="s">
        <v>382</v>
      </c>
      <c r="I107" s="22" t="s">
        <v>382</v>
      </c>
      <c r="J107" s="22" t="s">
        <v>382</v>
      </c>
      <c r="K107" s="22" t="s">
        <v>382</v>
      </c>
      <c r="L107" s="22" t="s">
        <v>382</v>
      </c>
      <c r="M107" s="22" t="s">
        <v>382</v>
      </c>
      <c r="N107" s="22" t="s">
        <v>382</v>
      </c>
      <c r="O107" s="22" t="s">
        <v>382</v>
      </c>
    </row>
    <row r="108" spans="1:15">
      <c r="A108" s="209">
        <f t="shared" si="2"/>
        <v>106</v>
      </c>
      <c r="B108" s="449" t="s">
        <v>217</v>
      </c>
      <c r="C108" s="22" t="s">
        <v>382</v>
      </c>
      <c r="D108" s="22" t="s">
        <v>382</v>
      </c>
      <c r="E108" s="22" t="s">
        <v>382</v>
      </c>
      <c r="F108" s="22" t="s">
        <v>382</v>
      </c>
      <c r="G108" s="22" t="s">
        <v>382</v>
      </c>
      <c r="H108" s="22" t="s">
        <v>382</v>
      </c>
      <c r="I108" s="22" t="s">
        <v>382</v>
      </c>
      <c r="J108" s="22" t="s">
        <v>382</v>
      </c>
      <c r="K108" s="22" t="s">
        <v>382</v>
      </c>
      <c r="L108" s="22" t="s">
        <v>382</v>
      </c>
      <c r="M108" s="22" t="s">
        <v>382</v>
      </c>
      <c r="N108" s="22" t="s">
        <v>382</v>
      </c>
      <c r="O108" s="22" t="s">
        <v>382</v>
      </c>
    </row>
    <row r="109" spans="1:15">
      <c r="A109" s="209">
        <f t="shared" ref="A109:A140" si="3">SUM(A108+1)</f>
        <v>107</v>
      </c>
      <c r="B109" s="449" t="s">
        <v>218</v>
      </c>
      <c r="C109" s="22" t="s">
        <v>382</v>
      </c>
      <c r="D109" s="22" t="s">
        <v>382</v>
      </c>
      <c r="E109" s="22" t="s">
        <v>382</v>
      </c>
      <c r="F109" s="22" t="s">
        <v>382</v>
      </c>
      <c r="G109" s="22" t="s">
        <v>382</v>
      </c>
      <c r="H109" s="22" t="s">
        <v>382</v>
      </c>
      <c r="I109" s="22" t="s">
        <v>382</v>
      </c>
      <c r="J109" s="22" t="s">
        <v>382</v>
      </c>
      <c r="K109" s="22" t="s">
        <v>382</v>
      </c>
      <c r="L109" s="22" t="s">
        <v>382</v>
      </c>
      <c r="M109" s="22" t="s">
        <v>382</v>
      </c>
      <c r="N109" s="22" t="s">
        <v>382</v>
      </c>
      <c r="O109" s="22" t="s">
        <v>382</v>
      </c>
    </row>
    <row r="110" spans="1:15">
      <c r="A110" s="209">
        <f t="shared" si="3"/>
        <v>108</v>
      </c>
      <c r="B110" s="449" t="s">
        <v>219</v>
      </c>
      <c r="C110" s="22" t="s">
        <v>382</v>
      </c>
      <c r="D110" s="22" t="s">
        <v>382</v>
      </c>
      <c r="E110" s="22" t="s">
        <v>382</v>
      </c>
      <c r="F110" s="22" t="s">
        <v>382</v>
      </c>
      <c r="G110" s="22" t="s">
        <v>382</v>
      </c>
      <c r="H110" s="22" t="s">
        <v>382</v>
      </c>
      <c r="I110" s="22" t="s">
        <v>382</v>
      </c>
      <c r="J110" s="22" t="s">
        <v>382</v>
      </c>
      <c r="K110" s="22" t="s">
        <v>382</v>
      </c>
      <c r="L110" s="22" t="s">
        <v>382</v>
      </c>
      <c r="M110" s="22" t="s">
        <v>382</v>
      </c>
      <c r="N110" s="22" t="s">
        <v>382</v>
      </c>
      <c r="O110" s="22" t="s">
        <v>382</v>
      </c>
    </row>
    <row r="111" spans="1:15" ht="25.5">
      <c r="A111" s="209">
        <f t="shared" si="3"/>
        <v>109</v>
      </c>
      <c r="B111" s="449" t="s">
        <v>220</v>
      </c>
      <c r="C111" s="22" t="s">
        <v>382</v>
      </c>
      <c r="D111" s="22" t="s">
        <v>382</v>
      </c>
      <c r="E111" s="22" t="s">
        <v>382</v>
      </c>
      <c r="F111" s="22" t="s">
        <v>382</v>
      </c>
      <c r="G111" s="22" t="s">
        <v>382</v>
      </c>
      <c r="H111" s="22" t="s">
        <v>382</v>
      </c>
      <c r="I111" s="22" t="s">
        <v>382</v>
      </c>
      <c r="J111" s="22" t="s">
        <v>382</v>
      </c>
      <c r="K111" s="22" t="s">
        <v>382</v>
      </c>
      <c r="L111" s="22" t="s">
        <v>382</v>
      </c>
      <c r="M111" s="22" t="s">
        <v>382</v>
      </c>
      <c r="N111" s="22" t="s">
        <v>382</v>
      </c>
      <c r="O111" s="22" t="s">
        <v>382</v>
      </c>
    </row>
    <row r="112" spans="1:15">
      <c r="A112" s="209">
        <f t="shared" si="3"/>
        <v>110</v>
      </c>
      <c r="B112" s="449" t="s">
        <v>222</v>
      </c>
      <c r="C112" s="22" t="s">
        <v>382</v>
      </c>
      <c r="D112" s="22" t="s">
        <v>382</v>
      </c>
      <c r="E112" s="22" t="s">
        <v>382</v>
      </c>
      <c r="F112" s="22" t="s">
        <v>382</v>
      </c>
      <c r="G112" s="22" t="s">
        <v>382</v>
      </c>
      <c r="H112" s="22" t="s">
        <v>382</v>
      </c>
      <c r="I112" s="22" t="s">
        <v>382</v>
      </c>
      <c r="J112" s="22" t="s">
        <v>382</v>
      </c>
      <c r="K112" s="22" t="s">
        <v>382</v>
      </c>
      <c r="L112" s="22" t="s">
        <v>382</v>
      </c>
      <c r="M112" s="22" t="s">
        <v>382</v>
      </c>
      <c r="N112" s="22" t="s">
        <v>382</v>
      </c>
      <c r="O112" s="22" t="s">
        <v>382</v>
      </c>
    </row>
    <row r="113" spans="1:15">
      <c r="A113" s="209">
        <f t="shared" si="3"/>
        <v>111</v>
      </c>
      <c r="B113" s="449" t="s">
        <v>223</v>
      </c>
      <c r="C113" s="22" t="s">
        <v>382</v>
      </c>
      <c r="D113" s="22" t="s">
        <v>382</v>
      </c>
      <c r="E113" s="22" t="s">
        <v>382</v>
      </c>
      <c r="F113" s="22" t="s">
        <v>382</v>
      </c>
      <c r="G113" s="22" t="s">
        <v>382</v>
      </c>
      <c r="H113" s="22" t="s">
        <v>382</v>
      </c>
      <c r="I113" s="22" t="s">
        <v>382</v>
      </c>
      <c r="J113" s="22" t="s">
        <v>382</v>
      </c>
      <c r="K113" s="22" t="s">
        <v>382</v>
      </c>
      <c r="L113" s="22" t="s">
        <v>382</v>
      </c>
      <c r="M113" s="22" t="s">
        <v>382</v>
      </c>
      <c r="N113" s="22" t="s">
        <v>382</v>
      </c>
      <c r="O113" s="22" t="s">
        <v>382</v>
      </c>
    </row>
    <row r="114" spans="1:15">
      <c r="A114" s="209">
        <f t="shared" si="3"/>
        <v>112</v>
      </c>
      <c r="B114" s="449" t="s">
        <v>224</v>
      </c>
      <c r="C114" s="22" t="s">
        <v>382</v>
      </c>
      <c r="D114" s="22" t="s">
        <v>382</v>
      </c>
      <c r="E114" s="22" t="s">
        <v>382</v>
      </c>
      <c r="F114" s="22" t="s">
        <v>382</v>
      </c>
      <c r="G114" s="22" t="s">
        <v>382</v>
      </c>
      <c r="H114" s="22" t="s">
        <v>382</v>
      </c>
      <c r="I114" s="22" t="s">
        <v>382</v>
      </c>
      <c r="J114" s="22" t="s">
        <v>382</v>
      </c>
      <c r="K114" s="22" t="s">
        <v>382</v>
      </c>
      <c r="L114" s="22" t="s">
        <v>382</v>
      </c>
      <c r="M114" s="22" t="s">
        <v>382</v>
      </c>
      <c r="N114" s="22" t="s">
        <v>382</v>
      </c>
      <c r="O114" s="22" t="s">
        <v>382</v>
      </c>
    </row>
    <row r="115" spans="1:15">
      <c r="A115" s="209">
        <f t="shared" si="3"/>
        <v>113</v>
      </c>
      <c r="B115" s="449" t="s">
        <v>225</v>
      </c>
      <c r="C115" s="22" t="s">
        <v>382</v>
      </c>
      <c r="D115" s="22" t="s">
        <v>382</v>
      </c>
      <c r="E115" s="22" t="s">
        <v>382</v>
      </c>
      <c r="F115" s="22" t="s">
        <v>382</v>
      </c>
      <c r="G115" s="22" t="s">
        <v>382</v>
      </c>
      <c r="H115" s="22" t="s">
        <v>382</v>
      </c>
      <c r="I115" s="22" t="s">
        <v>382</v>
      </c>
      <c r="J115" s="22" t="s">
        <v>382</v>
      </c>
      <c r="K115" s="22" t="s">
        <v>382</v>
      </c>
      <c r="L115" s="22" t="s">
        <v>382</v>
      </c>
      <c r="M115" s="22" t="s">
        <v>382</v>
      </c>
      <c r="N115" s="22" t="s">
        <v>382</v>
      </c>
      <c r="O115" s="22" t="s">
        <v>382</v>
      </c>
    </row>
    <row r="116" spans="1:15" ht="25.5">
      <c r="A116" s="209">
        <f t="shared" si="3"/>
        <v>114</v>
      </c>
      <c r="B116" s="449" t="s">
        <v>227</v>
      </c>
      <c r="C116" s="22" t="s">
        <v>382</v>
      </c>
      <c r="D116" s="22" t="s">
        <v>382</v>
      </c>
      <c r="E116" s="22" t="s">
        <v>382</v>
      </c>
      <c r="F116" s="22" t="s">
        <v>382</v>
      </c>
      <c r="G116" s="22" t="s">
        <v>382</v>
      </c>
      <c r="H116" s="22" t="s">
        <v>382</v>
      </c>
      <c r="I116" s="22" t="s">
        <v>382</v>
      </c>
      <c r="J116" s="22" t="s">
        <v>382</v>
      </c>
      <c r="K116" s="22" t="s">
        <v>382</v>
      </c>
      <c r="L116" s="22" t="s">
        <v>382</v>
      </c>
      <c r="M116" s="22" t="s">
        <v>382</v>
      </c>
      <c r="N116" s="22" t="s">
        <v>382</v>
      </c>
      <c r="O116" s="22" t="s">
        <v>382</v>
      </c>
    </row>
    <row r="117" spans="1:15">
      <c r="A117" s="209">
        <f t="shared" si="3"/>
        <v>115</v>
      </c>
      <c r="B117" s="449" t="s">
        <v>228</v>
      </c>
      <c r="C117" s="22" t="s">
        <v>382</v>
      </c>
      <c r="D117" s="22" t="s">
        <v>382</v>
      </c>
      <c r="E117" s="22" t="s">
        <v>382</v>
      </c>
      <c r="F117" s="22" t="s">
        <v>382</v>
      </c>
      <c r="G117" s="22" t="s">
        <v>382</v>
      </c>
      <c r="H117" s="22" t="s">
        <v>382</v>
      </c>
      <c r="I117" s="22" t="s">
        <v>382</v>
      </c>
      <c r="J117" s="22" t="s">
        <v>382</v>
      </c>
      <c r="K117" s="22" t="s">
        <v>382</v>
      </c>
      <c r="L117" s="22" t="s">
        <v>382</v>
      </c>
      <c r="M117" s="22" t="s">
        <v>382</v>
      </c>
      <c r="N117" s="22" t="s">
        <v>382</v>
      </c>
      <c r="O117" s="22" t="s">
        <v>382</v>
      </c>
    </row>
    <row r="118" spans="1:15">
      <c r="A118" s="209">
        <f t="shared" si="3"/>
        <v>116</v>
      </c>
      <c r="B118" s="449" t="s">
        <v>229</v>
      </c>
      <c r="C118" s="22" t="s">
        <v>382</v>
      </c>
      <c r="D118" s="22" t="s">
        <v>382</v>
      </c>
      <c r="E118" s="22" t="s">
        <v>382</v>
      </c>
      <c r="F118" s="22" t="s">
        <v>382</v>
      </c>
      <c r="G118" s="22" t="s">
        <v>382</v>
      </c>
      <c r="H118" s="22" t="s">
        <v>382</v>
      </c>
      <c r="I118" s="22" t="s">
        <v>382</v>
      </c>
      <c r="J118" s="22" t="s">
        <v>382</v>
      </c>
      <c r="K118" s="22" t="s">
        <v>382</v>
      </c>
      <c r="L118" s="22" t="s">
        <v>382</v>
      </c>
      <c r="M118" s="22" t="s">
        <v>382</v>
      </c>
      <c r="N118" s="22" t="s">
        <v>382</v>
      </c>
      <c r="O118" s="22" t="s">
        <v>382</v>
      </c>
    </row>
    <row r="119" spans="1:15">
      <c r="A119" s="209">
        <f t="shared" si="3"/>
        <v>117</v>
      </c>
      <c r="B119" s="449" t="s">
        <v>230</v>
      </c>
      <c r="C119" s="22" t="s">
        <v>382</v>
      </c>
      <c r="D119" s="22" t="s">
        <v>382</v>
      </c>
      <c r="E119" s="22" t="s">
        <v>382</v>
      </c>
      <c r="F119" s="22" t="s">
        <v>382</v>
      </c>
      <c r="G119" s="22" t="s">
        <v>382</v>
      </c>
      <c r="H119" s="22" t="s">
        <v>382</v>
      </c>
      <c r="I119" s="22" t="s">
        <v>382</v>
      </c>
      <c r="J119" s="22" t="s">
        <v>382</v>
      </c>
      <c r="K119" s="22" t="s">
        <v>382</v>
      </c>
      <c r="L119" s="22" t="s">
        <v>382</v>
      </c>
      <c r="M119" s="22" t="s">
        <v>382</v>
      </c>
      <c r="N119" s="22" t="s">
        <v>382</v>
      </c>
      <c r="O119" s="22" t="s">
        <v>382</v>
      </c>
    </row>
    <row r="120" spans="1:15">
      <c r="A120" s="209">
        <f t="shared" si="3"/>
        <v>118</v>
      </c>
      <c r="B120" s="449" t="s">
        <v>232</v>
      </c>
      <c r="C120" s="22" t="s">
        <v>382</v>
      </c>
      <c r="D120" s="22" t="s">
        <v>382</v>
      </c>
      <c r="E120" s="22" t="s">
        <v>382</v>
      </c>
      <c r="F120" s="22" t="s">
        <v>382</v>
      </c>
      <c r="G120" s="22" t="s">
        <v>382</v>
      </c>
      <c r="H120" s="22" t="s">
        <v>382</v>
      </c>
      <c r="I120" s="22" t="s">
        <v>382</v>
      </c>
      <c r="J120" s="22" t="s">
        <v>382</v>
      </c>
      <c r="K120" s="22" t="s">
        <v>382</v>
      </c>
      <c r="L120" s="22" t="s">
        <v>382</v>
      </c>
      <c r="M120" s="22" t="s">
        <v>382</v>
      </c>
      <c r="N120" s="22" t="s">
        <v>382</v>
      </c>
      <c r="O120" s="22" t="s">
        <v>382</v>
      </c>
    </row>
    <row r="121" spans="1:15" ht="25.5">
      <c r="A121" s="209">
        <f t="shared" si="3"/>
        <v>119</v>
      </c>
      <c r="B121" s="449" t="s">
        <v>236</v>
      </c>
      <c r="C121" s="22" t="s">
        <v>382</v>
      </c>
      <c r="D121" s="22" t="s">
        <v>382</v>
      </c>
      <c r="E121" s="22" t="s">
        <v>382</v>
      </c>
      <c r="F121" s="22" t="s">
        <v>382</v>
      </c>
      <c r="G121" s="22" t="s">
        <v>382</v>
      </c>
      <c r="H121" s="22" t="s">
        <v>382</v>
      </c>
      <c r="I121" s="22" t="s">
        <v>382</v>
      </c>
      <c r="J121" s="22" t="s">
        <v>382</v>
      </c>
      <c r="K121" s="22" t="s">
        <v>382</v>
      </c>
      <c r="L121" s="22" t="s">
        <v>382</v>
      </c>
      <c r="M121" s="22" t="s">
        <v>382</v>
      </c>
      <c r="N121" s="22" t="s">
        <v>382</v>
      </c>
      <c r="O121" s="22" t="s">
        <v>382</v>
      </c>
    </row>
    <row r="122" spans="1:15">
      <c r="A122" s="209">
        <f t="shared" si="3"/>
        <v>120</v>
      </c>
      <c r="B122" s="449" t="s">
        <v>239</v>
      </c>
      <c r="C122" s="22" t="s">
        <v>382</v>
      </c>
      <c r="D122" s="22" t="s">
        <v>382</v>
      </c>
      <c r="E122" s="22" t="s">
        <v>382</v>
      </c>
      <c r="F122" s="22" t="s">
        <v>382</v>
      </c>
      <c r="G122" s="22" t="s">
        <v>382</v>
      </c>
      <c r="H122" s="22" t="s">
        <v>382</v>
      </c>
      <c r="I122" s="22" t="s">
        <v>382</v>
      </c>
      <c r="J122" s="22" t="s">
        <v>382</v>
      </c>
      <c r="K122" s="22" t="s">
        <v>382</v>
      </c>
      <c r="L122" s="22" t="s">
        <v>382</v>
      </c>
      <c r="M122" s="22" t="s">
        <v>382</v>
      </c>
      <c r="N122" s="22" t="s">
        <v>382</v>
      </c>
      <c r="O122" s="22" t="s">
        <v>382</v>
      </c>
    </row>
    <row r="123" spans="1:15" ht="25.5">
      <c r="A123" s="209">
        <f t="shared" si="3"/>
        <v>121</v>
      </c>
      <c r="B123" s="449" t="s">
        <v>240</v>
      </c>
      <c r="C123" s="22" t="s">
        <v>382</v>
      </c>
      <c r="D123" s="22" t="s">
        <v>382</v>
      </c>
      <c r="E123" s="22" t="s">
        <v>382</v>
      </c>
      <c r="F123" s="22" t="s">
        <v>382</v>
      </c>
      <c r="G123" s="22" t="s">
        <v>382</v>
      </c>
      <c r="H123" s="22" t="s">
        <v>382</v>
      </c>
      <c r="I123" s="22" t="s">
        <v>382</v>
      </c>
      <c r="J123" s="22" t="s">
        <v>382</v>
      </c>
      <c r="K123" s="22" t="s">
        <v>382</v>
      </c>
      <c r="L123" s="22" t="s">
        <v>382</v>
      </c>
      <c r="M123" s="22" t="s">
        <v>382</v>
      </c>
      <c r="N123" s="22" t="s">
        <v>382</v>
      </c>
      <c r="O123" s="22" t="s">
        <v>382</v>
      </c>
    </row>
    <row r="124" spans="1:15">
      <c r="A124" s="209">
        <f t="shared" si="3"/>
        <v>122</v>
      </c>
      <c r="B124" s="449" t="s">
        <v>241</v>
      </c>
      <c r="C124" s="22" t="s">
        <v>382</v>
      </c>
      <c r="D124" s="22" t="s">
        <v>382</v>
      </c>
      <c r="E124" s="22" t="s">
        <v>382</v>
      </c>
      <c r="F124" s="22" t="s">
        <v>382</v>
      </c>
      <c r="G124" s="22" t="s">
        <v>382</v>
      </c>
      <c r="H124" s="22" t="s">
        <v>382</v>
      </c>
      <c r="I124" s="22" t="s">
        <v>382</v>
      </c>
      <c r="J124" s="22" t="s">
        <v>382</v>
      </c>
      <c r="K124" s="22" t="s">
        <v>382</v>
      </c>
      <c r="L124" s="22" t="s">
        <v>382</v>
      </c>
      <c r="M124" s="22" t="s">
        <v>382</v>
      </c>
      <c r="N124" s="22" t="s">
        <v>382</v>
      </c>
      <c r="O124" s="22" t="s">
        <v>382</v>
      </c>
    </row>
    <row r="125" spans="1:15">
      <c r="A125" s="209">
        <f t="shared" si="3"/>
        <v>123</v>
      </c>
      <c r="B125" s="449" t="s">
        <v>242</v>
      </c>
      <c r="C125" s="22" t="s">
        <v>382</v>
      </c>
      <c r="D125" s="22" t="s">
        <v>382</v>
      </c>
      <c r="E125" s="22" t="s">
        <v>382</v>
      </c>
      <c r="F125" s="22" t="s">
        <v>382</v>
      </c>
      <c r="G125" s="22" t="s">
        <v>382</v>
      </c>
      <c r="H125" s="22" t="s">
        <v>382</v>
      </c>
      <c r="I125" s="22" t="s">
        <v>382</v>
      </c>
      <c r="J125" s="22" t="s">
        <v>382</v>
      </c>
      <c r="K125" s="22" t="s">
        <v>382</v>
      </c>
      <c r="L125" s="22" t="s">
        <v>382</v>
      </c>
      <c r="M125" s="22" t="s">
        <v>382</v>
      </c>
      <c r="N125" s="22" t="s">
        <v>382</v>
      </c>
      <c r="O125" s="22" t="s">
        <v>382</v>
      </c>
    </row>
    <row r="126" spans="1:15">
      <c r="A126" s="209">
        <f t="shared" si="3"/>
        <v>124</v>
      </c>
      <c r="B126" s="449" t="s">
        <v>243</v>
      </c>
      <c r="C126" s="22" t="s">
        <v>382</v>
      </c>
      <c r="D126" s="22" t="s">
        <v>382</v>
      </c>
      <c r="E126" s="22" t="s">
        <v>382</v>
      </c>
      <c r="F126" s="22" t="s">
        <v>382</v>
      </c>
      <c r="G126" s="22" t="s">
        <v>382</v>
      </c>
      <c r="H126" s="22" t="s">
        <v>382</v>
      </c>
      <c r="I126" s="22" t="s">
        <v>382</v>
      </c>
      <c r="J126" s="22" t="s">
        <v>382</v>
      </c>
      <c r="K126" s="22" t="s">
        <v>382</v>
      </c>
      <c r="L126" s="22" t="s">
        <v>382</v>
      </c>
      <c r="M126" s="22" t="s">
        <v>382</v>
      </c>
      <c r="N126" s="22" t="s">
        <v>382</v>
      </c>
      <c r="O126" s="22" t="s">
        <v>382</v>
      </c>
    </row>
    <row r="127" spans="1:15">
      <c r="A127" s="209">
        <f t="shared" si="3"/>
        <v>125</v>
      </c>
      <c r="B127" s="449" t="s">
        <v>244</v>
      </c>
      <c r="C127" s="22" t="s">
        <v>382</v>
      </c>
      <c r="D127" s="22" t="s">
        <v>382</v>
      </c>
      <c r="E127" s="22" t="s">
        <v>382</v>
      </c>
      <c r="F127" s="22" t="s">
        <v>382</v>
      </c>
      <c r="G127" s="22" t="s">
        <v>382</v>
      </c>
      <c r="H127" s="22" t="s">
        <v>382</v>
      </c>
      <c r="I127" s="22" t="s">
        <v>382</v>
      </c>
      <c r="J127" s="22" t="s">
        <v>382</v>
      </c>
      <c r="K127" s="22" t="s">
        <v>382</v>
      </c>
      <c r="L127" s="22" t="s">
        <v>382</v>
      </c>
      <c r="M127" s="22" t="s">
        <v>382</v>
      </c>
      <c r="N127" s="22" t="s">
        <v>382</v>
      </c>
      <c r="O127" s="22" t="s">
        <v>382</v>
      </c>
    </row>
    <row r="128" spans="1:15">
      <c r="A128" s="209">
        <f t="shared" si="3"/>
        <v>126</v>
      </c>
      <c r="B128" s="449" t="s">
        <v>246</v>
      </c>
      <c r="C128" s="22" t="s">
        <v>382</v>
      </c>
      <c r="D128" s="22" t="s">
        <v>382</v>
      </c>
      <c r="E128" s="22" t="s">
        <v>382</v>
      </c>
      <c r="F128" s="22" t="s">
        <v>382</v>
      </c>
      <c r="G128" s="22" t="s">
        <v>382</v>
      </c>
      <c r="H128" s="22" t="s">
        <v>382</v>
      </c>
      <c r="I128" s="22" t="s">
        <v>382</v>
      </c>
      <c r="J128" s="22" t="s">
        <v>382</v>
      </c>
      <c r="K128" s="22" t="s">
        <v>382</v>
      </c>
      <c r="L128" s="22" t="s">
        <v>382</v>
      </c>
      <c r="M128" s="22" t="s">
        <v>382</v>
      </c>
      <c r="N128" s="22" t="s">
        <v>382</v>
      </c>
      <c r="O128" s="22" t="s">
        <v>382</v>
      </c>
    </row>
    <row r="129" spans="1:15">
      <c r="A129" s="209">
        <f t="shared" si="3"/>
        <v>127</v>
      </c>
      <c r="B129" s="449" t="s">
        <v>248</v>
      </c>
      <c r="C129" s="22" t="s">
        <v>382</v>
      </c>
      <c r="D129" s="22" t="s">
        <v>382</v>
      </c>
      <c r="E129" s="22" t="s">
        <v>382</v>
      </c>
      <c r="F129" s="22" t="s">
        <v>382</v>
      </c>
      <c r="G129" s="22" t="s">
        <v>382</v>
      </c>
      <c r="H129" s="22" t="s">
        <v>382</v>
      </c>
      <c r="I129" s="22" t="s">
        <v>382</v>
      </c>
      <c r="J129" s="22" t="s">
        <v>382</v>
      </c>
      <c r="K129" s="22" t="s">
        <v>382</v>
      </c>
      <c r="L129" s="22" t="s">
        <v>382</v>
      </c>
      <c r="M129" s="22" t="s">
        <v>382</v>
      </c>
      <c r="N129" s="22" t="s">
        <v>382</v>
      </c>
      <c r="O129" s="22" t="s">
        <v>382</v>
      </c>
    </row>
    <row r="130" spans="1:15">
      <c r="A130" s="209">
        <f t="shared" si="3"/>
        <v>128</v>
      </c>
      <c r="B130" s="449" t="s">
        <v>249</v>
      </c>
      <c r="C130" s="22" t="s">
        <v>382</v>
      </c>
      <c r="D130" s="22" t="s">
        <v>382</v>
      </c>
      <c r="E130" s="22" t="s">
        <v>382</v>
      </c>
      <c r="F130" s="22" t="s">
        <v>382</v>
      </c>
      <c r="G130" s="22" t="s">
        <v>382</v>
      </c>
      <c r="H130" s="22" t="s">
        <v>382</v>
      </c>
      <c r="I130" s="22" t="s">
        <v>382</v>
      </c>
      <c r="J130" s="22" t="s">
        <v>382</v>
      </c>
      <c r="K130" s="22" t="s">
        <v>382</v>
      </c>
      <c r="L130" s="22" t="s">
        <v>382</v>
      </c>
      <c r="M130" s="22" t="s">
        <v>382</v>
      </c>
      <c r="N130" s="22" t="s">
        <v>382</v>
      </c>
      <c r="O130" s="22" t="s">
        <v>382</v>
      </c>
    </row>
    <row r="131" spans="1:15">
      <c r="A131" s="209">
        <f t="shared" si="3"/>
        <v>129</v>
      </c>
      <c r="B131" s="449" t="s">
        <v>250</v>
      </c>
      <c r="C131" s="22" t="s">
        <v>382</v>
      </c>
      <c r="D131" s="22" t="s">
        <v>382</v>
      </c>
      <c r="E131" s="22" t="s">
        <v>382</v>
      </c>
      <c r="F131" s="22" t="s">
        <v>382</v>
      </c>
      <c r="G131" s="22" t="s">
        <v>382</v>
      </c>
      <c r="H131" s="22" t="s">
        <v>382</v>
      </c>
      <c r="I131" s="22" t="s">
        <v>382</v>
      </c>
      <c r="J131" s="22" t="s">
        <v>382</v>
      </c>
      <c r="K131" s="22" t="s">
        <v>382</v>
      </c>
      <c r="L131" s="22" t="s">
        <v>382</v>
      </c>
      <c r="M131" s="22" t="s">
        <v>382</v>
      </c>
      <c r="N131" s="22" t="s">
        <v>382</v>
      </c>
      <c r="O131" s="22" t="s">
        <v>382</v>
      </c>
    </row>
    <row r="132" spans="1:15">
      <c r="A132" s="209">
        <f t="shared" si="3"/>
        <v>130</v>
      </c>
      <c r="B132" s="449" t="s">
        <v>251</v>
      </c>
      <c r="C132" s="22" t="s">
        <v>382</v>
      </c>
      <c r="D132" s="22" t="s">
        <v>382</v>
      </c>
      <c r="E132" s="22" t="s">
        <v>382</v>
      </c>
      <c r="F132" s="22" t="s">
        <v>382</v>
      </c>
      <c r="G132" s="22" t="s">
        <v>382</v>
      </c>
      <c r="H132" s="22" t="s">
        <v>382</v>
      </c>
      <c r="I132" s="22" t="s">
        <v>382</v>
      </c>
      <c r="J132" s="22" t="s">
        <v>382</v>
      </c>
      <c r="K132" s="22" t="s">
        <v>382</v>
      </c>
      <c r="L132" s="22" t="s">
        <v>382</v>
      </c>
      <c r="M132" s="22" t="s">
        <v>382</v>
      </c>
      <c r="N132" s="22" t="s">
        <v>382</v>
      </c>
      <c r="O132" s="22" t="s">
        <v>382</v>
      </c>
    </row>
    <row r="133" spans="1:15">
      <c r="A133" s="209">
        <f t="shared" si="3"/>
        <v>131</v>
      </c>
      <c r="B133" s="449" t="s">
        <v>253</v>
      </c>
      <c r="C133" s="22" t="s">
        <v>382</v>
      </c>
      <c r="D133" s="22" t="s">
        <v>382</v>
      </c>
      <c r="E133" s="22" t="s">
        <v>382</v>
      </c>
      <c r="F133" s="22" t="s">
        <v>382</v>
      </c>
      <c r="G133" s="22" t="s">
        <v>382</v>
      </c>
      <c r="H133" s="22" t="s">
        <v>382</v>
      </c>
      <c r="I133" s="22" t="s">
        <v>382</v>
      </c>
      <c r="J133" s="22" t="s">
        <v>382</v>
      </c>
      <c r="K133" s="22" t="s">
        <v>382</v>
      </c>
      <c r="L133" s="22" t="s">
        <v>382</v>
      </c>
      <c r="M133" s="22" t="s">
        <v>382</v>
      </c>
      <c r="N133" s="22" t="s">
        <v>382</v>
      </c>
      <c r="O133" s="22" t="s">
        <v>382</v>
      </c>
    </row>
    <row r="134" spans="1:15">
      <c r="A134" s="209">
        <f t="shared" si="3"/>
        <v>132</v>
      </c>
      <c r="B134" s="449" t="s">
        <v>254</v>
      </c>
      <c r="C134" s="22" t="s">
        <v>382</v>
      </c>
      <c r="D134" s="22" t="s">
        <v>382</v>
      </c>
      <c r="E134" s="22" t="s">
        <v>382</v>
      </c>
      <c r="F134" s="22" t="s">
        <v>382</v>
      </c>
      <c r="G134" s="22" t="s">
        <v>382</v>
      </c>
      <c r="H134" s="22" t="s">
        <v>382</v>
      </c>
      <c r="I134" s="22" t="s">
        <v>382</v>
      </c>
      <c r="J134" s="22" t="s">
        <v>382</v>
      </c>
      <c r="K134" s="22" t="s">
        <v>382</v>
      </c>
      <c r="L134" s="22" t="s">
        <v>382</v>
      </c>
      <c r="M134" s="22" t="s">
        <v>382</v>
      </c>
      <c r="N134" s="22" t="s">
        <v>382</v>
      </c>
      <c r="O134" s="22" t="s">
        <v>382</v>
      </c>
    </row>
    <row r="135" spans="1:15">
      <c r="A135" s="209">
        <f t="shared" si="3"/>
        <v>133</v>
      </c>
      <c r="B135" s="449" t="s">
        <v>257</v>
      </c>
      <c r="C135" s="22" t="s">
        <v>382</v>
      </c>
      <c r="D135" s="22" t="s">
        <v>382</v>
      </c>
      <c r="E135" s="22" t="s">
        <v>382</v>
      </c>
      <c r="F135" s="22" t="s">
        <v>382</v>
      </c>
      <c r="G135" s="22" t="s">
        <v>382</v>
      </c>
      <c r="H135" s="22" t="s">
        <v>382</v>
      </c>
      <c r="I135" s="22" t="s">
        <v>382</v>
      </c>
      <c r="J135" s="22" t="s">
        <v>382</v>
      </c>
      <c r="K135" s="22" t="s">
        <v>382</v>
      </c>
      <c r="L135" s="22" t="s">
        <v>382</v>
      </c>
      <c r="M135" s="22" t="s">
        <v>382</v>
      </c>
      <c r="N135" s="22" t="s">
        <v>382</v>
      </c>
      <c r="O135" s="22" t="s">
        <v>382</v>
      </c>
    </row>
    <row r="136" spans="1:15">
      <c r="A136" s="209">
        <f t="shared" si="3"/>
        <v>134</v>
      </c>
      <c r="B136" s="449" t="s">
        <v>258</v>
      </c>
      <c r="C136" s="22" t="s">
        <v>382</v>
      </c>
      <c r="D136" s="22" t="s">
        <v>382</v>
      </c>
      <c r="E136" s="22" t="s">
        <v>382</v>
      </c>
      <c r="F136" s="22" t="s">
        <v>382</v>
      </c>
      <c r="G136" s="22" t="s">
        <v>382</v>
      </c>
      <c r="H136" s="22" t="s">
        <v>382</v>
      </c>
      <c r="I136" s="22" t="s">
        <v>382</v>
      </c>
      <c r="J136" s="22" t="s">
        <v>382</v>
      </c>
      <c r="K136" s="22" t="s">
        <v>382</v>
      </c>
      <c r="L136" s="22" t="s">
        <v>382</v>
      </c>
      <c r="M136" s="22" t="s">
        <v>382</v>
      </c>
      <c r="N136" s="22" t="s">
        <v>382</v>
      </c>
      <c r="O136" s="22" t="s">
        <v>382</v>
      </c>
    </row>
    <row r="137" spans="1:15">
      <c r="A137" s="209">
        <f t="shared" si="3"/>
        <v>135</v>
      </c>
      <c r="B137" s="449" t="s">
        <v>260</v>
      </c>
      <c r="C137" s="22" t="s">
        <v>382</v>
      </c>
      <c r="D137" s="22" t="s">
        <v>382</v>
      </c>
      <c r="E137" s="22" t="s">
        <v>382</v>
      </c>
      <c r="F137" s="22" t="s">
        <v>382</v>
      </c>
      <c r="G137" s="22" t="s">
        <v>382</v>
      </c>
      <c r="H137" s="22" t="s">
        <v>382</v>
      </c>
      <c r="I137" s="22" t="s">
        <v>382</v>
      </c>
      <c r="J137" s="22" t="s">
        <v>382</v>
      </c>
      <c r="K137" s="22" t="s">
        <v>382</v>
      </c>
      <c r="L137" s="22" t="s">
        <v>382</v>
      </c>
      <c r="M137" s="22" t="s">
        <v>382</v>
      </c>
      <c r="N137" s="22" t="s">
        <v>382</v>
      </c>
      <c r="O137" s="22" t="s">
        <v>382</v>
      </c>
    </row>
    <row r="138" spans="1:15">
      <c r="A138" s="209">
        <f t="shared" si="3"/>
        <v>136</v>
      </c>
      <c r="B138" s="449" t="s">
        <v>263</v>
      </c>
      <c r="C138" s="22" t="s">
        <v>382</v>
      </c>
      <c r="D138" s="22" t="s">
        <v>382</v>
      </c>
      <c r="E138" s="22" t="s">
        <v>382</v>
      </c>
      <c r="F138" s="22" t="s">
        <v>382</v>
      </c>
      <c r="G138" s="22" t="s">
        <v>382</v>
      </c>
      <c r="H138" s="22" t="s">
        <v>382</v>
      </c>
      <c r="I138" s="22" t="s">
        <v>382</v>
      </c>
      <c r="J138" s="22" t="s">
        <v>382</v>
      </c>
      <c r="K138" s="22" t="s">
        <v>382</v>
      </c>
      <c r="L138" s="22" t="s">
        <v>382</v>
      </c>
      <c r="M138" s="22" t="s">
        <v>382</v>
      </c>
      <c r="N138" s="22" t="s">
        <v>382</v>
      </c>
      <c r="O138" s="22" t="s">
        <v>382</v>
      </c>
    </row>
    <row r="139" spans="1:15">
      <c r="A139" s="209">
        <f t="shared" si="3"/>
        <v>137</v>
      </c>
      <c r="B139" s="449" t="s">
        <v>265</v>
      </c>
      <c r="C139" s="22" t="s">
        <v>382</v>
      </c>
      <c r="D139" s="22" t="s">
        <v>382</v>
      </c>
      <c r="E139" s="22" t="s">
        <v>382</v>
      </c>
      <c r="F139" s="22" t="s">
        <v>382</v>
      </c>
      <c r="G139" s="22" t="s">
        <v>382</v>
      </c>
      <c r="H139" s="22" t="s">
        <v>382</v>
      </c>
      <c r="I139" s="22" t="s">
        <v>382</v>
      </c>
      <c r="J139" s="22" t="s">
        <v>382</v>
      </c>
      <c r="K139" s="22" t="s">
        <v>382</v>
      </c>
      <c r="L139" s="22" t="s">
        <v>382</v>
      </c>
      <c r="M139" s="22" t="s">
        <v>382</v>
      </c>
      <c r="N139" s="22" t="s">
        <v>382</v>
      </c>
      <c r="O139" s="22" t="s">
        <v>382</v>
      </c>
    </row>
    <row r="140" spans="1:15">
      <c r="A140" s="209">
        <f t="shared" si="3"/>
        <v>138</v>
      </c>
      <c r="B140" s="449" t="s">
        <v>266</v>
      </c>
      <c r="C140" s="22" t="s">
        <v>382</v>
      </c>
      <c r="D140" s="22" t="s">
        <v>382</v>
      </c>
      <c r="E140" s="22" t="s">
        <v>382</v>
      </c>
      <c r="F140" s="22" t="s">
        <v>382</v>
      </c>
      <c r="G140" s="22" t="s">
        <v>382</v>
      </c>
      <c r="H140" s="22" t="s">
        <v>382</v>
      </c>
      <c r="I140" s="22" t="s">
        <v>382</v>
      </c>
      <c r="J140" s="22" t="s">
        <v>382</v>
      </c>
      <c r="K140" s="22" t="s">
        <v>382</v>
      </c>
      <c r="L140" s="22" t="s">
        <v>382</v>
      </c>
      <c r="M140" s="22" t="s">
        <v>382</v>
      </c>
      <c r="N140" s="22" t="s">
        <v>382</v>
      </c>
      <c r="O140" s="22" t="s">
        <v>382</v>
      </c>
    </row>
    <row r="141" spans="1:15">
      <c r="A141" s="209">
        <f t="shared" ref="A141:A172" si="4">SUM(A140+1)</f>
        <v>139</v>
      </c>
      <c r="B141" s="449" t="s">
        <v>268</v>
      </c>
      <c r="C141" s="22" t="s">
        <v>382</v>
      </c>
      <c r="D141" s="22" t="s">
        <v>382</v>
      </c>
      <c r="E141" s="22" t="s">
        <v>382</v>
      </c>
      <c r="F141" s="22" t="s">
        <v>382</v>
      </c>
      <c r="G141" s="22" t="s">
        <v>382</v>
      </c>
      <c r="H141" s="22" t="s">
        <v>382</v>
      </c>
      <c r="I141" s="22" t="s">
        <v>382</v>
      </c>
      <c r="J141" s="22" t="s">
        <v>382</v>
      </c>
      <c r="K141" s="22" t="s">
        <v>382</v>
      </c>
      <c r="L141" s="22" t="s">
        <v>382</v>
      </c>
      <c r="M141" s="22" t="s">
        <v>382</v>
      </c>
      <c r="N141" s="22" t="s">
        <v>382</v>
      </c>
      <c r="O141" s="22" t="s">
        <v>382</v>
      </c>
    </row>
    <row r="142" spans="1:15">
      <c r="A142" s="209">
        <f t="shared" si="4"/>
        <v>140</v>
      </c>
      <c r="B142" s="449" t="s">
        <v>269</v>
      </c>
      <c r="C142" s="22" t="s">
        <v>382</v>
      </c>
      <c r="D142" s="22" t="s">
        <v>382</v>
      </c>
      <c r="E142" s="22" t="s">
        <v>382</v>
      </c>
      <c r="F142" s="22" t="s">
        <v>382</v>
      </c>
      <c r="G142" s="22" t="s">
        <v>382</v>
      </c>
      <c r="H142" s="22" t="s">
        <v>382</v>
      </c>
      <c r="I142" s="22" t="s">
        <v>382</v>
      </c>
      <c r="J142" s="22" t="s">
        <v>382</v>
      </c>
      <c r="K142" s="22" t="s">
        <v>382</v>
      </c>
      <c r="L142" s="22" t="s">
        <v>382</v>
      </c>
      <c r="M142" s="22" t="s">
        <v>382</v>
      </c>
      <c r="N142" s="22" t="s">
        <v>382</v>
      </c>
      <c r="O142" s="22" t="s">
        <v>382</v>
      </c>
    </row>
    <row r="143" spans="1:15">
      <c r="A143" s="209">
        <f t="shared" si="4"/>
        <v>141</v>
      </c>
      <c r="B143" s="449" t="s">
        <v>270</v>
      </c>
      <c r="C143" s="22" t="s">
        <v>382</v>
      </c>
      <c r="D143" s="22" t="s">
        <v>382</v>
      </c>
      <c r="E143" s="22" t="s">
        <v>382</v>
      </c>
      <c r="F143" s="22" t="s">
        <v>382</v>
      </c>
      <c r="G143" s="22" t="s">
        <v>382</v>
      </c>
      <c r="H143" s="22" t="s">
        <v>382</v>
      </c>
      <c r="I143" s="22" t="s">
        <v>382</v>
      </c>
      <c r="J143" s="22" t="s">
        <v>382</v>
      </c>
      <c r="K143" s="22" t="s">
        <v>382</v>
      </c>
      <c r="L143" s="22" t="s">
        <v>382</v>
      </c>
      <c r="M143" s="22" t="s">
        <v>382</v>
      </c>
      <c r="N143" s="22" t="s">
        <v>382</v>
      </c>
      <c r="O143" s="22" t="s">
        <v>382</v>
      </c>
    </row>
    <row r="144" spans="1:15">
      <c r="A144" s="209">
        <f t="shared" si="4"/>
        <v>142</v>
      </c>
      <c r="B144" s="449" t="s">
        <v>271</v>
      </c>
      <c r="C144" s="22" t="s">
        <v>382</v>
      </c>
      <c r="D144" s="22" t="s">
        <v>382</v>
      </c>
      <c r="E144" s="22" t="s">
        <v>382</v>
      </c>
      <c r="F144" s="22" t="s">
        <v>382</v>
      </c>
      <c r="G144" s="22" t="s">
        <v>382</v>
      </c>
      <c r="H144" s="22" t="s">
        <v>382</v>
      </c>
      <c r="I144" s="22" t="s">
        <v>382</v>
      </c>
      <c r="J144" s="22" t="s">
        <v>382</v>
      </c>
      <c r="K144" s="22" t="s">
        <v>382</v>
      </c>
      <c r="L144" s="22" t="s">
        <v>382</v>
      </c>
      <c r="M144" s="22" t="s">
        <v>382</v>
      </c>
      <c r="N144" s="22" t="s">
        <v>382</v>
      </c>
      <c r="O144" s="22" t="s">
        <v>382</v>
      </c>
    </row>
    <row r="145" spans="1:15">
      <c r="A145" s="209">
        <f t="shared" si="4"/>
        <v>143</v>
      </c>
      <c r="B145" s="449" t="s">
        <v>273</v>
      </c>
      <c r="C145" s="22" t="s">
        <v>382</v>
      </c>
      <c r="D145" s="22" t="s">
        <v>382</v>
      </c>
      <c r="E145" s="22" t="s">
        <v>382</v>
      </c>
      <c r="F145" s="22" t="s">
        <v>382</v>
      </c>
      <c r="G145" s="22" t="s">
        <v>382</v>
      </c>
      <c r="H145" s="22" t="s">
        <v>382</v>
      </c>
      <c r="I145" s="22" t="s">
        <v>382</v>
      </c>
      <c r="J145" s="22" t="s">
        <v>382</v>
      </c>
      <c r="K145" s="22" t="s">
        <v>382</v>
      </c>
      <c r="L145" s="22" t="s">
        <v>382</v>
      </c>
      <c r="M145" s="22" t="s">
        <v>382</v>
      </c>
      <c r="N145" s="22" t="s">
        <v>382</v>
      </c>
      <c r="O145" s="22" t="s">
        <v>382</v>
      </c>
    </row>
    <row r="146" spans="1:15">
      <c r="A146" s="209">
        <f t="shared" si="4"/>
        <v>144</v>
      </c>
      <c r="B146" s="449" t="s">
        <v>277</v>
      </c>
      <c r="C146" s="22" t="s">
        <v>382</v>
      </c>
      <c r="D146" s="22" t="s">
        <v>382</v>
      </c>
      <c r="E146" s="22" t="s">
        <v>382</v>
      </c>
      <c r="F146" s="22" t="s">
        <v>382</v>
      </c>
      <c r="G146" s="22" t="s">
        <v>382</v>
      </c>
      <c r="H146" s="22" t="s">
        <v>382</v>
      </c>
      <c r="I146" s="22" t="s">
        <v>382</v>
      </c>
      <c r="J146" s="22" t="s">
        <v>382</v>
      </c>
      <c r="K146" s="22" t="s">
        <v>382</v>
      </c>
      <c r="L146" s="22" t="s">
        <v>382</v>
      </c>
      <c r="M146" s="22" t="s">
        <v>382</v>
      </c>
      <c r="N146" s="22" t="s">
        <v>382</v>
      </c>
      <c r="O146" s="22" t="s">
        <v>382</v>
      </c>
    </row>
    <row r="147" spans="1:15" ht="25.5">
      <c r="A147" s="209">
        <f t="shared" si="4"/>
        <v>145</v>
      </c>
      <c r="B147" s="449" t="s">
        <v>279</v>
      </c>
      <c r="C147" s="22" t="s">
        <v>382</v>
      </c>
      <c r="D147" s="22" t="s">
        <v>382</v>
      </c>
      <c r="E147" s="22" t="s">
        <v>382</v>
      </c>
      <c r="F147" s="22" t="s">
        <v>382</v>
      </c>
      <c r="G147" s="22" t="s">
        <v>382</v>
      </c>
      <c r="H147" s="22" t="s">
        <v>382</v>
      </c>
      <c r="I147" s="22" t="s">
        <v>382</v>
      </c>
      <c r="J147" s="22" t="s">
        <v>382</v>
      </c>
      <c r="K147" s="22" t="s">
        <v>382</v>
      </c>
      <c r="L147" s="22" t="s">
        <v>382</v>
      </c>
      <c r="M147" s="22" t="s">
        <v>382</v>
      </c>
      <c r="N147" s="22" t="s">
        <v>382</v>
      </c>
      <c r="O147" s="22" t="s">
        <v>382</v>
      </c>
    </row>
    <row r="148" spans="1:15" ht="25.5">
      <c r="A148" s="209">
        <f t="shared" si="4"/>
        <v>146</v>
      </c>
      <c r="B148" s="449" t="s">
        <v>281</v>
      </c>
      <c r="C148" s="22" t="s">
        <v>382</v>
      </c>
      <c r="D148" s="22" t="s">
        <v>382</v>
      </c>
      <c r="E148" s="22" t="s">
        <v>382</v>
      </c>
      <c r="F148" s="22" t="s">
        <v>382</v>
      </c>
      <c r="G148" s="22" t="s">
        <v>382</v>
      </c>
      <c r="H148" s="22" t="s">
        <v>382</v>
      </c>
      <c r="I148" s="22" t="s">
        <v>382</v>
      </c>
      <c r="J148" s="22" t="s">
        <v>382</v>
      </c>
      <c r="K148" s="22" t="s">
        <v>382</v>
      </c>
      <c r="L148" s="22" t="s">
        <v>382</v>
      </c>
      <c r="M148" s="22" t="s">
        <v>382</v>
      </c>
      <c r="N148" s="22" t="s">
        <v>382</v>
      </c>
      <c r="O148" s="22" t="s">
        <v>382</v>
      </c>
    </row>
    <row r="149" spans="1:15">
      <c r="A149" s="209">
        <f t="shared" si="4"/>
        <v>147</v>
      </c>
      <c r="B149" s="449" t="s">
        <v>282</v>
      </c>
      <c r="C149" s="22" t="s">
        <v>382</v>
      </c>
      <c r="D149" s="22" t="s">
        <v>382</v>
      </c>
      <c r="E149" s="22" t="s">
        <v>382</v>
      </c>
      <c r="F149" s="22" t="s">
        <v>382</v>
      </c>
      <c r="G149" s="22" t="s">
        <v>382</v>
      </c>
      <c r="H149" s="22" t="s">
        <v>382</v>
      </c>
      <c r="I149" s="22" t="s">
        <v>382</v>
      </c>
      <c r="J149" s="22" t="s">
        <v>382</v>
      </c>
      <c r="K149" s="22" t="s">
        <v>382</v>
      </c>
      <c r="L149" s="22" t="s">
        <v>382</v>
      </c>
      <c r="M149" s="22" t="s">
        <v>382</v>
      </c>
      <c r="N149" s="22" t="s">
        <v>382</v>
      </c>
      <c r="O149" s="22" t="s">
        <v>382</v>
      </c>
    </row>
    <row r="150" spans="1:15" ht="25.5">
      <c r="A150" s="209">
        <f t="shared" si="4"/>
        <v>148</v>
      </c>
      <c r="B150" s="449" t="s">
        <v>283</v>
      </c>
      <c r="C150" s="22" t="s">
        <v>382</v>
      </c>
      <c r="D150" s="22" t="s">
        <v>382</v>
      </c>
      <c r="E150" s="22" t="s">
        <v>382</v>
      </c>
      <c r="F150" s="22" t="s">
        <v>382</v>
      </c>
      <c r="G150" s="22" t="s">
        <v>382</v>
      </c>
      <c r="H150" s="22" t="s">
        <v>382</v>
      </c>
      <c r="I150" s="22" t="s">
        <v>382</v>
      </c>
      <c r="J150" s="22" t="s">
        <v>382</v>
      </c>
      <c r="K150" s="22" t="s">
        <v>382</v>
      </c>
      <c r="L150" s="22" t="s">
        <v>382</v>
      </c>
      <c r="M150" s="22" t="s">
        <v>382</v>
      </c>
      <c r="N150" s="22" t="s">
        <v>382</v>
      </c>
      <c r="O150" s="22" t="s">
        <v>382</v>
      </c>
    </row>
    <row r="151" spans="1:15">
      <c r="A151" s="209">
        <f t="shared" si="4"/>
        <v>149</v>
      </c>
      <c r="B151" s="449" t="s">
        <v>284</v>
      </c>
      <c r="C151" s="22" t="s">
        <v>382</v>
      </c>
      <c r="D151" s="22" t="s">
        <v>382</v>
      </c>
      <c r="E151" s="22" t="s">
        <v>382</v>
      </c>
      <c r="F151" s="22" t="s">
        <v>382</v>
      </c>
      <c r="G151" s="22" t="s">
        <v>382</v>
      </c>
      <c r="H151" s="22" t="s">
        <v>382</v>
      </c>
      <c r="I151" s="22" t="s">
        <v>382</v>
      </c>
      <c r="J151" s="22" t="s">
        <v>382</v>
      </c>
      <c r="K151" s="22" t="s">
        <v>382</v>
      </c>
      <c r="L151" s="22" t="s">
        <v>382</v>
      </c>
      <c r="M151" s="22" t="s">
        <v>382</v>
      </c>
      <c r="N151" s="22" t="s">
        <v>382</v>
      </c>
      <c r="O151" s="22" t="s">
        <v>382</v>
      </c>
    </row>
    <row r="152" spans="1:15">
      <c r="A152" s="209">
        <f t="shared" si="4"/>
        <v>150</v>
      </c>
      <c r="B152" s="449" t="s">
        <v>285</v>
      </c>
      <c r="C152" s="22" t="s">
        <v>382</v>
      </c>
      <c r="D152" s="22" t="s">
        <v>382</v>
      </c>
      <c r="E152" s="22" t="s">
        <v>382</v>
      </c>
      <c r="F152" s="22" t="s">
        <v>382</v>
      </c>
      <c r="G152" s="22" t="s">
        <v>382</v>
      </c>
      <c r="H152" s="22" t="s">
        <v>382</v>
      </c>
      <c r="I152" s="22" t="s">
        <v>382</v>
      </c>
      <c r="J152" s="22" t="s">
        <v>382</v>
      </c>
      <c r="K152" s="22" t="s">
        <v>382</v>
      </c>
      <c r="L152" s="22" t="s">
        <v>382</v>
      </c>
      <c r="M152" s="22" t="s">
        <v>382</v>
      </c>
      <c r="N152" s="22" t="s">
        <v>382</v>
      </c>
      <c r="O152" s="22" t="s">
        <v>382</v>
      </c>
    </row>
    <row r="153" spans="1:15">
      <c r="A153" s="209">
        <f t="shared" si="4"/>
        <v>151</v>
      </c>
      <c r="B153" s="449" t="s">
        <v>286</v>
      </c>
      <c r="C153" s="22" t="s">
        <v>382</v>
      </c>
      <c r="D153" s="22" t="s">
        <v>382</v>
      </c>
      <c r="E153" s="22" t="s">
        <v>382</v>
      </c>
      <c r="F153" s="22" t="s">
        <v>382</v>
      </c>
      <c r="G153" s="22" t="s">
        <v>382</v>
      </c>
      <c r="H153" s="22" t="s">
        <v>382</v>
      </c>
      <c r="I153" s="22" t="s">
        <v>382</v>
      </c>
      <c r="J153" s="22" t="s">
        <v>382</v>
      </c>
      <c r="K153" s="22" t="s">
        <v>382</v>
      </c>
      <c r="L153" s="22" t="s">
        <v>382</v>
      </c>
      <c r="M153" s="22" t="s">
        <v>382</v>
      </c>
      <c r="N153" s="22" t="s">
        <v>382</v>
      </c>
      <c r="O153" s="22" t="s">
        <v>382</v>
      </c>
    </row>
    <row r="154" spans="1:15">
      <c r="A154" s="209">
        <f t="shared" si="4"/>
        <v>152</v>
      </c>
      <c r="B154" s="449" t="s">
        <v>287</v>
      </c>
      <c r="C154" s="22" t="s">
        <v>382</v>
      </c>
      <c r="D154" s="22" t="s">
        <v>382</v>
      </c>
      <c r="E154" s="22" t="s">
        <v>382</v>
      </c>
      <c r="F154" s="22" t="s">
        <v>382</v>
      </c>
      <c r="G154" s="22" t="s">
        <v>382</v>
      </c>
      <c r="H154" s="22" t="s">
        <v>382</v>
      </c>
      <c r="I154" s="22" t="s">
        <v>382</v>
      </c>
      <c r="J154" s="22" t="s">
        <v>382</v>
      </c>
      <c r="K154" s="22" t="s">
        <v>382</v>
      </c>
      <c r="L154" s="22" t="s">
        <v>382</v>
      </c>
      <c r="M154" s="22" t="s">
        <v>382</v>
      </c>
      <c r="N154" s="22" t="s">
        <v>382</v>
      </c>
      <c r="O154" s="22" t="s">
        <v>382</v>
      </c>
    </row>
    <row r="155" spans="1:15">
      <c r="A155" s="209">
        <f t="shared" si="4"/>
        <v>153</v>
      </c>
      <c r="B155" s="449" t="s">
        <v>290</v>
      </c>
      <c r="C155" s="22" t="s">
        <v>382</v>
      </c>
      <c r="D155" s="22" t="s">
        <v>382</v>
      </c>
      <c r="E155" s="22" t="s">
        <v>382</v>
      </c>
      <c r="F155" s="22" t="s">
        <v>382</v>
      </c>
      <c r="G155" s="22" t="s">
        <v>382</v>
      </c>
      <c r="H155" s="22" t="s">
        <v>382</v>
      </c>
      <c r="I155" s="22" t="s">
        <v>382</v>
      </c>
      <c r="J155" s="22" t="s">
        <v>382</v>
      </c>
      <c r="K155" s="22" t="s">
        <v>382</v>
      </c>
      <c r="L155" s="22" t="s">
        <v>382</v>
      </c>
      <c r="M155" s="22" t="s">
        <v>382</v>
      </c>
      <c r="N155" s="22" t="s">
        <v>382</v>
      </c>
      <c r="O155" s="22" t="s">
        <v>382</v>
      </c>
    </row>
    <row r="156" spans="1:15">
      <c r="A156" s="209">
        <f t="shared" si="4"/>
        <v>154</v>
      </c>
      <c r="B156" s="449" t="s">
        <v>292</v>
      </c>
      <c r="C156" s="22" t="s">
        <v>382</v>
      </c>
      <c r="D156" s="22" t="s">
        <v>382</v>
      </c>
      <c r="E156" s="22" t="s">
        <v>382</v>
      </c>
      <c r="F156" s="22" t="s">
        <v>382</v>
      </c>
      <c r="G156" s="22" t="s">
        <v>382</v>
      </c>
      <c r="H156" s="22" t="s">
        <v>382</v>
      </c>
      <c r="I156" s="22" t="s">
        <v>382</v>
      </c>
      <c r="J156" s="22" t="s">
        <v>382</v>
      </c>
      <c r="K156" s="22" t="s">
        <v>382</v>
      </c>
      <c r="L156" s="22" t="s">
        <v>382</v>
      </c>
      <c r="M156" s="22" t="s">
        <v>382</v>
      </c>
      <c r="N156" s="22" t="s">
        <v>382</v>
      </c>
      <c r="O156" s="22" t="s">
        <v>382</v>
      </c>
    </row>
    <row r="157" spans="1:15">
      <c r="A157" s="209">
        <f t="shared" si="4"/>
        <v>155</v>
      </c>
      <c r="B157" s="449" t="s">
        <v>296</v>
      </c>
      <c r="C157" s="22" t="s">
        <v>382</v>
      </c>
      <c r="D157" s="22" t="s">
        <v>382</v>
      </c>
      <c r="E157" s="22" t="s">
        <v>382</v>
      </c>
      <c r="F157" s="22" t="s">
        <v>382</v>
      </c>
      <c r="G157" s="22" t="s">
        <v>382</v>
      </c>
      <c r="H157" s="22" t="s">
        <v>382</v>
      </c>
      <c r="I157" s="22" t="s">
        <v>382</v>
      </c>
      <c r="J157" s="22" t="s">
        <v>382</v>
      </c>
      <c r="K157" s="22" t="s">
        <v>382</v>
      </c>
      <c r="L157" s="22" t="s">
        <v>382</v>
      </c>
      <c r="M157" s="22" t="s">
        <v>382</v>
      </c>
      <c r="N157" s="22" t="s">
        <v>382</v>
      </c>
      <c r="O157" s="22" t="s">
        <v>382</v>
      </c>
    </row>
    <row r="158" spans="1:15">
      <c r="A158" s="209">
        <f t="shared" si="4"/>
        <v>156</v>
      </c>
      <c r="B158" s="449" t="s">
        <v>297</v>
      </c>
      <c r="C158" s="22" t="s">
        <v>382</v>
      </c>
      <c r="D158" s="22" t="s">
        <v>382</v>
      </c>
      <c r="E158" s="22" t="s">
        <v>382</v>
      </c>
      <c r="F158" s="22" t="s">
        <v>382</v>
      </c>
      <c r="G158" s="22" t="s">
        <v>382</v>
      </c>
      <c r="H158" s="22" t="s">
        <v>382</v>
      </c>
      <c r="I158" s="22" t="s">
        <v>382</v>
      </c>
      <c r="J158" s="22" t="s">
        <v>382</v>
      </c>
      <c r="K158" s="22" t="s">
        <v>382</v>
      </c>
      <c r="L158" s="22" t="s">
        <v>382</v>
      </c>
      <c r="M158" s="22" t="s">
        <v>382</v>
      </c>
      <c r="N158" s="22" t="s">
        <v>382</v>
      </c>
      <c r="O158" s="22" t="s">
        <v>382</v>
      </c>
    </row>
    <row r="159" spans="1:15">
      <c r="A159" s="209">
        <f t="shared" si="4"/>
        <v>157</v>
      </c>
      <c r="B159" s="449" t="s">
        <v>298</v>
      </c>
      <c r="C159" s="22" t="s">
        <v>382</v>
      </c>
      <c r="D159" s="22" t="s">
        <v>382</v>
      </c>
      <c r="E159" s="22" t="s">
        <v>382</v>
      </c>
      <c r="F159" s="22" t="s">
        <v>382</v>
      </c>
      <c r="G159" s="22" t="s">
        <v>382</v>
      </c>
      <c r="H159" s="22" t="s">
        <v>382</v>
      </c>
      <c r="I159" s="22" t="s">
        <v>382</v>
      </c>
      <c r="J159" s="22" t="s">
        <v>382</v>
      </c>
      <c r="K159" s="22" t="s">
        <v>382</v>
      </c>
      <c r="L159" s="22" t="s">
        <v>382</v>
      </c>
      <c r="M159" s="22" t="s">
        <v>382</v>
      </c>
      <c r="N159" s="22" t="s">
        <v>382</v>
      </c>
      <c r="O159" s="22" t="s">
        <v>382</v>
      </c>
    </row>
    <row r="160" spans="1:15" ht="25.5">
      <c r="A160" s="209">
        <f t="shared" si="4"/>
        <v>158</v>
      </c>
      <c r="B160" s="449" t="s">
        <v>299</v>
      </c>
      <c r="C160" s="22" t="s">
        <v>382</v>
      </c>
      <c r="D160" s="22" t="s">
        <v>382</v>
      </c>
      <c r="E160" s="22" t="s">
        <v>382</v>
      </c>
      <c r="F160" s="22" t="s">
        <v>382</v>
      </c>
      <c r="G160" s="22" t="s">
        <v>382</v>
      </c>
      <c r="H160" s="22" t="s">
        <v>382</v>
      </c>
      <c r="I160" s="22" t="s">
        <v>382</v>
      </c>
      <c r="J160" s="22" t="s">
        <v>382</v>
      </c>
      <c r="K160" s="22" t="s">
        <v>382</v>
      </c>
      <c r="L160" s="22" t="s">
        <v>382</v>
      </c>
      <c r="M160" s="22" t="s">
        <v>382</v>
      </c>
      <c r="N160" s="22" t="s">
        <v>382</v>
      </c>
      <c r="O160" s="22" t="s">
        <v>382</v>
      </c>
    </row>
    <row r="161" spans="1:15">
      <c r="A161" s="209">
        <f t="shared" si="4"/>
        <v>159</v>
      </c>
      <c r="B161" s="449" t="s">
        <v>300</v>
      </c>
      <c r="C161" s="22" t="s">
        <v>382</v>
      </c>
      <c r="D161" s="22" t="s">
        <v>382</v>
      </c>
      <c r="E161" s="22" t="s">
        <v>382</v>
      </c>
      <c r="F161" s="22" t="s">
        <v>382</v>
      </c>
      <c r="G161" s="22" t="s">
        <v>382</v>
      </c>
      <c r="H161" s="22" t="s">
        <v>382</v>
      </c>
      <c r="I161" s="22" t="s">
        <v>382</v>
      </c>
      <c r="J161" s="22" t="s">
        <v>382</v>
      </c>
      <c r="K161" s="22" t="s">
        <v>382</v>
      </c>
      <c r="L161" s="22" t="s">
        <v>382</v>
      </c>
      <c r="M161" s="22" t="s">
        <v>382</v>
      </c>
      <c r="N161" s="22" t="s">
        <v>382</v>
      </c>
      <c r="O161" s="22" t="s">
        <v>382</v>
      </c>
    </row>
    <row r="162" spans="1:15">
      <c r="A162" s="209">
        <f t="shared" si="4"/>
        <v>160</v>
      </c>
      <c r="B162" s="449" t="s">
        <v>301</v>
      </c>
      <c r="C162" s="22" t="s">
        <v>382</v>
      </c>
      <c r="D162" s="22" t="s">
        <v>382</v>
      </c>
      <c r="E162" s="22" t="s">
        <v>382</v>
      </c>
      <c r="F162" s="22" t="s">
        <v>382</v>
      </c>
      <c r="G162" s="22" t="s">
        <v>382</v>
      </c>
      <c r="H162" s="22" t="s">
        <v>382</v>
      </c>
      <c r="I162" s="22" t="s">
        <v>382</v>
      </c>
      <c r="J162" s="22" t="s">
        <v>382</v>
      </c>
      <c r="K162" s="22" t="s">
        <v>382</v>
      </c>
      <c r="L162" s="22" t="s">
        <v>382</v>
      </c>
      <c r="M162" s="22" t="s">
        <v>382</v>
      </c>
      <c r="N162" s="22" t="s">
        <v>382</v>
      </c>
      <c r="O162" s="22" t="s">
        <v>382</v>
      </c>
    </row>
    <row r="163" spans="1:15">
      <c r="A163" s="209">
        <f t="shared" si="4"/>
        <v>161</v>
      </c>
      <c r="B163" s="449" t="s">
        <v>303</v>
      </c>
      <c r="C163" s="22" t="s">
        <v>382</v>
      </c>
      <c r="D163" s="22" t="s">
        <v>382</v>
      </c>
      <c r="E163" s="22" t="s">
        <v>382</v>
      </c>
      <c r="F163" s="22" t="s">
        <v>382</v>
      </c>
      <c r="G163" s="22" t="s">
        <v>382</v>
      </c>
      <c r="H163" s="22" t="s">
        <v>382</v>
      </c>
      <c r="I163" s="22" t="s">
        <v>382</v>
      </c>
      <c r="J163" s="22" t="s">
        <v>382</v>
      </c>
      <c r="K163" s="22" t="s">
        <v>382</v>
      </c>
      <c r="L163" s="22" t="s">
        <v>382</v>
      </c>
      <c r="M163" s="22" t="s">
        <v>382</v>
      </c>
      <c r="N163" s="22" t="s">
        <v>382</v>
      </c>
      <c r="O163" s="22" t="s">
        <v>382</v>
      </c>
    </row>
    <row r="164" spans="1:15">
      <c r="A164" s="209">
        <f t="shared" si="4"/>
        <v>162</v>
      </c>
      <c r="B164" s="449" t="s">
        <v>306</v>
      </c>
      <c r="C164" s="22" t="s">
        <v>382</v>
      </c>
      <c r="D164" s="22" t="s">
        <v>382</v>
      </c>
      <c r="E164" s="22" t="s">
        <v>382</v>
      </c>
      <c r="F164" s="22" t="s">
        <v>382</v>
      </c>
      <c r="G164" s="22" t="s">
        <v>382</v>
      </c>
      <c r="H164" s="22" t="s">
        <v>382</v>
      </c>
      <c r="I164" s="22" t="s">
        <v>382</v>
      </c>
      <c r="J164" s="22" t="s">
        <v>382</v>
      </c>
      <c r="K164" s="22" t="s">
        <v>382</v>
      </c>
      <c r="L164" s="22" t="s">
        <v>382</v>
      </c>
      <c r="M164" s="22" t="s">
        <v>382</v>
      </c>
      <c r="N164" s="22" t="s">
        <v>382</v>
      </c>
      <c r="O164" s="22" t="s">
        <v>382</v>
      </c>
    </row>
    <row r="165" spans="1:15">
      <c r="A165" s="209">
        <f t="shared" si="4"/>
        <v>163</v>
      </c>
      <c r="B165" s="449" t="s">
        <v>307</v>
      </c>
      <c r="C165" s="22" t="s">
        <v>382</v>
      </c>
      <c r="D165" s="22" t="s">
        <v>382</v>
      </c>
      <c r="E165" s="22" t="s">
        <v>382</v>
      </c>
      <c r="F165" s="22" t="s">
        <v>382</v>
      </c>
      <c r="G165" s="22" t="s">
        <v>382</v>
      </c>
      <c r="H165" s="22" t="s">
        <v>382</v>
      </c>
      <c r="I165" s="22" t="s">
        <v>382</v>
      </c>
      <c r="J165" s="22" t="s">
        <v>382</v>
      </c>
      <c r="K165" s="22" t="s">
        <v>382</v>
      </c>
      <c r="L165" s="22" t="s">
        <v>382</v>
      </c>
      <c r="M165" s="22" t="s">
        <v>382</v>
      </c>
      <c r="N165" s="22" t="s">
        <v>382</v>
      </c>
      <c r="O165" s="22" t="s">
        <v>382</v>
      </c>
    </row>
    <row r="166" spans="1:15" ht="25.5">
      <c r="A166" s="209">
        <f t="shared" si="4"/>
        <v>164</v>
      </c>
      <c r="B166" s="449" t="s">
        <v>308</v>
      </c>
      <c r="C166" s="22" t="s">
        <v>382</v>
      </c>
      <c r="D166" s="22" t="s">
        <v>382</v>
      </c>
      <c r="E166" s="22" t="s">
        <v>382</v>
      </c>
      <c r="F166" s="22" t="s">
        <v>382</v>
      </c>
      <c r="G166" s="22" t="s">
        <v>382</v>
      </c>
      <c r="H166" s="22" t="s">
        <v>382</v>
      </c>
      <c r="I166" s="22" t="s">
        <v>382</v>
      </c>
      <c r="J166" s="22" t="s">
        <v>382</v>
      </c>
      <c r="K166" s="22" t="s">
        <v>382</v>
      </c>
      <c r="L166" s="22" t="s">
        <v>382</v>
      </c>
      <c r="M166" s="22" t="s">
        <v>382</v>
      </c>
      <c r="N166" s="22" t="s">
        <v>382</v>
      </c>
      <c r="O166" s="22" t="s">
        <v>382</v>
      </c>
    </row>
    <row r="167" spans="1:15">
      <c r="A167" s="209">
        <f t="shared" si="4"/>
        <v>165</v>
      </c>
      <c r="B167" s="449" t="s">
        <v>309</v>
      </c>
      <c r="C167" s="22" t="s">
        <v>382</v>
      </c>
      <c r="D167" s="22" t="s">
        <v>382</v>
      </c>
      <c r="E167" s="22" t="s">
        <v>382</v>
      </c>
      <c r="F167" s="22" t="s">
        <v>382</v>
      </c>
      <c r="G167" s="22" t="s">
        <v>382</v>
      </c>
      <c r="H167" s="22" t="s">
        <v>382</v>
      </c>
      <c r="I167" s="22" t="s">
        <v>382</v>
      </c>
      <c r="J167" s="22" t="s">
        <v>382</v>
      </c>
      <c r="K167" s="22" t="s">
        <v>382</v>
      </c>
      <c r="L167" s="22" t="s">
        <v>382</v>
      </c>
      <c r="M167" s="22" t="s">
        <v>382</v>
      </c>
      <c r="N167" s="22" t="s">
        <v>382</v>
      </c>
      <c r="O167" s="22" t="s">
        <v>382</v>
      </c>
    </row>
    <row r="168" spans="1:15">
      <c r="A168" s="209">
        <f t="shared" si="4"/>
        <v>166</v>
      </c>
      <c r="B168" s="449" t="s">
        <v>311</v>
      </c>
      <c r="C168" s="22" t="s">
        <v>382</v>
      </c>
      <c r="D168" s="22" t="s">
        <v>382</v>
      </c>
      <c r="E168" s="22" t="s">
        <v>382</v>
      </c>
      <c r="F168" s="22" t="s">
        <v>382</v>
      </c>
      <c r="G168" s="22" t="s">
        <v>382</v>
      </c>
      <c r="H168" s="22" t="s">
        <v>382</v>
      </c>
      <c r="I168" s="22" t="s">
        <v>382</v>
      </c>
      <c r="J168" s="22" t="s">
        <v>382</v>
      </c>
      <c r="K168" s="22" t="s">
        <v>382</v>
      </c>
      <c r="L168" s="22" t="s">
        <v>382</v>
      </c>
      <c r="M168" s="22" t="s">
        <v>382</v>
      </c>
      <c r="N168" s="22" t="s">
        <v>382</v>
      </c>
      <c r="O168" s="22" t="s">
        <v>382</v>
      </c>
    </row>
    <row r="169" spans="1:15">
      <c r="A169" s="209">
        <f t="shared" si="4"/>
        <v>167</v>
      </c>
      <c r="B169" s="449" t="s">
        <v>314</v>
      </c>
      <c r="C169" s="22" t="s">
        <v>382</v>
      </c>
      <c r="D169" s="22" t="s">
        <v>382</v>
      </c>
      <c r="E169" s="22" t="s">
        <v>382</v>
      </c>
      <c r="F169" s="22" t="s">
        <v>382</v>
      </c>
      <c r="G169" s="22" t="s">
        <v>382</v>
      </c>
      <c r="H169" s="22" t="s">
        <v>382</v>
      </c>
      <c r="I169" s="22" t="s">
        <v>382</v>
      </c>
      <c r="J169" s="22" t="s">
        <v>382</v>
      </c>
      <c r="K169" s="22" t="s">
        <v>382</v>
      </c>
      <c r="L169" s="22" t="s">
        <v>382</v>
      </c>
      <c r="M169" s="22" t="s">
        <v>382</v>
      </c>
      <c r="N169" s="22" t="s">
        <v>382</v>
      </c>
      <c r="O169" s="22" t="s">
        <v>382</v>
      </c>
    </row>
    <row r="170" spans="1:15">
      <c r="A170" s="209">
        <f t="shared" si="4"/>
        <v>168</v>
      </c>
      <c r="B170" s="449" t="s">
        <v>315</v>
      </c>
      <c r="C170" s="22" t="s">
        <v>382</v>
      </c>
      <c r="D170" s="22" t="s">
        <v>382</v>
      </c>
      <c r="E170" s="22" t="s">
        <v>382</v>
      </c>
      <c r="F170" s="22" t="s">
        <v>382</v>
      </c>
      <c r="G170" s="22" t="s">
        <v>382</v>
      </c>
      <c r="H170" s="22" t="s">
        <v>382</v>
      </c>
      <c r="I170" s="22" t="s">
        <v>382</v>
      </c>
      <c r="J170" s="22" t="s">
        <v>382</v>
      </c>
      <c r="K170" s="22" t="s">
        <v>382</v>
      </c>
      <c r="L170" s="22" t="s">
        <v>382</v>
      </c>
      <c r="M170" s="22" t="s">
        <v>382</v>
      </c>
      <c r="N170" s="22" t="s">
        <v>382</v>
      </c>
      <c r="O170" s="22" t="s">
        <v>382</v>
      </c>
    </row>
    <row r="171" spans="1:15">
      <c r="A171" s="209">
        <f t="shared" si="4"/>
        <v>169</v>
      </c>
      <c r="B171" s="449" t="s">
        <v>316</v>
      </c>
      <c r="C171" s="22" t="s">
        <v>382</v>
      </c>
      <c r="D171" s="22" t="s">
        <v>382</v>
      </c>
      <c r="E171" s="22" t="s">
        <v>382</v>
      </c>
      <c r="F171" s="22" t="s">
        <v>382</v>
      </c>
      <c r="G171" s="22" t="s">
        <v>382</v>
      </c>
      <c r="H171" s="22" t="s">
        <v>382</v>
      </c>
      <c r="I171" s="22" t="s">
        <v>382</v>
      </c>
      <c r="J171" s="22" t="s">
        <v>382</v>
      </c>
      <c r="K171" s="22" t="s">
        <v>382</v>
      </c>
      <c r="L171" s="22" t="s">
        <v>382</v>
      </c>
      <c r="M171" s="22" t="s">
        <v>382</v>
      </c>
      <c r="N171" s="22" t="s">
        <v>382</v>
      </c>
      <c r="O171" s="22" t="s">
        <v>382</v>
      </c>
    </row>
    <row r="172" spans="1:15">
      <c r="A172" s="209">
        <f t="shared" si="4"/>
        <v>170</v>
      </c>
      <c r="B172" s="449" t="s">
        <v>317</v>
      </c>
      <c r="C172" s="22" t="s">
        <v>382</v>
      </c>
      <c r="D172" s="22" t="s">
        <v>382</v>
      </c>
      <c r="E172" s="22" t="s">
        <v>382</v>
      </c>
      <c r="F172" s="22" t="s">
        <v>382</v>
      </c>
      <c r="G172" s="22" t="s">
        <v>382</v>
      </c>
      <c r="H172" s="22" t="s">
        <v>382</v>
      </c>
      <c r="I172" s="22" t="s">
        <v>382</v>
      </c>
      <c r="J172" s="22" t="s">
        <v>382</v>
      </c>
      <c r="K172" s="22" t="s">
        <v>382</v>
      </c>
      <c r="L172" s="22" t="s">
        <v>382</v>
      </c>
      <c r="M172" s="22" t="s">
        <v>382</v>
      </c>
      <c r="N172" s="22" t="s">
        <v>382</v>
      </c>
      <c r="O172" s="22" t="s">
        <v>382</v>
      </c>
    </row>
    <row r="173" spans="1:15" ht="25.5">
      <c r="A173" s="209">
        <f t="shared" ref="A173:A189" si="5">SUM(A172+1)</f>
        <v>171</v>
      </c>
      <c r="B173" s="449" t="s">
        <v>318</v>
      </c>
      <c r="C173" s="22" t="s">
        <v>382</v>
      </c>
      <c r="D173" s="22" t="s">
        <v>382</v>
      </c>
      <c r="E173" s="22" t="s">
        <v>382</v>
      </c>
      <c r="F173" s="22" t="s">
        <v>382</v>
      </c>
      <c r="G173" s="22" t="s">
        <v>382</v>
      </c>
      <c r="H173" s="22" t="s">
        <v>382</v>
      </c>
      <c r="I173" s="22" t="s">
        <v>382</v>
      </c>
      <c r="J173" s="22" t="s">
        <v>382</v>
      </c>
      <c r="K173" s="22" t="s">
        <v>382</v>
      </c>
      <c r="L173" s="22" t="s">
        <v>382</v>
      </c>
      <c r="M173" s="22" t="s">
        <v>382</v>
      </c>
      <c r="N173" s="22" t="s">
        <v>382</v>
      </c>
      <c r="O173" s="22" t="s">
        <v>382</v>
      </c>
    </row>
    <row r="174" spans="1:15">
      <c r="A174" s="209">
        <f t="shared" si="5"/>
        <v>172</v>
      </c>
      <c r="B174" s="449" t="s">
        <v>319</v>
      </c>
      <c r="C174" s="22" t="s">
        <v>382</v>
      </c>
      <c r="D174" s="22" t="s">
        <v>382</v>
      </c>
      <c r="E174" s="22" t="s">
        <v>382</v>
      </c>
      <c r="F174" s="22" t="s">
        <v>382</v>
      </c>
      <c r="G174" s="22" t="s">
        <v>382</v>
      </c>
      <c r="H174" s="22" t="s">
        <v>382</v>
      </c>
      <c r="I174" s="22" t="s">
        <v>382</v>
      </c>
      <c r="J174" s="22" t="s">
        <v>382</v>
      </c>
      <c r="K174" s="22" t="s">
        <v>382</v>
      </c>
      <c r="L174" s="22" t="s">
        <v>382</v>
      </c>
      <c r="M174" s="22" t="s">
        <v>382</v>
      </c>
      <c r="N174" s="22" t="s">
        <v>382</v>
      </c>
      <c r="O174" s="22" t="s">
        <v>382</v>
      </c>
    </row>
    <row r="175" spans="1:15">
      <c r="A175" s="209">
        <f t="shared" si="5"/>
        <v>173</v>
      </c>
      <c r="B175" s="449" t="s">
        <v>320</v>
      </c>
      <c r="C175" s="22" t="s">
        <v>382</v>
      </c>
      <c r="D175" s="22" t="s">
        <v>382</v>
      </c>
      <c r="E175" s="22" t="s">
        <v>382</v>
      </c>
      <c r="F175" s="22" t="s">
        <v>382</v>
      </c>
      <c r="G175" s="22" t="s">
        <v>382</v>
      </c>
      <c r="H175" s="22" t="s">
        <v>382</v>
      </c>
      <c r="I175" s="22" t="s">
        <v>382</v>
      </c>
      <c r="J175" s="22" t="s">
        <v>382</v>
      </c>
      <c r="K175" s="22" t="s">
        <v>382</v>
      </c>
      <c r="L175" s="22" t="s">
        <v>382</v>
      </c>
      <c r="M175" s="22" t="s">
        <v>382</v>
      </c>
      <c r="N175" s="22" t="s">
        <v>382</v>
      </c>
      <c r="O175" s="22" t="s">
        <v>382</v>
      </c>
    </row>
    <row r="176" spans="1:15">
      <c r="A176" s="209">
        <f t="shared" si="5"/>
        <v>174</v>
      </c>
      <c r="B176" s="449" t="s">
        <v>321</v>
      </c>
      <c r="C176" s="22" t="s">
        <v>382</v>
      </c>
      <c r="D176" s="22" t="s">
        <v>382</v>
      </c>
      <c r="E176" s="22" t="s">
        <v>382</v>
      </c>
      <c r="F176" s="22" t="s">
        <v>382</v>
      </c>
      <c r="G176" s="22" t="s">
        <v>382</v>
      </c>
      <c r="H176" s="22" t="s">
        <v>382</v>
      </c>
      <c r="I176" s="22" t="s">
        <v>382</v>
      </c>
      <c r="J176" s="22" t="s">
        <v>382</v>
      </c>
      <c r="K176" s="22" t="s">
        <v>382</v>
      </c>
      <c r="L176" s="22" t="s">
        <v>382</v>
      </c>
      <c r="M176" s="22" t="s">
        <v>382</v>
      </c>
      <c r="N176" s="22" t="s">
        <v>382</v>
      </c>
      <c r="O176" s="22" t="s">
        <v>382</v>
      </c>
    </row>
    <row r="177" spans="1:15" ht="25.5">
      <c r="A177" s="209">
        <f t="shared" si="5"/>
        <v>175</v>
      </c>
      <c r="B177" s="449" t="s">
        <v>324</v>
      </c>
      <c r="C177" s="22" t="s">
        <v>382</v>
      </c>
      <c r="D177" s="22" t="s">
        <v>382</v>
      </c>
      <c r="E177" s="22" t="s">
        <v>382</v>
      </c>
      <c r="F177" s="22" t="s">
        <v>382</v>
      </c>
      <c r="G177" s="22" t="s">
        <v>382</v>
      </c>
      <c r="H177" s="22" t="s">
        <v>382</v>
      </c>
      <c r="I177" s="22" t="s">
        <v>382</v>
      </c>
      <c r="J177" s="22" t="s">
        <v>382</v>
      </c>
      <c r="K177" s="22" t="s">
        <v>382</v>
      </c>
      <c r="L177" s="22" t="s">
        <v>382</v>
      </c>
      <c r="M177" s="22" t="s">
        <v>382</v>
      </c>
      <c r="N177" s="22" t="s">
        <v>382</v>
      </c>
      <c r="O177" s="22" t="s">
        <v>382</v>
      </c>
    </row>
    <row r="178" spans="1:15">
      <c r="A178" s="209">
        <f t="shared" si="5"/>
        <v>176</v>
      </c>
      <c r="B178" s="449" t="s">
        <v>325</v>
      </c>
      <c r="C178" s="22" t="s">
        <v>382</v>
      </c>
      <c r="D178" s="22" t="s">
        <v>382</v>
      </c>
      <c r="E178" s="22" t="s">
        <v>382</v>
      </c>
      <c r="F178" s="22" t="s">
        <v>382</v>
      </c>
      <c r="G178" s="22" t="s">
        <v>382</v>
      </c>
      <c r="H178" s="22" t="s">
        <v>382</v>
      </c>
      <c r="I178" s="22" t="s">
        <v>382</v>
      </c>
      <c r="J178" s="22" t="s">
        <v>382</v>
      </c>
      <c r="K178" s="22" t="s">
        <v>382</v>
      </c>
      <c r="L178" s="22" t="s">
        <v>382</v>
      </c>
      <c r="M178" s="22" t="s">
        <v>382</v>
      </c>
      <c r="N178" s="22" t="s">
        <v>382</v>
      </c>
      <c r="O178" s="22" t="s">
        <v>382</v>
      </c>
    </row>
    <row r="179" spans="1:15">
      <c r="A179" s="209">
        <f t="shared" si="5"/>
        <v>177</v>
      </c>
      <c r="B179" s="449" t="s">
        <v>327</v>
      </c>
      <c r="C179" s="22" t="s">
        <v>382</v>
      </c>
      <c r="D179" s="22" t="s">
        <v>382</v>
      </c>
      <c r="E179" s="22" t="s">
        <v>382</v>
      </c>
      <c r="F179" s="22" t="s">
        <v>382</v>
      </c>
      <c r="G179" s="22" t="s">
        <v>382</v>
      </c>
      <c r="H179" s="22" t="s">
        <v>382</v>
      </c>
      <c r="I179" s="22" t="s">
        <v>382</v>
      </c>
      <c r="J179" s="22" t="s">
        <v>382</v>
      </c>
      <c r="K179" s="22" t="s">
        <v>382</v>
      </c>
      <c r="L179" s="22" t="s">
        <v>382</v>
      </c>
      <c r="M179" s="22" t="s">
        <v>382</v>
      </c>
      <c r="N179" s="22" t="s">
        <v>382</v>
      </c>
      <c r="O179" s="22" t="s">
        <v>382</v>
      </c>
    </row>
    <row r="180" spans="1:15">
      <c r="A180" s="209">
        <f t="shared" si="5"/>
        <v>178</v>
      </c>
      <c r="B180" s="449" t="s">
        <v>331</v>
      </c>
      <c r="C180" s="22" t="s">
        <v>382</v>
      </c>
      <c r="D180" s="22" t="s">
        <v>382</v>
      </c>
      <c r="E180" s="22" t="s">
        <v>382</v>
      </c>
      <c r="F180" s="22" t="s">
        <v>382</v>
      </c>
      <c r="G180" s="22" t="s">
        <v>382</v>
      </c>
      <c r="H180" s="22" t="s">
        <v>382</v>
      </c>
      <c r="I180" s="22" t="s">
        <v>382</v>
      </c>
      <c r="J180" s="22" t="s">
        <v>382</v>
      </c>
      <c r="K180" s="22" t="s">
        <v>382</v>
      </c>
      <c r="L180" s="22" t="s">
        <v>382</v>
      </c>
      <c r="M180" s="22" t="s">
        <v>382</v>
      </c>
      <c r="N180" s="22" t="s">
        <v>382</v>
      </c>
      <c r="O180" s="22" t="s">
        <v>382</v>
      </c>
    </row>
    <row r="181" spans="1:15">
      <c r="A181" s="209">
        <f t="shared" si="5"/>
        <v>179</v>
      </c>
      <c r="B181" s="449" t="s">
        <v>332</v>
      </c>
      <c r="C181" s="22" t="s">
        <v>382</v>
      </c>
      <c r="D181" s="22" t="s">
        <v>382</v>
      </c>
      <c r="E181" s="22" t="s">
        <v>382</v>
      </c>
      <c r="F181" s="22" t="s">
        <v>382</v>
      </c>
      <c r="G181" s="22" t="s">
        <v>382</v>
      </c>
      <c r="H181" s="22" t="s">
        <v>382</v>
      </c>
      <c r="I181" s="22" t="s">
        <v>382</v>
      </c>
      <c r="J181" s="22" t="s">
        <v>382</v>
      </c>
      <c r="K181" s="22" t="s">
        <v>382</v>
      </c>
      <c r="L181" s="22" t="s">
        <v>382</v>
      </c>
      <c r="M181" s="22" t="s">
        <v>382</v>
      </c>
      <c r="N181" s="22" t="s">
        <v>382</v>
      </c>
      <c r="O181" s="22" t="s">
        <v>382</v>
      </c>
    </row>
    <row r="182" spans="1:15">
      <c r="A182" s="209">
        <f t="shared" si="5"/>
        <v>180</v>
      </c>
      <c r="B182" s="449" t="s">
        <v>322</v>
      </c>
      <c r="C182" s="22" t="s">
        <v>382</v>
      </c>
      <c r="D182" s="22" t="s">
        <v>382</v>
      </c>
      <c r="E182" s="22" t="s">
        <v>382</v>
      </c>
      <c r="F182" s="22" t="s">
        <v>382</v>
      </c>
      <c r="G182" s="22" t="s">
        <v>382</v>
      </c>
      <c r="H182" s="22" t="s">
        <v>382</v>
      </c>
      <c r="I182" s="22" t="s">
        <v>382</v>
      </c>
      <c r="J182" s="22" t="s">
        <v>382</v>
      </c>
      <c r="K182" s="22" t="s">
        <v>382</v>
      </c>
      <c r="L182" s="22" t="s">
        <v>382</v>
      </c>
      <c r="M182" s="22" t="s">
        <v>382</v>
      </c>
      <c r="N182" s="22" t="s">
        <v>382</v>
      </c>
      <c r="O182" s="22" t="s">
        <v>382</v>
      </c>
    </row>
    <row r="183" spans="1:15" ht="25.5">
      <c r="A183" s="209">
        <f t="shared" si="5"/>
        <v>181</v>
      </c>
      <c r="B183" s="449" t="s">
        <v>323</v>
      </c>
      <c r="C183" s="22" t="s">
        <v>382</v>
      </c>
      <c r="D183" s="22" t="s">
        <v>382</v>
      </c>
      <c r="E183" s="22" t="s">
        <v>382</v>
      </c>
      <c r="F183" s="22" t="s">
        <v>382</v>
      </c>
      <c r="G183" s="22" t="s">
        <v>382</v>
      </c>
      <c r="H183" s="22" t="s">
        <v>382</v>
      </c>
      <c r="I183" s="22" t="s">
        <v>382</v>
      </c>
      <c r="J183" s="22" t="s">
        <v>382</v>
      </c>
      <c r="K183" s="22" t="s">
        <v>382</v>
      </c>
      <c r="L183" s="22" t="s">
        <v>382</v>
      </c>
      <c r="M183" s="22" t="s">
        <v>382</v>
      </c>
      <c r="N183" s="22" t="s">
        <v>382</v>
      </c>
      <c r="O183" s="22" t="s">
        <v>382</v>
      </c>
    </row>
    <row r="184" spans="1:15" ht="25.5">
      <c r="A184" s="209">
        <f t="shared" si="5"/>
        <v>182</v>
      </c>
      <c r="B184" s="449" t="s">
        <v>324</v>
      </c>
      <c r="C184" s="22" t="s">
        <v>382</v>
      </c>
      <c r="D184" s="22" t="s">
        <v>382</v>
      </c>
      <c r="E184" s="22" t="s">
        <v>382</v>
      </c>
      <c r="F184" s="22" t="s">
        <v>382</v>
      </c>
      <c r="G184" s="22" t="s">
        <v>382</v>
      </c>
      <c r="H184" s="22" t="s">
        <v>382</v>
      </c>
      <c r="I184" s="22" t="s">
        <v>382</v>
      </c>
      <c r="J184" s="22" t="s">
        <v>382</v>
      </c>
      <c r="K184" s="22" t="s">
        <v>382</v>
      </c>
      <c r="L184" s="22" t="s">
        <v>382</v>
      </c>
      <c r="M184" s="22" t="s">
        <v>382</v>
      </c>
      <c r="N184" s="22" t="s">
        <v>382</v>
      </c>
      <c r="O184" s="22" t="s">
        <v>382</v>
      </c>
    </row>
    <row r="185" spans="1:15">
      <c r="A185" s="209">
        <f t="shared" si="5"/>
        <v>183</v>
      </c>
      <c r="B185" s="449" t="s">
        <v>325</v>
      </c>
      <c r="C185" s="22" t="s">
        <v>382</v>
      </c>
      <c r="D185" s="22" t="s">
        <v>382</v>
      </c>
      <c r="E185" s="22" t="s">
        <v>382</v>
      </c>
      <c r="F185" s="22" t="s">
        <v>382</v>
      </c>
      <c r="G185" s="22" t="s">
        <v>382</v>
      </c>
      <c r="H185" s="22" t="s">
        <v>382</v>
      </c>
      <c r="I185" s="22" t="s">
        <v>382</v>
      </c>
      <c r="J185" s="22" t="s">
        <v>382</v>
      </c>
      <c r="K185" s="22" t="s">
        <v>382</v>
      </c>
      <c r="L185" s="22" t="s">
        <v>382</v>
      </c>
      <c r="M185" s="22" t="s">
        <v>382</v>
      </c>
      <c r="N185" s="22" t="s">
        <v>382</v>
      </c>
      <c r="O185" s="22" t="s">
        <v>382</v>
      </c>
    </row>
    <row r="186" spans="1:15">
      <c r="A186" s="209">
        <f t="shared" si="5"/>
        <v>184</v>
      </c>
      <c r="B186" s="449" t="s">
        <v>326</v>
      </c>
      <c r="C186" s="22" t="s">
        <v>382</v>
      </c>
      <c r="D186" s="22" t="s">
        <v>382</v>
      </c>
      <c r="E186" s="22" t="s">
        <v>382</v>
      </c>
      <c r="F186" s="22" t="s">
        <v>382</v>
      </c>
      <c r="G186" s="22" t="s">
        <v>382</v>
      </c>
      <c r="H186" s="22" t="s">
        <v>382</v>
      </c>
      <c r="I186" s="22" t="s">
        <v>382</v>
      </c>
      <c r="J186" s="22" t="s">
        <v>382</v>
      </c>
      <c r="K186" s="22" t="s">
        <v>382</v>
      </c>
      <c r="L186" s="22" t="s">
        <v>382</v>
      </c>
      <c r="M186" s="22" t="s">
        <v>382</v>
      </c>
      <c r="N186" s="22" t="s">
        <v>382</v>
      </c>
      <c r="O186" s="22" t="s">
        <v>382</v>
      </c>
    </row>
    <row r="187" spans="1:15">
      <c r="A187" s="209">
        <f t="shared" si="5"/>
        <v>185</v>
      </c>
      <c r="B187" s="449" t="s">
        <v>327</v>
      </c>
      <c r="C187" s="22" t="s">
        <v>382</v>
      </c>
      <c r="D187" s="22" t="s">
        <v>382</v>
      </c>
      <c r="E187" s="22" t="s">
        <v>382</v>
      </c>
      <c r="F187" s="22" t="s">
        <v>382</v>
      </c>
      <c r="G187" s="22" t="s">
        <v>382</v>
      </c>
      <c r="H187" s="22" t="s">
        <v>382</v>
      </c>
      <c r="I187" s="22" t="s">
        <v>382</v>
      </c>
      <c r="J187" s="22" t="s">
        <v>382</v>
      </c>
      <c r="K187" s="22" t="s">
        <v>382</v>
      </c>
      <c r="L187" s="22" t="s">
        <v>382</v>
      </c>
      <c r="M187" s="22" t="s">
        <v>382</v>
      </c>
      <c r="N187" s="22" t="s">
        <v>382</v>
      </c>
      <c r="O187" s="22" t="s">
        <v>382</v>
      </c>
    </row>
    <row r="188" spans="1:15">
      <c r="A188" s="209">
        <f t="shared" si="5"/>
        <v>186</v>
      </c>
      <c r="B188" s="449" t="s">
        <v>331</v>
      </c>
      <c r="C188" s="22" t="s">
        <v>382</v>
      </c>
      <c r="D188" s="22" t="s">
        <v>382</v>
      </c>
      <c r="E188" s="22" t="s">
        <v>382</v>
      </c>
      <c r="F188" s="22" t="s">
        <v>382</v>
      </c>
      <c r="G188" s="22" t="s">
        <v>382</v>
      </c>
      <c r="H188" s="22" t="s">
        <v>382</v>
      </c>
      <c r="I188" s="22" t="s">
        <v>382</v>
      </c>
      <c r="J188" s="22" t="s">
        <v>382</v>
      </c>
      <c r="K188" s="22" t="s">
        <v>382</v>
      </c>
      <c r="L188" s="22" t="s">
        <v>382</v>
      </c>
      <c r="M188" s="22" t="s">
        <v>382</v>
      </c>
      <c r="N188" s="22" t="s">
        <v>382</v>
      </c>
      <c r="O188" s="22" t="s">
        <v>382</v>
      </c>
    </row>
    <row r="189" spans="1:15">
      <c r="A189" s="209">
        <f t="shared" si="5"/>
        <v>187</v>
      </c>
      <c r="B189" s="449" t="s">
        <v>332</v>
      </c>
      <c r="C189" s="22" t="s">
        <v>382</v>
      </c>
      <c r="D189" s="22" t="s">
        <v>382</v>
      </c>
      <c r="E189" s="22" t="s">
        <v>382</v>
      </c>
      <c r="F189" s="22" t="s">
        <v>382</v>
      </c>
      <c r="G189" s="22" t="s">
        <v>382</v>
      </c>
      <c r="H189" s="22" t="s">
        <v>382</v>
      </c>
      <c r="I189" s="22" t="s">
        <v>382</v>
      </c>
      <c r="J189" s="22" t="s">
        <v>382</v>
      </c>
      <c r="K189" s="22" t="s">
        <v>382</v>
      </c>
      <c r="L189" s="22" t="s">
        <v>382</v>
      </c>
      <c r="M189" s="22" t="s">
        <v>382</v>
      </c>
      <c r="N189" s="22" t="s">
        <v>382</v>
      </c>
      <c r="O189" s="22" t="s">
        <v>382</v>
      </c>
    </row>
  </sheetData>
  <mergeCells count="1">
    <mergeCell ref="A1:H1"/>
  </mergeCells>
  <conditionalFormatting sqref="B102:B118">
    <cfRule type="duplicateValues" dxfId="446" priority="6"/>
  </conditionalFormatting>
  <conditionalFormatting sqref="B119:B159">
    <cfRule type="duplicateValues" dxfId="445" priority="5"/>
  </conditionalFormatting>
  <conditionalFormatting sqref="B160">
    <cfRule type="duplicateValues" dxfId="444" priority="1"/>
  </conditionalFormatting>
  <conditionalFormatting sqref="B161:B164">
    <cfRule type="duplicateValues" dxfId="443" priority="2"/>
  </conditionalFormatting>
  <conditionalFormatting sqref="B165">
    <cfRule type="duplicateValues" dxfId="442" priority="3"/>
  </conditionalFormatting>
  <conditionalFormatting sqref="B166:B181">
    <cfRule type="duplicateValues" dxfId="441" priority="4"/>
  </conditionalFormatting>
  <conditionalFormatting sqref="B182:B189">
    <cfRule type="duplicateValues" dxfId="440" priority="7"/>
  </conditionalFormatting>
  <hyperlinks>
    <hyperlink ref="P25" r:id="rId1" display="javascript:void(0);" xr:uid="{E24F6A8D-0485-451F-B65F-FC85272F754D}"/>
    <hyperlink ref="P26" r:id="rId2" display="javascript:void(0);" xr:uid="{38553C19-EFB5-4A29-92C4-568DDFEA15EB}"/>
    <hyperlink ref="P27" r:id="rId3" display="javascript:void(0);" xr:uid="{2DDBF6F0-F383-4B0A-B8A5-A256A1D5033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816F2-BD91-4E84-B2B8-0411B199FA8F}">
  <sheetPr>
    <tabColor rgb="FF006432"/>
  </sheetPr>
  <dimension ref="A1:G148"/>
  <sheetViews>
    <sheetView workbookViewId="0">
      <pane ySplit="2" topLeftCell="A3" activePane="bottomLeft" state="frozen"/>
      <selection pane="bottomLeft" activeCell="C121" sqref="C121"/>
    </sheetView>
  </sheetViews>
  <sheetFormatPr defaultRowHeight="15"/>
  <cols>
    <col min="1" max="1" width="4.42578125" style="5" customWidth="1"/>
    <col min="2" max="2" width="32.85546875" style="211" customWidth="1"/>
    <col min="3" max="3" width="22.7109375" customWidth="1"/>
    <col min="4" max="4" width="12.5703125" customWidth="1"/>
    <col min="5" max="5" width="12.28515625" customWidth="1"/>
    <col min="6" max="6" width="10.85546875" customWidth="1"/>
    <col min="7" max="7" width="11" customWidth="1"/>
  </cols>
  <sheetData>
    <row r="1" spans="1:7" ht="16.5" thickBot="1">
      <c r="A1" s="641" t="s">
        <v>8403</v>
      </c>
      <c r="B1" s="641"/>
      <c r="C1" s="641"/>
      <c r="D1" s="641"/>
      <c r="E1" s="641"/>
      <c r="F1" s="641"/>
      <c r="G1" s="641"/>
    </row>
    <row r="2" spans="1:7" ht="5.25" customHeight="1" thickTop="1"/>
    <row r="3" spans="1:7" ht="51">
      <c r="A3" s="94" t="s">
        <v>114</v>
      </c>
      <c r="B3" s="46" t="s">
        <v>690</v>
      </c>
      <c r="C3" s="46" t="s">
        <v>8404</v>
      </c>
      <c r="D3" s="46" t="s">
        <v>8405</v>
      </c>
      <c r="E3" s="46" t="s">
        <v>8406</v>
      </c>
      <c r="F3" s="46" t="s">
        <v>8407</v>
      </c>
      <c r="G3" s="46" t="s">
        <v>8408</v>
      </c>
    </row>
    <row r="4" spans="1:7">
      <c r="A4" s="209">
        <v>1</v>
      </c>
      <c r="B4" s="266" t="s">
        <v>131</v>
      </c>
      <c r="C4" s="216" t="s">
        <v>8409</v>
      </c>
      <c r="D4" s="450">
        <v>100</v>
      </c>
      <c r="E4" s="450">
        <v>100</v>
      </c>
      <c r="F4" s="450">
        <v>0</v>
      </c>
      <c r="G4" s="450">
        <v>0</v>
      </c>
    </row>
    <row r="5" spans="1:7">
      <c r="A5" s="209">
        <f>A4+1</f>
        <v>2</v>
      </c>
      <c r="B5" s="266" t="s">
        <v>133</v>
      </c>
      <c r="C5" s="216" t="s">
        <v>8410</v>
      </c>
      <c r="D5" s="450">
        <v>100</v>
      </c>
      <c r="E5" s="450">
        <v>100</v>
      </c>
      <c r="F5" s="450">
        <v>100</v>
      </c>
      <c r="G5" s="450">
        <v>100</v>
      </c>
    </row>
    <row r="6" spans="1:7">
      <c r="A6" s="209">
        <f t="shared" ref="A6:A69" si="0">A5+1</f>
        <v>3</v>
      </c>
      <c r="B6" s="216" t="s">
        <v>136</v>
      </c>
      <c r="C6" s="216" t="s">
        <v>8411</v>
      </c>
      <c r="D6" s="450">
        <v>100</v>
      </c>
      <c r="E6" s="450">
        <v>100</v>
      </c>
      <c r="F6" s="450">
        <v>100</v>
      </c>
      <c r="G6" s="450">
        <v>0</v>
      </c>
    </row>
    <row r="7" spans="1:7">
      <c r="A7" s="209">
        <f t="shared" si="0"/>
        <v>4</v>
      </c>
      <c r="B7" s="266" t="s">
        <v>140</v>
      </c>
      <c r="C7" s="216" t="s">
        <v>8412</v>
      </c>
      <c r="D7" s="450">
        <v>12000</v>
      </c>
      <c r="E7" s="450">
        <v>100</v>
      </c>
      <c r="F7" s="450">
        <v>100</v>
      </c>
      <c r="G7" s="450">
        <v>0</v>
      </c>
    </row>
    <row r="8" spans="1:7">
      <c r="A8" s="209">
        <f t="shared" si="0"/>
        <v>5</v>
      </c>
      <c r="B8" s="266" t="s">
        <v>629</v>
      </c>
      <c r="C8" s="216" t="s">
        <v>8413</v>
      </c>
      <c r="D8" s="450">
        <v>55</v>
      </c>
      <c r="E8" s="450">
        <v>55</v>
      </c>
      <c r="F8" s="450">
        <v>100</v>
      </c>
      <c r="G8" s="450">
        <v>0</v>
      </c>
    </row>
    <row r="9" spans="1:7">
      <c r="A9" s="209">
        <f t="shared" si="0"/>
        <v>6</v>
      </c>
      <c r="B9" s="216" t="s">
        <v>155</v>
      </c>
      <c r="C9" s="216" t="s">
        <v>8414</v>
      </c>
      <c r="D9" s="450">
        <v>238</v>
      </c>
      <c r="E9" s="450">
        <v>17</v>
      </c>
      <c r="F9" s="450">
        <v>0</v>
      </c>
      <c r="G9" s="450">
        <v>0</v>
      </c>
    </row>
    <row r="10" spans="1:7">
      <c r="A10" s="209">
        <f t="shared" si="0"/>
        <v>7</v>
      </c>
      <c r="B10" s="266" t="s">
        <v>155</v>
      </c>
      <c r="C10" s="216" t="s">
        <v>8415</v>
      </c>
      <c r="D10" s="450">
        <v>477</v>
      </c>
      <c r="E10" s="450">
        <v>34</v>
      </c>
      <c r="F10" s="450">
        <v>0</v>
      </c>
      <c r="G10" s="450">
        <v>0</v>
      </c>
    </row>
    <row r="11" spans="1:7">
      <c r="A11" s="209">
        <f t="shared" si="0"/>
        <v>8</v>
      </c>
      <c r="B11" s="266" t="s">
        <v>165</v>
      </c>
      <c r="C11" s="216" t="s">
        <v>8416</v>
      </c>
      <c r="D11" s="450">
        <v>100</v>
      </c>
      <c r="E11" s="450">
        <v>100</v>
      </c>
      <c r="F11" s="450">
        <v>100</v>
      </c>
      <c r="G11" s="450">
        <v>100</v>
      </c>
    </row>
    <row r="12" spans="1:7">
      <c r="A12" s="209">
        <f t="shared" si="0"/>
        <v>9</v>
      </c>
      <c r="B12" s="266" t="s">
        <v>168</v>
      </c>
      <c r="C12" s="216" t="s">
        <v>8417</v>
      </c>
      <c r="D12" s="450">
        <v>10757400</v>
      </c>
      <c r="E12" s="450">
        <v>81.02</v>
      </c>
      <c r="F12" s="450">
        <v>81.02</v>
      </c>
      <c r="G12" s="450">
        <v>0</v>
      </c>
    </row>
    <row r="13" spans="1:7">
      <c r="A13" s="209">
        <f t="shared" si="0"/>
        <v>10</v>
      </c>
      <c r="B13" s="266" t="s">
        <v>169</v>
      </c>
      <c r="C13" s="216" t="s">
        <v>8418</v>
      </c>
      <c r="D13" s="451">
        <v>36915</v>
      </c>
      <c r="E13" s="452">
        <v>60</v>
      </c>
      <c r="F13" s="452">
        <v>0</v>
      </c>
      <c r="G13" s="452">
        <v>0</v>
      </c>
    </row>
    <row r="14" spans="1:7">
      <c r="A14" s="209">
        <f t="shared" si="0"/>
        <v>11</v>
      </c>
      <c r="B14" s="266" t="s">
        <v>169</v>
      </c>
      <c r="C14" s="216" t="s">
        <v>8419</v>
      </c>
      <c r="D14" s="450">
        <v>12305</v>
      </c>
      <c r="E14" s="452">
        <v>20</v>
      </c>
      <c r="F14" s="452">
        <v>0</v>
      </c>
      <c r="G14" s="452">
        <v>0</v>
      </c>
    </row>
    <row r="15" spans="1:7">
      <c r="A15" s="209">
        <f t="shared" si="0"/>
        <v>12</v>
      </c>
      <c r="B15" s="266" t="s">
        <v>169</v>
      </c>
      <c r="C15" s="216" t="s">
        <v>8420</v>
      </c>
      <c r="D15" s="451">
        <v>12305</v>
      </c>
      <c r="E15" s="452">
        <v>20</v>
      </c>
      <c r="F15" s="452">
        <v>0</v>
      </c>
      <c r="G15" s="452">
        <v>0</v>
      </c>
    </row>
    <row r="16" spans="1:7">
      <c r="A16" s="209">
        <f t="shared" si="0"/>
        <v>13</v>
      </c>
      <c r="B16" s="266" t="s">
        <v>183</v>
      </c>
      <c r="C16" s="216" t="s">
        <v>8421</v>
      </c>
      <c r="D16" s="451">
        <v>13351</v>
      </c>
      <c r="E16" s="452">
        <v>80</v>
      </c>
      <c r="F16" s="452">
        <v>80</v>
      </c>
      <c r="G16" s="452">
        <v>0</v>
      </c>
    </row>
    <row r="17" spans="1:7">
      <c r="A17" s="209">
        <f t="shared" si="0"/>
        <v>14</v>
      </c>
      <c r="B17" s="266" t="s">
        <v>183</v>
      </c>
      <c r="C17" s="216" t="s">
        <v>8422</v>
      </c>
      <c r="D17" s="451">
        <v>3337</v>
      </c>
      <c r="E17" s="452">
        <v>20</v>
      </c>
      <c r="F17" s="452">
        <v>20</v>
      </c>
      <c r="G17" s="452">
        <v>0</v>
      </c>
    </row>
    <row r="18" spans="1:7">
      <c r="A18" s="209">
        <f t="shared" si="0"/>
        <v>15</v>
      </c>
      <c r="B18" s="266" t="s">
        <v>188</v>
      </c>
      <c r="C18" s="216" t="s">
        <v>8423</v>
      </c>
      <c r="D18" s="450">
        <v>0</v>
      </c>
      <c r="E18" s="450">
        <v>100</v>
      </c>
      <c r="F18" s="450">
        <v>100</v>
      </c>
      <c r="G18" s="450">
        <v>100</v>
      </c>
    </row>
    <row r="19" spans="1:7">
      <c r="A19" s="209">
        <f t="shared" si="0"/>
        <v>16</v>
      </c>
      <c r="B19" s="266" t="s">
        <v>196</v>
      </c>
      <c r="C19" s="216" t="s">
        <v>8424</v>
      </c>
      <c r="D19" s="450">
        <v>1000</v>
      </c>
      <c r="E19" s="450">
        <v>100</v>
      </c>
      <c r="F19" s="450">
        <v>0</v>
      </c>
      <c r="G19" s="450">
        <v>0</v>
      </c>
    </row>
    <row r="20" spans="1:7">
      <c r="A20" s="209">
        <f t="shared" si="0"/>
        <v>17</v>
      </c>
      <c r="B20" s="266" t="s">
        <v>199</v>
      </c>
      <c r="C20" s="216" t="s">
        <v>8425</v>
      </c>
      <c r="D20" s="450">
        <v>100</v>
      </c>
      <c r="E20" s="452">
        <v>100</v>
      </c>
      <c r="F20" s="452">
        <v>100</v>
      </c>
      <c r="G20" s="452">
        <v>0</v>
      </c>
    </row>
    <row r="21" spans="1:7">
      <c r="A21" s="209">
        <f t="shared" si="0"/>
        <v>18</v>
      </c>
      <c r="B21" s="266" t="s">
        <v>199</v>
      </c>
      <c r="C21" s="216" t="s">
        <v>8426</v>
      </c>
      <c r="D21" s="451">
        <v>60</v>
      </c>
      <c r="E21" s="452">
        <v>60</v>
      </c>
      <c r="F21" s="452">
        <v>80</v>
      </c>
      <c r="G21" s="452">
        <v>0</v>
      </c>
    </row>
    <row r="22" spans="1:7">
      <c r="A22" s="209">
        <f t="shared" si="0"/>
        <v>19</v>
      </c>
      <c r="B22" s="266" t="s">
        <v>199</v>
      </c>
      <c r="C22" s="216" t="s">
        <v>8427</v>
      </c>
      <c r="D22" s="451">
        <v>40</v>
      </c>
      <c r="E22" s="452">
        <v>40</v>
      </c>
      <c r="F22" s="452">
        <v>40</v>
      </c>
      <c r="G22" s="452">
        <v>0</v>
      </c>
    </row>
    <row r="23" spans="1:7">
      <c r="A23" s="209">
        <f t="shared" si="0"/>
        <v>20</v>
      </c>
      <c r="B23" s="266" t="s">
        <v>204</v>
      </c>
      <c r="C23" s="216" t="s">
        <v>8428</v>
      </c>
      <c r="D23" s="450">
        <v>423107</v>
      </c>
      <c r="E23" s="450">
        <v>51</v>
      </c>
      <c r="F23" s="450">
        <v>51</v>
      </c>
      <c r="G23" s="450">
        <v>0</v>
      </c>
    </row>
    <row r="24" spans="1:7">
      <c r="A24" s="209">
        <f t="shared" si="0"/>
        <v>21</v>
      </c>
      <c r="B24" s="266" t="s">
        <v>216</v>
      </c>
      <c r="C24" s="216" t="s">
        <v>8429</v>
      </c>
      <c r="D24" s="450">
        <v>10000</v>
      </c>
      <c r="E24" s="450">
        <v>100</v>
      </c>
      <c r="F24" s="450">
        <v>100</v>
      </c>
      <c r="G24" s="450">
        <v>0</v>
      </c>
    </row>
    <row r="25" spans="1:7">
      <c r="A25" s="209">
        <f t="shared" si="0"/>
        <v>22</v>
      </c>
      <c r="B25" s="266" t="s">
        <v>218</v>
      </c>
      <c r="C25" s="216" t="s">
        <v>8430</v>
      </c>
      <c r="D25" s="450">
        <v>100</v>
      </c>
      <c r="E25" s="450">
        <v>40</v>
      </c>
      <c r="F25" s="450">
        <v>40</v>
      </c>
      <c r="G25" s="450">
        <v>0</v>
      </c>
    </row>
    <row r="26" spans="1:7">
      <c r="A26" s="209">
        <f t="shared" si="0"/>
        <v>23</v>
      </c>
      <c r="B26" s="266" t="s">
        <v>220</v>
      </c>
      <c r="C26" s="216" t="s">
        <v>8431</v>
      </c>
      <c r="D26" s="450">
        <v>0</v>
      </c>
      <c r="E26" s="450">
        <v>0</v>
      </c>
      <c r="F26" s="450">
        <v>20</v>
      </c>
      <c r="G26" s="450">
        <v>0</v>
      </c>
    </row>
    <row r="27" spans="1:7">
      <c r="A27" s="209">
        <f t="shared" si="0"/>
        <v>24</v>
      </c>
      <c r="B27" s="266" t="s">
        <v>220</v>
      </c>
      <c r="C27" s="216" t="s">
        <v>8431</v>
      </c>
      <c r="D27" s="450">
        <v>30319700</v>
      </c>
      <c r="E27" s="450">
        <v>16.12</v>
      </c>
      <c r="F27" s="450">
        <v>0</v>
      </c>
      <c r="G27" s="450">
        <v>0</v>
      </c>
    </row>
    <row r="28" spans="1:7">
      <c r="A28" s="209">
        <f t="shared" si="0"/>
        <v>25</v>
      </c>
      <c r="B28" s="266" t="s">
        <v>225</v>
      </c>
      <c r="C28" s="216" t="s">
        <v>8432</v>
      </c>
      <c r="D28" s="451">
        <v>4615660</v>
      </c>
      <c r="E28" s="452">
        <v>60</v>
      </c>
      <c r="F28" s="452">
        <v>60</v>
      </c>
      <c r="G28" s="452">
        <v>0</v>
      </c>
    </row>
    <row r="29" spans="1:7">
      <c r="A29" s="209">
        <f t="shared" si="0"/>
        <v>26</v>
      </c>
      <c r="B29" s="266" t="s">
        <v>225</v>
      </c>
      <c r="C29" s="216" t="s">
        <v>8433</v>
      </c>
      <c r="D29" s="451">
        <v>3077100</v>
      </c>
      <c r="E29" s="452">
        <v>40</v>
      </c>
      <c r="F29" s="452">
        <v>40</v>
      </c>
      <c r="G29" s="452">
        <v>0</v>
      </c>
    </row>
    <row r="30" spans="1:7">
      <c r="A30" s="209">
        <f t="shared" si="0"/>
        <v>27</v>
      </c>
      <c r="B30" s="266" t="s">
        <v>228</v>
      </c>
      <c r="C30" s="216" t="s">
        <v>8434</v>
      </c>
      <c r="D30" s="450">
        <v>1</v>
      </c>
      <c r="E30" s="450">
        <v>100</v>
      </c>
      <c r="F30" s="450">
        <v>1</v>
      </c>
      <c r="G30" s="450">
        <v>100</v>
      </c>
    </row>
    <row r="31" spans="1:7">
      <c r="A31" s="209">
        <f t="shared" si="0"/>
        <v>28</v>
      </c>
      <c r="B31" s="266" t="s">
        <v>232</v>
      </c>
      <c r="C31" s="216" t="s">
        <v>8435</v>
      </c>
      <c r="D31" s="450">
        <v>0</v>
      </c>
      <c r="E31" s="450">
        <v>100</v>
      </c>
      <c r="F31" s="450">
        <v>100</v>
      </c>
      <c r="G31" s="450">
        <v>0</v>
      </c>
    </row>
    <row r="32" spans="1:7">
      <c r="A32" s="209">
        <f t="shared" si="0"/>
        <v>29</v>
      </c>
      <c r="B32" s="266" t="s">
        <v>239</v>
      </c>
      <c r="C32" s="216" t="s">
        <v>8436</v>
      </c>
      <c r="D32" s="450">
        <v>760000</v>
      </c>
      <c r="E32" s="450">
        <v>76</v>
      </c>
      <c r="F32" s="450">
        <v>76</v>
      </c>
      <c r="G32" s="450">
        <v>0</v>
      </c>
    </row>
    <row r="33" spans="1:7">
      <c r="A33" s="209">
        <f t="shared" si="0"/>
        <v>30</v>
      </c>
      <c r="B33" s="266" t="s">
        <v>242</v>
      </c>
      <c r="C33" s="216" t="s">
        <v>8437</v>
      </c>
      <c r="D33" s="450">
        <v>100</v>
      </c>
      <c r="E33" s="450">
        <v>100</v>
      </c>
      <c r="F33" s="450">
        <v>100</v>
      </c>
      <c r="G33" s="450">
        <v>0</v>
      </c>
    </row>
    <row r="34" spans="1:7">
      <c r="A34" s="209">
        <f t="shared" si="0"/>
        <v>31</v>
      </c>
      <c r="B34" s="266" t="s">
        <v>244</v>
      </c>
      <c r="C34" s="216" t="s">
        <v>8438</v>
      </c>
      <c r="D34" s="450">
        <v>1</v>
      </c>
      <c r="E34" s="450">
        <v>100</v>
      </c>
      <c r="F34" s="450">
        <v>1</v>
      </c>
      <c r="G34" s="450">
        <v>100</v>
      </c>
    </row>
    <row r="35" spans="1:7">
      <c r="A35" s="209">
        <f t="shared" si="0"/>
        <v>32</v>
      </c>
      <c r="B35" s="266" t="s">
        <v>265</v>
      </c>
      <c r="C35" s="216" t="s">
        <v>8439</v>
      </c>
      <c r="D35" s="450">
        <v>100</v>
      </c>
      <c r="E35" s="452">
        <v>50</v>
      </c>
      <c r="F35" s="452">
        <v>50</v>
      </c>
      <c r="G35" s="452">
        <v>0</v>
      </c>
    </row>
    <row r="36" spans="1:7">
      <c r="A36" s="209">
        <f t="shared" si="0"/>
        <v>33</v>
      </c>
      <c r="B36" s="266" t="s">
        <v>265</v>
      </c>
      <c r="C36" s="216" t="s">
        <v>8409</v>
      </c>
      <c r="D36" s="451">
        <v>100</v>
      </c>
      <c r="E36" s="452">
        <v>50</v>
      </c>
      <c r="F36" s="452">
        <v>100</v>
      </c>
      <c r="G36" s="452">
        <v>0</v>
      </c>
    </row>
    <row r="37" spans="1:7">
      <c r="A37" s="209">
        <f t="shared" si="0"/>
        <v>34</v>
      </c>
      <c r="B37" s="266" t="s">
        <v>266</v>
      </c>
      <c r="C37" s="216" t="s">
        <v>8440</v>
      </c>
      <c r="D37" s="450">
        <v>2</v>
      </c>
      <c r="E37" s="452">
        <v>50</v>
      </c>
      <c r="F37" s="452">
        <v>50</v>
      </c>
      <c r="G37" s="452">
        <v>0</v>
      </c>
    </row>
    <row r="38" spans="1:7">
      <c r="A38" s="209">
        <f t="shared" si="0"/>
        <v>35</v>
      </c>
      <c r="B38" s="266" t="s">
        <v>266</v>
      </c>
      <c r="C38" s="216" t="s">
        <v>8441</v>
      </c>
      <c r="D38" s="451">
        <v>2</v>
      </c>
      <c r="E38" s="452">
        <v>50</v>
      </c>
      <c r="F38" s="452">
        <v>50</v>
      </c>
      <c r="G38" s="452">
        <v>0</v>
      </c>
    </row>
    <row r="39" spans="1:7" ht="25.5">
      <c r="A39" s="209">
        <f t="shared" si="0"/>
        <v>36</v>
      </c>
      <c r="B39" s="266" t="s">
        <v>268</v>
      </c>
      <c r="C39" s="216" t="s">
        <v>8442</v>
      </c>
      <c r="D39" s="450">
        <v>8904</v>
      </c>
      <c r="E39" s="450">
        <v>24</v>
      </c>
      <c r="F39" s="450">
        <v>24</v>
      </c>
      <c r="G39" s="450">
        <v>0</v>
      </c>
    </row>
    <row r="40" spans="1:7">
      <c r="A40" s="209">
        <f t="shared" si="0"/>
        <v>37</v>
      </c>
      <c r="B40" s="266" t="s">
        <v>269</v>
      </c>
      <c r="C40" s="216" t="s">
        <v>8443</v>
      </c>
      <c r="D40" s="450">
        <v>5</v>
      </c>
      <c r="E40" s="452">
        <v>50</v>
      </c>
      <c r="F40" s="452">
        <v>50</v>
      </c>
      <c r="G40" s="452">
        <v>0</v>
      </c>
    </row>
    <row r="41" spans="1:7">
      <c r="A41" s="209">
        <f t="shared" si="0"/>
        <v>38</v>
      </c>
      <c r="B41" s="266" t="s">
        <v>269</v>
      </c>
      <c r="C41" s="216" t="s">
        <v>8444</v>
      </c>
      <c r="D41" s="451">
        <v>5</v>
      </c>
      <c r="E41" s="452">
        <v>50</v>
      </c>
      <c r="F41" s="452">
        <v>50</v>
      </c>
      <c r="G41" s="452">
        <v>0</v>
      </c>
    </row>
    <row r="42" spans="1:7">
      <c r="A42" s="209">
        <f t="shared" si="0"/>
        <v>39</v>
      </c>
      <c r="B42" s="266" t="s">
        <v>270</v>
      </c>
      <c r="C42" s="216" t="s">
        <v>8445</v>
      </c>
      <c r="D42" s="450">
        <v>2382840</v>
      </c>
      <c r="E42" s="450">
        <v>100</v>
      </c>
      <c r="F42" s="450">
        <v>0</v>
      </c>
      <c r="G42" s="450">
        <v>0</v>
      </c>
    </row>
    <row r="43" spans="1:7">
      <c r="A43" s="209">
        <f t="shared" si="0"/>
        <v>40</v>
      </c>
      <c r="B43" s="266" t="s">
        <v>279</v>
      </c>
      <c r="C43" s="216" t="s">
        <v>8418</v>
      </c>
      <c r="D43" s="450">
        <v>33700</v>
      </c>
      <c r="E43" s="450">
        <v>100</v>
      </c>
      <c r="F43" s="450">
        <v>0</v>
      </c>
      <c r="G43" s="450">
        <v>0</v>
      </c>
    </row>
    <row r="44" spans="1:7" ht="25.5">
      <c r="A44" s="209">
        <f t="shared" si="0"/>
        <v>41</v>
      </c>
      <c r="B44" s="266" t="s">
        <v>283</v>
      </c>
      <c r="C44" s="216" t="s">
        <v>8446</v>
      </c>
      <c r="D44" s="450">
        <v>7745620</v>
      </c>
      <c r="E44" s="450">
        <v>22.43</v>
      </c>
      <c r="F44" s="450">
        <v>0</v>
      </c>
      <c r="G44" s="450">
        <v>22.43</v>
      </c>
    </row>
    <row r="45" spans="1:7">
      <c r="A45" s="209">
        <f t="shared" si="0"/>
        <v>42</v>
      </c>
      <c r="B45" s="266" t="s">
        <v>286</v>
      </c>
      <c r="C45" s="216" t="s">
        <v>8412</v>
      </c>
      <c r="D45" s="450">
        <v>60000</v>
      </c>
      <c r="E45" s="450">
        <v>100</v>
      </c>
      <c r="F45" s="450">
        <v>100</v>
      </c>
      <c r="G45" s="450">
        <v>0</v>
      </c>
    </row>
    <row r="46" spans="1:7">
      <c r="A46" s="209">
        <f t="shared" si="0"/>
        <v>43</v>
      </c>
      <c r="B46" s="216" t="s">
        <v>296</v>
      </c>
      <c r="C46" s="216" t="s">
        <v>8447</v>
      </c>
      <c r="D46" s="451">
        <v>60057600</v>
      </c>
      <c r="E46" s="452">
        <v>34</v>
      </c>
      <c r="F46" s="452">
        <v>34</v>
      </c>
      <c r="G46" s="452">
        <v>34</v>
      </c>
    </row>
    <row r="47" spans="1:7">
      <c r="A47" s="209">
        <f t="shared" si="0"/>
        <v>44</v>
      </c>
      <c r="B47" s="266" t="s">
        <v>296</v>
      </c>
      <c r="C47" s="216" t="s">
        <v>8448</v>
      </c>
      <c r="D47" s="451">
        <v>58291200</v>
      </c>
      <c r="E47" s="452">
        <v>33</v>
      </c>
      <c r="F47" s="452">
        <v>33</v>
      </c>
      <c r="G47" s="452">
        <v>33</v>
      </c>
    </row>
    <row r="48" spans="1:7">
      <c r="A48" s="209">
        <f t="shared" si="0"/>
        <v>45</v>
      </c>
      <c r="B48" s="266" t="s">
        <v>298</v>
      </c>
      <c r="C48" s="216" t="s">
        <v>8449</v>
      </c>
      <c r="D48" s="450">
        <v>100</v>
      </c>
      <c r="E48" s="450">
        <v>100</v>
      </c>
      <c r="F48" s="450">
        <v>100</v>
      </c>
      <c r="G48" s="450">
        <v>100</v>
      </c>
    </row>
    <row r="49" spans="1:7">
      <c r="A49" s="209">
        <f t="shared" si="0"/>
        <v>46</v>
      </c>
      <c r="B49" s="266" t="s">
        <v>300</v>
      </c>
      <c r="C49" s="216" t="s">
        <v>8450</v>
      </c>
      <c r="D49" s="450">
        <v>100</v>
      </c>
      <c r="E49" s="452">
        <v>100</v>
      </c>
      <c r="F49" s="452">
        <v>100</v>
      </c>
      <c r="G49" s="452">
        <v>0</v>
      </c>
    </row>
    <row r="50" spans="1:7">
      <c r="A50" s="209">
        <f t="shared" si="0"/>
        <v>47</v>
      </c>
      <c r="B50" s="266" t="s">
        <v>300</v>
      </c>
      <c r="C50" s="216" t="s">
        <v>8451</v>
      </c>
      <c r="D50" s="451">
        <v>100</v>
      </c>
      <c r="E50" s="452">
        <v>100</v>
      </c>
      <c r="F50" s="452">
        <v>100</v>
      </c>
      <c r="G50" s="452">
        <v>0</v>
      </c>
    </row>
    <row r="51" spans="1:7">
      <c r="A51" s="209">
        <f t="shared" si="0"/>
        <v>48</v>
      </c>
      <c r="B51" s="266" t="s">
        <v>301</v>
      </c>
      <c r="C51" s="216" t="s">
        <v>8452</v>
      </c>
      <c r="D51" s="450">
        <v>266954</v>
      </c>
      <c r="E51" s="450">
        <v>42.56</v>
      </c>
      <c r="F51" s="450">
        <v>42.56</v>
      </c>
      <c r="G51" s="450">
        <v>0</v>
      </c>
    </row>
    <row r="52" spans="1:7">
      <c r="A52" s="209">
        <f t="shared" si="0"/>
        <v>49</v>
      </c>
      <c r="B52" s="266" t="s">
        <v>301</v>
      </c>
      <c r="C52" s="216" t="s">
        <v>8453</v>
      </c>
      <c r="D52" s="450">
        <v>153988</v>
      </c>
      <c r="E52" s="450">
        <v>24.55</v>
      </c>
      <c r="F52" s="450">
        <v>24.55</v>
      </c>
      <c r="G52" s="450">
        <v>0</v>
      </c>
    </row>
    <row r="53" spans="1:7">
      <c r="A53" s="209">
        <f t="shared" si="0"/>
        <v>50</v>
      </c>
      <c r="B53" s="266" t="s">
        <v>306</v>
      </c>
      <c r="C53" s="216" t="s">
        <v>8445</v>
      </c>
      <c r="D53" s="450">
        <v>24500</v>
      </c>
      <c r="E53" s="450">
        <v>100</v>
      </c>
      <c r="F53" s="450">
        <v>100</v>
      </c>
      <c r="G53" s="450">
        <v>0</v>
      </c>
    </row>
    <row r="54" spans="1:7" ht="25.5">
      <c r="A54" s="209">
        <f t="shared" si="0"/>
        <v>51</v>
      </c>
      <c r="B54" s="266" t="s">
        <v>319</v>
      </c>
      <c r="C54" s="216" t="s">
        <v>8446</v>
      </c>
      <c r="D54" s="450">
        <v>26349300</v>
      </c>
      <c r="E54" s="450">
        <v>22.43</v>
      </c>
      <c r="F54" s="450">
        <v>0</v>
      </c>
      <c r="G54" s="450">
        <v>22.43</v>
      </c>
    </row>
    <row r="55" spans="1:7">
      <c r="A55" s="209">
        <f t="shared" si="0"/>
        <v>52</v>
      </c>
      <c r="B55" s="266" t="s">
        <v>320</v>
      </c>
      <c r="C55" s="216" t="s">
        <v>8450</v>
      </c>
      <c r="D55" s="450">
        <v>434</v>
      </c>
      <c r="E55" s="452">
        <v>100</v>
      </c>
      <c r="F55" s="452">
        <v>100</v>
      </c>
      <c r="G55" s="452">
        <v>0</v>
      </c>
    </row>
    <row r="56" spans="1:7">
      <c r="A56" s="209">
        <f t="shared" si="0"/>
        <v>53</v>
      </c>
      <c r="B56" s="266" t="s">
        <v>320</v>
      </c>
      <c r="C56" s="216" t="s">
        <v>8451</v>
      </c>
      <c r="D56" s="451">
        <v>434</v>
      </c>
      <c r="E56" s="452">
        <v>100</v>
      </c>
      <c r="F56" s="452">
        <v>100</v>
      </c>
      <c r="G56" s="452">
        <v>0</v>
      </c>
    </row>
    <row r="57" spans="1:7">
      <c r="A57" s="209">
        <f t="shared" si="0"/>
        <v>54</v>
      </c>
      <c r="B57" s="266" t="s">
        <v>332</v>
      </c>
      <c r="C57" s="453" t="s">
        <v>8454</v>
      </c>
      <c r="D57" s="454">
        <v>0</v>
      </c>
      <c r="E57" s="454">
        <v>16.2</v>
      </c>
      <c r="F57" s="454">
        <v>0</v>
      </c>
      <c r="G57" s="454">
        <v>0</v>
      </c>
    </row>
    <row r="58" spans="1:7">
      <c r="A58" s="209">
        <f t="shared" si="0"/>
        <v>55</v>
      </c>
      <c r="B58" s="455" t="s">
        <v>222</v>
      </c>
      <c r="C58" s="62"/>
      <c r="D58" s="62"/>
      <c r="E58" s="62"/>
      <c r="F58" s="62"/>
      <c r="G58" s="62"/>
    </row>
    <row r="59" spans="1:7">
      <c r="A59" s="209">
        <f t="shared" si="0"/>
        <v>56</v>
      </c>
      <c r="B59" s="455" t="s">
        <v>223</v>
      </c>
      <c r="C59" s="62"/>
      <c r="D59" s="62"/>
      <c r="E59" s="62"/>
      <c r="F59" s="62"/>
      <c r="G59" s="62"/>
    </row>
    <row r="60" spans="1:7">
      <c r="A60" s="209">
        <f t="shared" si="0"/>
        <v>57</v>
      </c>
      <c r="B60" s="455" t="s">
        <v>224</v>
      </c>
      <c r="C60" s="62"/>
      <c r="D60" s="62"/>
      <c r="E60" s="62"/>
      <c r="F60" s="62"/>
      <c r="G60" s="62"/>
    </row>
    <row r="61" spans="1:7">
      <c r="A61" s="209">
        <f t="shared" si="0"/>
        <v>58</v>
      </c>
      <c r="B61" s="455" t="s">
        <v>227</v>
      </c>
      <c r="C61" s="62"/>
      <c r="D61" s="62"/>
      <c r="E61" s="62"/>
      <c r="F61" s="62"/>
      <c r="G61" s="62"/>
    </row>
    <row r="62" spans="1:7">
      <c r="A62" s="209">
        <f t="shared" si="0"/>
        <v>59</v>
      </c>
      <c r="B62" s="455" t="s">
        <v>229</v>
      </c>
      <c r="C62" s="62"/>
      <c r="D62" s="62"/>
      <c r="E62" s="62"/>
      <c r="F62" s="62"/>
      <c r="G62" s="62"/>
    </row>
    <row r="63" spans="1:7">
      <c r="A63" s="209">
        <f t="shared" si="0"/>
        <v>60</v>
      </c>
      <c r="B63" s="455" t="s">
        <v>231</v>
      </c>
      <c r="C63" s="62"/>
      <c r="D63" s="62"/>
      <c r="E63" s="62"/>
      <c r="F63" s="62"/>
      <c r="G63" s="62"/>
    </row>
    <row r="64" spans="1:7">
      <c r="A64" s="209">
        <f t="shared" si="0"/>
        <v>61</v>
      </c>
      <c r="B64" s="455" t="s">
        <v>230</v>
      </c>
      <c r="C64" s="62"/>
      <c r="D64" s="62"/>
      <c r="E64" s="62"/>
      <c r="F64" s="62"/>
      <c r="G64" s="62"/>
    </row>
    <row r="65" spans="1:7">
      <c r="A65" s="209">
        <f t="shared" si="0"/>
        <v>62</v>
      </c>
      <c r="B65" s="455" t="s">
        <v>236</v>
      </c>
      <c r="C65" s="62"/>
      <c r="D65" s="62"/>
      <c r="E65" s="62"/>
      <c r="F65" s="62"/>
      <c r="G65" s="62"/>
    </row>
    <row r="66" spans="1:7">
      <c r="A66" s="209">
        <f t="shared" si="0"/>
        <v>63</v>
      </c>
      <c r="B66" s="455" t="s">
        <v>240</v>
      </c>
      <c r="C66" s="62"/>
      <c r="D66" s="62"/>
      <c r="E66" s="62"/>
      <c r="F66" s="62"/>
      <c r="G66" s="62"/>
    </row>
    <row r="67" spans="1:7">
      <c r="A67" s="209">
        <f t="shared" si="0"/>
        <v>64</v>
      </c>
      <c r="B67" s="455" t="s">
        <v>241</v>
      </c>
      <c r="C67" s="62"/>
      <c r="D67" s="62"/>
      <c r="E67" s="62"/>
      <c r="F67" s="62"/>
      <c r="G67" s="62"/>
    </row>
    <row r="68" spans="1:7">
      <c r="A68" s="209">
        <f t="shared" si="0"/>
        <v>65</v>
      </c>
      <c r="B68" s="455" t="s">
        <v>243</v>
      </c>
      <c r="C68" s="62"/>
      <c r="D68" s="62"/>
      <c r="E68" s="62"/>
      <c r="F68" s="62"/>
      <c r="G68" s="62"/>
    </row>
    <row r="69" spans="1:7">
      <c r="A69" s="209">
        <f t="shared" si="0"/>
        <v>66</v>
      </c>
      <c r="B69" s="455" t="s">
        <v>246</v>
      </c>
      <c r="C69" s="62"/>
      <c r="D69" s="62"/>
      <c r="E69" s="62"/>
      <c r="F69" s="62"/>
      <c r="G69" s="62"/>
    </row>
    <row r="70" spans="1:7">
      <c r="A70" s="209">
        <f t="shared" ref="A70:A133" si="1">A69+1</f>
        <v>67</v>
      </c>
      <c r="B70" s="455" t="s">
        <v>248</v>
      </c>
      <c r="C70" s="62"/>
      <c r="D70" s="62"/>
      <c r="E70" s="62"/>
      <c r="F70" s="62"/>
      <c r="G70" s="62"/>
    </row>
    <row r="71" spans="1:7">
      <c r="A71" s="209">
        <f t="shared" si="1"/>
        <v>68</v>
      </c>
      <c r="B71" s="455" t="s">
        <v>249</v>
      </c>
      <c r="C71" s="62"/>
      <c r="D71" s="62"/>
      <c r="E71" s="62"/>
      <c r="F71" s="62"/>
      <c r="G71" s="62"/>
    </row>
    <row r="72" spans="1:7">
      <c r="A72" s="209">
        <f t="shared" si="1"/>
        <v>69</v>
      </c>
      <c r="B72" s="455" t="s">
        <v>250</v>
      </c>
      <c r="C72" s="62"/>
      <c r="D72" s="62"/>
      <c r="E72" s="62"/>
      <c r="F72" s="62"/>
      <c r="G72" s="62"/>
    </row>
    <row r="73" spans="1:7">
      <c r="A73" s="209">
        <f t="shared" si="1"/>
        <v>70</v>
      </c>
      <c r="B73" s="455" t="s">
        <v>251</v>
      </c>
      <c r="C73" s="62"/>
      <c r="D73" s="62"/>
      <c r="E73" s="62"/>
      <c r="F73" s="62"/>
      <c r="G73" s="62"/>
    </row>
    <row r="74" spans="1:7">
      <c r="A74" s="209">
        <f t="shared" si="1"/>
        <v>71</v>
      </c>
      <c r="B74" s="455" t="s">
        <v>253</v>
      </c>
      <c r="C74" s="62"/>
      <c r="D74" s="62"/>
      <c r="E74" s="62"/>
      <c r="F74" s="62"/>
      <c r="G74" s="62"/>
    </row>
    <row r="75" spans="1:7">
      <c r="A75" s="209">
        <f t="shared" si="1"/>
        <v>72</v>
      </c>
      <c r="B75" s="455" t="s">
        <v>254</v>
      </c>
      <c r="C75" s="62"/>
      <c r="D75" s="62"/>
      <c r="E75" s="62"/>
      <c r="F75" s="62"/>
      <c r="G75" s="62"/>
    </row>
    <row r="76" spans="1:7">
      <c r="A76" s="209">
        <f t="shared" si="1"/>
        <v>73</v>
      </c>
      <c r="B76" s="455" t="s">
        <v>257</v>
      </c>
      <c r="C76" s="62"/>
      <c r="D76" s="62"/>
      <c r="E76" s="62"/>
      <c r="F76" s="62"/>
      <c r="G76" s="62"/>
    </row>
    <row r="77" spans="1:7">
      <c r="A77" s="209">
        <f t="shared" si="1"/>
        <v>74</v>
      </c>
      <c r="B77" s="455" t="s">
        <v>258</v>
      </c>
      <c r="C77" s="62"/>
      <c r="D77" s="62"/>
      <c r="E77" s="62"/>
      <c r="F77" s="62"/>
      <c r="G77" s="62"/>
    </row>
    <row r="78" spans="1:7">
      <c r="A78" s="209">
        <f t="shared" si="1"/>
        <v>75</v>
      </c>
      <c r="B78" s="455" t="s">
        <v>260</v>
      </c>
      <c r="C78" s="62"/>
      <c r="D78" s="62"/>
      <c r="E78" s="62"/>
      <c r="F78" s="62"/>
      <c r="G78" s="62"/>
    </row>
    <row r="79" spans="1:7">
      <c r="A79" s="209">
        <f t="shared" si="1"/>
        <v>76</v>
      </c>
      <c r="B79" s="455" t="s">
        <v>263</v>
      </c>
      <c r="C79" s="62"/>
      <c r="D79" s="62"/>
      <c r="E79" s="62"/>
      <c r="F79" s="62"/>
      <c r="G79" s="62"/>
    </row>
    <row r="80" spans="1:7">
      <c r="A80" s="209">
        <f t="shared" si="1"/>
        <v>77</v>
      </c>
      <c r="B80" s="455" t="s">
        <v>264</v>
      </c>
      <c r="C80" s="62"/>
      <c r="D80" s="62"/>
      <c r="E80" s="62"/>
      <c r="F80" s="62"/>
      <c r="G80" s="62"/>
    </row>
    <row r="81" spans="1:7">
      <c r="A81" s="209">
        <f t="shared" si="1"/>
        <v>78</v>
      </c>
      <c r="B81" s="455" t="s">
        <v>271</v>
      </c>
      <c r="C81" s="62"/>
      <c r="D81" s="62"/>
      <c r="E81" s="62"/>
      <c r="F81" s="62"/>
      <c r="G81" s="62"/>
    </row>
    <row r="82" spans="1:7">
      <c r="A82" s="209">
        <f t="shared" si="1"/>
        <v>79</v>
      </c>
      <c r="B82" s="455" t="s">
        <v>273</v>
      </c>
      <c r="C82" s="62"/>
      <c r="D82" s="62"/>
      <c r="E82" s="62"/>
      <c r="F82" s="62"/>
      <c r="G82" s="62"/>
    </row>
    <row r="83" spans="1:7">
      <c r="A83" s="209">
        <f t="shared" si="1"/>
        <v>80</v>
      </c>
      <c r="B83" s="455" t="s">
        <v>277</v>
      </c>
      <c r="C83" s="62"/>
      <c r="D83" s="62"/>
      <c r="E83" s="62"/>
      <c r="F83" s="62"/>
      <c r="G83" s="62"/>
    </row>
    <row r="84" spans="1:7">
      <c r="A84" s="209">
        <f t="shared" si="1"/>
        <v>81</v>
      </c>
      <c r="B84" s="455" t="s">
        <v>281</v>
      </c>
      <c r="C84" s="62"/>
      <c r="D84" s="62"/>
      <c r="E84" s="62"/>
      <c r="F84" s="62"/>
      <c r="G84" s="62"/>
    </row>
    <row r="85" spans="1:7">
      <c r="A85" s="209">
        <f t="shared" si="1"/>
        <v>82</v>
      </c>
      <c r="B85" s="455" t="s">
        <v>282</v>
      </c>
      <c r="C85" s="62"/>
      <c r="D85" s="62"/>
      <c r="E85" s="62"/>
      <c r="F85" s="62"/>
      <c r="G85" s="62"/>
    </row>
    <row r="86" spans="1:7">
      <c r="A86" s="209">
        <f t="shared" si="1"/>
        <v>83</v>
      </c>
      <c r="B86" s="455" t="s">
        <v>284</v>
      </c>
      <c r="C86" s="62"/>
      <c r="D86" s="62"/>
      <c r="E86" s="62"/>
      <c r="F86" s="62"/>
      <c r="G86" s="62"/>
    </row>
    <row r="87" spans="1:7">
      <c r="A87" s="209">
        <f t="shared" si="1"/>
        <v>84</v>
      </c>
      <c r="B87" s="455" t="s">
        <v>285</v>
      </c>
      <c r="C87" s="62"/>
      <c r="D87" s="62"/>
      <c r="E87" s="62"/>
      <c r="F87" s="62"/>
      <c r="G87" s="62"/>
    </row>
    <row r="88" spans="1:7">
      <c r="A88" s="209">
        <f t="shared" si="1"/>
        <v>85</v>
      </c>
      <c r="B88" s="455" t="s">
        <v>287</v>
      </c>
      <c r="C88" s="62"/>
      <c r="D88" s="62"/>
      <c r="E88" s="62"/>
      <c r="F88" s="62"/>
      <c r="G88" s="62"/>
    </row>
    <row r="89" spans="1:7">
      <c r="A89" s="209">
        <f t="shared" si="1"/>
        <v>86</v>
      </c>
      <c r="B89" s="455" t="s">
        <v>290</v>
      </c>
      <c r="C89" s="62"/>
      <c r="D89" s="62"/>
      <c r="E89" s="62"/>
      <c r="F89" s="62"/>
      <c r="G89" s="62"/>
    </row>
    <row r="90" spans="1:7">
      <c r="A90" s="209">
        <f t="shared" si="1"/>
        <v>87</v>
      </c>
      <c r="B90" s="455" t="s">
        <v>292</v>
      </c>
      <c r="C90" s="62"/>
      <c r="D90" s="62"/>
      <c r="E90" s="62"/>
      <c r="F90" s="62"/>
      <c r="G90" s="62"/>
    </row>
    <row r="91" spans="1:7">
      <c r="A91" s="209">
        <f t="shared" si="1"/>
        <v>88</v>
      </c>
      <c r="B91" s="455" t="s">
        <v>297</v>
      </c>
      <c r="C91" s="62"/>
      <c r="D91" s="62"/>
      <c r="E91" s="62"/>
      <c r="F91" s="62"/>
      <c r="G91" s="62"/>
    </row>
    <row r="92" spans="1:7">
      <c r="A92" s="209">
        <f t="shared" si="1"/>
        <v>89</v>
      </c>
      <c r="B92" s="455" t="s">
        <v>299</v>
      </c>
      <c r="C92" s="62"/>
      <c r="D92" s="62"/>
      <c r="E92" s="62"/>
      <c r="F92" s="62"/>
      <c r="G92" s="62"/>
    </row>
    <row r="93" spans="1:7">
      <c r="A93" s="209">
        <f t="shared" si="1"/>
        <v>90</v>
      </c>
      <c r="B93" s="455" t="s">
        <v>303</v>
      </c>
      <c r="C93" s="62"/>
      <c r="D93" s="62"/>
      <c r="E93" s="62"/>
      <c r="F93" s="62"/>
      <c r="G93" s="62"/>
    </row>
    <row r="94" spans="1:7">
      <c r="A94" s="209">
        <f t="shared" si="1"/>
        <v>91</v>
      </c>
      <c r="B94" s="455" t="s">
        <v>307</v>
      </c>
      <c r="C94" s="62"/>
      <c r="D94" s="62"/>
      <c r="E94" s="62"/>
      <c r="F94" s="62"/>
      <c r="G94" s="62"/>
    </row>
    <row r="95" spans="1:7">
      <c r="A95" s="209">
        <f t="shared" si="1"/>
        <v>92</v>
      </c>
      <c r="B95" s="455" t="s">
        <v>308</v>
      </c>
      <c r="C95" s="62"/>
      <c r="D95" s="62"/>
      <c r="E95" s="62"/>
      <c r="F95" s="62"/>
      <c r="G95" s="62"/>
    </row>
    <row r="96" spans="1:7">
      <c r="A96" s="209">
        <f t="shared" si="1"/>
        <v>93</v>
      </c>
      <c r="B96" s="455" t="s">
        <v>309</v>
      </c>
      <c r="C96" s="62"/>
      <c r="D96" s="62"/>
      <c r="E96" s="62"/>
      <c r="F96" s="62"/>
      <c r="G96" s="62"/>
    </row>
    <row r="97" spans="1:7">
      <c r="A97" s="209">
        <f t="shared" si="1"/>
        <v>94</v>
      </c>
      <c r="B97" s="455" t="s">
        <v>311</v>
      </c>
      <c r="C97" s="62"/>
      <c r="D97" s="62"/>
      <c r="E97" s="62"/>
      <c r="F97" s="62"/>
      <c r="G97" s="62"/>
    </row>
    <row r="98" spans="1:7">
      <c r="A98" s="209">
        <f t="shared" si="1"/>
        <v>95</v>
      </c>
      <c r="B98" s="455" t="s">
        <v>314</v>
      </c>
      <c r="C98" s="62"/>
      <c r="D98" s="62"/>
      <c r="E98" s="62"/>
      <c r="F98" s="62"/>
      <c r="G98" s="62"/>
    </row>
    <row r="99" spans="1:7">
      <c r="A99" s="209">
        <f t="shared" si="1"/>
        <v>96</v>
      </c>
      <c r="B99" s="455" t="s">
        <v>315</v>
      </c>
      <c r="C99" s="62"/>
      <c r="D99" s="62"/>
      <c r="E99" s="62"/>
      <c r="F99" s="62"/>
      <c r="G99" s="62"/>
    </row>
    <row r="100" spans="1:7">
      <c r="A100" s="209">
        <f t="shared" si="1"/>
        <v>97</v>
      </c>
      <c r="B100" s="455" t="s">
        <v>316</v>
      </c>
      <c r="C100" s="62"/>
      <c r="D100" s="62"/>
      <c r="E100" s="62"/>
      <c r="F100" s="62"/>
      <c r="G100" s="62"/>
    </row>
    <row r="101" spans="1:7">
      <c r="A101" s="209">
        <f t="shared" si="1"/>
        <v>98</v>
      </c>
      <c r="B101" s="455" t="s">
        <v>317</v>
      </c>
      <c r="C101" s="62"/>
      <c r="D101" s="62"/>
      <c r="E101" s="62"/>
      <c r="F101" s="62"/>
      <c r="G101" s="62"/>
    </row>
    <row r="102" spans="1:7">
      <c r="A102" s="209">
        <f t="shared" si="1"/>
        <v>99</v>
      </c>
      <c r="B102" s="455" t="s">
        <v>318</v>
      </c>
      <c r="C102" s="62"/>
      <c r="D102" s="62"/>
      <c r="E102" s="62"/>
      <c r="F102" s="62"/>
      <c r="G102" s="62"/>
    </row>
    <row r="103" spans="1:7">
      <c r="A103" s="209">
        <f t="shared" si="1"/>
        <v>100</v>
      </c>
      <c r="B103" s="455" t="s">
        <v>321</v>
      </c>
      <c r="C103" s="62"/>
      <c r="D103" s="62"/>
      <c r="E103" s="62"/>
      <c r="F103" s="62"/>
      <c r="G103" s="62"/>
    </row>
    <row r="104" spans="1:7">
      <c r="A104" s="209">
        <f t="shared" si="1"/>
        <v>101</v>
      </c>
      <c r="B104" s="455" t="s">
        <v>322</v>
      </c>
      <c r="C104" s="62"/>
      <c r="D104" s="62"/>
      <c r="E104" s="62"/>
      <c r="F104" s="62"/>
      <c r="G104" s="62"/>
    </row>
    <row r="105" spans="1:7">
      <c r="A105" s="209">
        <f t="shared" si="1"/>
        <v>102</v>
      </c>
      <c r="B105" s="455" t="s">
        <v>323</v>
      </c>
      <c r="C105" s="62"/>
      <c r="D105" s="62"/>
      <c r="E105" s="62"/>
      <c r="F105" s="62"/>
      <c r="G105" s="62"/>
    </row>
    <row r="106" spans="1:7">
      <c r="A106" s="209">
        <f t="shared" si="1"/>
        <v>103</v>
      </c>
      <c r="B106" s="455" t="s">
        <v>324</v>
      </c>
      <c r="C106" s="62"/>
      <c r="D106" s="62"/>
      <c r="E106" s="62"/>
      <c r="F106" s="62"/>
      <c r="G106" s="62"/>
    </row>
    <row r="107" spans="1:7">
      <c r="A107" s="209">
        <f t="shared" si="1"/>
        <v>104</v>
      </c>
      <c r="B107" s="455" t="s">
        <v>325</v>
      </c>
      <c r="C107" s="62"/>
      <c r="D107" s="62"/>
      <c r="E107" s="62"/>
      <c r="F107" s="62"/>
      <c r="G107" s="62"/>
    </row>
    <row r="108" spans="1:7">
      <c r="A108" s="209">
        <f t="shared" si="1"/>
        <v>105</v>
      </c>
      <c r="B108" s="455" t="s">
        <v>326</v>
      </c>
      <c r="C108" s="62"/>
      <c r="D108" s="62"/>
      <c r="E108" s="62"/>
      <c r="F108" s="62"/>
      <c r="G108" s="62"/>
    </row>
    <row r="109" spans="1:7">
      <c r="A109" s="209">
        <f t="shared" si="1"/>
        <v>106</v>
      </c>
      <c r="B109" s="455" t="s">
        <v>327</v>
      </c>
      <c r="C109" s="62"/>
      <c r="D109" s="62"/>
      <c r="E109" s="62"/>
      <c r="F109" s="62"/>
      <c r="G109" s="62"/>
    </row>
    <row r="110" spans="1:7">
      <c r="A110" s="209">
        <f t="shared" si="1"/>
        <v>107</v>
      </c>
      <c r="B110" s="455" t="s">
        <v>331</v>
      </c>
      <c r="C110" s="62"/>
      <c r="D110" s="62"/>
      <c r="E110" s="62"/>
      <c r="F110" s="62"/>
      <c r="G110" s="62"/>
    </row>
    <row r="111" spans="1:7">
      <c r="A111" s="209">
        <f t="shared" si="1"/>
        <v>108</v>
      </c>
      <c r="B111" s="455" t="s">
        <v>279</v>
      </c>
      <c r="C111" s="62"/>
      <c r="D111" s="62"/>
      <c r="E111" s="62"/>
      <c r="F111" s="62"/>
      <c r="G111" s="62"/>
    </row>
    <row r="112" spans="1:7">
      <c r="A112" s="209">
        <f t="shared" si="1"/>
        <v>109</v>
      </c>
      <c r="B112" s="455" t="s">
        <v>281</v>
      </c>
      <c r="C112" s="62"/>
      <c r="D112" s="62"/>
      <c r="E112" s="62"/>
      <c r="F112" s="62"/>
      <c r="G112" s="62"/>
    </row>
    <row r="113" spans="1:7">
      <c r="A113" s="209">
        <f t="shared" si="1"/>
        <v>110</v>
      </c>
      <c r="B113" s="455" t="s">
        <v>282</v>
      </c>
      <c r="C113" s="62"/>
      <c r="D113" s="62"/>
      <c r="E113" s="62"/>
      <c r="F113" s="62"/>
      <c r="G113" s="62"/>
    </row>
    <row r="114" spans="1:7">
      <c r="A114" s="209">
        <f t="shared" si="1"/>
        <v>111</v>
      </c>
      <c r="B114" s="455" t="s">
        <v>283</v>
      </c>
      <c r="C114" s="62"/>
      <c r="D114" s="62"/>
      <c r="E114" s="62"/>
      <c r="F114" s="62"/>
      <c r="G114" s="62"/>
    </row>
    <row r="115" spans="1:7">
      <c r="A115" s="209">
        <f t="shared" si="1"/>
        <v>112</v>
      </c>
      <c r="B115" s="455" t="s">
        <v>284</v>
      </c>
      <c r="C115" s="62"/>
      <c r="D115" s="62"/>
      <c r="E115" s="62"/>
      <c r="F115" s="62"/>
      <c r="G115" s="62"/>
    </row>
    <row r="116" spans="1:7">
      <c r="A116" s="209">
        <f t="shared" si="1"/>
        <v>113</v>
      </c>
      <c r="B116" s="455" t="s">
        <v>285</v>
      </c>
      <c r="C116" s="62"/>
      <c r="D116" s="62"/>
      <c r="E116" s="62"/>
      <c r="F116" s="62"/>
      <c r="G116" s="62"/>
    </row>
    <row r="117" spans="1:7">
      <c r="A117" s="209">
        <f t="shared" si="1"/>
        <v>114</v>
      </c>
      <c r="B117" s="455" t="s">
        <v>286</v>
      </c>
      <c r="C117" s="62"/>
      <c r="D117" s="62"/>
      <c r="E117" s="62"/>
      <c r="F117" s="62"/>
      <c r="G117" s="62"/>
    </row>
    <row r="118" spans="1:7">
      <c r="A118" s="209">
        <f t="shared" si="1"/>
        <v>115</v>
      </c>
      <c r="B118" s="455" t="s">
        <v>287</v>
      </c>
      <c r="C118" s="62"/>
      <c r="D118" s="62"/>
      <c r="E118" s="62"/>
      <c r="F118" s="62"/>
      <c r="G118" s="62"/>
    </row>
    <row r="119" spans="1:7">
      <c r="A119" s="209">
        <f t="shared" si="1"/>
        <v>116</v>
      </c>
      <c r="B119" s="455" t="s">
        <v>290</v>
      </c>
      <c r="C119" s="62"/>
      <c r="D119" s="62"/>
      <c r="E119" s="62"/>
      <c r="F119" s="62"/>
      <c r="G119" s="62"/>
    </row>
    <row r="120" spans="1:7">
      <c r="A120" s="209">
        <f t="shared" si="1"/>
        <v>117</v>
      </c>
      <c r="B120" s="455" t="s">
        <v>292</v>
      </c>
      <c r="C120" s="62"/>
      <c r="D120" s="62"/>
      <c r="E120" s="62"/>
      <c r="F120" s="62"/>
      <c r="G120" s="62"/>
    </row>
    <row r="121" spans="1:7">
      <c r="A121" s="209">
        <f t="shared" si="1"/>
        <v>118</v>
      </c>
      <c r="B121" s="455" t="s">
        <v>296</v>
      </c>
      <c r="C121" s="62"/>
      <c r="D121" s="62"/>
      <c r="E121" s="62"/>
      <c r="F121" s="62"/>
      <c r="G121" s="62"/>
    </row>
    <row r="122" spans="1:7">
      <c r="A122" s="209">
        <f t="shared" si="1"/>
        <v>119</v>
      </c>
      <c r="B122" s="455" t="s">
        <v>297</v>
      </c>
      <c r="C122" s="62"/>
      <c r="D122" s="62"/>
      <c r="E122" s="62"/>
      <c r="F122" s="62"/>
      <c r="G122" s="62"/>
    </row>
    <row r="123" spans="1:7">
      <c r="A123" s="209">
        <f t="shared" si="1"/>
        <v>120</v>
      </c>
      <c r="B123" s="455" t="s">
        <v>298</v>
      </c>
      <c r="C123" s="62"/>
      <c r="D123" s="62"/>
      <c r="E123" s="62"/>
      <c r="F123" s="62"/>
      <c r="G123" s="62"/>
    </row>
    <row r="124" spans="1:7">
      <c r="A124" s="209">
        <f t="shared" si="1"/>
        <v>121</v>
      </c>
      <c r="B124" s="455" t="s">
        <v>299</v>
      </c>
      <c r="C124" s="62"/>
      <c r="D124" s="62"/>
      <c r="E124" s="62"/>
      <c r="F124" s="62"/>
      <c r="G124" s="62"/>
    </row>
    <row r="125" spans="1:7">
      <c r="A125" s="209">
        <f t="shared" si="1"/>
        <v>122</v>
      </c>
      <c r="B125" s="455" t="s">
        <v>300</v>
      </c>
      <c r="C125" s="62"/>
      <c r="D125" s="62"/>
      <c r="E125" s="62"/>
      <c r="F125" s="62"/>
      <c r="G125" s="62"/>
    </row>
    <row r="126" spans="1:7">
      <c r="A126" s="209">
        <f t="shared" si="1"/>
        <v>123</v>
      </c>
      <c r="B126" s="455" t="s">
        <v>301</v>
      </c>
      <c r="C126" s="62"/>
      <c r="D126" s="62"/>
      <c r="E126" s="62"/>
      <c r="F126" s="62"/>
      <c r="G126" s="62"/>
    </row>
    <row r="127" spans="1:7">
      <c r="A127" s="209">
        <f t="shared" si="1"/>
        <v>124</v>
      </c>
      <c r="B127" s="455" t="s">
        <v>303</v>
      </c>
      <c r="C127" s="62"/>
      <c r="D127" s="62"/>
      <c r="E127" s="62"/>
      <c r="F127" s="62"/>
      <c r="G127" s="62"/>
    </row>
    <row r="128" spans="1:7">
      <c r="A128" s="209">
        <f t="shared" si="1"/>
        <v>125</v>
      </c>
      <c r="B128" s="455" t="s">
        <v>306</v>
      </c>
      <c r="C128" s="62"/>
      <c r="D128" s="62"/>
      <c r="E128" s="62"/>
      <c r="F128" s="62"/>
      <c r="G128" s="62"/>
    </row>
    <row r="129" spans="1:7">
      <c r="A129" s="209">
        <f t="shared" si="1"/>
        <v>126</v>
      </c>
      <c r="B129" s="455" t="s">
        <v>307</v>
      </c>
      <c r="C129" s="62"/>
      <c r="D129" s="62"/>
      <c r="E129" s="62"/>
      <c r="F129" s="62"/>
      <c r="G129" s="62"/>
    </row>
    <row r="130" spans="1:7">
      <c r="A130" s="209">
        <f t="shared" si="1"/>
        <v>127</v>
      </c>
      <c r="B130" s="455" t="s">
        <v>308</v>
      </c>
      <c r="C130" s="62"/>
      <c r="D130" s="62"/>
      <c r="E130" s="62"/>
      <c r="F130" s="62"/>
      <c r="G130" s="62"/>
    </row>
    <row r="131" spans="1:7">
      <c r="A131" s="209">
        <f t="shared" si="1"/>
        <v>128</v>
      </c>
      <c r="B131" s="455" t="s">
        <v>309</v>
      </c>
      <c r="C131" s="62"/>
      <c r="D131" s="62"/>
      <c r="E131" s="62"/>
      <c r="F131" s="62"/>
      <c r="G131" s="62"/>
    </row>
    <row r="132" spans="1:7">
      <c r="A132" s="209">
        <f t="shared" si="1"/>
        <v>129</v>
      </c>
      <c r="B132" s="455" t="s">
        <v>311</v>
      </c>
      <c r="C132" s="62"/>
      <c r="D132" s="62"/>
      <c r="E132" s="62"/>
      <c r="F132" s="62"/>
      <c r="G132" s="62"/>
    </row>
    <row r="133" spans="1:7">
      <c r="A133" s="209">
        <f t="shared" si="1"/>
        <v>130</v>
      </c>
      <c r="B133" s="455" t="s">
        <v>314</v>
      </c>
      <c r="C133" s="62"/>
      <c r="D133" s="62"/>
      <c r="E133" s="62"/>
      <c r="F133" s="62"/>
      <c r="G133" s="62"/>
    </row>
    <row r="134" spans="1:7">
      <c r="A134" s="209">
        <f t="shared" ref="A134:A148" si="2">A133+1</f>
        <v>131</v>
      </c>
      <c r="B134" s="455" t="s">
        <v>315</v>
      </c>
      <c r="C134" s="62"/>
      <c r="D134" s="62"/>
      <c r="E134" s="62"/>
      <c r="F134" s="62"/>
      <c r="G134" s="62"/>
    </row>
    <row r="135" spans="1:7">
      <c r="A135" s="209">
        <f t="shared" si="2"/>
        <v>132</v>
      </c>
      <c r="B135" s="455" t="s">
        <v>316</v>
      </c>
      <c r="C135" s="62"/>
      <c r="D135" s="62"/>
      <c r="E135" s="62"/>
      <c r="F135" s="62"/>
      <c r="G135" s="62"/>
    </row>
    <row r="136" spans="1:7">
      <c r="A136" s="209">
        <f t="shared" si="2"/>
        <v>133</v>
      </c>
      <c r="B136" s="455" t="s">
        <v>317</v>
      </c>
      <c r="C136" s="62"/>
      <c r="D136" s="62"/>
      <c r="E136" s="62"/>
      <c r="F136" s="62"/>
      <c r="G136" s="62"/>
    </row>
    <row r="137" spans="1:7">
      <c r="A137" s="209">
        <f t="shared" si="2"/>
        <v>134</v>
      </c>
      <c r="B137" s="455" t="s">
        <v>318</v>
      </c>
      <c r="C137" s="62"/>
      <c r="D137" s="62"/>
      <c r="E137" s="62"/>
      <c r="F137" s="62"/>
      <c r="G137" s="62"/>
    </row>
    <row r="138" spans="1:7">
      <c r="A138" s="209">
        <f t="shared" si="2"/>
        <v>135</v>
      </c>
      <c r="B138" s="455" t="s">
        <v>319</v>
      </c>
      <c r="C138" s="62"/>
      <c r="D138" s="62"/>
      <c r="E138" s="62"/>
      <c r="F138" s="62"/>
      <c r="G138" s="62"/>
    </row>
    <row r="139" spans="1:7">
      <c r="A139" s="209">
        <f t="shared" si="2"/>
        <v>136</v>
      </c>
      <c r="B139" s="455" t="s">
        <v>320</v>
      </c>
      <c r="C139" s="62"/>
      <c r="D139" s="62"/>
      <c r="E139" s="62"/>
      <c r="F139" s="62"/>
      <c r="G139" s="62"/>
    </row>
    <row r="140" spans="1:7">
      <c r="A140" s="209">
        <f t="shared" si="2"/>
        <v>137</v>
      </c>
      <c r="B140" s="455" t="s">
        <v>321</v>
      </c>
      <c r="C140" s="62"/>
      <c r="D140" s="62"/>
      <c r="E140" s="62"/>
      <c r="F140" s="62"/>
      <c r="G140" s="62"/>
    </row>
    <row r="141" spans="1:7">
      <c r="A141" s="209">
        <f t="shared" si="2"/>
        <v>138</v>
      </c>
      <c r="B141" s="455" t="s">
        <v>322</v>
      </c>
      <c r="C141" s="62"/>
      <c r="D141" s="62"/>
      <c r="E141" s="62"/>
      <c r="F141" s="62"/>
      <c r="G141" s="62"/>
    </row>
    <row r="142" spans="1:7">
      <c r="A142" s="209">
        <f t="shared" si="2"/>
        <v>139</v>
      </c>
      <c r="B142" s="455" t="s">
        <v>323</v>
      </c>
      <c r="C142" s="62"/>
      <c r="D142" s="62"/>
      <c r="E142" s="62"/>
      <c r="F142" s="62"/>
      <c r="G142" s="62"/>
    </row>
    <row r="143" spans="1:7">
      <c r="A143" s="209">
        <f t="shared" si="2"/>
        <v>140</v>
      </c>
      <c r="B143" s="455" t="s">
        <v>324</v>
      </c>
      <c r="C143" s="62"/>
      <c r="D143" s="62"/>
      <c r="E143" s="62"/>
      <c r="F143" s="62"/>
      <c r="G143" s="62"/>
    </row>
    <row r="144" spans="1:7">
      <c r="A144" s="209">
        <f t="shared" si="2"/>
        <v>141</v>
      </c>
      <c r="B144" s="455" t="s">
        <v>325</v>
      </c>
      <c r="C144" s="62"/>
      <c r="D144" s="62"/>
      <c r="E144" s="62"/>
      <c r="F144" s="62"/>
      <c r="G144" s="62"/>
    </row>
    <row r="145" spans="1:7">
      <c r="A145" s="209">
        <f t="shared" si="2"/>
        <v>142</v>
      </c>
      <c r="B145" s="455" t="s">
        <v>326</v>
      </c>
      <c r="C145" s="62"/>
      <c r="D145" s="62"/>
      <c r="E145" s="62"/>
      <c r="F145" s="62"/>
      <c r="G145" s="62"/>
    </row>
    <row r="146" spans="1:7">
      <c r="A146" s="209">
        <f t="shared" si="2"/>
        <v>143</v>
      </c>
      <c r="B146" s="455" t="s">
        <v>327</v>
      </c>
      <c r="C146" s="62"/>
      <c r="D146" s="62"/>
      <c r="E146" s="62"/>
      <c r="F146" s="62"/>
      <c r="G146" s="62"/>
    </row>
    <row r="147" spans="1:7">
      <c r="A147" s="209">
        <f t="shared" si="2"/>
        <v>144</v>
      </c>
      <c r="B147" s="455" t="s">
        <v>331</v>
      </c>
      <c r="C147" s="62"/>
      <c r="D147" s="62"/>
      <c r="E147" s="62"/>
      <c r="F147" s="62"/>
      <c r="G147" s="62"/>
    </row>
    <row r="148" spans="1:7">
      <c r="A148" s="209">
        <f t="shared" si="2"/>
        <v>145</v>
      </c>
      <c r="B148" s="455" t="s">
        <v>332</v>
      </c>
      <c r="C148" s="62"/>
      <c r="D148" s="62"/>
      <c r="E148" s="62"/>
      <c r="F148" s="62"/>
      <c r="G148" s="62"/>
    </row>
  </sheetData>
  <mergeCells count="1">
    <mergeCell ref="A1:G1"/>
  </mergeCells>
  <conditionalFormatting sqref="B5:B8">
    <cfRule type="duplicateValues" dxfId="439" priority="16"/>
  </conditionalFormatting>
  <conditionalFormatting sqref="B10">
    <cfRule type="duplicateValues" dxfId="438" priority="14"/>
  </conditionalFormatting>
  <conditionalFormatting sqref="B30 B23:B25">
    <cfRule type="duplicateValues" dxfId="437" priority="10"/>
  </conditionalFormatting>
  <conditionalFormatting sqref="B42:B44 B31:B34">
    <cfRule type="duplicateValues" dxfId="436" priority="9"/>
  </conditionalFormatting>
  <conditionalFormatting sqref="B45">
    <cfRule type="duplicateValues" dxfId="435" priority="8"/>
  </conditionalFormatting>
  <conditionalFormatting sqref="B46">
    <cfRule type="duplicateValues" dxfId="434" priority="6"/>
  </conditionalFormatting>
  <conditionalFormatting sqref="B57 B47:B48">
    <cfRule type="duplicateValues" dxfId="433" priority="7"/>
  </conditionalFormatting>
  <conditionalFormatting sqref="B61:B62">
    <cfRule type="duplicateValues" dxfId="432" priority="5"/>
  </conditionalFormatting>
  <conditionalFormatting sqref="B63:B87">
    <cfRule type="duplicateValues" dxfId="431" priority="4"/>
  </conditionalFormatting>
  <conditionalFormatting sqref="B88:B90">
    <cfRule type="duplicateValues" dxfId="430" priority="3"/>
  </conditionalFormatting>
  <conditionalFormatting sqref="B103:B110 B91:B92">
    <cfRule type="duplicateValues" dxfId="429" priority="2"/>
  </conditionalFormatting>
  <conditionalFormatting sqref="B111:B129 B131:B148">
    <cfRule type="duplicateValues" dxfId="428" priority="1"/>
  </conditionalFormatting>
  <conditionalFormatting sqref="D8">
    <cfRule type="duplicateValues" dxfId="427" priority="15"/>
  </conditionalFormatting>
  <conditionalFormatting sqref="D12 D10">
    <cfRule type="duplicateValues" dxfId="426" priority="13"/>
  </conditionalFormatting>
  <conditionalFormatting sqref="D16">
    <cfRule type="duplicateValues" dxfId="425" priority="12"/>
  </conditionalFormatting>
  <conditionalFormatting sqref="D21 D18">
    <cfRule type="duplicateValues" dxfId="424" priority="11"/>
  </conditionalFormatting>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01FC5-8693-423F-AE56-BD1CA5EBB7BB}">
  <sheetPr>
    <tabColor rgb="FF006432"/>
  </sheetPr>
  <dimension ref="A1:I141"/>
  <sheetViews>
    <sheetView workbookViewId="0">
      <pane ySplit="3" topLeftCell="A4" activePane="bottomLeft" state="frozen"/>
      <selection pane="bottomLeft" activeCell="G133" sqref="G133"/>
    </sheetView>
  </sheetViews>
  <sheetFormatPr defaultRowHeight="15"/>
  <cols>
    <col min="1" max="1" width="4.5703125" customWidth="1"/>
    <col min="2" max="2" width="32.5703125" customWidth="1"/>
    <col min="3" max="3" width="11.140625" style="76" customWidth="1"/>
    <col min="4" max="4" width="19.42578125" customWidth="1"/>
    <col min="5" max="5" width="9.140625" style="76"/>
    <col min="6" max="6" width="14.140625" style="76" customWidth="1"/>
    <col min="7" max="7" width="16.140625" style="76" customWidth="1"/>
    <col min="8" max="8" width="15.28515625" style="76" customWidth="1"/>
    <col min="9" max="9" width="16.7109375" style="76" customWidth="1"/>
    <col min="11" max="11" width="5" customWidth="1"/>
    <col min="12" max="12" width="50.5703125" customWidth="1"/>
    <col min="13" max="13" width="14.5703125" customWidth="1"/>
    <col min="14" max="14" width="15.7109375" customWidth="1"/>
    <col min="15" max="15" width="18" customWidth="1"/>
  </cols>
  <sheetData>
    <row r="1" spans="1:9" ht="15.75">
      <c r="A1" s="641" t="s">
        <v>8455</v>
      </c>
      <c r="B1" s="641"/>
      <c r="C1" s="536"/>
      <c r="D1" s="641"/>
      <c r="E1" s="536"/>
      <c r="F1" s="536"/>
    </row>
    <row r="2" spans="1:9" ht="7.5" customHeight="1"/>
    <row r="3" spans="1:9" ht="51">
      <c r="A3" s="456" t="s">
        <v>114</v>
      </c>
      <c r="B3" s="46" t="s">
        <v>690</v>
      </c>
      <c r="C3" s="94" t="s">
        <v>116</v>
      </c>
      <c r="D3" s="46" t="s">
        <v>8404</v>
      </c>
      <c r="E3" s="46" t="s">
        <v>8456</v>
      </c>
      <c r="F3" s="46" t="s">
        <v>8457</v>
      </c>
      <c r="G3" s="46" t="s">
        <v>8458</v>
      </c>
      <c r="H3" s="46" t="s">
        <v>8459</v>
      </c>
      <c r="I3" s="46" t="s">
        <v>8460</v>
      </c>
    </row>
    <row r="4" spans="1:9">
      <c r="A4" s="209">
        <v>1</v>
      </c>
      <c r="B4" s="457" t="s">
        <v>131</v>
      </c>
      <c r="C4" s="215">
        <v>5809797</v>
      </c>
      <c r="D4" s="216" t="s">
        <v>8409</v>
      </c>
      <c r="E4" s="217" t="s">
        <v>8461</v>
      </c>
      <c r="F4" s="217" t="s">
        <v>8462</v>
      </c>
      <c r="G4" s="217" t="s">
        <v>8462</v>
      </c>
      <c r="H4" s="217" t="s">
        <v>8259</v>
      </c>
      <c r="I4" s="217" t="s">
        <v>8259</v>
      </c>
    </row>
    <row r="5" spans="1:9">
      <c r="A5" s="209">
        <f>A4+1</f>
        <v>2</v>
      </c>
      <c r="B5" s="457" t="s">
        <v>133</v>
      </c>
      <c r="C5" s="215">
        <v>5118344</v>
      </c>
      <c r="D5" s="216" t="s">
        <v>8410</v>
      </c>
      <c r="E5" s="217" t="s">
        <v>8461</v>
      </c>
      <c r="F5" s="217" t="s">
        <v>8462</v>
      </c>
      <c r="G5" s="217" t="s">
        <v>8462</v>
      </c>
      <c r="H5" s="217" t="s">
        <v>8259</v>
      </c>
      <c r="I5" s="217" t="s">
        <v>8250</v>
      </c>
    </row>
    <row r="6" spans="1:9">
      <c r="A6" s="209">
        <f t="shared" ref="A6:A8" si="0">A5+1</f>
        <v>3</v>
      </c>
      <c r="B6" s="457" t="s">
        <v>136</v>
      </c>
      <c r="C6" s="215">
        <v>5095549</v>
      </c>
      <c r="D6" s="216" t="s">
        <v>8411</v>
      </c>
      <c r="E6" s="217" t="s">
        <v>8461</v>
      </c>
      <c r="F6" s="217" t="s">
        <v>8462</v>
      </c>
      <c r="G6" s="217" t="s">
        <v>8462</v>
      </c>
      <c r="H6" s="217" t="s">
        <v>8259</v>
      </c>
      <c r="I6" s="217" t="s">
        <v>8250</v>
      </c>
    </row>
    <row r="7" spans="1:9">
      <c r="A7" s="209">
        <f t="shared" si="0"/>
        <v>4</v>
      </c>
      <c r="B7" s="457" t="s">
        <v>140</v>
      </c>
      <c r="C7" s="215">
        <v>2784165</v>
      </c>
      <c r="D7" s="216" t="s">
        <v>8412</v>
      </c>
      <c r="E7" s="217" t="s">
        <v>8461</v>
      </c>
      <c r="F7" s="217" t="s">
        <v>8462</v>
      </c>
      <c r="G7" s="217" t="s">
        <v>8462</v>
      </c>
      <c r="H7" s="217" t="s">
        <v>8259</v>
      </c>
      <c r="I7" s="217" t="s">
        <v>8259</v>
      </c>
    </row>
    <row r="8" spans="1:9">
      <c r="A8" s="209">
        <f t="shared" si="0"/>
        <v>5</v>
      </c>
      <c r="B8" s="457" t="s">
        <v>629</v>
      </c>
      <c r="C8" s="209">
        <v>5439183</v>
      </c>
      <c r="D8" s="216" t="s">
        <v>8413</v>
      </c>
      <c r="E8" s="217" t="s">
        <v>8461</v>
      </c>
      <c r="F8" s="217" t="s">
        <v>8462</v>
      </c>
      <c r="G8" s="217" t="s">
        <v>8462</v>
      </c>
      <c r="H8" s="217" t="s">
        <v>8259</v>
      </c>
      <c r="I8" s="217" t="s">
        <v>8250</v>
      </c>
    </row>
    <row r="9" spans="1:9">
      <c r="A9" s="534">
        <f>A8+1</f>
        <v>6</v>
      </c>
      <c r="B9" s="532" t="s">
        <v>155</v>
      </c>
      <c r="C9" s="534">
        <v>5215919</v>
      </c>
      <c r="D9" s="216" t="s">
        <v>8414</v>
      </c>
      <c r="E9" s="217" t="s">
        <v>8463</v>
      </c>
      <c r="F9" s="217" t="s">
        <v>8463</v>
      </c>
      <c r="G9" s="217"/>
      <c r="H9" s="217" t="s">
        <v>8259</v>
      </c>
      <c r="I9" s="217" t="s">
        <v>8259</v>
      </c>
    </row>
    <row r="10" spans="1:9">
      <c r="A10" s="535"/>
      <c r="B10" s="539"/>
      <c r="C10" s="540"/>
      <c r="D10" s="216" t="s">
        <v>8415</v>
      </c>
      <c r="E10" s="217" t="s">
        <v>8463</v>
      </c>
      <c r="F10" s="217" t="s">
        <v>8463</v>
      </c>
      <c r="G10" s="217" t="s">
        <v>8463</v>
      </c>
      <c r="H10" s="217" t="s">
        <v>8259</v>
      </c>
      <c r="I10" s="217" t="s">
        <v>8259</v>
      </c>
    </row>
    <row r="11" spans="1:9">
      <c r="A11" s="209">
        <f>A9+1</f>
        <v>7</v>
      </c>
      <c r="B11" s="457" t="s">
        <v>165</v>
      </c>
      <c r="C11" s="215">
        <v>6414877</v>
      </c>
      <c r="D11" s="216" t="s">
        <v>8416</v>
      </c>
      <c r="E11" s="217" t="s">
        <v>8461</v>
      </c>
      <c r="F11" s="217" t="s">
        <v>8462</v>
      </c>
      <c r="G11" s="217" t="s">
        <v>8462</v>
      </c>
      <c r="H11" s="217" t="s">
        <v>8259</v>
      </c>
      <c r="I11" s="217" t="s">
        <v>8250</v>
      </c>
    </row>
    <row r="12" spans="1:9">
      <c r="A12" s="209">
        <v>8</v>
      </c>
      <c r="B12" s="457" t="s">
        <v>168</v>
      </c>
      <c r="C12" s="209">
        <v>5369223</v>
      </c>
      <c r="D12" s="216" t="s">
        <v>8417</v>
      </c>
      <c r="E12" s="217" t="s">
        <v>8461</v>
      </c>
      <c r="F12" s="217" t="s">
        <v>8462</v>
      </c>
      <c r="G12" s="217" t="s">
        <v>8462</v>
      </c>
      <c r="H12" s="217" t="s">
        <v>8259</v>
      </c>
      <c r="I12" s="217" t="s">
        <v>8259</v>
      </c>
    </row>
    <row r="13" spans="1:9">
      <c r="A13" s="534">
        <v>9</v>
      </c>
      <c r="B13" s="532" t="s">
        <v>169</v>
      </c>
      <c r="C13" s="534">
        <v>5294088</v>
      </c>
      <c r="D13" s="216" t="s">
        <v>8418</v>
      </c>
      <c r="E13" s="217"/>
      <c r="F13" s="217" t="s">
        <v>8462</v>
      </c>
      <c r="G13" s="217" t="s">
        <v>8462</v>
      </c>
      <c r="H13" s="217" t="s">
        <v>8259</v>
      </c>
      <c r="I13" s="217" t="s">
        <v>8259</v>
      </c>
    </row>
    <row r="14" spans="1:9">
      <c r="A14" s="537"/>
      <c r="B14" s="538"/>
      <c r="C14" s="537"/>
      <c r="D14" s="216" t="s">
        <v>8419</v>
      </c>
      <c r="E14" s="217" t="s">
        <v>8463</v>
      </c>
      <c r="F14" s="217" t="s">
        <v>8463</v>
      </c>
      <c r="G14" s="217" t="s">
        <v>8463</v>
      </c>
      <c r="H14" s="217" t="s">
        <v>8259</v>
      </c>
      <c r="I14" s="217" t="s">
        <v>8259</v>
      </c>
    </row>
    <row r="15" spans="1:9">
      <c r="A15" s="535"/>
      <c r="B15" s="533"/>
      <c r="C15" s="535"/>
      <c r="D15" s="216" t="s">
        <v>8420</v>
      </c>
      <c r="E15" s="217" t="s">
        <v>8463</v>
      </c>
      <c r="F15" s="217" t="s">
        <v>8463</v>
      </c>
      <c r="G15" s="217" t="s">
        <v>8463</v>
      </c>
      <c r="H15" s="217" t="s">
        <v>8259</v>
      </c>
      <c r="I15" s="217" t="s">
        <v>8259</v>
      </c>
    </row>
    <row r="16" spans="1:9">
      <c r="A16" s="534">
        <v>10</v>
      </c>
      <c r="B16" s="532" t="s">
        <v>183</v>
      </c>
      <c r="C16" s="534">
        <v>2061848</v>
      </c>
      <c r="D16" s="216" t="s">
        <v>8421</v>
      </c>
      <c r="E16" s="217" t="s">
        <v>8461</v>
      </c>
      <c r="F16" s="217" t="s">
        <v>8462</v>
      </c>
      <c r="G16" s="217" t="s">
        <v>8462</v>
      </c>
      <c r="H16" s="217" t="s">
        <v>8259</v>
      </c>
      <c r="I16" s="217" t="s">
        <v>8259</v>
      </c>
    </row>
    <row r="17" spans="1:9">
      <c r="A17" s="535"/>
      <c r="B17" s="533"/>
      <c r="C17" s="535"/>
      <c r="D17" s="216" t="s">
        <v>8422</v>
      </c>
      <c r="E17" s="217" t="s">
        <v>8461</v>
      </c>
      <c r="F17" s="217" t="s">
        <v>8462</v>
      </c>
      <c r="G17" s="217" t="s">
        <v>8462</v>
      </c>
      <c r="H17" s="217" t="s">
        <v>8259</v>
      </c>
      <c r="I17" s="217" t="s">
        <v>8259</v>
      </c>
    </row>
    <row r="18" spans="1:9">
      <c r="A18" s="209">
        <v>11</v>
      </c>
      <c r="B18" s="457" t="s">
        <v>188</v>
      </c>
      <c r="C18" s="215">
        <v>5217652</v>
      </c>
      <c r="D18" s="216" t="s">
        <v>8423</v>
      </c>
      <c r="E18" s="217" t="s">
        <v>8463</v>
      </c>
      <c r="F18" s="217" t="s">
        <v>8463</v>
      </c>
      <c r="G18" s="217" t="s">
        <v>8463</v>
      </c>
      <c r="H18" s="217" t="s">
        <v>8259</v>
      </c>
      <c r="I18" s="217" t="s">
        <v>8259</v>
      </c>
    </row>
    <row r="19" spans="1:9" ht="25.5">
      <c r="A19" s="209">
        <v>12</v>
      </c>
      <c r="B19" s="457" t="s">
        <v>196</v>
      </c>
      <c r="C19" s="215">
        <v>5522935</v>
      </c>
      <c r="D19" s="216" t="s">
        <v>8424</v>
      </c>
      <c r="E19" s="217" t="s">
        <v>8461</v>
      </c>
      <c r="F19" s="217" t="s">
        <v>8462</v>
      </c>
      <c r="G19" s="217" t="s">
        <v>8464</v>
      </c>
      <c r="H19" s="217" t="s">
        <v>8259</v>
      </c>
      <c r="I19" s="217" t="s">
        <v>8259</v>
      </c>
    </row>
    <row r="20" spans="1:9">
      <c r="A20" s="534">
        <v>13</v>
      </c>
      <c r="B20" s="532" t="s">
        <v>199</v>
      </c>
      <c r="C20" s="534">
        <v>5830974</v>
      </c>
      <c r="D20" s="216" t="s">
        <v>8425</v>
      </c>
      <c r="E20" s="217"/>
      <c r="F20" s="217" t="s">
        <v>8462</v>
      </c>
      <c r="G20" s="217" t="s">
        <v>8462</v>
      </c>
      <c r="H20" s="217"/>
      <c r="I20" s="217" t="s">
        <v>8259</v>
      </c>
    </row>
    <row r="21" spans="1:9">
      <c r="A21" s="537"/>
      <c r="B21" s="538"/>
      <c r="C21" s="537"/>
      <c r="D21" s="216" t="s">
        <v>8426</v>
      </c>
      <c r="E21" s="217" t="s">
        <v>8461</v>
      </c>
      <c r="F21" s="217" t="s">
        <v>8462</v>
      </c>
      <c r="G21" s="217" t="s">
        <v>8462</v>
      </c>
      <c r="H21" s="217" t="s">
        <v>8259</v>
      </c>
      <c r="I21" s="217" t="s">
        <v>8259</v>
      </c>
    </row>
    <row r="22" spans="1:9">
      <c r="A22" s="535"/>
      <c r="B22" s="533"/>
      <c r="C22" s="535"/>
      <c r="D22" s="216" t="s">
        <v>8427</v>
      </c>
      <c r="E22" s="217" t="s">
        <v>8461</v>
      </c>
      <c r="F22" s="217" t="s">
        <v>8462</v>
      </c>
      <c r="G22" s="217" t="s">
        <v>8462</v>
      </c>
      <c r="H22" s="217" t="s">
        <v>8259</v>
      </c>
      <c r="I22" s="217" t="s">
        <v>8259</v>
      </c>
    </row>
    <row r="23" spans="1:9">
      <c r="A23" s="209">
        <v>14</v>
      </c>
      <c r="B23" s="457" t="s">
        <v>202</v>
      </c>
      <c r="C23" s="209">
        <v>5699134</v>
      </c>
      <c r="D23" s="216" t="s">
        <v>8465</v>
      </c>
      <c r="E23" s="217"/>
      <c r="F23" s="217" t="s">
        <v>8462</v>
      </c>
      <c r="G23" s="217"/>
      <c r="H23" s="217"/>
      <c r="I23" s="217" t="s">
        <v>8259</v>
      </c>
    </row>
    <row r="24" spans="1:9">
      <c r="A24" s="209">
        <v>15</v>
      </c>
      <c r="B24" s="457" t="s">
        <v>204</v>
      </c>
      <c r="C24" s="209">
        <v>2034859</v>
      </c>
      <c r="D24" s="216" t="s">
        <v>8428</v>
      </c>
      <c r="E24" s="217" t="s">
        <v>8462</v>
      </c>
      <c r="F24" s="217" t="s">
        <v>8462</v>
      </c>
      <c r="G24" s="217" t="s">
        <v>205</v>
      </c>
      <c r="H24" s="217" t="s">
        <v>8250</v>
      </c>
      <c r="I24" s="217" t="s">
        <v>8259</v>
      </c>
    </row>
    <row r="25" spans="1:9">
      <c r="A25" s="209">
        <v>16</v>
      </c>
      <c r="B25" s="457" t="s">
        <v>216</v>
      </c>
      <c r="C25" s="209">
        <v>5051134</v>
      </c>
      <c r="D25" s="216" t="s">
        <v>8429</v>
      </c>
      <c r="E25" s="217" t="s">
        <v>8466</v>
      </c>
      <c r="F25" s="217" t="s">
        <v>8462</v>
      </c>
      <c r="G25" s="217" t="s">
        <v>8462</v>
      </c>
      <c r="H25" s="217" t="s">
        <v>8259</v>
      </c>
      <c r="I25" s="217" t="s">
        <v>8250</v>
      </c>
    </row>
    <row r="26" spans="1:9">
      <c r="A26" s="209">
        <v>17</v>
      </c>
      <c r="B26" s="457" t="s">
        <v>218</v>
      </c>
      <c r="C26" s="209">
        <v>2045931</v>
      </c>
      <c r="D26" s="216" t="s">
        <v>8430</v>
      </c>
      <c r="E26" s="217" t="s">
        <v>8467</v>
      </c>
      <c r="F26" s="217" t="s">
        <v>8462</v>
      </c>
      <c r="G26" s="217" t="s">
        <v>8462</v>
      </c>
      <c r="H26" s="217" t="s">
        <v>8259</v>
      </c>
      <c r="I26" s="217" t="s">
        <v>8250</v>
      </c>
    </row>
    <row r="27" spans="1:9" ht="25.5">
      <c r="A27" s="209">
        <v>18</v>
      </c>
      <c r="B27" s="457" t="s">
        <v>220</v>
      </c>
      <c r="C27" s="209">
        <v>5106567</v>
      </c>
      <c r="D27" s="216" t="s">
        <v>8431</v>
      </c>
      <c r="E27" s="217" t="s">
        <v>8461</v>
      </c>
      <c r="F27" s="217" t="s">
        <v>8462</v>
      </c>
      <c r="G27" s="217" t="s">
        <v>8462</v>
      </c>
      <c r="H27" s="217" t="s">
        <v>8259</v>
      </c>
      <c r="I27" s="217" t="s">
        <v>8259</v>
      </c>
    </row>
    <row r="28" spans="1:9">
      <c r="A28" s="209">
        <v>19</v>
      </c>
      <c r="B28" s="457" t="s">
        <v>222</v>
      </c>
      <c r="C28" s="209">
        <v>5141583</v>
      </c>
      <c r="D28" s="216" t="s">
        <v>8454</v>
      </c>
      <c r="E28" s="217" t="s">
        <v>8463</v>
      </c>
      <c r="F28" s="217" t="s">
        <v>8468</v>
      </c>
      <c r="G28" s="217" t="s">
        <v>8468</v>
      </c>
      <c r="H28" s="217" t="s">
        <v>8259</v>
      </c>
      <c r="I28" s="217" t="s">
        <v>8250</v>
      </c>
    </row>
    <row r="29" spans="1:9" ht="25.5">
      <c r="A29" s="209">
        <v>20</v>
      </c>
      <c r="B29" s="459" t="s">
        <v>225</v>
      </c>
      <c r="C29" s="209">
        <v>2010895</v>
      </c>
      <c r="D29" s="216" t="s">
        <v>8432</v>
      </c>
      <c r="E29" s="217" t="s">
        <v>8461</v>
      </c>
      <c r="F29" s="217" t="s">
        <v>8462</v>
      </c>
      <c r="G29" s="217" t="s">
        <v>8462</v>
      </c>
      <c r="H29" s="217" t="s">
        <v>8250</v>
      </c>
      <c r="I29" s="217" t="s">
        <v>8250</v>
      </c>
    </row>
    <row r="30" spans="1:9">
      <c r="A30" s="209">
        <v>21</v>
      </c>
      <c r="B30" s="459" t="s">
        <v>228</v>
      </c>
      <c r="C30" s="209">
        <v>6287727</v>
      </c>
      <c r="D30" s="216" t="s">
        <v>8438</v>
      </c>
      <c r="E30" s="217" t="s">
        <v>8462</v>
      </c>
      <c r="F30" s="217" t="s">
        <v>8462</v>
      </c>
      <c r="G30" s="217" t="s">
        <v>8462</v>
      </c>
      <c r="H30" s="217" t="s">
        <v>8259</v>
      </c>
      <c r="I30" s="217" t="s">
        <v>8250</v>
      </c>
    </row>
    <row r="31" spans="1:9">
      <c r="A31" s="534">
        <v>22</v>
      </c>
      <c r="B31" s="532" t="s">
        <v>230</v>
      </c>
      <c r="C31" s="534">
        <v>2678187</v>
      </c>
      <c r="D31" s="216" t="s">
        <v>8469</v>
      </c>
      <c r="E31" s="217" t="s">
        <v>8470</v>
      </c>
      <c r="F31" s="217" t="s">
        <v>8470</v>
      </c>
      <c r="G31" s="217" t="s">
        <v>8470</v>
      </c>
      <c r="H31" s="217" t="s">
        <v>8259</v>
      </c>
      <c r="I31" s="217" t="s">
        <v>8259</v>
      </c>
    </row>
    <row r="32" spans="1:9">
      <c r="A32" s="535"/>
      <c r="B32" s="533"/>
      <c r="C32" s="535"/>
      <c r="D32" s="216" t="s">
        <v>8471</v>
      </c>
      <c r="E32" s="217" t="s">
        <v>8463</v>
      </c>
      <c r="F32" s="217" t="s">
        <v>8463</v>
      </c>
      <c r="G32" s="217" t="s">
        <v>8463</v>
      </c>
      <c r="H32" s="217" t="s">
        <v>8259</v>
      </c>
      <c r="I32" s="217" t="s">
        <v>8259</v>
      </c>
    </row>
    <row r="33" spans="1:9">
      <c r="A33" s="209">
        <v>23</v>
      </c>
      <c r="B33" s="457" t="s">
        <v>232</v>
      </c>
      <c r="C33" s="215">
        <v>3615243</v>
      </c>
      <c r="D33" s="216" t="s">
        <v>8435</v>
      </c>
      <c r="E33" s="217" t="s">
        <v>8461</v>
      </c>
      <c r="F33" s="217" t="s">
        <v>8462</v>
      </c>
      <c r="G33" s="217" t="s">
        <v>8462</v>
      </c>
      <c r="H33" s="217" t="s">
        <v>8259</v>
      </c>
      <c r="I33" s="217" t="s">
        <v>8250</v>
      </c>
    </row>
    <row r="34" spans="1:9">
      <c r="A34" s="209">
        <v>24</v>
      </c>
      <c r="B34" s="457" t="s">
        <v>239</v>
      </c>
      <c r="C34" s="215">
        <v>5199077</v>
      </c>
      <c r="D34" s="216" t="s">
        <v>8436</v>
      </c>
      <c r="E34" s="217" t="s">
        <v>8462</v>
      </c>
      <c r="F34" s="217" t="s">
        <v>8462</v>
      </c>
      <c r="G34" s="217" t="s">
        <v>8462</v>
      </c>
      <c r="H34" s="217" t="s">
        <v>8259</v>
      </c>
      <c r="I34" s="217" t="s">
        <v>8259</v>
      </c>
    </row>
    <row r="35" spans="1:9">
      <c r="A35" s="209">
        <v>25</v>
      </c>
      <c r="B35" s="457" t="s">
        <v>242</v>
      </c>
      <c r="C35" s="215">
        <v>5076285</v>
      </c>
      <c r="D35" s="216" t="s">
        <v>8437</v>
      </c>
      <c r="E35" s="217" t="s">
        <v>8461</v>
      </c>
      <c r="F35" s="217" t="s">
        <v>8462</v>
      </c>
      <c r="G35" s="217" t="s">
        <v>8462</v>
      </c>
      <c r="H35" s="217" t="s">
        <v>8259</v>
      </c>
      <c r="I35" s="217" t="s">
        <v>8250</v>
      </c>
    </row>
    <row r="36" spans="1:9">
      <c r="A36" s="209">
        <v>26</v>
      </c>
      <c r="B36" s="457" t="s">
        <v>243</v>
      </c>
      <c r="C36" s="209">
        <v>5084555</v>
      </c>
      <c r="D36" s="216" t="s">
        <v>8472</v>
      </c>
      <c r="E36" s="217" t="s">
        <v>8463</v>
      </c>
      <c r="F36" s="217" t="s">
        <v>8463</v>
      </c>
      <c r="G36" s="217" t="s">
        <v>8462</v>
      </c>
      <c r="H36" s="217" t="s">
        <v>8259</v>
      </c>
      <c r="I36" s="217" t="s">
        <v>8250</v>
      </c>
    </row>
    <row r="37" spans="1:9">
      <c r="A37" s="209">
        <v>27</v>
      </c>
      <c r="B37" s="457" t="s">
        <v>244</v>
      </c>
      <c r="C37" s="209">
        <v>5261198</v>
      </c>
      <c r="D37" s="216" t="s">
        <v>8438</v>
      </c>
      <c r="E37" s="217" t="s">
        <v>8467</v>
      </c>
      <c r="F37" s="217" t="s">
        <v>8462</v>
      </c>
      <c r="G37" s="217" t="s">
        <v>8462</v>
      </c>
      <c r="H37" s="217" t="s">
        <v>8259</v>
      </c>
      <c r="I37" s="217" t="s">
        <v>8250</v>
      </c>
    </row>
    <row r="38" spans="1:9" ht="25.5">
      <c r="A38" s="534">
        <v>28</v>
      </c>
      <c r="B38" s="532" t="s">
        <v>265</v>
      </c>
      <c r="C38" s="534">
        <v>2872943</v>
      </c>
      <c r="D38" s="216" t="s">
        <v>8439</v>
      </c>
      <c r="E38" s="217" t="s">
        <v>8461</v>
      </c>
      <c r="F38" s="217" t="s">
        <v>8462</v>
      </c>
      <c r="G38" s="217" t="s">
        <v>8462</v>
      </c>
      <c r="H38" s="217" t="s">
        <v>8259</v>
      </c>
      <c r="I38" s="217" t="s">
        <v>8250</v>
      </c>
    </row>
    <row r="39" spans="1:9">
      <c r="A39" s="535"/>
      <c r="B39" s="533"/>
      <c r="C39" s="535"/>
      <c r="D39" s="216" t="s">
        <v>8409</v>
      </c>
      <c r="E39" s="217" t="s">
        <v>8461</v>
      </c>
      <c r="F39" s="217" t="s">
        <v>8462</v>
      </c>
      <c r="G39" s="217" t="s">
        <v>8462</v>
      </c>
      <c r="H39" s="217" t="s">
        <v>8259</v>
      </c>
      <c r="I39" s="217" t="s">
        <v>8250</v>
      </c>
    </row>
    <row r="40" spans="1:9">
      <c r="A40" s="209">
        <v>29</v>
      </c>
      <c r="B40" s="459" t="s">
        <v>266</v>
      </c>
      <c r="C40" s="209">
        <v>6268048</v>
      </c>
      <c r="D40" s="216" t="s">
        <v>8440</v>
      </c>
      <c r="E40" s="217" t="s">
        <v>8461</v>
      </c>
      <c r="F40" s="217" t="s">
        <v>8462</v>
      </c>
      <c r="G40" s="217" t="s">
        <v>8462</v>
      </c>
      <c r="H40" s="217" t="s">
        <v>8259</v>
      </c>
      <c r="I40" s="217" t="s">
        <v>8250</v>
      </c>
    </row>
    <row r="41" spans="1:9">
      <c r="A41" s="209">
        <v>30</v>
      </c>
      <c r="B41" s="459" t="s">
        <v>266</v>
      </c>
      <c r="C41" s="209">
        <v>6268048</v>
      </c>
      <c r="D41" s="216" t="s">
        <v>8441</v>
      </c>
      <c r="E41" s="217" t="s">
        <v>8461</v>
      </c>
      <c r="F41" s="217" t="s">
        <v>8462</v>
      </c>
      <c r="G41" s="217" t="s">
        <v>8462</v>
      </c>
      <c r="H41" s="217" t="s">
        <v>8259</v>
      </c>
      <c r="I41" s="217" t="s">
        <v>8250</v>
      </c>
    </row>
    <row r="42" spans="1:9" ht="25.5">
      <c r="A42" s="209">
        <v>31</v>
      </c>
      <c r="B42" s="459" t="s">
        <v>268</v>
      </c>
      <c r="C42" s="209">
        <v>5874963</v>
      </c>
      <c r="D42" s="216" t="s">
        <v>8442</v>
      </c>
      <c r="E42" s="217" t="s">
        <v>8461</v>
      </c>
      <c r="F42" s="217" t="s">
        <v>8462</v>
      </c>
      <c r="G42" s="217" t="s">
        <v>8462</v>
      </c>
      <c r="H42" s="217" t="s">
        <v>8259</v>
      </c>
      <c r="I42" s="217" t="s">
        <v>8259</v>
      </c>
    </row>
    <row r="43" spans="1:9">
      <c r="A43" s="534">
        <v>32</v>
      </c>
      <c r="B43" s="541" t="s">
        <v>269</v>
      </c>
      <c r="C43" s="534">
        <v>6636624</v>
      </c>
      <c r="D43" s="216" t="s">
        <v>8443</v>
      </c>
      <c r="E43" s="217" t="s">
        <v>8461</v>
      </c>
      <c r="F43" s="217" t="s">
        <v>8462</v>
      </c>
      <c r="G43" s="217" t="s">
        <v>8462</v>
      </c>
      <c r="H43" s="217" t="s">
        <v>8259</v>
      </c>
      <c r="I43" s="217" t="s">
        <v>8250</v>
      </c>
    </row>
    <row r="44" spans="1:9">
      <c r="A44" s="535"/>
      <c r="B44" s="542"/>
      <c r="C44" s="535"/>
      <c r="D44" s="216" t="s">
        <v>8444</v>
      </c>
      <c r="E44" s="217" t="s">
        <v>8461</v>
      </c>
      <c r="F44" s="217" t="s">
        <v>8462</v>
      </c>
      <c r="G44" s="217" t="s">
        <v>8462</v>
      </c>
      <c r="H44" s="217" t="s">
        <v>8259</v>
      </c>
      <c r="I44" s="217" t="s">
        <v>8259</v>
      </c>
    </row>
    <row r="45" spans="1:9">
      <c r="A45" s="209">
        <v>33</v>
      </c>
      <c r="B45" s="457" t="s">
        <v>270</v>
      </c>
      <c r="C45" s="215">
        <v>2839717</v>
      </c>
      <c r="D45" s="216" t="s">
        <v>8445</v>
      </c>
      <c r="E45" s="217" t="s">
        <v>8473</v>
      </c>
      <c r="F45" s="217" t="s">
        <v>8463</v>
      </c>
      <c r="G45" s="217" t="s">
        <v>8463</v>
      </c>
      <c r="H45" s="217" t="s">
        <v>8259</v>
      </c>
      <c r="I45" s="217" t="s">
        <v>8259</v>
      </c>
    </row>
    <row r="46" spans="1:9">
      <c r="A46" s="209">
        <v>34</v>
      </c>
      <c r="B46" s="457" t="s">
        <v>279</v>
      </c>
      <c r="C46" s="215">
        <v>5877288</v>
      </c>
      <c r="D46" s="216" t="s">
        <v>8418</v>
      </c>
      <c r="E46" s="217" t="s">
        <v>8461</v>
      </c>
      <c r="F46" s="217" t="s">
        <v>8462</v>
      </c>
      <c r="G46" s="217" t="s">
        <v>8462</v>
      </c>
      <c r="H46" s="217" t="s">
        <v>8259</v>
      </c>
      <c r="I46" s="217" t="s">
        <v>8259</v>
      </c>
    </row>
    <row r="47" spans="1:9" ht="25.5">
      <c r="A47" s="209">
        <v>35</v>
      </c>
      <c r="B47" s="457" t="s">
        <v>283</v>
      </c>
      <c r="C47" s="215">
        <v>2887134</v>
      </c>
      <c r="D47" s="216" t="s">
        <v>8446</v>
      </c>
      <c r="E47" s="217" t="s">
        <v>8461</v>
      </c>
      <c r="F47" s="217" t="s">
        <v>8462</v>
      </c>
      <c r="G47" s="217" t="s">
        <v>8462</v>
      </c>
      <c r="H47" s="217" t="s">
        <v>8259</v>
      </c>
      <c r="I47" s="217" t="s">
        <v>8259</v>
      </c>
    </row>
    <row r="48" spans="1:9">
      <c r="A48" s="209">
        <v>36</v>
      </c>
      <c r="B48" s="457" t="s">
        <v>286</v>
      </c>
      <c r="C48" s="209">
        <v>2100231</v>
      </c>
      <c r="D48" s="216" t="s">
        <v>8412</v>
      </c>
      <c r="E48" s="217" t="s">
        <v>8461</v>
      </c>
      <c r="F48" s="217" t="s">
        <v>8462</v>
      </c>
      <c r="G48" s="217" t="s">
        <v>8462</v>
      </c>
      <c r="H48" s="217" t="s">
        <v>8259</v>
      </c>
      <c r="I48" s="217" t="s">
        <v>8259</v>
      </c>
    </row>
    <row r="49" spans="1:9">
      <c r="A49" s="209">
        <v>37</v>
      </c>
      <c r="B49" s="532" t="s">
        <v>296</v>
      </c>
      <c r="C49" s="534">
        <v>5671833</v>
      </c>
      <c r="D49" s="216" t="s">
        <v>8474</v>
      </c>
      <c r="E49" s="217" t="s">
        <v>8463</v>
      </c>
      <c r="F49" s="217" t="s">
        <v>8463</v>
      </c>
      <c r="G49" s="217" t="s">
        <v>8463</v>
      </c>
      <c r="H49" s="217" t="s">
        <v>8259</v>
      </c>
      <c r="I49" s="217" t="s">
        <v>8259</v>
      </c>
    </row>
    <row r="50" spans="1:9">
      <c r="A50" s="209">
        <v>38</v>
      </c>
      <c r="B50" s="533"/>
      <c r="C50" s="535"/>
      <c r="D50" s="216" t="s">
        <v>8475</v>
      </c>
      <c r="E50" s="217" t="s">
        <v>8463</v>
      </c>
      <c r="F50" s="217" t="s">
        <v>8463</v>
      </c>
      <c r="G50" s="217" t="s">
        <v>8463</v>
      </c>
      <c r="H50" s="217" t="s">
        <v>8259</v>
      </c>
      <c r="I50" s="217" t="s">
        <v>8259</v>
      </c>
    </row>
    <row r="51" spans="1:9">
      <c r="A51" s="209">
        <v>39</v>
      </c>
      <c r="B51" s="459" t="s">
        <v>298</v>
      </c>
      <c r="C51" s="209">
        <v>2668505</v>
      </c>
      <c r="D51" s="216" t="s">
        <v>8449</v>
      </c>
      <c r="E51" s="217" t="s">
        <v>8463</v>
      </c>
      <c r="F51" s="217" t="s">
        <v>8463</v>
      </c>
      <c r="G51" s="217" t="s">
        <v>8462</v>
      </c>
      <c r="H51" s="217" t="s">
        <v>8259</v>
      </c>
      <c r="I51" s="217" t="s">
        <v>8259</v>
      </c>
    </row>
    <row r="52" spans="1:9">
      <c r="A52" s="209">
        <v>40</v>
      </c>
      <c r="B52" s="532" t="s">
        <v>300</v>
      </c>
      <c r="C52" s="534">
        <v>5352827</v>
      </c>
      <c r="D52" s="216" t="s">
        <v>8450</v>
      </c>
      <c r="E52" s="217" t="s">
        <v>8470</v>
      </c>
      <c r="F52" s="217" t="s">
        <v>8470</v>
      </c>
      <c r="G52" s="217" t="s">
        <v>8470</v>
      </c>
      <c r="H52" s="217" t="s">
        <v>8259</v>
      </c>
      <c r="I52" s="217" t="s">
        <v>8250</v>
      </c>
    </row>
    <row r="53" spans="1:9">
      <c r="A53" s="209">
        <v>41</v>
      </c>
      <c r="B53" s="533"/>
      <c r="C53" s="535"/>
      <c r="D53" s="216" t="s">
        <v>8451</v>
      </c>
      <c r="E53" s="217" t="s">
        <v>8476</v>
      </c>
      <c r="F53" s="217" t="s">
        <v>8476</v>
      </c>
      <c r="G53" s="217" t="s">
        <v>8476</v>
      </c>
      <c r="H53" s="217" t="s">
        <v>8259</v>
      </c>
      <c r="I53" s="217" t="s">
        <v>8250</v>
      </c>
    </row>
    <row r="54" spans="1:9">
      <c r="A54" s="534">
        <v>42</v>
      </c>
      <c r="B54" s="532" t="s">
        <v>301</v>
      </c>
      <c r="C54" s="534">
        <v>2548747</v>
      </c>
      <c r="D54" s="216" t="s">
        <v>8452</v>
      </c>
      <c r="E54" s="217" t="s">
        <v>8461</v>
      </c>
      <c r="F54" s="217" t="s">
        <v>8462</v>
      </c>
      <c r="G54" s="217" t="s">
        <v>8462</v>
      </c>
      <c r="H54" s="217" t="s">
        <v>8259</v>
      </c>
      <c r="I54" s="217" t="s">
        <v>8259</v>
      </c>
    </row>
    <row r="55" spans="1:9">
      <c r="A55" s="535"/>
      <c r="B55" s="533"/>
      <c r="C55" s="535"/>
      <c r="D55" s="216" t="s">
        <v>8453</v>
      </c>
      <c r="E55" s="217" t="s">
        <v>8461</v>
      </c>
      <c r="F55" s="217" t="s">
        <v>8462</v>
      </c>
      <c r="G55" s="217" t="s">
        <v>8462</v>
      </c>
      <c r="H55" s="217" t="s">
        <v>8259</v>
      </c>
      <c r="I55" s="217" t="s">
        <v>8259</v>
      </c>
    </row>
    <row r="56" spans="1:9">
      <c r="A56" s="209">
        <v>43</v>
      </c>
      <c r="B56" s="457" t="s">
        <v>306</v>
      </c>
      <c r="C56" s="209">
        <v>6342485</v>
      </c>
      <c r="D56" s="216" t="s">
        <v>8445</v>
      </c>
      <c r="E56" s="217" t="s">
        <v>8463</v>
      </c>
      <c r="F56" s="217" t="s">
        <v>8463</v>
      </c>
      <c r="G56" s="217" t="s">
        <v>8463</v>
      </c>
      <c r="H56" s="217" t="s">
        <v>8259</v>
      </c>
      <c r="I56" s="217" t="s">
        <v>8259</v>
      </c>
    </row>
    <row r="57" spans="1:9" ht="25.5">
      <c r="A57" s="209">
        <v>44</v>
      </c>
      <c r="B57" s="459" t="s">
        <v>319</v>
      </c>
      <c r="C57" s="209">
        <v>2887746</v>
      </c>
      <c r="D57" s="216" t="s">
        <v>8446</v>
      </c>
      <c r="E57" s="217" t="s">
        <v>8461</v>
      </c>
      <c r="F57" s="217" t="s">
        <v>8462</v>
      </c>
      <c r="G57" s="217" t="s">
        <v>8462</v>
      </c>
      <c r="H57" s="217" t="s">
        <v>8259</v>
      </c>
      <c r="I57" s="217" t="s">
        <v>8259</v>
      </c>
    </row>
    <row r="58" spans="1:9">
      <c r="A58" s="534">
        <v>45</v>
      </c>
      <c r="B58" s="532" t="s">
        <v>320</v>
      </c>
      <c r="C58" s="534">
        <v>5618339</v>
      </c>
      <c r="D58" s="216" t="s">
        <v>8450</v>
      </c>
      <c r="E58" s="217" t="s">
        <v>8470</v>
      </c>
      <c r="F58" s="217" t="s">
        <v>8470</v>
      </c>
      <c r="G58" s="217" t="s">
        <v>8470</v>
      </c>
      <c r="H58" s="217" t="s">
        <v>8259</v>
      </c>
      <c r="I58" s="217" t="s">
        <v>8250</v>
      </c>
    </row>
    <row r="59" spans="1:9">
      <c r="A59" s="535"/>
      <c r="B59" s="533"/>
      <c r="C59" s="535"/>
      <c r="D59" s="216" t="s">
        <v>8451</v>
      </c>
      <c r="E59" s="217" t="s">
        <v>8476</v>
      </c>
      <c r="F59" s="217" t="s">
        <v>8476</v>
      </c>
      <c r="G59" s="217" t="s">
        <v>8476</v>
      </c>
      <c r="H59" s="217" t="s">
        <v>8259</v>
      </c>
      <c r="I59" s="217" t="s">
        <v>8259</v>
      </c>
    </row>
    <row r="60" spans="1:9">
      <c r="A60" s="209">
        <v>46</v>
      </c>
      <c r="B60" s="457" t="s">
        <v>327</v>
      </c>
      <c r="C60" s="209">
        <v>2074192</v>
      </c>
      <c r="D60" s="216" t="s">
        <v>8477</v>
      </c>
      <c r="E60" s="217" t="s">
        <v>8461</v>
      </c>
      <c r="F60" s="217" t="s">
        <v>8462</v>
      </c>
      <c r="G60" s="217"/>
      <c r="H60" s="217" t="s">
        <v>8259</v>
      </c>
      <c r="I60" s="217" t="s">
        <v>8250</v>
      </c>
    </row>
    <row r="61" spans="1:9">
      <c r="A61" s="209">
        <v>47</v>
      </c>
      <c r="B61" s="457" t="s">
        <v>332</v>
      </c>
      <c r="C61" s="460">
        <v>5137977</v>
      </c>
      <c r="D61" s="453" t="s">
        <v>8454</v>
      </c>
      <c r="E61" s="338" t="s">
        <v>8463</v>
      </c>
      <c r="F61" s="338" t="s">
        <v>8468</v>
      </c>
      <c r="G61" s="338" t="s">
        <v>8468</v>
      </c>
      <c r="H61" s="338" t="s">
        <v>8259</v>
      </c>
      <c r="I61" s="338" t="s">
        <v>8259</v>
      </c>
    </row>
    <row r="62" spans="1:9">
      <c r="A62" s="209">
        <v>48</v>
      </c>
      <c r="B62" s="461" t="s">
        <v>121</v>
      </c>
      <c r="C62" s="22"/>
      <c r="D62" s="22"/>
      <c r="E62" s="22"/>
      <c r="F62" s="22"/>
      <c r="G62" s="22"/>
      <c r="H62" s="22"/>
      <c r="I62" s="22"/>
    </row>
    <row r="63" spans="1:9">
      <c r="A63" s="462">
        <v>49</v>
      </c>
      <c r="B63" s="461" t="s">
        <v>126</v>
      </c>
      <c r="C63" s="22"/>
      <c r="D63" s="22"/>
      <c r="E63" s="22"/>
      <c r="F63" s="22"/>
      <c r="G63" s="22"/>
      <c r="H63" s="22"/>
      <c r="I63" s="22"/>
    </row>
    <row r="64" spans="1:9" ht="23.25" customHeight="1">
      <c r="A64" s="209">
        <v>50</v>
      </c>
      <c r="B64" s="461" t="s">
        <v>143</v>
      </c>
      <c r="C64" s="22"/>
      <c r="D64" s="22"/>
      <c r="E64" s="22"/>
      <c r="F64" s="22"/>
      <c r="G64" s="22"/>
      <c r="H64" s="22"/>
      <c r="I64" s="22"/>
    </row>
    <row r="65" spans="1:9">
      <c r="A65" s="209">
        <v>51</v>
      </c>
      <c r="B65" s="461" t="s">
        <v>144</v>
      </c>
      <c r="C65" s="22"/>
      <c r="D65" s="22"/>
      <c r="E65" s="22"/>
      <c r="F65" s="22"/>
      <c r="G65" s="22"/>
      <c r="H65" s="22"/>
      <c r="I65" s="22"/>
    </row>
    <row r="66" spans="1:9">
      <c r="A66" s="462">
        <v>52</v>
      </c>
      <c r="B66" s="461" t="s">
        <v>146</v>
      </c>
      <c r="C66" s="22"/>
      <c r="D66" s="22"/>
      <c r="E66" s="22"/>
      <c r="F66" s="22"/>
      <c r="G66" s="22"/>
      <c r="H66" s="22"/>
      <c r="I66" s="22"/>
    </row>
    <row r="67" spans="1:9">
      <c r="A67" s="209">
        <v>53</v>
      </c>
      <c r="B67" s="461" t="s">
        <v>152</v>
      </c>
      <c r="C67" s="22"/>
      <c r="D67" s="22"/>
      <c r="E67" s="22"/>
      <c r="F67" s="22"/>
      <c r="G67" s="22"/>
      <c r="H67" s="22"/>
      <c r="I67" s="22"/>
    </row>
    <row r="68" spans="1:9">
      <c r="A68" s="209">
        <v>54</v>
      </c>
      <c r="B68" s="405" t="s">
        <v>157</v>
      </c>
      <c r="C68" s="22"/>
      <c r="D68" s="22"/>
      <c r="E68" s="22"/>
      <c r="F68" s="22"/>
      <c r="G68" s="22"/>
      <c r="H68" s="22"/>
      <c r="I68" s="22"/>
    </row>
    <row r="69" spans="1:9">
      <c r="A69" s="209">
        <v>55</v>
      </c>
      <c r="B69" s="405" t="s">
        <v>159</v>
      </c>
      <c r="C69" s="22"/>
      <c r="D69" s="22"/>
      <c r="E69" s="22"/>
      <c r="F69" s="22"/>
      <c r="G69" s="22"/>
      <c r="H69" s="22"/>
      <c r="I69" s="22"/>
    </row>
    <row r="70" spans="1:9">
      <c r="A70" s="462">
        <v>56</v>
      </c>
      <c r="B70" s="405" t="s">
        <v>161</v>
      </c>
      <c r="C70" s="22"/>
      <c r="D70" s="22"/>
      <c r="E70" s="22"/>
      <c r="F70" s="22"/>
      <c r="G70" s="22"/>
      <c r="H70" s="22"/>
      <c r="I70" s="22"/>
    </row>
    <row r="71" spans="1:9">
      <c r="A71" s="209">
        <v>57</v>
      </c>
      <c r="B71" s="461" t="s">
        <v>173</v>
      </c>
      <c r="C71" s="22"/>
      <c r="D71" s="22"/>
      <c r="E71" s="22"/>
      <c r="F71" s="22"/>
      <c r="G71" s="22"/>
      <c r="H71" s="22"/>
      <c r="I71" s="22"/>
    </row>
    <row r="72" spans="1:9">
      <c r="A72" s="209">
        <v>58</v>
      </c>
      <c r="B72" s="461" t="s">
        <v>174</v>
      </c>
      <c r="C72" s="22"/>
      <c r="D72" s="22"/>
      <c r="E72" s="22"/>
      <c r="F72" s="22"/>
      <c r="G72" s="22"/>
      <c r="H72" s="22"/>
      <c r="I72" s="22"/>
    </row>
    <row r="73" spans="1:9">
      <c r="A73" s="209">
        <v>59</v>
      </c>
      <c r="B73" s="461" t="s">
        <v>175</v>
      </c>
      <c r="C73" s="22"/>
      <c r="D73" s="22"/>
      <c r="E73" s="22"/>
      <c r="F73" s="22"/>
      <c r="G73" s="22"/>
      <c r="H73" s="22"/>
      <c r="I73" s="22"/>
    </row>
    <row r="74" spans="1:9">
      <c r="A74" s="209">
        <v>60</v>
      </c>
      <c r="B74" s="461" t="s">
        <v>176</v>
      </c>
      <c r="C74" s="22"/>
      <c r="D74" s="22"/>
      <c r="E74" s="22"/>
      <c r="F74" s="22"/>
      <c r="G74" s="22"/>
      <c r="H74" s="22"/>
      <c r="I74" s="22"/>
    </row>
    <row r="75" spans="1:9">
      <c r="A75" s="209">
        <v>61</v>
      </c>
      <c r="B75" s="461" t="s">
        <v>177</v>
      </c>
      <c r="C75" s="22"/>
      <c r="D75" s="22"/>
      <c r="E75" s="22"/>
      <c r="F75" s="22"/>
      <c r="G75" s="22"/>
      <c r="H75" s="22"/>
      <c r="I75" s="22"/>
    </row>
    <row r="76" spans="1:9">
      <c r="A76" s="462">
        <v>62</v>
      </c>
      <c r="B76" s="461" t="s">
        <v>178</v>
      </c>
      <c r="C76" s="22"/>
      <c r="D76" s="22"/>
      <c r="E76" s="22"/>
      <c r="F76" s="22"/>
      <c r="G76" s="22"/>
      <c r="H76" s="22"/>
      <c r="I76" s="22"/>
    </row>
    <row r="77" spans="1:9">
      <c r="A77" s="462">
        <v>63</v>
      </c>
      <c r="B77" s="461" t="s">
        <v>179</v>
      </c>
      <c r="C77" s="22"/>
      <c r="D77" s="22"/>
      <c r="E77" s="22"/>
      <c r="F77" s="22"/>
      <c r="G77" s="22"/>
      <c r="H77" s="22"/>
      <c r="I77" s="22"/>
    </row>
    <row r="78" spans="1:9">
      <c r="A78" s="209">
        <v>64</v>
      </c>
      <c r="B78" s="461" t="s">
        <v>185</v>
      </c>
      <c r="C78" s="22"/>
      <c r="D78" s="22"/>
      <c r="E78" s="22"/>
      <c r="F78" s="22"/>
      <c r="G78" s="22"/>
      <c r="H78" s="22"/>
      <c r="I78" s="22"/>
    </row>
    <row r="79" spans="1:9">
      <c r="A79" s="209">
        <v>65</v>
      </c>
      <c r="B79" s="461" t="s">
        <v>187</v>
      </c>
      <c r="C79" s="22"/>
      <c r="D79" s="22"/>
      <c r="E79" s="22"/>
      <c r="F79" s="22"/>
      <c r="G79" s="22"/>
      <c r="H79" s="22"/>
      <c r="I79" s="22"/>
    </row>
    <row r="80" spans="1:9">
      <c r="A80" s="209">
        <v>66</v>
      </c>
      <c r="B80" s="461" t="s">
        <v>189</v>
      </c>
      <c r="C80" s="22"/>
      <c r="D80" s="22"/>
      <c r="E80" s="22"/>
      <c r="F80" s="22"/>
      <c r="G80" s="22"/>
      <c r="H80" s="22"/>
      <c r="I80" s="22"/>
    </row>
    <row r="81" spans="1:9">
      <c r="A81" s="209">
        <v>67</v>
      </c>
      <c r="B81" s="461" t="s">
        <v>193</v>
      </c>
      <c r="C81" s="22"/>
      <c r="D81" s="22"/>
      <c r="E81" s="22"/>
      <c r="F81" s="22"/>
      <c r="G81" s="22"/>
      <c r="H81" s="22"/>
      <c r="I81" s="22"/>
    </row>
    <row r="82" spans="1:9">
      <c r="A82" s="209">
        <v>68</v>
      </c>
      <c r="B82" s="461" t="s">
        <v>194</v>
      </c>
      <c r="C82" s="22"/>
      <c r="D82" s="22"/>
      <c r="E82" s="22"/>
      <c r="F82" s="22"/>
      <c r="G82" s="22"/>
      <c r="H82" s="22"/>
      <c r="I82" s="22"/>
    </row>
    <row r="83" spans="1:9">
      <c r="A83" s="209">
        <v>69</v>
      </c>
      <c r="B83" s="461" t="s">
        <v>197</v>
      </c>
      <c r="C83" s="22"/>
      <c r="D83" s="22"/>
      <c r="E83" s="22"/>
      <c r="F83" s="22"/>
      <c r="G83" s="22"/>
      <c r="H83" s="22"/>
      <c r="I83" s="22"/>
    </row>
    <row r="84" spans="1:9">
      <c r="A84" s="209">
        <v>70</v>
      </c>
      <c r="B84" s="461" t="s">
        <v>198</v>
      </c>
      <c r="C84" s="22"/>
      <c r="D84" s="22"/>
      <c r="E84" s="22"/>
      <c r="F84" s="22"/>
      <c r="G84" s="22"/>
      <c r="H84" s="22"/>
      <c r="I84" s="22"/>
    </row>
    <row r="85" spans="1:9">
      <c r="A85" s="209">
        <v>71</v>
      </c>
      <c r="B85" s="461" t="s">
        <v>201</v>
      </c>
      <c r="C85" s="22"/>
      <c r="D85" s="22"/>
      <c r="E85" s="22"/>
      <c r="F85" s="22"/>
      <c r="G85" s="22"/>
      <c r="H85" s="22"/>
      <c r="I85" s="22"/>
    </row>
    <row r="86" spans="1:9">
      <c r="A86" s="209">
        <v>72</v>
      </c>
      <c r="B86" s="461" t="s">
        <v>203</v>
      </c>
      <c r="C86" s="22"/>
      <c r="D86" s="22"/>
      <c r="E86" s="22"/>
      <c r="F86" s="22"/>
      <c r="G86" s="22"/>
      <c r="H86" s="22"/>
      <c r="I86" s="22"/>
    </row>
    <row r="87" spans="1:9">
      <c r="A87" s="209">
        <v>73</v>
      </c>
      <c r="B87" s="461" t="s">
        <v>208</v>
      </c>
      <c r="C87" s="22"/>
      <c r="D87" s="22"/>
      <c r="E87" s="22"/>
      <c r="F87" s="22"/>
      <c r="G87" s="22"/>
      <c r="H87" s="22"/>
      <c r="I87" s="22"/>
    </row>
    <row r="88" spans="1:9">
      <c r="A88" s="209">
        <v>74</v>
      </c>
      <c r="B88" s="461" t="s">
        <v>210</v>
      </c>
      <c r="C88" s="22"/>
      <c r="D88" s="22"/>
      <c r="E88" s="22"/>
      <c r="F88" s="22"/>
      <c r="G88" s="22"/>
      <c r="H88" s="22"/>
      <c r="I88" s="22"/>
    </row>
    <row r="89" spans="1:9">
      <c r="A89" s="209">
        <v>75</v>
      </c>
      <c r="B89" s="461" t="s">
        <v>211</v>
      </c>
      <c r="C89" s="22"/>
      <c r="D89" s="22"/>
      <c r="E89" s="22"/>
      <c r="F89" s="22"/>
      <c r="G89" s="22"/>
      <c r="H89" s="22"/>
      <c r="I89" s="22"/>
    </row>
    <row r="90" spans="1:9" ht="27.75" customHeight="1">
      <c r="A90" s="209">
        <v>76</v>
      </c>
      <c r="B90" s="461" t="s">
        <v>213</v>
      </c>
      <c r="C90" s="22"/>
      <c r="D90" s="22"/>
      <c r="E90" s="22"/>
      <c r="F90" s="22"/>
      <c r="G90" s="22"/>
      <c r="H90" s="22"/>
      <c r="I90" s="22"/>
    </row>
    <row r="91" spans="1:9">
      <c r="A91" s="209">
        <v>77</v>
      </c>
      <c r="B91" s="461" t="s">
        <v>214</v>
      </c>
      <c r="C91" s="22"/>
      <c r="D91" s="22"/>
      <c r="E91" s="22"/>
      <c r="F91" s="22"/>
      <c r="G91" s="22"/>
      <c r="H91" s="22"/>
      <c r="I91" s="22"/>
    </row>
    <row r="92" spans="1:9">
      <c r="A92" s="209">
        <v>78</v>
      </c>
      <c r="B92" s="461" t="s">
        <v>217</v>
      </c>
      <c r="C92" s="22"/>
      <c r="D92" s="22"/>
      <c r="E92" s="22"/>
      <c r="F92" s="22"/>
      <c r="G92" s="22"/>
      <c r="H92" s="22"/>
      <c r="I92" s="22"/>
    </row>
    <row r="93" spans="1:9">
      <c r="A93" s="209">
        <v>79</v>
      </c>
      <c r="B93" s="461" t="s">
        <v>219</v>
      </c>
      <c r="C93" s="22"/>
      <c r="D93" s="22"/>
      <c r="E93" s="22"/>
      <c r="F93" s="22"/>
      <c r="G93" s="22"/>
      <c r="H93" s="22"/>
      <c r="I93" s="22"/>
    </row>
    <row r="94" spans="1:9">
      <c r="A94" s="209">
        <v>80</v>
      </c>
      <c r="B94" s="461" t="s">
        <v>223</v>
      </c>
      <c r="C94" s="22"/>
      <c r="D94" s="22"/>
      <c r="E94" s="22"/>
      <c r="F94" s="22"/>
      <c r="G94" s="22"/>
      <c r="H94" s="22"/>
      <c r="I94" s="22"/>
    </row>
    <row r="95" spans="1:9">
      <c r="A95" s="209">
        <v>81</v>
      </c>
      <c r="B95" s="461" t="s">
        <v>224</v>
      </c>
      <c r="C95" s="22"/>
      <c r="D95" s="22"/>
      <c r="E95" s="22"/>
      <c r="F95" s="22"/>
      <c r="G95" s="22"/>
      <c r="H95" s="22"/>
      <c r="I95" s="22"/>
    </row>
    <row r="96" spans="1:9">
      <c r="A96" s="209">
        <v>82</v>
      </c>
      <c r="B96" s="463" t="s">
        <v>227</v>
      </c>
      <c r="C96" s="22"/>
      <c r="D96" s="22"/>
      <c r="E96" s="22"/>
      <c r="F96" s="22"/>
      <c r="G96" s="22"/>
      <c r="H96" s="22"/>
      <c r="I96" s="22"/>
    </row>
    <row r="97" spans="1:9">
      <c r="A97" s="209">
        <v>83</v>
      </c>
      <c r="B97" s="463" t="s">
        <v>229</v>
      </c>
      <c r="C97" s="22"/>
      <c r="D97" s="22"/>
      <c r="E97" s="22"/>
      <c r="F97" s="22"/>
      <c r="G97" s="22"/>
      <c r="H97" s="22"/>
      <c r="I97" s="22"/>
    </row>
    <row r="98" spans="1:9">
      <c r="A98" s="209">
        <v>84</v>
      </c>
      <c r="B98" s="463" t="s">
        <v>231</v>
      </c>
      <c r="C98" s="22"/>
      <c r="D98" s="22"/>
      <c r="E98" s="22"/>
      <c r="F98" s="22"/>
      <c r="G98" s="22"/>
      <c r="H98" s="22"/>
      <c r="I98" s="22"/>
    </row>
    <row r="99" spans="1:9">
      <c r="A99" s="209">
        <v>85</v>
      </c>
      <c r="B99" s="461" t="s">
        <v>236</v>
      </c>
      <c r="C99" s="22"/>
      <c r="D99" s="22"/>
      <c r="E99" s="22"/>
      <c r="F99" s="22"/>
      <c r="G99" s="22"/>
      <c r="H99" s="22"/>
      <c r="I99" s="22"/>
    </row>
    <row r="100" spans="1:9">
      <c r="A100" s="209">
        <v>86</v>
      </c>
      <c r="B100" s="461" t="s">
        <v>240</v>
      </c>
      <c r="C100" s="22"/>
      <c r="D100" s="22"/>
      <c r="E100" s="22"/>
      <c r="F100" s="22"/>
      <c r="G100" s="22"/>
      <c r="H100" s="22"/>
      <c r="I100" s="22"/>
    </row>
    <row r="101" spans="1:9">
      <c r="A101" s="209">
        <v>87</v>
      </c>
      <c r="B101" s="461" t="s">
        <v>241</v>
      </c>
      <c r="C101" s="22"/>
      <c r="D101" s="22"/>
      <c r="E101" s="22"/>
      <c r="F101" s="22"/>
      <c r="G101" s="22"/>
      <c r="H101" s="22"/>
      <c r="I101" s="22"/>
    </row>
    <row r="102" spans="1:9">
      <c r="A102" s="209">
        <v>88</v>
      </c>
      <c r="B102" s="461" t="s">
        <v>246</v>
      </c>
      <c r="C102" s="22"/>
      <c r="D102" s="22"/>
      <c r="E102" s="22"/>
      <c r="F102" s="22"/>
      <c r="G102" s="22"/>
      <c r="H102" s="22"/>
      <c r="I102" s="22"/>
    </row>
    <row r="103" spans="1:9">
      <c r="A103" s="209">
        <v>89</v>
      </c>
      <c r="B103" s="461" t="s">
        <v>248</v>
      </c>
      <c r="C103" s="22"/>
      <c r="D103" s="22"/>
      <c r="E103" s="22"/>
      <c r="F103" s="22"/>
      <c r="G103" s="22"/>
      <c r="H103" s="22"/>
      <c r="I103" s="22"/>
    </row>
    <row r="104" spans="1:9">
      <c r="A104" s="209">
        <v>90</v>
      </c>
      <c r="B104" s="461" t="s">
        <v>249</v>
      </c>
      <c r="C104" s="22"/>
      <c r="D104" s="22"/>
      <c r="E104" s="22"/>
      <c r="F104" s="22"/>
      <c r="G104" s="22"/>
      <c r="H104" s="22"/>
      <c r="I104" s="22"/>
    </row>
    <row r="105" spans="1:9">
      <c r="A105" s="209">
        <v>91</v>
      </c>
      <c r="B105" s="461" t="s">
        <v>250</v>
      </c>
      <c r="C105" s="22"/>
      <c r="D105" s="22"/>
      <c r="E105" s="22"/>
      <c r="F105" s="22"/>
      <c r="G105" s="22"/>
      <c r="H105" s="22"/>
      <c r="I105" s="22"/>
    </row>
    <row r="106" spans="1:9">
      <c r="A106" s="209">
        <v>92</v>
      </c>
      <c r="B106" s="461" t="s">
        <v>251</v>
      </c>
      <c r="C106" s="22"/>
      <c r="D106" s="22"/>
      <c r="E106" s="22"/>
      <c r="F106" s="22"/>
      <c r="G106" s="22"/>
      <c r="H106" s="22"/>
      <c r="I106" s="22"/>
    </row>
    <row r="107" spans="1:9">
      <c r="A107" s="209">
        <v>93</v>
      </c>
      <c r="B107" s="461" t="s">
        <v>253</v>
      </c>
      <c r="C107" s="22"/>
      <c r="D107" s="22"/>
      <c r="E107" s="22"/>
      <c r="F107" s="22"/>
      <c r="G107" s="22"/>
      <c r="H107" s="22"/>
      <c r="I107" s="22"/>
    </row>
    <row r="108" spans="1:9">
      <c r="A108" s="209">
        <v>94</v>
      </c>
      <c r="B108" s="461" t="s">
        <v>254</v>
      </c>
      <c r="C108" s="22"/>
      <c r="D108" s="22"/>
      <c r="E108" s="22"/>
      <c r="F108" s="22"/>
      <c r="G108" s="22"/>
      <c r="H108" s="22"/>
      <c r="I108" s="22"/>
    </row>
    <row r="109" spans="1:9">
      <c r="A109" s="209">
        <v>95</v>
      </c>
      <c r="B109" s="461" t="s">
        <v>257</v>
      </c>
      <c r="C109" s="22"/>
      <c r="D109" s="22"/>
      <c r="E109" s="22"/>
      <c r="F109" s="22"/>
      <c r="G109" s="22"/>
      <c r="H109" s="22"/>
      <c r="I109" s="22"/>
    </row>
    <row r="110" spans="1:9">
      <c r="A110" s="209">
        <v>96</v>
      </c>
      <c r="B110" s="461" t="s">
        <v>258</v>
      </c>
      <c r="C110" s="22"/>
      <c r="D110" s="22"/>
      <c r="E110" s="22"/>
      <c r="F110" s="22"/>
      <c r="G110" s="22"/>
      <c r="H110" s="22"/>
      <c r="I110" s="22"/>
    </row>
    <row r="111" spans="1:9">
      <c r="A111" s="209">
        <v>97</v>
      </c>
      <c r="B111" s="461" t="s">
        <v>260</v>
      </c>
      <c r="C111" s="22"/>
      <c r="D111" s="22"/>
      <c r="E111" s="22"/>
      <c r="F111" s="22"/>
      <c r="G111" s="22"/>
      <c r="H111" s="22"/>
      <c r="I111" s="22"/>
    </row>
    <row r="112" spans="1:9">
      <c r="A112" s="209">
        <v>98</v>
      </c>
      <c r="B112" s="461" t="s">
        <v>263</v>
      </c>
      <c r="C112" s="22"/>
      <c r="D112" s="22"/>
      <c r="E112" s="22"/>
      <c r="F112" s="22"/>
      <c r="G112" s="22"/>
      <c r="H112" s="22"/>
      <c r="I112" s="22"/>
    </row>
    <row r="113" spans="1:9">
      <c r="A113" s="209">
        <v>99</v>
      </c>
      <c r="B113" s="461" t="s">
        <v>264</v>
      </c>
      <c r="C113" s="22"/>
      <c r="D113" s="22"/>
      <c r="E113" s="22"/>
      <c r="F113" s="22"/>
      <c r="G113" s="22"/>
      <c r="H113" s="22"/>
      <c r="I113" s="22"/>
    </row>
    <row r="114" spans="1:9">
      <c r="A114" s="209">
        <v>100</v>
      </c>
      <c r="B114" s="461" t="s">
        <v>271</v>
      </c>
      <c r="C114" s="22"/>
      <c r="D114" s="22"/>
      <c r="E114" s="22"/>
      <c r="F114" s="22"/>
      <c r="G114" s="22"/>
      <c r="H114" s="22"/>
      <c r="I114" s="22"/>
    </row>
    <row r="115" spans="1:9">
      <c r="A115" s="209">
        <v>101</v>
      </c>
      <c r="B115" s="461" t="s">
        <v>273</v>
      </c>
      <c r="C115" s="22"/>
      <c r="D115" s="22"/>
      <c r="E115" s="22"/>
      <c r="F115" s="22"/>
      <c r="G115" s="22"/>
      <c r="H115" s="22"/>
      <c r="I115" s="22"/>
    </row>
    <row r="116" spans="1:9">
      <c r="A116" s="209">
        <v>102</v>
      </c>
      <c r="B116" s="461" t="s">
        <v>277</v>
      </c>
      <c r="C116" s="22"/>
      <c r="D116" s="22"/>
      <c r="E116" s="22"/>
      <c r="F116" s="22"/>
      <c r="G116" s="22"/>
      <c r="H116" s="22"/>
      <c r="I116" s="22"/>
    </row>
    <row r="117" spans="1:9">
      <c r="A117" s="209">
        <v>103</v>
      </c>
      <c r="B117" s="461" t="s">
        <v>281</v>
      </c>
      <c r="C117" s="22"/>
      <c r="D117" s="22"/>
      <c r="E117" s="22"/>
      <c r="F117" s="22"/>
      <c r="G117" s="22"/>
      <c r="H117" s="22"/>
      <c r="I117" s="22"/>
    </row>
    <row r="118" spans="1:9">
      <c r="A118" s="209">
        <v>104</v>
      </c>
      <c r="B118" s="461" t="s">
        <v>282</v>
      </c>
      <c r="C118" s="22"/>
      <c r="D118" s="22"/>
      <c r="E118" s="22"/>
      <c r="F118" s="22"/>
      <c r="G118" s="22"/>
      <c r="H118" s="22"/>
      <c r="I118" s="22"/>
    </row>
    <row r="119" spans="1:9">
      <c r="A119" s="209">
        <v>105</v>
      </c>
      <c r="B119" s="461" t="s">
        <v>284</v>
      </c>
      <c r="C119" s="22"/>
      <c r="D119" s="22"/>
      <c r="E119" s="22"/>
      <c r="F119" s="22"/>
      <c r="G119" s="22"/>
      <c r="H119" s="22"/>
      <c r="I119" s="22"/>
    </row>
    <row r="120" spans="1:9">
      <c r="A120" s="209">
        <v>106</v>
      </c>
      <c r="B120" s="461" t="s">
        <v>285</v>
      </c>
      <c r="C120" s="22"/>
      <c r="D120" s="22"/>
      <c r="E120" s="22"/>
      <c r="F120" s="22"/>
      <c r="G120" s="22"/>
      <c r="H120" s="22"/>
      <c r="I120" s="22"/>
    </row>
    <row r="121" spans="1:9">
      <c r="A121" s="209">
        <v>107</v>
      </c>
      <c r="B121" s="461" t="s">
        <v>287</v>
      </c>
      <c r="C121" s="22"/>
      <c r="D121" s="22"/>
      <c r="E121" s="22"/>
      <c r="F121" s="22"/>
      <c r="G121" s="22"/>
      <c r="H121" s="22"/>
      <c r="I121" s="22"/>
    </row>
    <row r="122" spans="1:9">
      <c r="A122" s="209">
        <v>108</v>
      </c>
      <c r="B122" s="461" t="s">
        <v>290</v>
      </c>
      <c r="C122" s="22"/>
      <c r="D122" s="22"/>
      <c r="E122" s="22"/>
      <c r="F122" s="22"/>
      <c r="G122" s="22"/>
      <c r="H122" s="22"/>
      <c r="I122" s="22"/>
    </row>
    <row r="123" spans="1:9">
      <c r="A123" s="209">
        <v>109</v>
      </c>
      <c r="B123" s="461" t="s">
        <v>292</v>
      </c>
      <c r="C123" s="22"/>
      <c r="D123" s="22"/>
      <c r="E123" s="22"/>
      <c r="F123" s="22"/>
      <c r="G123" s="22"/>
      <c r="H123" s="22"/>
      <c r="I123" s="22"/>
    </row>
    <row r="124" spans="1:9">
      <c r="A124" s="209">
        <v>110</v>
      </c>
      <c r="B124" s="461" t="s">
        <v>297</v>
      </c>
      <c r="C124" s="22"/>
      <c r="D124" s="22"/>
      <c r="E124" s="22"/>
      <c r="F124" s="22"/>
      <c r="G124" s="22"/>
      <c r="H124" s="22"/>
      <c r="I124" s="22"/>
    </row>
    <row r="125" spans="1:9">
      <c r="A125" s="209">
        <v>111</v>
      </c>
      <c r="B125" s="461" t="s">
        <v>303</v>
      </c>
      <c r="C125" s="22"/>
      <c r="D125" s="22"/>
      <c r="E125" s="22"/>
      <c r="F125" s="22"/>
      <c r="G125" s="22"/>
      <c r="H125" s="22"/>
      <c r="I125" s="22"/>
    </row>
    <row r="126" spans="1:9">
      <c r="A126" s="209">
        <v>112</v>
      </c>
      <c r="B126" s="461" t="s">
        <v>307</v>
      </c>
      <c r="C126" s="22"/>
      <c r="D126" s="22"/>
      <c r="E126" s="22"/>
      <c r="F126" s="22"/>
      <c r="G126" s="22"/>
      <c r="H126" s="22"/>
      <c r="I126" s="22"/>
    </row>
    <row r="127" spans="1:9">
      <c r="A127" s="209">
        <v>113</v>
      </c>
      <c r="B127" s="461" t="s">
        <v>308</v>
      </c>
      <c r="C127" s="22"/>
      <c r="D127" s="22"/>
      <c r="E127" s="22"/>
      <c r="F127" s="22"/>
      <c r="G127" s="22"/>
      <c r="H127" s="22"/>
      <c r="I127" s="22"/>
    </row>
    <row r="128" spans="1:9">
      <c r="A128" s="209">
        <v>114</v>
      </c>
      <c r="B128" s="461" t="s">
        <v>309</v>
      </c>
      <c r="C128" s="22"/>
      <c r="D128" s="22"/>
      <c r="E128" s="22"/>
      <c r="F128" s="22"/>
      <c r="G128" s="22"/>
      <c r="H128" s="22"/>
      <c r="I128" s="22"/>
    </row>
    <row r="129" spans="1:9">
      <c r="A129" s="209">
        <v>115</v>
      </c>
      <c r="B129" s="461" t="s">
        <v>311</v>
      </c>
      <c r="C129" s="22"/>
      <c r="D129" s="22"/>
      <c r="E129" s="22"/>
      <c r="F129" s="22"/>
      <c r="G129" s="22"/>
      <c r="H129" s="22"/>
      <c r="I129" s="22"/>
    </row>
    <row r="130" spans="1:9">
      <c r="A130" s="209">
        <v>116</v>
      </c>
      <c r="B130" s="461" t="s">
        <v>314</v>
      </c>
      <c r="C130" s="22"/>
      <c r="D130" s="22"/>
      <c r="E130" s="22"/>
      <c r="F130" s="22"/>
      <c r="G130" s="22"/>
      <c r="H130" s="22"/>
      <c r="I130" s="22"/>
    </row>
    <row r="131" spans="1:9">
      <c r="A131" s="209">
        <v>117</v>
      </c>
      <c r="B131" s="461" t="s">
        <v>315</v>
      </c>
      <c r="C131" s="22"/>
      <c r="D131" s="22"/>
      <c r="E131" s="22"/>
      <c r="F131" s="22"/>
      <c r="G131" s="22"/>
      <c r="H131" s="22"/>
      <c r="I131" s="22"/>
    </row>
    <row r="132" spans="1:9">
      <c r="A132" s="209">
        <v>118</v>
      </c>
      <c r="B132" s="461" t="s">
        <v>316</v>
      </c>
      <c r="C132" s="22"/>
      <c r="D132" s="22"/>
      <c r="E132" s="22"/>
      <c r="F132" s="22"/>
      <c r="G132" s="22"/>
      <c r="H132" s="22"/>
      <c r="I132" s="22"/>
    </row>
    <row r="133" spans="1:9">
      <c r="A133" s="209">
        <v>119</v>
      </c>
      <c r="B133" s="461" t="s">
        <v>317</v>
      </c>
      <c r="C133" s="22"/>
      <c r="D133" s="22"/>
      <c r="E133" s="22"/>
      <c r="F133" s="22"/>
      <c r="G133" s="22"/>
      <c r="H133" s="22"/>
      <c r="I133" s="22"/>
    </row>
    <row r="134" spans="1:9">
      <c r="A134" s="209">
        <v>120</v>
      </c>
      <c r="B134" s="461" t="s">
        <v>318</v>
      </c>
      <c r="C134" s="22"/>
      <c r="D134" s="22"/>
      <c r="E134" s="22"/>
      <c r="F134" s="22"/>
      <c r="G134" s="22"/>
      <c r="H134" s="22"/>
      <c r="I134" s="22"/>
    </row>
    <row r="135" spans="1:9">
      <c r="A135" s="209">
        <v>121</v>
      </c>
      <c r="B135" s="461" t="s">
        <v>321</v>
      </c>
      <c r="C135" s="22"/>
      <c r="D135" s="22"/>
      <c r="E135" s="22"/>
      <c r="F135" s="22"/>
      <c r="G135" s="22"/>
      <c r="H135" s="22"/>
      <c r="I135" s="22"/>
    </row>
    <row r="136" spans="1:9">
      <c r="A136" s="209">
        <v>122</v>
      </c>
      <c r="B136" s="461" t="s">
        <v>322</v>
      </c>
      <c r="C136" s="22"/>
      <c r="D136" s="22"/>
      <c r="E136" s="22"/>
      <c r="F136" s="22"/>
      <c r="G136" s="22"/>
      <c r="H136" s="22"/>
      <c r="I136" s="22"/>
    </row>
    <row r="137" spans="1:9">
      <c r="A137" s="209">
        <v>123</v>
      </c>
      <c r="B137" s="461" t="s">
        <v>323</v>
      </c>
      <c r="C137" s="22"/>
      <c r="D137" s="22"/>
      <c r="E137" s="22"/>
      <c r="F137" s="22"/>
      <c r="G137" s="22"/>
      <c r="H137" s="22"/>
      <c r="I137" s="22"/>
    </row>
    <row r="138" spans="1:9">
      <c r="A138" s="209">
        <v>124</v>
      </c>
      <c r="B138" s="461" t="s">
        <v>324</v>
      </c>
      <c r="C138" s="22"/>
      <c r="D138" s="22"/>
      <c r="E138" s="22"/>
      <c r="F138" s="22"/>
      <c r="G138" s="22"/>
      <c r="H138" s="22"/>
      <c r="I138" s="22"/>
    </row>
    <row r="139" spans="1:9">
      <c r="A139" s="209">
        <v>125</v>
      </c>
      <c r="B139" s="461" t="s">
        <v>325</v>
      </c>
      <c r="C139" s="22"/>
      <c r="D139" s="22"/>
      <c r="E139" s="22"/>
      <c r="F139" s="22"/>
      <c r="G139" s="22"/>
      <c r="H139" s="22"/>
      <c r="I139" s="22"/>
    </row>
    <row r="140" spans="1:9">
      <c r="A140" s="209">
        <v>126</v>
      </c>
      <c r="B140" s="461" t="s">
        <v>326</v>
      </c>
      <c r="C140" s="22"/>
      <c r="D140" s="22"/>
      <c r="E140" s="22"/>
      <c r="F140" s="22"/>
      <c r="G140" s="22"/>
      <c r="H140" s="22"/>
      <c r="I140" s="22"/>
    </row>
    <row r="141" spans="1:9">
      <c r="A141" s="209">
        <v>127</v>
      </c>
      <c r="B141" s="461" t="s">
        <v>331</v>
      </c>
      <c r="C141" s="22"/>
      <c r="D141" s="22"/>
      <c r="E141" s="22"/>
      <c r="F141" s="22"/>
      <c r="G141" s="22"/>
      <c r="H141" s="22"/>
      <c r="I141" s="22"/>
    </row>
  </sheetData>
  <mergeCells count="32">
    <mergeCell ref="A58:A59"/>
    <mergeCell ref="B58:B59"/>
    <mergeCell ref="C58:C59"/>
    <mergeCell ref="A54:A55"/>
    <mergeCell ref="B9:B10"/>
    <mergeCell ref="C9:C10"/>
    <mergeCell ref="A13:A15"/>
    <mergeCell ref="B13:B15"/>
    <mergeCell ref="A38:A39"/>
    <mergeCell ref="A43:A44"/>
    <mergeCell ref="B43:B44"/>
    <mergeCell ref="C43:C44"/>
    <mergeCell ref="B49:B50"/>
    <mergeCell ref="C49:C50"/>
    <mergeCell ref="B52:B53"/>
    <mergeCell ref="C52:C53"/>
    <mergeCell ref="B54:B55"/>
    <mergeCell ref="C54:C55"/>
    <mergeCell ref="A1:F1"/>
    <mergeCell ref="A31:A32"/>
    <mergeCell ref="B31:B32"/>
    <mergeCell ref="C31:C32"/>
    <mergeCell ref="B38:B39"/>
    <mergeCell ref="C38:C39"/>
    <mergeCell ref="A16:A17"/>
    <mergeCell ref="B16:B17"/>
    <mergeCell ref="C16:C17"/>
    <mergeCell ref="A20:A22"/>
    <mergeCell ref="B20:B22"/>
    <mergeCell ref="C20:C22"/>
    <mergeCell ref="C13:C15"/>
    <mergeCell ref="A9:A10"/>
  </mergeCells>
  <conditionalFormatting sqref="B4:B7">
    <cfRule type="duplicateValues" dxfId="423" priority="16"/>
  </conditionalFormatting>
  <conditionalFormatting sqref="B11:B12">
    <cfRule type="duplicateValues" dxfId="422" priority="15"/>
  </conditionalFormatting>
  <conditionalFormatting sqref="B18">
    <cfRule type="duplicateValues" dxfId="421" priority="14"/>
  </conditionalFormatting>
  <conditionalFormatting sqref="B24:B28">
    <cfRule type="duplicateValues" dxfId="420" priority="12"/>
  </conditionalFormatting>
  <conditionalFormatting sqref="B45:B48 B33:B37">
    <cfRule type="duplicateValues" dxfId="419" priority="11"/>
  </conditionalFormatting>
  <conditionalFormatting sqref="B49">
    <cfRule type="duplicateValues" dxfId="418" priority="10"/>
  </conditionalFormatting>
  <conditionalFormatting sqref="B60:B61 B56">
    <cfRule type="duplicateValues" dxfId="417" priority="9"/>
  </conditionalFormatting>
  <conditionalFormatting sqref="B65 B62:B63">
    <cfRule type="duplicateValues" dxfId="416" priority="8"/>
  </conditionalFormatting>
  <conditionalFormatting sqref="B68:B70">
    <cfRule type="duplicateValues" dxfId="415" priority="6"/>
  </conditionalFormatting>
  <conditionalFormatting sqref="B71:B75 B67">
    <cfRule type="duplicateValues" dxfId="414" priority="7"/>
  </conditionalFormatting>
  <conditionalFormatting sqref="B86 B80:B81">
    <cfRule type="duplicateValues" dxfId="413" priority="5"/>
  </conditionalFormatting>
  <conditionalFormatting sqref="B87:B95">
    <cfRule type="duplicateValues" dxfId="412" priority="4"/>
  </conditionalFormatting>
  <conditionalFormatting sqref="B99:B120">
    <cfRule type="duplicateValues" dxfId="411" priority="3"/>
  </conditionalFormatting>
  <conditionalFormatting sqref="B121:B123">
    <cfRule type="duplicateValues" dxfId="410" priority="2"/>
  </conditionalFormatting>
  <conditionalFormatting sqref="B124:B141">
    <cfRule type="duplicateValues" dxfId="409" priority="1"/>
  </conditionalFormatting>
  <conditionalFormatting sqref="C4">
    <cfRule type="duplicateValues" dxfId="408" priority="17"/>
  </conditionalFormatting>
  <conditionalFormatting sqref="C18">
    <cfRule type="duplicateValues" dxfId="407" priority="13"/>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33ECF-3ADB-4F62-B065-B4A773291CC4}">
  <sheetPr>
    <tabColor rgb="FF006432"/>
  </sheetPr>
  <dimension ref="A1:H10"/>
  <sheetViews>
    <sheetView workbookViewId="0">
      <selection activeCell="C3" sqref="C3"/>
    </sheetView>
  </sheetViews>
  <sheetFormatPr defaultRowHeight="15"/>
  <cols>
    <col min="1" max="1" width="4.85546875" style="76" customWidth="1"/>
    <col min="2" max="2" width="17.5703125" style="123" customWidth="1"/>
    <col min="3" max="3" width="44.7109375" style="75" customWidth="1"/>
    <col min="4" max="4" width="13.42578125" style="75" customWidth="1"/>
    <col min="5" max="5" width="20.85546875" style="123" customWidth="1"/>
    <col min="6" max="6" width="13.7109375" style="75" customWidth="1"/>
  </cols>
  <sheetData>
    <row r="1" spans="1:8" ht="16.5" thickBot="1">
      <c r="A1" s="641" t="s">
        <v>333</v>
      </c>
      <c r="B1" s="641"/>
      <c r="C1" s="641"/>
      <c r="D1" s="641"/>
      <c r="E1" s="641"/>
      <c r="F1" s="641"/>
      <c r="G1" s="641"/>
      <c r="H1" s="641"/>
    </row>
    <row r="2" spans="1:8" ht="8.25" customHeight="1" thickTop="1"/>
    <row r="3" spans="1:8" ht="28.5" customHeight="1">
      <c r="A3" s="112" t="s">
        <v>114</v>
      </c>
      <c r="B3" s="113" t="s">
        <v>334</v>
      </c>
      <c r="C3" s="116" t="s">
        <v>335</v>
      </c>
      <c r="D3" s="112" t="s">
        <v>336</v>
      </c>
      <c r="E3" s="112" t="s">
        <v>337</v>
      </c>
      <c r="F3" s="112" t="s">
        <v>338</v>
      </c>
    </row>
    <row r="4" spans="1:8" ht="51">
      <c r="A4" s="119">
        <v>1</v>
      </c>
      <c r="B4" s="124" t="s">
        <v>339</v>
      </c>
      <c r="C4" s="122" t="s">
        <v>340</v>
      </c>
      <c r="D4" s="118"/>
      <c r="E4" s="115" t="s">
        <v>341</v>
      </c>
      <c r="F4" s="128" t="s">
        <v>342</v>
      </c>
    </row>
    <row r="5" spans="1:8" ht="51">
      <c r="A5" s="119">
        <v>2</v>
      </c>
      <c r="B5" s="125" t="s">
        <v>343</v>
      </c>
      <c r="C5" s="120" t="s">
        <v>344</v>
      </c>
      <c r="D5" s="118" t="s">
        <v>345</v>
      </c>
      <c r="E5" s="115" t="s">
        <v>346</v>
      </c>
      <c r="F5" s="128" t="s">
        <v>347</v>
      </c>
    </row>
    <row r="6" spans="1:8" ht="38.25">
      <c r="A6" s="119">
        <v>3</v>
      </c>
      <c r="B6" s="115" t="s">
        <v>348</v>
      </c>
      <c r="C6" s="121" t="s">
        <v>349</v>
      </c>
      <c r="D6" s="114" t="s">
        <v>350</v>
      </c>
      <c r="E6" s="115" t="s">
        <v>351</v>
      </c>
      <c r="F6" s="128" t="s">
        <v>352</v>
      </c>
    </row>
    <row r="7" spans="1:8" ht="63.75">
      <c r="A7" s="127">
        <v>4</v>
      </c>
      <c r="B7" s="117" t="s">
        <v>353</v>
      </c>
      <c r="C7" s="117" t="s">
        <v>354</v>
      </c>
      <c r="D7" s="126" t="s">
        <v>355</v>
      </c>
      <c r="E7" s="117" t="s">
        <v>356</v>
      </c>
      <c r="F7" s="129">
        <v>2623023</v>
      </c>
    </row>
    <row r="8" spans="1:8" ht="38.25" customHeight="1">
      <c r="A8" s="127">
        <v>5</v>
      </c>
      <c r="B8" s="117" t="s">
        <v>357</v>
      </c>
      <c r="C8" s="117" t="s">
        <v>358</v>
      </c>
      <c r="D8" s="126" t="s">
        <v>359</v>
      </c>
      <c r="E8" s="117" t="s">
        <v>360</v>
      </c>
      <c r="F8" s="129" t="s">
        <v>361</v>
      </c>
    </row>
    <row r="9" spans="1:8" ht="38.25">
      <c r="A9" s="119">
        <v>6</v>
      </c>
      <c r="B9" s="115" t="s">
        <v>362</v>
      </c>
      <c r="C9" s="115" t="s">
        <v>363</v>
      </c>
      <c r="D9" s="114" t="s">
        <v>364</v>
      </c>
      <c r="E9" s="115" t="s">
        <v>365</v>
      </c>
      <c r="F9" s="128" t="s">
        <v>366</v>
      </c>
    </row>
    <row r="10" spans="1:8" ht="51">
      <c r="A10" s="119">
        <v>7</v>
      </c>
      <c r="B10" s="115" t="s">
        <v>367</v>
      </c>
      <c r="C10" s="115" t="s">
        <v>368</v>
      </c>
      <c r="D10" s="114"/>
      <c r="E10" s="115" t="s">
        <v>369</v>
      </c>
      <c r="F10" s="128">
        <v>266171</v>
      </c>
    </row>
  </sheetData>
  <mergeCells count="1">
    <mergeCell ref="A1:H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5A839-12D5-49EA-BE3B-B8DA68BDF84D}">
  <sheetPr>
    <tabColor rgb="FF006432"/>
  </sheetPr>
  <dimension ref="A1:G136"/>
  <sheetViews>
    <sheetView workbookViewId="0">
      <pane ySplit="3" topLeftCell="A4" activePane="bottomLeft" state="frozen"/>
      <selection pane="bottomLeft" activeCell="F33" sqref="F33"/>
    </sheetView>
  </sheetViews>
  <sheetFormatPr defaultRowHeight="15"/>
  <cols>
    <col min="1" max="1" width="4.5703125" customWidth="1"/>
    <col min="2" max="2" width="23.7109375" style="211" customWidth="1"/>
    <col min="3" max="3" width="10" customWidth="1"/>
    <col min="4" max="4" width="20.140625" customWidth="1"/>
    <col min="5" max="5" width="13" customWidth="1"/>
    <col min="6" max="6" width="23.85546875" customWidth="1"/>
    <col min="7" max="7" width="28.7109375" style="8" customWidth="1"/>
  </cols>
  <sheetData>
    <row r="1" spans="1:7" ht="16.5" thickBot="1">
      <c r="A1" s="641" t="s">
        <v>8478</v>
      </c>
      <c r="B1" s="641"/>
      <c r="C1" s="641"/>
      <c r="D1" s="641"/>
      <c r="E1" s="641"/>
      <c r="F1" s="641"/>
      <c r="G1" s="641"/>
    </row>
    <row r="2" spans="1:7" ht="7.5" customHeight="1"/>
    <row r="3" spans="1:7" s="5" customFormat="1" ht="25.5">
      <c r="A3" s="94" t="s">
        <v>114</v>
      </c>
      <c r="B3" s="46" t="s">
        <v>690</v>
      </c>
      <c r="C3" s="94" t="s">
        <v>116</v>
      </c>
      <c r="D3" s="46" t="s">
        <v>8479</v>
      </c>
      <c r="E3" s="46" t="s">
        <v>8480</v>
      </c>
      <c r="F3" s="46" t="s">
        <v>8481</v>
      </c>
      <c r="G3" s="46" t="s">
        <v>8482</v>
      </c>
    </row>
    <row r="4" spans="1:7" ht="51">
      <c r="A4" s="209">
        <v>1</v>
      </c>
      <c r="B4" s="266" t="s">
        <v>152</v>
      </c>
      <c r="C4" s="215">
        <v>2008572</v>
      </c>
      <c r="D4" s="216" t="s">
        <v>8483</v>
      </c>
      <c r="E4" s="216" t="s">
        <v>8462</v>
      </c>
      <c r="F4" s="216" t="s">
        <v>8484</v>
      </c>
      <c r="G4" s="217">
        <v>75553399</v>
      </c>
    </row>
    <row r="5" spans="1:7" ht="38.25">
      <c r="A5" s="209">
        <f>A4+1</f>
        <v>2</v>
      </c>
      <c r="B5" s="216" t="s">
        <v>157</v>
      </c>
      <c r="C5" s="209">
        <v>5502977</v>
      </c>
      <c r="D5" s="216" t="s">
        <v>8485</v>
      </c>
      <c r="E5" s="216" t="s">
        <v>8462</v>
      </c>
      <c r="F5" s="216" t="s">
        <v>8486</v>
      </c>
      <c r="G5" s="217">
        <v>75553399</v>
      </c>
    </row>
    <row r="6" spans="1:7" ht="38.25">
      <c r="A6" s="209">
        <f t="shared" ref="A6:A22" si="0">A5+1</f>
        <v>3</v>
      </c>
      <c r="B6" s="216" t="s">
        <v>157</v>
      </c>
      <c r="C6" s="209">
        <v>5502977</v>
      </c>
      <c r="D6" s="216" t="s">
        <v>8487</v>
      </c>
      <c r="E6" s="216" t="s">
        <v>8488</v>
      </c>
      <c r="F6" s="216" t="s">
        <v>8489</v>
      </c>
      <c r="G6" s="217"/>
    </row>
    <row r="7" spans="1:7" ht="51">
      <c r="A7" s="209">
        <f t="shared" si="0"/>
        <v>4</v>
      </c>
      <c r="B7" s="216" t="s">
        <v>157</v>
      </c>
      <c r="C7" s="209">
        <v>5502977</v>
      </c>
      <c r="D7" s="216" t="s">
        <v>8490</v>
      </c>
      <c r="E7" s="216" t="s">
        <v>8462</v>
      </c>
      <c r="F7" s="216" t="s">
        <v>8491</v>
      </c>
      <c r="G7" s="217">
        <v>70110675</v>
      </c>
    </row>
    <row r="8" spans="1:7" ht="51">
      <c r="A8" s="209">
        <f t="shared" si="0"/>
        <v>5</v>
      </c>
      <c r="B8" s="216" t="s">
        <v>157</v>
      </c>
      <c r="C8" s="209">
        <v>5502977</v>
      </c>
      <c r="D8" s="216" t="s">
        <v>8492</v>
      </c>
      <c r="E8" s="216" t="s">
        <v>8462</v>
      </c>
      <c r="F8" s="216" t="s">
        <v>8493</v>
      </c>
      <c r="G8" s="217">
        <v>70127033</v>
      </c>
    </row>
    <row r="9" spans="1:7" ht="38.25">
      <c r="A9" s="209">
        <f t="shared" si="0"/>
        <v>6</v>
      </c>
      <c r="B9" s="266" t="s">
        <v>196</v>
      </c>
      <c r="C9" s="215">
        <v>5522935</v>
      </c>
      <c r="D9" s="216" t="s">
        <v>8494</v>
      </c>
      <c r="E9" s="216" t="s">
        <v>8462</v>
      </c>
      <c r="F9" s="216" t="s">
        <v>8495</v>
      </c>
      <c r="G9" s="217">
        <v>77117800</v>
      </c>
    </row>
    <row r="10" spans="1:7" ht="38.25">
      <c r="A10" s="209">
        <f t="shared" si="0"/>
        <v>7</v>
      </c>
      <c r="B10" s="216" t="s">
        <v>220</v>
      </c>
      <c r="C10" s="215">
        <v>5106567</v>
      </c>
      <c r="D10" s="216" t="s">
        <v>8496</v>
      </c>
      <c r="E10" s="216" t="s">
        <v>8497</v>
      </c>
      <c r="F10" s="216" t="s">
        <v>8498</v>
      </c>
      <c r="G10" s="398" t="s">
        <v>8499</v>
      </c>
    </row>
    <row r="11" spans="1:7" ht="25.5">
      <c r="A11" s="209">
        <f t="shared" si="0"/>
        <v>8</v>
      </c>
      <c r="B11" s="216" t="s">
        <v>8500</v>
      </c>
      <c r="C11" s="215">
        <v>2595858</v>
      </c>
      <c r="D11" s="216" t="s">
        <v>8501</v>
      </c>
      <c r="E11" s="216" t="s">
        <v>8476</v>
      </c>
      <c r="F11" s="216" t="s">
        <v>8502</v>
      </c>
      <c r="G11" s="398" t="s">
        <v>8503</v>
      </c>
    </row>
    <row r="12" spans="1:7" ht="38.25">
      <c r="A12" s="209">
        <f t="shared" si="0"/>
        <v>9</v>
      </c>
      <c r="B12" s="389" t="s">
        <v>231</v>
      </c>
      <c r="C12" s="209">
        <v>2657457</v>
      </c>
      <c r="D12" s="216" t="s">
        <v>8504</v>
      </c>
      <c r="E12" s="216" t="s">
        <v>8505</v>
      </c>
      <c r="F12" s="216" t="s">
        <v>8506</v>
      </c>
      <c r="G12" s="398" t="s">
        <v>8507</v>
      </c>
    </row>
    <row r="13" spans="1:7" ht="39.75" customHeight="1">
      <c r="A13" s="209">
        <f t="shared" si="0"/>
        <v>10</v>
      </c>
      <c r="B13" s="389" t="s">
        <v>231</v>
      </c>
      <c r="C13" s="209">
        <v>2657457</v>
      </c>
      <c r="D13" s="216" t="s">
        <v>8508</v>
      </c>
      <c r="E13" s="216" t="s">
        <v>8470</v>
      </c>
      <c r="F13" s="216" t="s">
        <v>8509</v>
      </c>
      <c r="G13" s="398" t="s">
        <v>8510</v>
      </c>
    </row>
    <row r="14" spans="1:7" ht="25.5">
      <c r="A14" s="209">
        <f t="shared" si="0"/>
        <v>11</v>
      </c>
      <c r="B14" s="389" t="s">
        <v>231</v>
      </c>
      <c r="C14" s="209">
        <v>2657457</v>
      </c>
      <c r="D14" s="216" t="s">
        <v>8511</v>
      </c>
      <c r="E14" s="216" t="s">
        <v>8512</v>
      </c>
      <c r="F14" s="216" t="s">
        <v>8513</v>
      </c>
      <c r="G14" s="398" t="s">
        <v>8514</v>
      </c>
    </row>
    <row r="15" spans="1:7" ht="38.25">
      <c r="A15" s="209">
        <f t="shared" si="0"/>
        <v>12</v>
      </c>
      <c r="B15" s="389" t="s">
        <v>243</v>
      </c>
      <c r="C15" s="209">
        <v>5084555</v>
      </c>
      <c r="D15" s="216" t="s">
        <v>8515</v>
      </c>
      <c r="E15" s="216" t="s">
        <v>8516</v>
      </c>
      <c r="F15" s="216" t="s">
        <v>8517</v>
      </c>
      <c r="G15" s="217" t="s">
        <v>8518</v>
      </c>
    </row>
    <row r="16" spans="1:7" ht="38.25">
      <c r="A16" s="209">
        <f t="shared" si="0"/>
        <v>13</v>
      </c>
      <c r="B16" s="389" t="s">
        <v>243</v>
      </c>
      <c r="C16" s="209">
        <v>5084555</v>
      </c>
      <c r="D16" s="216" t="s">
        <v>8519</v>
      </c>
      <c r="E16" s="216" t="s">
        <v>8520</v>
      </c>
      <c r="F16" s="216" t="s">
        <v>8521</v>
      </c>
      <c r="G16" s="217" t="s">
        <v>8518</v>
      </c>
    </row>
    <row r="17" spans="1:7">
      <c r="A17" s="209">
        <f t="shared" si="0"/>
        <v>14</v>
      </c>
      <c r="B17" s="389" t="s">
        <v>246</v>
      </c>
      <c r="C17" s="209">
        <v>5288703</v>
      </c>
      <c r="D17" s="216" t="s">
        <v>8522</v>
      </c>
      <c r="E17" s="216" t="s">
        <v>8522</v>
      </c>
      <c r="F17" s="216" t="s">
        <v>8522</v>
      </c>
      <c r="G17" s="217" t="s">
        <v>8523</v>
      </c>
    </row>
    <row r="18" spans="1:7">
      <c r="A18" s="209">
        <f t="shared" si="0"/>
        <v>15</v>
      </c>
      <c r="B18" s="389" t="s">
        <v>246</v>
      </c>
      <c r="C18" s="209">
        <v>5288703</v>
      </c>
      <c r="D18" s="216" t="s">
        <v>8520</v>
      </c>
      <c r="E18" s="216" t="s">
        <v>8520</v>
      </c>
      <c r="F18" s="216" t="s">
        <v>8520</v>
      </c>
      <c r="G18" s="217" t="s">
        <v>8524</v>
      </c>
    </row>
    <row r="19" spans="1:7">
      <c r="A19" s="209">
        <f t="shared" si="0"/>
        <v>16</v>
      </c>
      <c r="B19" s="266" t="s">
        <v>264</v>
      </c>
      <c r="C19" s="215">
        <v>2807459</v>
      </c>
      <c r="D19" s="216" t="s">
        <v>8525</v>
      </c>
      <c r="E19" s="216" t="s">
        <v>8462</v>
      </c>
      <c r="F19" s="216" t="s">
        <v>8526</v>
      </c>
      <c r="G19" s="217">
        <v>77205353</v>
      </c>
    </row>
    <row r="20" spans="1:7" ht="38.25">
      <c r="A20" s="209">
        <f t="shared" si="0"/>
        <v>17</v>
      </c>
      <c r="B20" s="266" t="s">
        <v>266</v>
      </c>
      <c r="C20" s="215">
        <v>6268048</v>
      </c>
      <c r="D20" s="216" t="s">
        <v>8501</v>
      </c>
      <c r="E20" s="216" t="s">
        <v>8462</v>
      </c>
      <c r="F20" s="216" t="s">
        <v>8527</v>
      </c>
      <c r="G20" s="217" t="s">
        <v>8528</v>
      </c>
    </row>
    <row r="21" spans="1:7" ht="63.75">
      <c r="A21" s="209">
        <f t="shared" si="0"/>
        <v>18</v>
      </c>
      <c r="B21" s="266" t="s">
        <v>270</v>
      </c>
      <c r="C21" s="215">
        <v>2839717</v>
      </c>
      <c r="D21" s="216" t="s">
        <v>8259</v>
      </c>
      <c r="E21" s="216" t="s">
        <v>8529</v>
      </c>
      <c r="F21" s="216" t="s">
        <v>8530</v>
      </c>
      <c r="G21" s="217">
        <v>72110203</v>
      </c>
    </row>
    <row r="22" spans="1:7" ht="38.25">
      <c r="A22" s="209">
        <f t="shared" si="0"/>
        <v>19</v>
      </c>
      <c r="B22" s="266" t="s">
        <v>284</v>
      </c>
      <c r="C22" s="215">
        <v>2618176</v>
      </c>
      <c r="D22" s="216" t="s">
        <v>8531</v>
      </c>
      <c r="E22" s="216" t="s">
        <v>8520</v>
      </c>
      <c r="F22" s="216" t="s">
        <v>8532</v>
      </c>
      <c r="G22" s="217"/>
    </row>
    <row r="23" spans="1:7" ht="38.25">
      <c r="A23" s="209">
        <f t="shared" ref="A23:A37" si="1">A22+1</f>
        <v>20</v>
      </c>
      <c r="B23" s="266" t="s">
        <v>296</v>
      </c>
      <c r="C23" s="215">
        <v>5671833</v>
      </c>
      <c r="D23" s="216" t="s">
        <v>8533</v>
      </c>
      <c r="E23" s="216" t="s">
        <v>8462</v>
      </c>
      <c r="F23" s="216" t="s">
        <v>8534</v>
      </c>
      <c r="G23" s="217">
        <v>85956868</v>
      </c>
    </row>
    <row r="24" spans="1:7" ht="63.75">
      <c r="A24" s="209">
        <f t="shared" si="1"/>
        <v>21</v>
      </c>
      <c r="B24" s="266" t="s">
        <v>306</v>
      </c>
      <c r="C24" s="215">
        <v>6342485</v>
      </c>
      <c r="D24" s="216" t="s">
        <v>8468</v>
      </c>
      <c r="E24" s="216" t="s">
        <v>8535</v>
      </c>
      <c r="F24" s="216" t="s">
        <v>8536</v>
      </c>
      <c r="G24" s="217">
        <v>17647311722</v>
      </c>
    </row>
    <row r="25" spans="1:7" ht="38.25">
      <c r="A25" s="209">
        <f t="shared" si="1"/>
        <v>22</v>
      </c>
      <c r="B25" s="266" t="s">
        <v>309</v>
      </c>
      <c r="C25" s="215">
        <v>2050374</v>
      </c>
      <c r="D25" s="216" t="s">
        <v>8494</v>
      </c>
      <c r="E25" s="216" t="s">
        <v>8462</v>
      </c>
      <c r="F25" s="216" t="s">
        <v>8537</v>
      </c>
      <c r="G25" s="217" t="s">
        <v>8538</v>
      </c>
    </row>
    <row r="26" spans="1:7" ht="51">
      <c r="A26" s="209">
        <f t="shared" si="1"/>
        <v>23</v>
      </c>
      <c r="B26" s="266" t="s">
        <v>321</v>
      </c>
      <c r="C26" s="215">
        <v>2718243</v>
      </c>
      <c r="D26" s="216" t="s">
        <v>8539</v>
      </c>
      <c r="E26" s="216" t="s">
        <v>8516</v>
      </c>
      <c r="F26" s="216" t="s">
        <v>8540</v>
      </c>
      <c r="G26" s="217" t="s">
        <v>8541</v>
      </c>
    </row>
    <row r="27" spans="1:7" ht="63.75">
      <c r="A27" s="209">
        <f t="shared" si="1"/>
        <v>24</v>
      </c>
      <c r="B27" s="266" t="s">
        <v>322</v>
      </c>
      <c r="C27" s="215">
        <v>6896197</v>
      </c>
      <c r="D27" s="216" t="s">
        <v>8542</v>
      </c>
      <c r="E27" s="216" t="s">
        <v>8462</v>
      </c>
      <c r="F27" s="216" t="s">
        <v>8543</v>
      </c>
      <c r="G27" s="217" t="s">
        <v>8544</v>
      </c>
    </row>
    <row r="28" spans="1:7" ht="38.25">
      <c r="A28" s="209">
        <f t="shared" si="1"/>
        <v>25</v>
      </c>
      <c r="B28" s="266" t="s">
        <v>332</v>
      </c>
      <c r="C28" s="460">
        <v>5137977</v>
      </c>
      <c r="D28" s="453" t="s">
        <v>8545</v>
      </c>
      <c r="E28" s="453" t="s">
        <v>8468</v>
      </c>
      <c r="F28" s="453" t="s">
        <v>8546</v>
      </c>
      <c r="G28" s="338">
        <v>85225221122</v>
      </c>
    </row>
    <row r="29" spans="1:7">
      <c r="A29" s="209">
        <f t="shared" si="1"/>
        <v>26</v>
      </c>
      <c r="B29" s="455" t="s">
        <v>121</v>
      </c>
      <c r="C29" s="12"/>
      <c r="D29" s="12"/>
      <c r="E29" s="12"/>
      <c r="F29" s="12"/>
      <c r="G29" s="12"/>
    </row>
    <row r="30" spans="1:7">
      <c r="A30" s="209">
        <f t="shared" si="1"/>
        <v>27</v>
      </c>
      <c r="B30" s="455" t="s">
        <v>126</v>
      </c>
      <c r="C30" s="12"/>
      <c r="D30" s="12"/>
      <c r="E30" s="12"/>
      <c r="F30" s="12"/>
      <c r="G30" s="12"/>
    </row>
    <row r="31" spans="1:7">
      <c r="A31" s="209">
        <f t="shared" si="1"/>
        <v>28</v>
      </c>
      <c r="B31" s="455" t="s">
        <v>131</v>
      </c>
      <c r="C31" s="12"/>
      <c r="D31" s="12"/>
      <c r="E31" s="12"/>
      <c r="F31" s="12"/>
      <c r="G31" s="12"/>
    </row>
    <row r="32" spans="1:7" ht="25.5">
      <c r="A32" s="209">
        <f t="shared" si="1"/>
        <v>29</v>
      </c>
      <c r="B32" s="455" t="s">
        <v>133</v>
      </c>
      <c r="C32" s="12"/>
      <c r="D32" s="12"/>
      <c r="E32" s="12"/>
      <c r="F32" s="12"/>
      <c r="G32" s="12"/>
    </row>
    <row r="33" spans="1:7">
      <c r="A33" s="209">
        <f t="shared" si="1"/>
        <v>30</v>
      </c>
      <c r="B33" s="455" t="s">
        <v>136</v>
      </c>
      <c r="C33" s="12"/>
      <c r="D33" s="12"/>
      <c r="E33" s="12"/>
      <c r="F33" s="12"/>
      <c r="G33" s="12"/>
    </row>
    <row r="34" spans="1:7" ht="25.5">
      <c r="A34" s="209">
        <f t="shared" si="1"/>
        <v>31</v>
      </c>
      <c r="B34" s="455" t="s">
        <v>140</v>
      </c>
      <c r="C34" s="12"/>
      <c r="D34" s="12"/>
      <c r="E34" s="12"/>
      <c r="F34" s="12"/>
      <c r="G34" s="12"/>
    </row>
    <row r="35" spans="1:7">
      <c r="A35" s="209">
        <f t="shared" si="1"/>
        <v>32</v>
      </c>
      <c r="B35" s="455" t="s">
        <v>143</v>
      </c>
      <c r="C35" s="12"/>
      <c r="D35" s="12"/>
      <c r="E35" s="12"/>
      <c r="F35" s="12"/>
      <c r="G35" s="12"/>
    </row>
    <row r="36" spans="1:7">
      <c r="A36" s="209">
        <f t="shared" si="1"/>
        <v>33</v>
      </c>
      <c r="B36" s="455" t="s">
        <v>144</v>
      </c>
      <c r="C36" s="12"/>
      <c r="D36" s="12"/>
      <c r="E36" s="12"/>
      <c r="F36" s="12"/>
      <c r="G36" s="12"/>
    </row>
    <row r="37" spans="1:7">
      <c r="A37" s="209">
        <f t="shared" si="1"/>
        <v>34</v>
      </c>
      <c r="B37" s="455" t="s">
        <v>146</v>
      </c>
      <c r="C37" s="12"/>
      <c r="D37" s="12"/>
      <c r="E37" s="12"/>
      <c r="F37" s="12"/>
      <c r="G37" s="12"/>
    </row>
    <row r="38" spans="1:7">
      <c r="A38" s="209">
        <f t="shared" ref="A38:A69" si="2">A37+1</f>
        <v>35</v>
      </c>
      <c r="B38" s="455" t="s">
        <v>629</v>
      </c>
      <c r="C38" s="12"/>
      <c r="D38" s="12"/>
      <c r="E38" s="12"/>
      <c r="F38" s="12"/>
      <c r="G38" s="12"/>
    </row>
    <row r="39" spans="1:7">
      <c r="A39" s="209">
        <f t="shared" si="2"/>
        <v>36</v>
      </c>
      <c r="B39" s="455" t="s">
        <v>155</v>
      </c>
      <c r="C39" s="12"/>
      <c r="D39" s="12"/>
      <c r="E39" s="12"/>
      <c r="F39" s="12"/>
      <c r="G39" s="12"/>
    </row>
    <row r="40" spans="1:7" ht="25.5">
      <c r="A40" s="209">
        <f t="shared" si="2"/>
        <v>37</v>
      </c>
      <c r="B40" s="455" t="s">
        <v>159</v>
      </c>
      <c r="C40" s="12"/>
      <c r="D40" s="12"/>
      <c r="E40" s="12"/>
      <c r="F40" s="12"/>
      <c r="G40" s="12"/>
    </row>
    <row r="41" spans="1:7">
      <c r="A41" s="209">
        <f t="shared" si="2"/>
        <v>38</v>
      </c>
      <c r="B41" s="455" t="s">
        <v>161</v>
      </c>
      <c r="C41" s="12"/>
      <c r="D41" s="12"/>
      <c r="E41" s="12"/>
      <c r="F41" s="12"/>
      <c r="G41" s="12"/>
    </row>
    <row r="42" spans="1:7">
      <c r="A42" s="209">
        <f t="shared" si="2"/>
        <v>39</v>
      </c>
      <c r="B42" s="455" t="s">
        <v>165</v>
      </c>
      <c r="C42" s="12"/>
      <c r="D42" s="12"/>
      <c r="E42" s="12"/>
      <c r="F42" s="12"/>
      <c r="G42" s="12"/>
    </row>
    <row r="43" spans="1:7" ht="25.5">
      <c r="A43" s="209">
        <f t="shared" si="2"/>
        <v>40</v>
      </c>
      <c r="B43" s="455" t="s">
        <v>168</v>
      </c>
      <c r="C43" s="12"/>
      <c r="D43" s="12"/>
      <c r="E43" s="12"/>
      <c r="F43" s="12"/>
      <c r="G43" s="12"/>
    </row>
    <row r="44" spans="1:7">
      <c r="A44" s="209">
        <f t="shared" si="2"/>
        <v>41</v>
      </c>
      <c r="B44" s="455" t="s">
        <v>169</v>
      </c>
      <c r="C44" s="12"/>
      <c r="D44" s="12"/>
      <c r="E44" s="12"/>
      <c r="F44" s="12"/>
      <c r="G44" s="12"/>
    </row>
    <row r="45" spans="1:7">
      <c r="A45" s="209">
        <f t="shared" si="2"/>
        <v>42</v>
      </c>
      <c r="B45" s="455" t="s">
        <v>173</v>
      </c>
      <c r="C45" s="12"/>
      <c r="D45" s="12"/>
      <c r="E45" s="12"/>
      <c r="F45" s="12"/>
      <c r="G45" s="12"/>
    </row>
    <row r="46" spans="1:7">
      <c r="A46" s="209">
        <f t="shared" si="2"/>
        <v>43</v>
      </c>
      <c r="B46" s="455" t="s">
        <v>174</v>
      </c>
      <c r="C46" s="12"/>
      <c r="D46" s="12"/>
      <c r="E46" s="12"/>
      <c r="F46" s="12"/>
      <c r="G46" s="12"/>
    </row>
    <row r="47" spans="1:7">
      <c r="A47" s="209">
        <f t="shared" si="2"/>
        <v>44</v>
      </c>
      <c r="B47" s="455" t="s">
        <v>175</v>
      </c>
      <c r="C47" s="12"/>
      <c r="D47" s="12"/>
      <c r="E47" s="12"/>
      <c r="F47" s="12"/>
      <c r="G47" s="12"/>
    </row>
    <row r="48" spans="1:7">
      <c r="A48" s="209">
        <f t="shared" si="2"/>
        <v>45</v>
      </c>
      <c r="B48" s="455" t="s">
        <v>176</v>
      </c>
      <c r="C48" s="12"/>
      <c r="D48" s="12"/>
      <c r="E48" s="12"/>
      <c r="F48" s="12"/>
      <c r="G48" s="12"/>
    </row>
    <row r="49" spans="1:7" ht="25.5">
      <c r="A49" s="209">
        <f t="shared" si="2"/>
        <v>46</v>
      </c>
      <c r="B49" s="455" t="s">
        <v>177</v>
      </c>
      <c r="C49" s="12"/>
      <c r="D49" s="12"/>
      <c r="E49" s="12"/>
      <c r="F49" s="12"/>
      <c r="G49" s="12"/>
    </row>
    <row r="50" spans="1:7">
      <c r="A50" s="209">
        <f t="shared" si="2"/>
        <v>47</v>
      </c>
      <c r="B50" s="455" t="s">
        <v>178</v>
      </c>
      <c r="C50" s="12"/>
      <c r="D50" s="12"/>
      <c r="E50" s="12"/>
      <c r="F50" s="12"/>
      <c r="G50" s="12"/>
    </row>
    <row r="51" spans="1:7" ht="25.5">
      <c r="A51" s="209">
        <f t="shared" si="2"/>
        <v>48</v>
      </c>
      <c r="B51" s="455" t="s">
        <v>179</v>
      </c>
      <c r="C51" s="12"/>
      <c r="D51" s="12"/>
      <c r="E51" s="12"/>
      <c r="F51" s="12"/>
      <c r="G51" s="12"/>
    </row>
    <row r="52" spans="1:7">
      <c r="A52" s="209">
        <f t="shared" si="2"/>
        <v>49</v>
      </c>
      <c r="B52" s="455" t="s">
        <v>183</v>
      </c>
      <c r="C52" s="12"/>
      <c r="D52" s="12"/>
      <c r="E52" s="12"/>
      <c r="F52" s="12"/>
      <c r="G52" s="12"/>
    </row>
    <row r="53" spans="1:7" ht="25.5">
      <c r="A53" s="209">
        <f t="shared" si="2"/>
        <v>50</v>
      </c>
      <c r="B53" s="455" t="s">
        <v>185</v>
      </c>
      <c r="C53" s="12"/>
      <c r="D53" s="12"/>
      <c r="E53" s="12"/>
      <c r="F53" s="12"/>
      <c r="G53" s="12"/>
    </row>
    <row r="54" spans="1:7" ht="25.5">
      <c r="A54" s="209">
        <f t="shared" si="2"/>
        <v>51</v>
      </c>
      <c r="B54" s="455" t="s">
        <v>187</v>
      </c>
      <c r="C54" s="12"/>
      <c r="D54" s="12"/>
      <c r="E54" s="12"/>
      <c r="F54" s="12"/>
      <c r="G54" s="12"/>
    </row>
    <row r="55" spans="1:7">
      <c r="A55" s="209">
        <f t="shared" si="2"/>
        <v>52</v>
      </c>
      <c r="B55" s="455" t="s">
        <v>188</v>
      </c>
      <c r="C55" s="12"/>
      <c r="D55" s="12"/>
      <c r="E55" s="12"/>
      <c r="F55" s="12"/>
      <c r="G55" s="12"/>
    </row>
    <row r="56" spans="1:7">
      <c r="A56" s="209">
        <f t="shared" si="2"/>
        <v>53</v>
      </c>
      <c r="B56" s="455" t="s">
        <v>189</v>
      </c>
      <c r="C56" s="12"/>
      <c r="D56" s="12"/>
      <c r="E56" s="12"/>
      <c r="F56" s="12"/>
      <c r="G56" s="12"/>
    </row>
    <row r="57" spans="1:7">
      <c r="A57" s="209">
        <f t="shared" si="2"/>
        <v>54</v>
      </c>
      <c r="B57" s="455" t="s">
        <v>193</v>
      </c>
      <c r="C57" s="12"/>
      <c r="D57" s="12"/>
      <c r="E57" s="12"/>
      <c r="F57" s="12"/>
      <c r="G57" s="12"/>
    </row>
    <row r="58" spans="1:7">
      <c r="A58" s="209">
        <f t="shared" si="2"/>
        <v>55</v>
      </c>
      <c r="B58" s="455" t="s">
        <v>194</v>
      </c>
      <c r="C58" s="12"/>
      <c r="D58" s="12"/>
      <c r="E58" s="12"/>
      <c r="F58" s="12"/>
      <c r="G58" s="12"/>
    </row>
    <row r="59" spans="1:7">
      <c r="A59" s="209">
        <f t="shared" si="2"/>
        <v>56</v>
      </c>
      <c r="B59" s="455" t="s">
        <v>197</v>
      </c>
      <c r="C59" s="12"/>
      <c r="D59" s="12"/>
      <c r="E59" s="12"/>
      <c r="F59" s="12"/>
      <c r="G59" s="12"/>
    </row>
    <row r="60" spans="1:7">
      <c r="A60" s="209">
        <f t="shared" si="2"/>
        <v>57</v>
      </c>
      <c r="B60" s="455" t="s">
        <v>198</v>
      </c>
      <c r="C60" s="12"/>
      <c r="D60" s="12"/>
      <c r="E60" s="12"/>
      <c r="F60" s="12"/>
      <c r="G60" s="12"/>
    </row>
    <row r="61" spans="1:7">
      <c r="A61" s="209">
        <f t="shared" si="2"/>
        <v>58</v>
      </c>
      <c r="B61" s="455" t="s">
        <v>199</v>
      </c>
      <c r="C61" s="12"/>
      <c r="D61" s="12"/>
      <c r="E61" s="12"/>
      <c r="F61" s="12"/>
      <c r="G61" s="12"/>
    </row>
    <row r="62" spans="1:7">
      <c r="A62" s="209">
        <f t="shared" si="2"/>
        <v>59</v>
      </c>
      <c r="B62" s="455" t="s">
        <v>201</v>
      </c>
      <c r="C62" s="12"/>
      <c r="D62" s="12"/>
      <c r="E62" s="12"/>
      <c r="F62" s="12"/>
      <c r="G62" s="12"/>
    </row>
    <row r="63" spans="1:7">
      <c r="A63" s="209">
        <f t="shared" si="2"/>
        <v>60</v>
      </c>
      <c r="B63" s="455" t="s">
        <v>202</v>
      </c>
      <c r="C63" s="12"/>
      <c r="D63" s="12"/>
      <c r="E63" s="12"/>
      <c r="F63" s="12"/>
      <c r="G63" s="12"/>
    </row>
    <row r="64" spans="1:7">
      <c r="A64" s="209">
        <f t="shared" si="2"/>
        <v>61</v>
      </c>
      <c r="B64" s="455" t="s">
        <v>203</v>
      </c>
      <c r="C64" s="12"/>
      <c r="D64" s="12"/>
      <c r="E64" s="12"/>
      <c r="F64" s="12"/>
      <c r="G64" s="12"/>
    </row>
    <row r="65" spans="1:7">
      <c r="A65" s="209">
        <f t="shared" si="2"/>
        <v>62</v>
      </c>
      <c r="B65" s="455" t="s">
        <v>204</v>
      </c>
      <c r="C65" s="12"/>
      <c r="D65" s="12"/>
      <c r="E65" s="12"/>
      <c r="F65" s="12"/>
      <c r="G65" s="12"/>
    </row>
    <row r="66" spans="1:7" ht="25.5">
      <c r="A66" s="209">
        <f t="shared" si="2"/>
        <v>63</v>
      </c>
      <c r="B66" s="455" t="s">
        <v>208</v>
      </c>
      <c r="C66" s="12"/>
      <c r="D66" s="12"/>
      <c r="E66" s="12"/>
      <c r="F66" s="12"/>
      <c r="G66" s="12"/>
    </row>
    <row r="67" spans="1:7" ht="25.5">
      <c r="A67" s="209">
        <f t="shared" si="2"/>
        <v>64</v>
      </c>
      <c r="B67" s="455" t="s">
        <v>210</v>
      </c>
      <c r="C67" s="12"/>
      <c r="D67" s="12"/>
      <c r="E67" s="12"/>
      <c r="F67" s="12"/>
      <c r="G67" s="12"/>
    </row>
    <row r="68" spans="1:7">
      <c r="A68" s="209">
        <f t="shared" si="2"/>
        <v>65</v>
      </c>
      <c r="B68" s="455" t="s">
        <v>211</v>
      </c>
      <c r="C68" s="12"/>
      <c r="D68" s="12"/>
      <c r="E68" s="12"/>
      <c r="F68" s="12"/>
      <c r="G68" s="12"/>
    </row>
    <row r="69" spans="1:7" ht="25.5">
      <c r="A69" s="209">
        <f t="shared" si="2"/>
        <v>66</v>
      </c>
      <c r="B69" s="455" t="s">
        <v>213</v>
      </c>
      <c r="C69" s="12"/>
      <c r="D69" s="12"/>
      <c r="E69" s="12"/>
      <c r="F69" s="12"/>
      <c r="G69" s="12"/>
    </row>
    <row r="70" spans="1:7">
      <c r="A70" s="209">
        <f t="shared" ref="A70:A101" si="3">A69+1</f>
        <v>67</v>
      </c>
      <c r="B70" s="455" t="s">
        <v>214</v>
      </c>
      <c r="C70" s="12"/>
      <c r="D70" s="12"/>
      <c r="E70" s="12"/>
      <c r="F70" s="12"/>
      <c r="G70" s="12"/>
    </row>
    <row r="71" spans="1:7">
      <c r="A71" s="209">
        <f t="shared" si="3"/>
        <v>68</v>
      </c>
      <c r="B71" s="455" t="s">
        <v>216</v>
      </c>
      <c r="C71" s="12"/>
      <c r="D71" s="12"/>
      <c r="E71" s="12"/>
      <c r="F71" s="12"/>
      <c r="G71" s="12"/>
    </row>
    <row r="72" spans="1:7">
      <c r="A72" s="209">
        <f t="shared" si="3"/>
        <v>69</v>
      </c>
      <c r="B72" s="455" t="s">
        <v>217</v>
      </c>
      <c r="C72" s="12"/>
      <c r="D72" s="12"/>
      <c r="E72" s="12"/>
      <c r="F72" s="12"/>
      <c r="G72" s="12"/>
    </row>
    <row r="73" spans="1:7">
      <c r="A73" s="209">
        <f t="shared" si="3"/>
        <v>70</v>
      </c>
      <c r="B73" s="455" t="s">
        <v>218</v>
      </c>
      <c r="C73" s="12"/>
      <c r="D73" s="12"/>
      <c r="E73" s="12"/>
      <c r="F73" s="12"/>
      <c r="G73" s="12"/>
    </row>
    <row r="74" spans="1:7">
      <c r="A74" s="209">
        <f t="shared" si="3"/>
        <v>71</v>
      </c>
      <c r="B74" s="455" t="s">
        <v>219</v>
      </c>
      <c r="C74" s="12"/>
      <c r="D74" s="12"/>
      <c r="E74" s="12"/>
      <c r="F74" s="12"/>
      <c r="G74" s="12"/>
    </row>
    <row r="75" spans="1:7">
      <c r="A75" s="209">
        <f t="shared" si="3"/>
        <v>72</v>
      </c>
      <c r="B75" s="455" t="s">
        <v>222</v>
      </c>
      <c r="C75" s="12"/>
      <c r="D75" s="12"/>
      <c r="E75" s="12"/>
      <c r="F75" s="12"/>
      <c r="G75" s="12"/>
    </row>
    <row r="76" spans="1:7">
      <c r="A76" s="209">
        <f t="shared" si="3"/>
        <v>73</v>
      </c>
      <c r="B76" s="455" t="s">
        <v>223</v>
      </c>
      <c r="C76" s="12"/>
      <c r="D76" s="12"/>
      <c r="E76" s="12"/>
      <c r="F76" s="12"/>
      <c r="G76" s="12"/>
    </row>
    <row r="77" spans="1:7">
      <c r="A77" s="209">
        <f t="shared" si="3"/>
        <v>74</v>
      </c>
      <c r="B77" s="455" t="s">
        <v>224</v>
      </c>
      <c r="C77" s="12"/>
      <c r="D77" s="12"/>
      <c r="E77" s="12"/>
      <c r="F77" s="12"/>
      <c r="G77" s="12"/>
    </row>
    <row r="78" spans="1:7">
      <c r="A78" s="209">
        <f t="shared" si="3"/>
        <v>75</v>
      </c>
      <c r="B78" s="455" t="s">
        <v>225</v>
      </c>
      <c r="C78" s="12"/>
      <c r="D78" s="12"/>
      <c r="E78" s="12"/>
      <c r="F78" s="12"/>
      <c r="G78" s="12"/>
    </row>
    <row r="79" spans="1:7" ht="25.5">
      <c r="A79" s="209">
        <f t="shared" si="3"/>
        <v>76</v>
      </c>
      <c r="B79" s="455" t="s">
        <v>227</v>
      </c>
      <c r="C79" s="12"/>
      <c r="D79" s="12"/>
      <c r="E79" s="12"/>
      <c r="F79" s="12"/>
      <c r="G79" s="12"/>
    </row>
    <row r="80" spans="1:7">
      <c r="A80" s="209">
        <f t="shared" si="3"/>
        <v>77</v>
      </c>
      <c r="B80" s="455" t="s">
        <v>228</v>
      </c>
      <c r="C80" s="12"/>
      <c r="D80" s="12"/>
      <c r="E80" s="12"/>
      <c r="F80" s="12"/>
      <c r="G80" s="12"/>
    </row>
    <row r="81" spans="1:7">
      <c r="A81" s="209">
        <f t="shared" si="3"/>
        <v>78</v>
      </c>
      <c r="B81" s="455" t="s">
        <v>229</v>
      </c>
      <c r="C81" s="12"/>
      <c r="D81" s="12"/>
      <c r="E81" s="12"/>
      <c r="F81" s="12"/>
      <c r="G81" s="12"/>
    </row>
    <row r="82" spans="1:7">
      <c r="A82" s="209">
        <f t="shared" si="3"/>
        <v>79</v>
      </c>
      <c r="B82" s="455" t="s">
        <v>230</v>
      </c>
      <c r="C82" s="12"/>
      <c r="D82" s="12"/>
      <c r="E82" s="12"/>
      <c r="F82" s="12"/>
      <c r="G82" s="12"/>
    </row>
    <row r="83" spans="1:7">
      <c r="A83" s="209">
        <f t="shared" si="3"/>
        <v>80</v>
      </c>
      <c r="B83" s="455" t="s">
        <v>232</v>
      </c>
      <c r="C83" s="12"/>
      <c r="D83" s="12"/>
      <c r="E83" s="12"/>
      <c r="F83" s="12"/>
      <c r="G83" s="12"/>
    </row>
    <row r="84" spans="1:7" ht="25.5">
      <c r="A84" s="209">
        <f t="shared" si="3"/>
        <v>81</v>
      </c>
      <c r="B84" s="455" t="s">
        <v>236</v>
      </c>
      <c r="C84" s="12"/>
      <c r="D84" s="12"/>
      <c r="E84" s="12"/>
      <c r="F84" s="12"/>
      <c r="G84" s="12"/>
    </row>
    <row r="85" spans="1:7">
      <c r="A85" s="209">
        <f t="shared" si="3"/>
        <v>82</v>
      </c>
      <c r="B85" s="455" t="s">
        <v>239</v>
      </c>
      <c r="C85" s="12"/>
      <c r="D85" s="12"/>
      <c r="E85" s="12"/>
      <c r="F85" s="12"/>
      <c r="G85" s="12"/>
    </row>
    <row r="86" spans="1:7" ht="25.5">
      <c r="A86" s="209">
        <f t="shared" si="3"/>
        <v>83</v>
      </c>
      <c r="B86" s="455" t="s">
        <v>240</v>
      </c>
      <c r="C86" s="12"/>
      <c r="D86" s="12"/>
      <c r="E86" s="12"/>
      <c r="F86" s="12"/>
      <c r="G86" s="12"/>
    </row>
    <row r="87" spans="1:7">
      <c r="A87" s="209">
        <f t="shared" si="3"/>
        <v>84</v>
      </c>
      <c r="B87" s="455" t="s">
        <v>241</v>
      </c>
      <c r="C87" s="12"/>
      <c r="D87" s="12"/>
      <c r="E87" s="12"/>
      <c r="F87" s="12"/>
      <c r="G87" s="12"/>
    </row>
    <row r="88" spans="1:7">
      <c r="A88" s="209">
        <f t="shared" si="3"/>
        <v>85</v>
      </c>
      <c r="B88" s="455" t="s">
        <v>242</v>
      </c>
      <c r="C88" s="12"/>
      <c r="D88" s="12"/>
      <c r="E88" s="12"/>
      <c r="F88" s="12"/>
      <c r="G88" s="12"/>
    </row>
    <row r="89" spans="1:7">
      <c r="A89" s="209">
        <f t="shared" si="3"/>
        <v>86</v>
      </c>
      <c r="B89" s="464" t="s">
        <v>244</v>
      </c>
      <c r="C89" s="12"/>
      <c r="D89" s="12"/>
      <c r="E89" s="12"/>
      <c r="F89" s="12"/>
      <c r="G89" s="12"/>
    </row>
    <row r="90" spans="1:7">
      <c r="A90" s="209">
        <f t="shared" si="3"/>
        <v>87</v>
      </c>
      <c r="B90" s="455" t="s">
        <v>248</v>
      </c>
      <c r="C90" s="12"/>
      <c r="D90" s="12"/>
      <c r="E90" s="12"/>
      <c r="F90" s="12"/>
      <c r="G90" s="12"/>
    </row>
    <row r="91" spans="1:7">
      <c r="A91" s="209">
        <f t="shared" si="3"/>
        <v>88</v>
      </c>
      <c r="B91" s="455" t="s">
        <v>249</v>
      </c>
      <c r="C91" s="12"/>
      <c r="D91" s="12"/>
      <c r="E91" s="12"/>
      <c r="F91" s="12"/>
      <c r="G91" s="12"/>
    </row>
    <row r="92" spans="1:7">
      <c r="A92" s="209">
        <f t="shared" si="3"/>
        <v>89</v>
      </c>
      <c r="B92" s="455" t="s">
        <v>250</v>
      </c>
      <c r="C92" s="12"/>
      <c r="D92" s="12"/>
      <c r="E92" s="12"/>
      <c r="F92" s="12"/>
      <c r="G92" s="12"/>
    </row>
    <row r="93" spans="1:7">
      <c r="A93" s="209">
        <f t="shared" si="3"/>
        <v>90</v>
      </c>
      <c r="B93" s="455" t="s">
        <v>251</v>
      </c>
      <c r="C93" s="12"/>
      <c r="D93" s="12"/>
      <c r="E93" s="12"/>
      <c r="F93" s="12"/>
      <c r="G93" s="12"/>
    </row>
    <row r="94" spans="1:7">
      <c r="A94" s="209">
        <f t="shared" si="3"/>
        <v>91</v>
      </c>
      <c r="B94" s="455" t="s">
        <v>253</v>
      </c>
      <c r="C94" s="12"/>
      <c r="D94" s="12"/>
      <c r="E94" s="12"/>
      <c r="F94" s="12"/>
      <c r="G94" s="12"/>
    </row>
    <row r="95" spans="1:7">
      <c r="A95" s="209">
        <f t="shared" si="3"/>
        <v>92</v>
      </c>
      <c r="B95" s="455" t="s">
        <v>254</v>
      </c>
      <c r="C95" s="12"/>
      <c r="D95" s="12"/>
      <c r="E95" s="12"/>
      <c r="F95" s="12"/>
      <c r="G95" s="12"/>
    </row>
    <row r="96" spans="1:7">
      <c r="A96" s="209">
        <f t="shared" si="3"/>
        <v>93</v>
      </c>
      <c r="B96" s="455" t="s">
        <v>257</v>
      </c>
      <c r="C96" s="12"/>
      <c r="D96" s="12"/>
      <c r="E96" s="12"/>
      <c r="F96" s="12"/>
      <c r="G96" s="12"/>
    </row>
    <row r="97" spans="1:7">
      <c r="A97" s="209">
        <f t="shared" si="3"/>
        <v>94</v>
      </c>
      <c r="B97" s="455" t="s">
        <v>258</v>
      </c>
      <c r="C97" s="12"/>
      <c r="D97" s="12"/>
      <c r="E97" s="12"/>
      <c r="F97" s="12"/>
      <c r="G97" s="12"/>
    </row>
    <row r="98" spans="1:7">
      <c r="A98" s="209">
        <f t="shared" si="3"/>
        <v>95</v>
      </c>
      <c r="B98" s="455" t="s">
        <v>260</v>
      </c>
      <c r="C98" s="12"/>
      <c r="D98" s="12"/>
      <c r="E98" s="12"/>
      <c r="F98" s="12"/>
      <c r="G98" s="12"/>
    </row>
    <row r="99" spans="1:7">
      <c r="A99" s="209">
        <f t="shared" si="3"/>
        <v>96</v>
      </c>
      <c r="B99" s="455" t="s">
        <v>263</v>
      </c>
      <c r="C99" s="12"/>
      <c r="D99" s="12"/>
      <c r="E99" s="12"/>
      <c r="F99" s="12"/>
      <c r="G99" s="12"/>
    </row>
    <row r="100" spans="1:7">
      <c r="A100" s="209">
        <f t="shared" si="3"/>
        <v>97</v>
      </c>
      <c r="B100" s="455" t="s">
        <v>265</v>
      </c>
      <c r="C100" s="12"/>
      <c r="D100" s="12"/>
      <c r="E100" s="12"/>
      <c r="F100" s="12"/>
      <c r="G100" s="12"/>
    </row>
    <row r="101" spans="1:7">
      <c r="A101" s="209">
        <f t="shared" si="3"/>
        <v>98</v>
      </c>
      <c r="B101" s="455" t="s">
        <v>268</v>
      </c>
      <c r="C101" s="12"/>
      <c r="D101" s="12"/>
      <c r="E101" s="12"/>
      <c r="F101" s="12"/>
      <c r="G101" s="12"/>
    </row>
    <row r="102" spans="1:7">
      <c r="A102" s="209">
        <f t="shared" ref="A102:A136" si="4">A101+1</f>
        <v>99</v>
      </c>
      <c r="B102" s="455" t="s">
        <v>269</v>
      </c>
      <c r="C102" s="12"/>
      <c r="D102" s="12"/>
      <c r="E102" s="12"/>
      <c r="F102" s="12"/>
      <c r="G102" s="12"/>
    </row>
    <row r="103" spans="1:7">
      <c r="A103" s="209">
        <f t="shared" si="4"/>
        <v>100</v>
      </c>
      <c r="B103" s="455" t="s">
        <v>271</v>
      </c>
      <c r="C103" s="12"/>
      <c r="D103" s="12"/>
      <c r="E103" s="12"/>
      <c r="F103" s="12"/>
      <c r="G103" s="12"/>
    </row>
    <row r="104" spans="1:7">
      <c r="A104" s="209">
        <f t="shared" si="4"/>
        <v>101</v>
      </c>
      <c r="B104" s="455" t="s">
        <v>273</v>
      </c>
      <c r="C104" s="12"/>
      <c r="D104" s="12"/>
      <c r="E104" s="12"/>
      <c r="F104" s="12"/>
      <c r="G104" s="12"/>
    </row>
    <row r="105" spans="1:7">
      <c r="A105" s="209">
        <f t="shared" si="4"/>
        <v>102</v>
      </c>
      <c r="B105" s="455" t="s">
        <v>277</v>
      </c>
      <c r="C105" s="12"/>
      <c r="D105" s="12"/>
      <c r="E105" s="12"/>
      <c r="F105" s="12"/>
      <c r="G105" s="12"/>
    </row>
    <row r="106" spans="1:7" ht="25.5">
      <c r="A106" s="209">
        <f t="shared" si="4"/>
        <v>103</v>
      </c>
      <c r="B106" s="455" t="s">
        <v>279</v>
      </c>
      <c r="C106" s="12"/>
      <c r="D106" s="12"/>
      <c r="E106" s="12"/>
      <c r="F106" s="12"/>
      <c r="G106" s="12"/>
    </row>
    <row r="107" spans="1:7" ht="25.5">
      <c r="A107" s="209">
        <f t="shared" si="4"/>
        <v>104</v>
      </c>
      <c r="B107" s="455" t="s">
        <v>281</v>
      </c>
      <c r="C107" s="12"/>
      <c r="D107" s="12"/>
      <c r="E107" s="12"/>
      <c r="F107" s="12"/>
      <c r="G107" s="12"/>
    </row>
    <row r="108" spans="1:7">
      <c r="A108" s="209">
        <f t="shared" si="4"/>
        <v>105</v>
      </c>
      <c r="B108" s="455" t="s">
        <v>282</v>
      </c>
      <c r="C108" s="12"/>
      <c r="D108" s="12"/>
      <c r="E108" s="12"/>
      <c r="F108" s="12"/>
      <c r="G108" s="12"/>
    </row>
    <row r="109" spans="1:7">
      <c r="A109" s="209">
        <f t="shared" si="4"/>
        <v>106</v>
      </c>
      <c r="B109" s="455" t="s">
        <v>283</v>
      </c>
      <c r="C109" s="12"/>
      <c r="D109" s="12"/>
      <c r="E109" s="12"/>
      <c r="F109" s="12"/>
      <c r="G109" s="12"/>
    </row>
    <row r="110" spans="1:7">
      <c r="A110" s="209">
        <f t="shared" si="4"/>
        <v>107</v>
      </c>
      <c r="B110" s="455" t="s">
        <v>285</v>
      </c>
      <c r="C110" s="12"/>
      <c r="D110" s="12"/>
      <c r="E110" s="12"/>
      <c r="F110" s="12"/>
      <c r="G110" s="12"/>
    </row>
    <row r="111" spans="1:7">
      <c r="A111" s="209">
        <f t="shared" si="4"/>
        <v>108</v>
      </c>
      <c r="B111" s="455" t="s">
        <v>286</v>
      </c>
      <c r="C111" s="12"/>
      <c r="D111" s="12"/>
      <c r="E111" s="12"/>
      <c r="F111" s="12"/>
      <c r="G111" s="12"/>
    </row>
    <row r="112" spans="1:7">
      <c r="A112" s="209">
        <f t="shared" si="4"/>
        <v>109</v>
      </c>
      <c r="B112" s="455" t="s">
        <v>287</v>
      </c>
      <c r="C112" s="12"/>
      <c r="D112" s="12"/>
      <c r="E112" s="12"/>
      <c r="F112" s="12"/>
      <c r="G112" s="12"/>
    </row>
    <row r="113" spans="1:7">
      <c r="A113" s="209">
        <f t="shared" si="4"/>
        <v>110</v>
      </c>
      <c r="B113" s="455" t="s">
        <v>290</v>
      </c>
      <c r="C113" s="12"/>
      <c r="D113" s="12"/>
      <c r="E113" s="12"/>
      <c r="F113" s="12"/>
      <c r="G113" s="12"/>
    </row>
    <row r="114" spans="1:7">
      <c r="A114" s="209">
        <f t="shared" si="4"/>
        <v>111</v>
      </c>
      <c r="B114" s="455" t="s">
        <v>292</v>
      </c>
      <c r="C114" s="12"/>
      <c r="D114" s="12"/>
      <c r="E114" s="12"/>
      <c r="F114" s="12"/>
      <c r="G114" s="12"/>
    </row>
    <row r="115" spans="1:7">
      <c r="A115" s="209">
        <f t="shared" si="4"/>
        <v>112</v>
      </c>
      <c r="B115" s="455" t="s">
        <v>297</v>
      </c>
      <c r="C115" s="12"/>
      <c r="D115" s="12"/>
      <c r="E115" s="12"/>
      <c r="F115" s="12"/>
      <c r="G115" s="12"/>
    </row>
    <row r="116" spans="1:7">
      <c r="A116" s="209">
        <f t="shared" si="4"/>
        <v>113</v>
      </c>
      <c r="B116" s="455" t="s">
        <v>298</v>
      </c>
      <c r="C116" s="12"/>
      <c r="D116" s="12"/>
      <c r="E116" s="12"/>
      <c r="F116" s="12"/>
      <c r="G116" s="12"/>
    </row>
    <row r="117" spans="1:7" ht="25.5">
      <c r="A117" s="209">
        <f t="shared" si="4"/>
        <v>114</v>
      </c>
      <c r="B117" s="455" t="s">
        <v>299</v>
      </c>
      <c r="C117" s="12"/>
      <c r="D117" s="12"/>
      <c r="E117" s="12"/>
      <c r="F117" s="12"/>
      <c r="G117" s="12"/>
    </row>
    <row r="118" spans="1:7">
      <c r="A118" s="209">
        <f t="shared" si="4"/>
        <v>115</v>
      </c>
      <c r="B118" s="455" t="s">
        <v>300</v>
      </c>
      <c r="C118" s="12"/>
      <c r="D118" s="12"/>
      <c r="E118" s="12"/>
      <c r="F118" s="12"/>
      <c r="G118" s="12"/>
    </row>
    <row r="119" spans="1:7">
      <c r="A119" s="209">
        <f t="shared" si="4"/>
        <v>116</v>
      </c>
      <c r="B119" s="455" t="s">
        <v>301</v>
      </c>
      <c r="C119" s="12"/>
      <c r="D119" s="12"/>
      <c r="E119" s="12"/>
      <c r="F119" s="12"/>
      <c r="G119" s="12"/>
    </row>
    <row r="120" spans="1:7">
      <c r="A120" s="209">
        <f t="shared" si="4"/>
        <v>117</v>
      </c>
      <c r="B120" s="455" t="s">
        <v>303</v>
      </c>
      <c r="C120" s="12"/>
      <c r="D120" s="12"/>
      <c r="E120" s="12"/>
      <c r="F120" s="12"/>
      <c r="G120" s="12"/>
    </row>
    <row r="121" spans="1:7">
      <c r="A121" s="209">
        <f t="shared" si="4"/>
        <v>118</v>
      </c>
      <c r="B121" s="455" t="s">
        <v>307</v>
      </c>
      <c r="C121" s="12"/>
      <c r="D121" s="12"/>
      <c r="E121" s="12"/>
      <c r="F121" s="12"/>
      <c r="G121" s="12"/>
    </row>
    <row r="122" spans="1:7" ht="25.5">
      <c r="A122" s="209">
        <f t="shared" si="4"/>
        <v>119</v>
      </c>
      <c r="B122" s="455" t="s">
        <v>308</v>
      </c>
      <c r="C122" s="12"/>
      <c r="D122" s="12"/>
      <c r="E122" s="12"/>
      <c r="F122" s="12"/>
      <c r="G122" s="12"/>
    </row>
    <row r="123" spans="1:7">
      <c r="A123" s="209">
        <f t="shared" si="4"/>
        <v>120</v>
      </c>
      <c r="B123" s="455" t="s">
        <v>311</v>
      </c>
      <c r="C123" s="12"/>
      <c r="D123" s="12"/>
      <c r="E123" s="12"/>
      <c r="F123" s="12"/>
      <c r="G123" s="12"/>
    </row>
    <row r="124" spans="1:7">
      <c r="A124" s="209">
        <f t="shared" si="4"/>
        <v>121</v>
      </c>
      <c r="B124" s="455" t="s">
        <v>314</v>
      </c>
      <c r="C124" s="12"/>
      <c r="D124" s="12"/>
      <c r="E124" s="12"/>
      <c r="F124" s="12"/>
      <c r="G124" s="12"/>
    </row>
    <row r="125" spans="1:7">
      <c r="A125" s="209">
        <f t="shared" si="4"/>
        <v>122</v>
      </c>
      <c r="B125" s="464" t="s">
        <v>315</v>
      </c>
      <c r="C125" s="12"/>
      <c r="D125" s="12"/>
      <c r="E125" s="12"/>
      <c r="F125" s="12"/>
      <c r="G125" s="12"/>
    </row>
    <row r="126" spans="1:7">
      <c r="A126" s="209">
        <f t="shared" si="4"/>
        <v>123</v>
      </c>
      <c r="B126" s="455" t="s">
        <v>316</v>
      </c>
      <c r="C126" s="12"/>
      <c r="D126" s="12"/>
      <c r="E126" s="12"/>
      <c r="F126" s="12"/>
      <c r="G126" s="12"/>
    </row>
    <row r="127" spans="1:7">
      <c r="A127" s="209">
        <f t="shared" si="4"/>
        <v>124</v>
      </c>
      <c r="B127" s="455" t="s">
        <v>317</v>
      </c>
      <c r="C127" s="12"/>
      <c r="D127" s="12"/>
      <c r="E127" s="12"/>
      <c r="F127" s="12"/>
      <c r="G127" s="12"/>
    </row>
    <row r="128" spans="1:7">
      <c r="A128" s="209">
        <f t="shared" si="4"/>
        <v>125</v>
      </c>
      <c r="B128" s="455" t="s">
        <v>318</v>
      </c>
      <c r="C128" s="12"/>
      <c r="D128" s="12"/>
      <c r="E128" s="12"/>
      <c r="F128" s="12"/>
      <c r="G128" s="12"/>
    </row>
    <row r="129" spans="1:7">
      <c r="A129" s="209">
        <f t="shared" si="4"/>
        <v>126</v>
      </c>
      <c r="B129" s="455" t="s">
        <v>319</v>
      </c>
      <c r="C129" s="12"/>
      <c r="D129" s="12"/>
      <c r="E129" s="12"/>
      <c r="F129" s="12"/>
      <c r="G129" s="12"/>
    </row>
    <row r="130" spans="1:7">
      <c r="A130" s="209">
        <f t="shared" si="4"/>
        <v>127</v>
      </c>
      <c r="B130" s="455" t="s">
        <v>320</v>
      </c>
      <c r="C130" s="12"/>
      <c r="D130" s="12"/>
      <c r="E130" s="12"/>
      <c r="F130" s="12"/>
      <c r="G130" s="12"/>
    </row>
    <row r="131" spans="1:7" ht="25.5">
      <c r="A131" s="209">
        <f t="shared" si="4"/>
        <v>128</v>
      </c>
      <c r="B131" s="455" t="s">
        <v>323</v>
      </c>
      <c r="C131" s="12"/>
      <c r="D131" s="12"/>
      <c r="E131" s="12"/>
      <c r="F131" s="12"/>
      <c r="G131" s="12"/>
    </row>
    <row r="132" spans="1:7" ht="25.5">
      <c r="A132" s="209">
        <f t="shared" si="4"/>
        <v>129</v>
      </c>
      <c r="B132" s="455" t="s">
        <v>324</v>
      </c>
      <c r="C132" s="12"/>
      <c r="D132" s="12"/>
      <c r="E132" s="12"/>
      <c r="F132" s="12"/>
      <c r="G132" s="12"/>
    </row>
    <row r="133" spans="1:7">
      <c r="A133" s="209">
        <f t="shared" si="4"/>
        <v>130</v>
      </c>
      <c r="B133" s="455" t="s">
        <v>325</v>
      </c>
      <c r="C133" s="12"/>
      <c r="D133" s="12"/>
      <c r="E133" s="12"/>
      <c r="F133" s="12"/>
      <c r="G133" s="12"/>
    </row>
    <row r="134" spans="1:7">
      <c r="A134" s="209">
        <f t="shared" si="4"/>
        <v>131</v>
      </c>
      <c r="B134" s="455" t="s">
        <v>326</v>
      </c>
      <c r="C134" s="12"/>
      <c r="D134" s="12"/>
      <c r="E134" s="12"/>
      <c r="F134" s="12"/>
      <c r="G134" s="12"/>
    </row>
    <row r="135" spans="1:7">
      <c r="A135" s="209">
        <f t="shared" si="4"/>
        <v>132</v>
      </c>
      <c r="B135" s="455" t="s">
        <v>327</v>
      </c>
      <c r="C135" s="12"/>
      <c r="D135" s="12"/>
      <c r="E135" s="12"/>
      <c r="F135" s="12"/>
      <c r="G135" s="12"/>
    </row>
    <row r="136" spans="1:7">
      <c r="A136" s="209">
        <f t="shared" si="4"/>
        <v>133</v>
      </c>
      <c r="B136" s="455" t="s">
        <v>331</v>
      </c>
      <c r="C136" s="12"/>
      <c r="D136" s="12"/>
      <c r="E136" s="12"/>
      <c r="F136" s="12"/>
      <c r="G136" s="12"/>
    </row>
  </sheetData>
  <mergeCells count="1">
    <mergeCell ref="A1:G1"/>
  </mergeCells>
  <conditionalFormatting sqref="B7">
    <cfRule type="duplicateValues" dxfId="406" priority="15"/>
  </conditionalFormatting>
  <conditionalFormatting sqref="B8">
    <cfRule type="duplicateValues" dxfId="405" priority="14"/>
  </conditionalFormatting>
  <conditionalFormatting sqref="B9">
    <cfRule type="duplicateValues" dxfId="404" priority="12"/>
  </conditionalFormatting>
  <conditionalFormatting sqref="B19:B21 B10:B11">
    <cfRule type="duplicateValues" dxfId="403" priority="11"/>
  </conditionalFormatting>
  <conditionalFormatting sqref="B22">
    <cfRule type="duplicateValues" dxfId="402" priority="10"/>
  </conditionalFormatting>
  <conditionalFormatting sqref="B23:B28">
    <cfRule type="duplicateValues" dxfId="401" priority="9"/>
  </conditionalFormatting>
  <conditionalFormatting sqref="B29">
    <cfRule type="duplicateValues" dxfId="400" priority="8"/>
  </conditionalFormatting>
  <conditionalFormatting sqref="B34">
    <cfRule type="duplicateValues" dxfId="399" priority="7"/>
  </conditionalFormatting>
  <conditionalFormatting sqref="B40:B46">
    <cfRule type="duplicateValues" dxfId="398" priority="5"/>
  </conditionalFormatting>
  <conditionalFormatting sqref="B47:B74">
    <cfRule type="duplicateValues" dxfId="397" priority="6"/>
  </conditionalFormatting>
  <conditionalFormatting sqref="B90:B105 B75:B88">
    <cfRule type="duplicateValues" dxfId="396" priority="4"/>
  </conditionalFormatting>
  <conditionalFormatting sqref="B106">
    <cfRule type="duplicateValues" dxfId="395" priority="2"/>
  </conditionalFormatting>
  <conditionalFormatting sqref="B107:B109">
    <cfRule type="duplicateValues" dxfId="394" priority="3"/>
  </conditionalFormatting>
  <conditionalFormatting sqref="B126:B136 B110:B124">
    <cfRule type="duplicateValues" dxfId="393" priority="1"/>
  </conditionalFormatting>
  <conditionalFormatting sqref="C7">
    <cfRule type="duplicateValues" dxfId="392" priority="16"/>
  </conditionalFormatting>
  <conditionalFormatting sqref="C8">
    <cfRule type="duplicateValues" dxfId="391" priority="13"/>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C8798-AB52-4A06-A7F6-B1AE9ACB7E32}">
  <sheetPr>
    <tabColor rgb="FF006432"/>
  </sheetPr>
  <dimension ref="A1:H124"/>
  <sheetViews>
    <sheetView workbookViewId="0">
      <pane ySplit="3" topLeftCell="A4" activePane="bottomLeft" state="frozen"/>
      <selection pane="bottomLeft" activeCell="D3" sqref="D3"/>
    </sheetView>
  </sheetViews>
  <sheetFormatPr defaultColWidth="9.140625" defaultRowHeight="15"/>
  <cols>
    <col min="1" max="1" width="4" style="346" customWidth="1"/>
    <col min="2" max="2" width="32.28515625" style="343" customWidth="1"/>
    <col min="3" max="3" width="10.7109375" style="348" customWidth="1"/>
    <col min="4" max="4" width="20.85546875" style="11" customWidth="1"/>
    <col min="5" max="5" width="21.5703125" style="11" customWidth="1"/>
    <col min="6" max="6" width="20.7109375" style="11" customWidth="1"/>
    <col min="7" max="7" width="29.7109375" style="11" customWidth="1"/>
    <col min="8" max="8" width="30.7109375" style="11" customWidth="1"/>
    <col min="9" max="9" width="11" style="11" bestFit="1" customWidth="1"/>
    <col min="10" max="16384" width="9.140625" style="11"/>
  </cols>
  <sheetData>
    <row r="1" spans="1:8" ht="15.75">
      <c r="A1" s="641" t="s">
        <v>8547</v>
      </c>
      <c r="B1" s="641"/>
      <c r="C1" s="641"/>
      <c r="D1" s="641"/>
    </row>
    <row r="2" spans="1:8" ht="4.5" customHeight="1" thickTop="1"/>
    <row r="3" spans="1:8" ht="25.5">
      <c r="A3" s="347" t="s">
        <v>114</v>
      </c>
      <c r="B3" s="333" t="s">
        <v>690</v>
      </c>
      <c r="C3" s="18" t="s">
        <v>116</v>
      </c>
      <c r="D3" s="18" t="s">
        <v>8548</v>
      </c>
      <c r="E3" s="18" t="s">
        <v>8405</v>
      </c>
      <c r="F3" s="18" t="s">
        <v>8406</v>
      </c>
      <c r="G3" s="18" t="s">
        <v>8549</v>
      </c>
      <c r="H3" s="46" t="s">
        <v>8550</v>
      </c>
    </row>
    <row r="4" spans="1:8" ht="25.5">
      <c r="A4" s="345">
        <v>1</v>
      </c>
      <c r="B4" s="342" t="s">
        <v>204</v>
      </c>
      <c r="C4" s="345">
        <v>2034859</v>
      </c>
      <c r="D4" s="335" t="s">
        <v>8551</v>
      </c>
      <c r="E4" s="465">
        <v>980613000</v>
      </c>
      <c r="F4" s="465">
        <v>980613000</v>
      </c>
      <c r="G4" s="465">
        <v>480500000</v>
      </c>
      <c r="H4" s="465">
        <v>500113000</v>
      </c>
    </row>
    <row r="5" spans="1:8" ht="25.5">
      <c r="A5" s="345">
        <f t="shared" ref="A5:A9" si="0">A4+1</f>
        <v>2</v>
      </c>
      <c r="B5" s="342" t="s">
        <v>214</v>
      </c>
      <c r="C5" s="345">
        <v>2550466</v>
      </c>
      <c r="D5" s="335" t="s">
        <v>8551</v>
      </c>
      <c r="E5" s="465">
        <v>24883300000</v>
      </c>
      <c r="F5" s="465">
        <v>0</v>
      </c>
      <c r="G5" s="465">
        <v>0</v>
      </c>
      <c r="H5" s="465">
        <v>1500000000</v>
      </c>
    </row>
    <row r="6" spans="1:8" ht="25.5">
      <c r="A6" s="345">
        <f t="shared" si="0"/>
        <v>3</v>
      </c>
      <c r="B6" s="342" t="s">
        <v>220</v>
      </c>
      <c r="C6" s="345">
        <v>5106567</v>
      </c>
      <c r="D6" s="335" t="s">
        <v>8551</v>
      </c>
      <c r="E6" s="465">
        <v>0</v>
      </c>
      <c r="F6" s="465">
        <v>0</v>
      </c>
      <c r="G6" s="465">
        <v>0</v>
      </c>
      <c r="H6" s="465">
        <v>0</v>
      </c>
    </row>
    <row r="7" spans="1:8" ht="25.5">
      <c r="A7" s="345">
        <f t="shared" si="0"/>
        <v>4</v>
      </c>
      <c r="B7" s="344" t="s">
        <v>264</v>
      </c>
      <c r="C7" s="341">
        <v>2807459</v>
      </c>
      <c r="D7" s="335" t="s">
        <v>8551</v>
      </c>
      <c r="E7" s="465">
        <v>0</v>
      </c>
      <c r="F7" s="465">
        <v>0</v>
      </c>
      <c r="G7" s="465">
        <v>0</v>
      </c>
      <c r="H7" s="465">
        <v>0</v>
      </c>
    </row>
    <row r="8" spans="1:8" ht="25.5">
      <c r="A8" s="345">
        <f t="shared" si="0"/>
        <v>5</v>
      </c>
      <c r="B8" s="342" t="s">
        <v>264</v>
      </c>
      <c r="C8" s="345">
        <v>2807459</v>
      </c>
      <c r="D8" s="466" t="s">
        <v>8552</v>
      </c>
      <c r="E8" s="467">
        <v>0</v>
      </c>
      <c r="F8" s="467">
        <v>0</v>
      </c>
      <c r="G8" s="467">
        <v>0</v>
      </c>
      <c r="H8" s="467">
        <v>0</v>
      </c>
    </row>
    <row r="9" spans="1:8" ht="25.5">
      <c r="A9" s="345">
        <f t="shared" si="0"/>
        <v>6</v>
      </c>
      <c r="B9" s="342" t="s">
        <v>327</v>
      </c>
      <c r="C9" s="345">
        <v>2074192</v>
      </c>
      <c r="D9" s="334" t="s">
        <v>8552</v>
      </c>
      <c r="E9" s="468">
        <v>415582000000</v>
      </c>
      <c r="F9" s="468">
        <v>415582000000</v>
      </c>
      <c r="G9" s="468">
        <v>0</v>
      </c>
      <c r="H9" s="468">
        <v>100</v>
      </c>
    </row>
    <row r="10" spans="1:8">
      <c r="A10" s="11"/>
      <c r="B10" s="11"/>
      <c r="C10" s="11"/>
    </row>
    <row r="11" spans="1:8">
      <c r="A11" s="11"/>
      <c r="B11" s="11"/>
      <c r="C11" s="11"/>
    </row>
    <row r="12" spans="1:8">
      <c r="A12" s="11"/>
      <c r="B12" s="11"/>
      <c r="C12" s="11"/>
    </row>
    <row r="13" spans="1:8">
      <c r="A13" s="11"/>
      <c r="B13" s="11"/>
      <c r="C13" s="11"/>
    </row>
    <row r="14" spans="1:8">
      <c r="A14" s="11"/>
      <c r="B14" s="11"/>
      <c r="C14" s="11"/>
    </row>
    <row r="15" spans="1:8">
      <c r="A15" s="11"/>
      <c r="B15" s="11"/>
      <c r="C15" s="11"/>
    </row>
    <row r="16" spans="1:8">
      <c r="A16" s="11"/>
      <c r="B16" s="11"/>
      <c r="C16" s="11"/>
    </row>
    <row r="17" s="11" customFormat="1"/>
    <row r="18" s="11" customFormat="1"/>
    <row r="19" s="11" customFormat="1"/>
    <row r="20" s="11" customFormat="1"/>
    <row r="21" s="11" customFormat="1"/>
    <row r="22" s="11" customFormat="1"/>
    <row r="23" s="11" customFormat="1"/>
    <row r="24" s="11" customFormat="1"/>
    <row r="25" s="11" customFormat="1"/>
    <row r="26" s="11" customFormat="1"/>
    <row r="27" s="11" customFormat="1"/>
    <row r="28" s="11" customFormat="1"/>
    <row r="29" s="11" customFormat="1"/>
    <row r="30" s="11" customFormat="1"/>
    <row r="31" s="11" customFormat="1"/>
    <row r="32" s="11" customFormat="1"/>
    <row r="33" s="11" customFormat="1"/>
    <row r="34" s="11" customFormat="1"/>
    <row r="35" s="11" customFormat="1"/>
    <row r="36" s="11" customFormat="1"/>
    <row r="37" s="11" customFormat="1"/>
    <row r="38" s="11" customFormat="1"/>
    <row r="39" s="11" customFormat="1"/>
    <row r="40" s="11" customFormat="1"/>
    <row r="41" s="11" customFormat="1"/>
    <row r="42" s="11" customFormat="1"/>
    <row r="43" s="11" customFormat="1"/>
    <row r="44" s="11" customFormat="1"/>
    <row r="45" s="11" customFormat="1"/>
    <row r="46" s="11" customFormat="1"/>
    <row r="47" s="11" customFormat="1"/>
    <row r="48"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sheetData>
  <mergeCells count="1">
    <mergeCell ref="A1:D1"/>
  </mergeCells>
  <conditionalFormatting sqref="B8 B4:B6">
    <cfRule type="duplicateValues" dxfId="390" priority="3"/>
  </conditionalFormatting>
  <conditionalFormatting sqref="B9">
    <cfRule type="duplicateValues" dxfId="389" priority="1"/>
  </conditionalFormatting>
  <conditionalFormatting sqref="C8 C4:C6">
    <cfRule type="duplicateValues" dxfId="388" priority="4"/>
  </conditionalFormatting>
  <conditionalFormatting sqref="C9">
    <cfRule type="duplicateValues" dxfId="387" priority="2"/>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36697-7108-490F-AA95-AA8CE8639192}">
  <sheetPr>
    <tabColor rgb="FF006432"/>
  </sheetPr>
  <dimension ref="A1:W89"/>
  <sheetViews>
    <sheetView workbookViewId="0">
      <pane ySplit="3" topLeftCell="A4" activePane="bottomLeft" state="frozen"/>
      <selection pane="bottomLeft" activeCell="I3" sqref="I3"/>
    </sheetView>
  </sheetViews>
  <sheetFormatPr defaultColWidth="9.140625" defaultRowHeight="13.5"/>
  <cols>
    <col min="1" max="1" width="4.5703125" style="179" customWidth="1"/>
    <col min="2" max="2" width="20.7109375" style="179" customWidth="1"/>
    <col min="3" max="3" width="10.28515625" style="179" customWidth="1"/>
    <col min="4" max="4" width="13.28515625" style="179" customWidth="1"/>
    <col min="5" max="5" width="13.5703125" style="179" customWidth="1"/>
    <col min="6" max="6" width="11.28515625" style="181" customWidth="1"/>
    <col min="7" max="7" width="11.85546875" style="181" customWidth="1"/>
    <col min="8" max="8" width="10.140625" style="181" customWidth="1"/>
    <col min="9" max="9" width="21" style="179" customWidth="1"/>
    <col min="10" max="10" width="15.5703125" style="179" customWidth="1"/>
    <col min="11" max="11" width="14" style="179" customWidth="1"/>
    <col min="12" max="12" width="18.42578125" style="179" customWidth="1"/>
    <col min="13" max="13" width="15.42578125" style="179" customWidth="1"/>
    <col min="14" max="14" width="17.42578125" style="182" customWidth="1"/>
    <col min="15" max="15" width="18" style="182" customWidth="1"/>
    <col min="16" max="16" width="20.28515625" style="182" customWidth="1"/>
    <col min="17" max="17" width="21" style="182" customWidth="1"/>
    <col min="18" max="18" width="15" style="181" customWidth="1"/>
    <col min="19" max="19" width="18.5703125" style="181" customWidth="1"/>
    <col min="20" max="20" width="19" style="401" customWidth="1"/>
    <col min="21" max="21" width="18.28515625" style="182" customWidth="1"/>
    <col min="22" max="16384" width="9.140625" style="179"/>
  </cols>
  <sheetData>
    <row r="1" spans="1:23" ht="16.5" thickBot="1">
      <c r="A1" s="26" t="s">
        <v>8553</v>
      </c>
      <c r="B1" s="178"/>
      <c r="C1" s="178"/>
      <c r="D1" s="178"/>
      <c r="E1" s="178"/>
      <c r="F1" s="183"/>
      <c r="G1" s="183"/>
      <c r="H1" s="183"/>
      <c r="I1" s="178"/>
      <c r="J1" s="178"/>
      <c r="K1" s="178"/>
    </row>
    <row r="2" spans="1:23" ht="5.25" customHeight="1" thickTop="1"/>
    <row r="3" spans="1:23" s="180" customFormat="1" ht="51">
      <c r="A3" s="18" t="s">
        <v>114</v>
      </c>
      <c r="B3" s="18" t="s">
        <v>690</v>
      </c>
      <c r="C3" s="18" t="s">
        <v>116</v>
      </c>
      <c r="D3" s="18" t="s">
        <v>8554</v>
      </c>
      <c r="E3" s="18" t="s">
        <v>8555</v>
      </c>
      <c r="F3" s="18" t="s">
        <v>8556</v>
      </c>
      <c r="G3" s="18" t="s">
        <v>8557</v>
      </c>
      <c r="H3" s="18" t="s">
        <v>8558</v>
      </c>
      <c r="I3" s="18" t="s">
        <v>8559</v>
      </c>
      <c r="J3" s="18" t="s">
        <v>8560</v>
      </c>
      <c r="K3" s="18" t="s">
        <v>8561</v>
      </c>
      <c r="L3" s="18" t="s">
        <v>8562</v>
      </c>
      <c r="M3" s="18" t="s">
        <v>8563</v>
      </c>
      <c r="N3" s="18" t="s">
        <v>8564</v>
      </c>
      <c r="O3" s="18" t="s">
        <v>8565</v>
      </c>
      <c r="P3" s="18" t="s">
        <v>8566</v>
      </c>
      <c r="Q3" s="18" t="s">
        <v>8567</v>
      </c>
      <c r="R3" s="18" t="s">
        <v>8568</v>
      </c>
      <c r="S3" s="18" t="s">
        <v>8569</v>
      </c>
      <c r="T3" s="55" t="s">
        <v>8570</v>
      </c>
      <c r="U3" s="18" t="s">
        <v>8571</v>
      </c>
    </row>
    <row r="4" spans="1:23" ht="25.5">
      <c r="A4" s="6">
        <v>1</v>
      </c>
      <c r="B4" s="20" t="s">
        <v>133</v>
      </c>
      <c r="C4" s="9">
        <v>5118344</v>
      </c>
      <c r="D4" s="217" t="s">
        <v>8572</v>
      </c>
      <c r="E4" s="217">
        <v>1</v>
      </c>
      <c r="F4" s="263">
        <v>45163</v>
      </c>
      <c r="G4" s="263">
        <v>45108</v>
      </c>
      <c r="H4" s="263">
        <v>45291</v>
      </c>
      <c r="I4" s="217" t="s">
        <v>8573</v>
      </c>
      <c r="J4" s="217" t="s">
        <v>8574</v>
      </c>
      <c r="K4" s="217" t="s">
        <v>8575</v>
      </c>
      <c r="L4" s="217" t="s">
        <v>8576</v>
      </c>
      <c r="M4" s="217" t="s">
        <v>8577</v>
      </c>
      <c r="N4" s="217">
        <v>1</v>
      </c>
      <c r="O4" s="217">
        <v>1</v>
      </c>
      <c r="P4" s="217">
        <v>0</v>
      </c>
      <c r="Q4" s="263">
        <v>45163</v>
      </c>
      <c r="R4" s="217">
        <v>0</v>
      </c>
      <c r="S4" s="6">
        <v>0</v>
      </c>
      <c r="T4" s="332">
        <v>0</v>
      </c>
      <c r="U4" s="217" t="s">
        <v>8250</v>
      </c>
    </row>
    <row r="5" spans="1:23" ht="38.25">
      <c r="A5" s="6">
        <v>2</v>
      </c>
      <c r="B5" s="20" t="s">
        <v>629</v>
      </c>
      <c r="C5" s="9">
        <v>5439183</v>
      </c>
      <c r="D5" s="217" t="s">
        <v>8578</v>
      </c>
      <c r="E5" s="217">
        <v>1</v>
      </c>
      <c r="F5" s="263">
        <v>44474</v>
      </c>
      <c r="G5" s="263">
        <v>44474</v>
      </c>
      <c r="H5" s="263">
        <v>45570</v>
      </c>
      <c r="I5" s="217" t="s">
        <v>8573</v>
      </c>
      <c r="J5" s="217" t="s">
        <v>8579</v>
      </c>
      <c r="K5" s="217" t="s">
        <v>8580</v>
      </c>
      <c r="L5" s="217" t="s">
        <v>8581</v>
      </c>
      <c r="M5" s="217" t="s">
        <v>8582</v>
      </c>
      <c r="N5" s="217">
        <v>1</v>
      </c>
      <c r="O5" s="217">
        <v>1</v>
      </c>
      <c r="P5" s="217">
        <v>1</v>
      </c>
      <c r="Q5" s="263">
        <v>44474</v>
      </c>
      <c r="R5" s="217">
        <v>0</v>
      </c>
      <c r="S5" s="6">
        <v>0</v>
      </c>
      <c r="T5" s="332">
        <v>300000000</v>
      </c>
      <c r="U5" s="217" t="s">
        <v>8259</v>
      </c>
    </row>
    <row r="6" spans="1:23" ht="51">
      <c r="A6" s="6">
        <v>3</v>
      </c>
      <c r="B6" s="20" t="s">
        <v>152</v>
      </c>
      <c r="C6" s="9">
        <v>2008572</v>
      </c>
      <c r="D6" s="217" t="s">
        <v>8583</v>
      </c>
      <c r="E6" s="217">
        <v>1</v>
      </c>
      <c r="F6" s="263">
        <v>45195</v>
      </c>
      <c r="G6" s="263">
        <v>45195</v>
      </c>
      <c r="H6" s="263">
        <v>45255</v>
      </c>
      <c r="I6" s="217" t="s">
        <v>8584</v>
      </c>
      <c r="J6" s="217" t="s">
        <v>8585</v>
      </c>
      <c r="K6" s="217" t="s">
        <v>8586</v>
      </c>
      <c r="L6" s="217" t="s">
        <v>8587</v>
      </c>
      <c r="M6" s="217" t="s">
        <v>8588</v>
      </c>
      <c r="N6" s="217">
        <v>0</v>
      </c>
      <c r="O6" s="217">
        <v>0</v>
      </c>
      <c r="P6" s="217">
        <v>0</v>
      </c>
      <c r="Q6" s="217" t="s">
        <v>8377</v>
      </c>
      <c r="R6" s="217">
        <v>0</v>
      </c>
      <c r="S6" s="217" t="s">
        <v>8589</v>
      </c>
      <c r="T6" s="332">
        <v>124542000</v>
      </c>
      <c r="U6" s="217" t="s">
        <v>8250</v>
      </c>
    </row>
    <row r="7" spans="1:23" ht="38.25">
      <c r="A7" s="6">
        <v>4</v>
      </c>
      <c r="B7" s="216" t="s">
        <v>157</v>
      </c>
      <c r="C7" s="217">
        <v>5502977</v>
      </c>
      <c r="D7" s="217" t="s">
        <v>8590</v>
      </c>
      <c r="E7" s="217">
        <v>1</v>
      </c>
      <c r="F7" s="263">
        <v>43306</v>
      </c>
      <c r="G7" s="263">
        <v>43306</v>
      </c>
      <c r="H7" s="263">
        <v>45955</v>
      </c>
      <c r="I7" s="217" t="s">
        <v>8591</v>
      </c>
      <c r="J7" s="217" t="s">
        <v>372</v>
      </c>
      <c r="K7" s="217" t="s">
        <v>8592</v>
      </c>
      <c r="L7" s="217" t="s">
        <v>8593</v>
      </c>
      <c r="M7" s="217" t="s">
        <v>8594</v>
      </c>
      <c r="N7" s="217">
        <v>5</v>
      </c>
      <c r="O7" s="217">
        <v>2</v>
      </c>
      <c r="P7" s="217">
        <v>3</v>
      </c>
      <c r="Q7" s="263">
        <v>45075</v>
      </c>
      <c r="R7" s="217">
        <v>214</v>
      </c>
      <c r="S7" s="217" t="s">
        <v>8595</v>
      </c>
      <c r="T7" s="332">
        <v>2600000000</v>
      </c>
      <c r="U7" s="217" t="s">
        <v>8250</v>
      </c>
      <c r="W7" s="308"/>
    </row>
    <row r="8" spans="1:23" ht="38.25">
      <c r="A8" s="6">
        <v>5</v>
      </c>
      <c r="B8" s="20" t="s">
        <v>157</v>
      </c>
      <c r="C8" s="9">
        <v>5502977</v>
      </c>
      <c r="D8" s="217" t="s">
        <v>8596</v>
      </c>
      <c r="E8" s="217">
        <v>2</v>
      </c>
      <c r="F8" s="263">
        <v>43306</v>
      </c>
      <c r="G8" s="263">
        <v>43306</v>
      </c>
      <c r="H8" s="263">
        <v>45955</v>
      </c>
      <c r="I8" s="217" t="s">
        <v>8597</v>
      </c>
      <c r="J8" s="217" t="s">
        <v>8598</v>
      </c>
      <c r="K8" s="217" t="s">
        <v>8599</v>
      </c>
      <c r="L8" s="217" t="s">
        <v>8593</v>
      </c>
      <c r="M8" s="217" t="s">
        <v>8594</v>
      </c>
      <c r="N8" s="217">
        <v>5</v>
      </c>
      <c r="O8" s="217">
        <v>5</v>
      </c>
      <c r="P8" s="217">
        <v>3</v>
      </c>
      <c r="Q8" s="263">
        <v>45050</v>
      </c>
      <c r="R8" s="217">
        <v>72</v>
      </c>
      <c r="S8" s="217" t="s">
        <v>8595</v>
      </c>
      <c r="T8" s="332">
        <v>2600000000</v>
      </c>
      <c r="U8" s="217" t="s">
        <v>8250</v>
      </c>
      <c r="W8" s="309"/>
    </row>
    <row r="9" spans="1:23" ht="76.5">
      <c r="A9" s="6">
        <v>6</v>
      </c>
      <c r="B9" s="20" t="s">
        <v>159</v>
      </c>
      <c r="C9" s="9">
        <v>2708701</v>
      </c>
      <c r="D9" s="217" t="s">
        <v>8600</v>
      </c>
      <c r="E9" s="217">
        <v>1</v>
      </c>
      <c r="F9" s="263">
        <v>43710</v>
      </c>
      <c r="G9" s="263">
        <v>43710</v>
      </c>
      <c r="H9" s="263">
        <v>45537</v>
      </c>
      <c r="I9" s="217" t="s">
        <v>8573</v>
      </c>
      <c r="J9" s="217" t="s">
        <v>8601</v>
      </c>
      <c r="K9" s="217" t="s">
        <v>8602</v>
      </c>
      <c r="L9" s="217" t="s">
        <v>8593</v>
      </c>
      <c r="M9" s="217" t="s">
        <v>8603</v>
      </c>
      <c r="N9" s="217">
        <v>1</v>
      </c>
      <c r="O9" s="217">
        <v>4</v>
      </c>
      <c r="P9" s="217">
        <v>15</v>
      </c>
      <c r="Q9" s="263">
        <v>45012</v>
      </c>
      <c r="R9" s="217">
        <v>51</v>
      </c>
      <c r="S9" s="217" t="s">
        <v>8604</v>
      </c>
      <c r="T9" s="332">
        <v>190</v>
      </c>
      <c r="U9" s="217" t="s">
        <v>8250</v>
      </c>
    </row>
    <row r="10" spans="1:23" ht="25.5">
      <c r="A10" s="6">
        <v>7</v>
      </c>
      <c r="B10" s="20" t="s">
        <v>168</v>
      </c>
      <c r="C10" s="9">
        <v>5369223</v>
      </c>
      <c r="D10" s="217" t="s">
        <v>8605</v>
      </c>
      <c r="E10" s="217">
        <v>1</v>
      </c>
      <c r="F10" s="263">
        <v>45100</v>
      </c>
      <c r="G10" s="263">
        <v>44562</v>
      </c>
      <c r="H10" s="263">
        <v>45291</v>
      </c>
      <c r="I10" s="217" t="s">
        <v>8591</v>
      </c>
      <c r="J10" s="217" t="s">
        <v>372</v>
      </c>
      <c r="K10" s="217" t="s">
        <v>8606</v>
      </c>
      <c r="L10" s="217" t="s">
        <v>8587</v>
      </c>
      <c r="M10" s="217" t="s">
        <v>8607</v>
      </c>
      <c r="N10" s="217">
        <v>1</v>
      </c>
      <c r="O10" s="217">
        <v>2</v>
      </c>
      <c r="P10" s="217">
        <v>1</v>
      </c>
      <c r="Q10" s="263">
        <v>45100</v>
      </c>
      <c r="R10" s="217">
        <v>10</v>
      </c>
      <c r="S10" s="6">
        <v>0</v>
      </c>
      <c r="T10" s="332">
        <v>100000000</v>
      </c>
      <c r="U10" s="217" t="s">
        <v>8259</v>
      </c>
    </row>
    <row r="11" spans="1:23" ht="38.25">
      <c r="A11" s="6">
        <v>8</v>
      </c>
      <c r="B11" s="216" t="s">
        <v>174</v>
      </c>
      <c r="C11" s="217">
        <v>2094533</v>
      </c>
      <c r="D11" s="217" t="s">
        <v>8608</v>
      </c>
      <c r="E11" s="217">
        <v>1</v>
      </c>
      <c r="F11" s="263">
        <v>45292</v>
      </c>
      <c r="G11" s="263">
        <v>45292</v>
      </c>
      <c r="H11" s="263">
        <v>46388</v>
      </c>
      <c r="I11" s="217" t="s">
        <v>8573</v>
      </c>
      <c r="J11" s="217" t="s">
        <v>372</v>
      </c>
      <c r="K11" s="217" t="s">
        <v>8609</v>
      </c>
      <c r="L11" s="217" t="s">
        <v>8593</v>
      </c>
      <c r="M11" s="217" t="s">
        <v>8610</v>
      </c>
      <c r="N11" s="217">
        <v>4</v>
      </c>
      <c r="O11" s="217">
        <v>4</v>
      </c>
      <c r="P11" s="217">
        <v>1</v>
      </c>
      <c r="Q11" s="217" t="s">
        <v>8377</v>
      </c>
      <c r="R11" s="217">
        <v>0</v>
      </c>
      <c r="S11" s="6">
        <v>0</v>
      </c>
      <c r="T11" s="332">
        <v>260000000</v>
      </c>
      <c r="U11" s="217" t="s">
        <v>8250</v>
      </c>
      <c r="W11" s="308"/>
    </row>
    <row r="12" spans="1:23" ht="38.25">
      <c r="A12" s="6">
        <v>9</v>
      </c>
      <c r="B12" s="216" t="s">
        <v>174</v>
      </c>
      <c r="C12" s="217">
        <v>2094533</v>
      </c>
      <c r="D12" s="217" t="s">
        <v>8611</v>
      </c>
      <c r="E12" s="217">
        <v>2</v>
      </c>
      <c r="F12" s="263">
        <v>43466</v>
      </c>
      <c r="G12" s="263">
        <v>43466</v>
      </c>
      <c r="H12" s="263">
        <v>45292</v>
      </c>
      <c r="I12" s="217" t="s">
        <v>8591</v>
      </c>
      <c r="J12" s="217" t="s">
        <v>372</v>
      </c>
      <c r="K12" s="217" t="s">
        <v>379</v>
      </c>
      <c r="L12" s="217" t="s">
        <v>8593</v>
      </c>
      <c r="M12" s="217" t="s">
        <v>8612</v>
      </c>
      <c r="N12" s="217">
        <v>4</v>
      </c>
      <c r="O12" s="217">
        <v>4</v>
      </c>
      <c r="P12" s="217">
        <v>1</v>
      </c>
      <c r="Q12" s="217" t="s">
        <v>8377</v>
      </c>
      <c r="R12" s="217">
        <v>0</v>
      </c>
      <c r="S12" s="6">
        <v>0</v>
      </c>
      <c r="T12" s="332">
        <v>210000000</v>
      </c>
      <c r="U12" s="217" t="s">
        <v>8250</v>
      </c>
      <c r="W12" s="308"/>
    </row>
    <row r="13" spans="1:23" ht="25.5">
      <c r="A13" s="6">
        <v>10</v>
      </c>
      <c r="B13" s="20" t="s">
        <v>174</v>
      </c>
      <c r="C13" s="9">
        <v>2094533</v>
      </c>
      <c r="D13" s="217" t="s">
        <v>8613</v>
      </c>
      <c r="E13" s="217">
        <v>3</v>
      </c>
      <c r="F13" s="263">
        <v>45292</v>
      </c>
      <c r="G13" s="263">
        <v>45292</v>
      </c>
      <c r="H13" s="263">
        <v>46388</v>
      </c>
      <c r="I13" s="217" t="s">
        <v>8573</v>
      </c>
      <c r="J13" s="217" t="s">
        <v>372</v>
      </c>
      <c r="K13" s="217" t="s">
        <v>8614</v>
      </c>
      <c r="L13" s="217" t="s">
        <v>8593</v>
      </c>
      <c r="M13" s="217" t="s">
        <v>8610</v>
      </c>
      <c r="N13" s="217">
        <v>4</v>
      </c>
      <c r="O13" s="217">
        <v>4</v>
      </c>
      <c r="P13" s="217">
        <v>1</v>
      </c>
      <c r="Q13" s="217" t="s">
        <v>8377</v>
      </c>
      <c r="R13" s="217">
        <v>0</v>
      </c>
      <c r="S13" s="6">
        <v>0</v>
      </c>
      <c r="T13" s="332">
        <v>260000000</v>
      </c>
      <c r="U13" s="217" t="s">
        <v>8250</v>
      </c>
      <c r="W13" s="309"/>
    </row>
    <row r="14" spans="1:23" ht="25.5">
      <c r="A14" s="6">
        <v>11</v>
      </c>
      <c r="B14" s="20" t="s">
        <v>183</v>
      </c>
      <c r="C14" s="9">
        <v>2061848</v>
      </c>
      <c r="D14" s="217" t="s">
        <v>8615</v>
      </c>
      <c r="E14" s="217">
        <v>1</v>
      </c>
      <c r="F14" s="263">
        <v>44273</v>
      </c>
      <c r="G14" s="263">
        <v>44273</v>
      </c>
      <c r="H14" s="263">
        <v>45657</v>
      </c>
      <c r="I14" s="217" t="s">
        <v>8591</v>
      </c>
      <c r="J14" s="217" t="s">
        <v>8616</v>
      </c>
      <c r="K14" s="217" t="s">
        <v>8617</v>
      </c>
      <c r="L14" s="217" t="s">
        <v>8587</v>
      </c>
      <c r="M14" s="217" t="s">
        <v>8618</v>
      </c>
      <c r="N14" s="217">
        <v>3</v>
      </c>
      <c r="O14" s="217">
        <v>3</v>
      </c>
      <c r="P14" s="217">
        <v>3</v>
      </c>
      <c r="Q14" s="217" t="s">
        <v>8377</v>
      </c>
      <c r="R14" s="217">
        <v>0</v>
      </c>
      <c r="S14" s="217" t="s">
        <v>8619</v>
      </c>
      <c r="T14" s="332">
        <v>50000000</v>
      </c>
      <c r="U14" s="217" t="s">
        <v>8250</v>
      </c>
    </row>
    <row r="15" spans="1:23" ht="63.75">
      <c r="A15" s="6">
        <v>12</v>
      </c>
      <c r="B15" s="20" t="s">
        <v>188</v>
      </c>
      <c r="C15" s="9">
        <v>5217652</v>
      </c>
      <c r="D15" s="217" t="s">
        <v>8620</v>
      </c>
      <c r="E15" s="217">
        <v>1</v>
      </c>
      <c r="F15" s="263">
        <v>45232</v>
      </c>
      <c r="G15" s="263">
        <v>45232</v>
      </c>
      <c r="H15" s="263">
        <v>45598</v>
      </c>
      <c r="I15" s="217" t="s">
        <v>8573</v>
      </c>
      <c r="J15" s="217" t="s">
        <v>8616</v>
      </c>
      <c r="K15" s="217" t="s">
        <v>8621</v>
      </c>
      <c r="L15" s="217" t="s">
        <v>8593</v>
      </c>
      <c r="M15" s="217" t="s">
        <v>8622</v>
      </c>
      <c r="N15" s="217">
        <v>0</v>
      </c>
      <c r="O15" s="217">
        <v>0</v>
      </c>
      <c r="P15" s="217">
        <v>0</v>
      </c>
      <c r="Q15" s="217" t="s">
        <v>8623</v>
      </c>
      <c r="R15" s="217">
        <v>0</v>
      </c>
      <c r="S15" s="6">
        <v>0</v>
      </c>
      <c r="T15" s="332">
        <v>38000000</v>
      </c>
      <c r="U15" s="217" t="s">
        <v>8250</v>
      </c>
    </row>
    <row r="16" spans="1:23" ht="89.25">
      <c r="A16" s="6">
        <v>13</v>
      </c>
      <c r="B16" s="216" t="s">
        <v>196</v>
      </c>
      <c r="C16" s="217">
        <v>5522935</v>
      </c>
      <c r="D16" s="217" t="s">
        <v>8624</v>
      </c>
      <c r="E16" s="217">
        <v>1</v>
      </c>
      <c r="F16" s="263">
        <v>45170</v>
      </c>
      <c r="G16" s="217" t="s">
        <v>8377</v>
      </c>
      <c r="H16" s="263">
        <v>50649</v>
      </c>
      <c r="I16" s="217" t="s">
        <v>8584</v>
      </c>
      <c r="J16" s="217" t="s">
        <v>8625</v>
      </c>
      <c r="K16" s="217" t="s">
        <v>8626</v>
      </c>
      <c r="L16" s="217" t="s">
        <v>8593</v>
      </c>
      <c r="M16" s="217" t="s">
        <v>8627</v>
      </c>
      <c r="N16" s="217">
        <v>0</v>
      </c>
      <c r="O16" s="217">
        <v>0</v>
      </c>
      <c r="P16" s="217">
        <v>0</v>
      </c>
      <c r="Q16" s="217" t="s">
        <v>8377</v>
      </c>
      <c r="R16" s="217">
        <v>0</v>
      </c>
      <c r="S16" s="217" t="s">
        <v>8628</v>
      </c>
      <c r="T16" s="332">
        <v>0</v>
      </c>
      <c r="U16" s="217" t="s">
        <v>8259</v>
      </c>
      <c r="W16" s="308"/>
    </row>
    <row r="17" spans="1:23" ht="38.25">
      <c r="A17" s="6">
        <v>14</v>
      </c>
      <c r="B17" s="216" t="s">
        <v>196</v>
      </c>
      <c r="C17" s="217">
        <v>5522935</v>
      </c>
      <c r="D17" s="217" t="s">
        <v>8629</v>
      </c>
      <c r="E17" s="217">
        <v>2</v>
      </c>
      <c r="F17" s="263">
        <v>45350</v>
      </c>
      <c r="G17" s="217" t="s">
        <v>8377</v>
      </c>
      <c r="H17" s="263">
        <v>45657</v>
      </c>
      <c r="I17" s="217" t="s">
        <v>8584</v>
      </c>
      <c r="J17" s="217" t="s">
        <v>8630</v>
      </c>
      <c r="K17" s="217" t="s">
        <v>8631</v>
      </c>
      <c r="L17" s="217" t="s">
        <v>8593</v>
      </c>
      <c r="M17" s="217" t="s">
        <v>8632</v>
      </c>
      <c r="N17" s="217">
        <v>0</v>
      </c>
      <c r="O17" s="217">
        <v>0</v>
      </c>
      <c r="P17" s="217">
        <v>0</v>
      </c>
      <c r="Q17" s="217" t="s">
        <v>8377</v>
      </c>
      <c r="R17" s="217">
        <v>0</v>
      </c>
      <c r="S17" s="6">
        <v>0</v>
      </c>
      <c r="T17" s="332">
        <v>600000</v>
      </c>
      <c r="U17" s="217" t="s">
        <v>8259</v>
      </c>
      <c r="W17" s="308"/>
    </row>
    <row r="18" spans="1:23" ht="38.25">
      <c r="A18" s="6">
        <v>15</v>
      </c>
      <c r="B18" s="216" t="s">
        <v>196</v>
      </c>
      <c r="C18" s="217">
        <v>5522935</v>
      </c>
      <c r="D18" s="217" t="s">
        <v>8633</v>
      </c>
      <c r="E18" s="217">
        <v>3</v>
      </c>
      <c r="F18" s="263">
        <v>44944</v>
      </c>
      <c r="G18" s="217" t="s">
        <v>8377</v>
      </c>
      <c r="H18" s="217" t="s">
        <v>8377</v>
      </c>
      <c r="I18" s="217" t="s">
        <v>8591</v>
      </c>
      <c r="J18" s="217" t="s">
        <v>8634</v>
      </c>
      <c r="K18" s="217" t="s">
        <v>8635</v>
      </c>
      <c r="L18" s="217" t="s">
        <v>8636</v>
      </c>
      <c r="M18" s="217" t="s">
        <v>8637</v>
      </c>
      <c r="N18" s="217">
        <v>0</v>
      </c>
      <c r="O18" s="217">
        <v>0</v>
      </c>
      <c r="P18" s="217">
        <v>0</v>
      </c>
      <c r="Q18" s="217" t="s">
        <v>8377</v>
      </c>
      <c r="R18" s="217">
        <v>0</v>
      </c>
      <c r="S18" s="6">
        <v>0</v>
      </c>
      <c r="T18" s="332">
        <v>0</v>
      </c>
      <c r="U18" s="217" t="s">
        <v>8259</v>
      </c>
      <c r="W18" s="308"/>
    </row>
    <row r="19" spans="1:23" ht="38.25">
      <c r="A19" s="6">
        <v>16</v>
      </c>
      <c r="B19" s="216" t="s">
        <v>196</v>
      </c>
      <c r="C19" s="217">
        <v>5522935</v>
      </c>
      <c r="D19" s="217" t="s">
        <v>8638</v>
      </c>
      <c r="E19" s="217">
        <v>4</v>
      </c>
      <c r="F19" s="263">
        <v>45105</v>
      </c>
      <c r="G19" s="217" t="s">
        <v>8377</v>
      </c>
      <c r="H19" s="217" t="s">
        <v>8377</v>
      </c>
      <c r="I19" s="217" t="s">
        <v>8591</v>
      </c>
      <c r="J19" s="217" t="s">
        <v>8639</v>
      </c>
      <c r="K19" s="217" t="s">
        <v>8640</v>
      </c>
      <c r="L19" s="217" t="s">
        <v>8593</v>
      </c>
      <c r="M19" s="217" t="s">
        <v>8641</v>
      </c>
      <c r="N19" s="217">
        <v>0</v>
      </c>
      <c r="O19" s="217">
        <v>0</v>
      </c>
      <c r="P19" s="217">
        <v>0</v>
      </c>
      <c r="Q19" s="217" t="s">
        <v>8377</v>
      </c>
      <c r="R19" s="217">
        <v>0</v>
      </c>
      <c r="S19" s="6">
        <v>0</v>
      </c>
      <c r="T19" s="332">
        <v>18981000</v>
      </c>
      <c r="U19" s="217" t="s">
        <v>8250</v>
      </c>
      <c r="W19" s="308"/>
    </row>
    <row r="20" spans="1:23" ht="51">
      <c r="A20" s="6">
        <v>17</v>
      </c>
      <c r="B20" s="216" t="s">
        <v>196</v>
      </c>
      <c r="C20" s="217">
        <v>5522935</v>
      </c>
      <c r="D20" s="217" t="s">
        <v>8642</v>
      </c>
      <c r="E20" s="217">
        <v>5</v>
      </c>
      <c r="F20" s="263">
        <v>45194</v>
      </c>
      <c r="G20" s="217" t="s">
        <v>8377</v>
      </c>
      <c r="H20" s="217" t="s">
        <v>8377</v>
      </c>
      <c r="I20" s="217" t="s">
        <v>8591</v>
      </c>
      <c r="J20" s="217" t="s">
        <v>8643</v>
      </c>
      <c r="K20" s="217" t="s">
        <v>8644</v>
      </c>
      <c r="L20" s="217" t="s">
        <v>8593</v>
      </c>
      <c r="M20" s="217" t="s">
        <v>8627</v>
      </c>
      <c r="N20" s="217">
        <v>0</v>
      </c>
      <c r="O20" s="217">
        <v>0</v>
      </c>
      <c r="P20" s="217">
        <v>0</v>
      </c>
      <c r="Q20" s="217" t="s">
        <v>8377</v>
      </c>
      <c r="R20" s="217">
        <v>0</v>
      </c>
      <c r="S20" s="6">
        <v>0</v>
      </c>
      <c r="T20" s="332">
        <v>5250000</v>
      </c>
      <c r="U20" s="217" t="s">
        <v>8250</v>
      </c>
      <c r="W20" s="308"/>
    </row>
    <row r="21" spans="1:23" ht="51">
      <c r="A21" s="6">
        <v>18</v>
      </c>
      <c r="B21" s="20" t="s">
        <v>196</v>
      </c>
      <c r="C21" s="9">
        <v>5522935</v>
      </c>
      <c r="D21" s="217" t="s">
        <v>8645</v>
      </c>
      <c r="E21" s="217">
        <v>6</v>
      </c>
      <c r="F21" s="263">
        <v>45270</v>
      </c>
      <c r="G21" s="217" t="s">
        <v>8377</v>
      </c>
      <c r="H21" s="263">
        <v>45637</v>
      </c>
      <c r="I21" s="217" t="s">
        <v>8597</v>
      </c>
      <c r="J21" s="217" t="s">
        <v>8646</v>
      </c>
      <c r="K21" s="217" t="s">
        <v>8647</v>
      </c>
      <c r="L21" s="217" t="s">
        <v>8593</v>
      </c>
      <c r="M21" s="217" t="s">
        <v>8632</v>
      </c>
      <c r="N21" s="217">
        <v>0</v>
      </c>
      <c r="O21" s="217">
        <v>0</v>
      </c>
      <c r="P21" s="217">
        <v>0</v>
      </c>
      <c r="Q21" s="217" t="s">
        <v>8377</v>
      </c>
      <c r="R21" s="217">
        <v>0</v>
      </c>
      <c r="S21" s="6">
        <v>0</v>
      </c>
      <c r="T21" s="332">
        <v>0</v>
      </c>
      <c r="U21" s="217" t="s">
        <v>8259</v>
      </c>
      <c r="W21" s="309"/>
    </row>
    <row r="22" spans="1:23" ht="127.5">
      <c r="A22" s="6">
        <v>19</v>
      </c>
      <c r="B22" s="216" t="s">
        <v>202</v>
      </c>
      <c r="C22" s="217">
        <v>5699134</v>
      </c>
      <c r="D22" s="217" t="s">
        <v>8648</v>
      </c>
      <c r="E22" s="217">
        <v>1</v>
      </c>
      <c r="F22" s="263">
        <v>44957</v>
      </c>
      <c r="G22" s="263">
        <v>44957</v>
      </c>
      <c r="H22" s="263">
        <v>45291</v>
      </c>
      <c r="I22" s="217" t="s">
        <v>8573</v>
      </c>
      <c r="J22" s="217" t="s">
        <v>8649</v>
      </c>
      <c r="K22" s="217" t="s">
        <v>8650</v>
      </c>
      <c r="L22" s="217" t="s">
        <v>8651</v>
      </c>
      <c r="M22" s="217" t="s">
        <v>8652</v>
      </c>
      <c r="N22" s="217">
        <v>0</v>
      </c>
      <c r="O22" s="217">
        <v>0</v>
      </c>
      <c r="P22" s="217">
        <v>0</v>
      </c>
      <c r="Q22" s="217" t="s">
        <v>8377</v>
      </c>
      <c r="R22" s="217">
        <v>0</v>
      </c>
      <c r="S22" s="6">
        <v>0</v>
      </c>
      <c r="T22" s="332">
        <v>150000000</v>
      </c>
      <c r="U22" s="217" t="s">
        <v>8250</v>
      </c>
      <c r="W22" s="308"/>
    </row>
    <row r="23" spans="1:23" ht="63.75">
      <c r="A23" s="6">
        <v>20</v>
      </c>
      <c r="B23" s="20" t="s">
        <v>202</v>
      </c>
      <c r="C23" s="9">
        <v>5699134</v>
      </c>
      <c r="D23" s="217" t="s">
        <v>8653</v>
      </c>
      <c r="E23" s="217">
        <v>2</v>
      </c>
      <c r="F23" s="263">
        <v>45282</v>
      </c>
      <c r="G23" s="263">
        <v>45282</v>
      </c>
      <c r="H23" s="263">
        <v>46013</v>
      </c>
      <c r="I23" s="217" t="s">
        <v>8573</v>
      </c>
      <c r="J23" s="217" t="s">
        <v>8654</v>
      </c>
      <c r="K23" s="217" t="s">
        <v>8655</v>
      </c>
      <c r="L23" s="217" t="s">
        <v>8651</v>
      </c>
      <c r="M23" s="217" t="s">
        <v>8652</v>
      </c>
      <c r="N23" s="217">
        <v>0</v>
      </c>
      <c r="O23" s="217">
        <v>0</v>
      </c>
      <c r="P23" s="217">
        <v>0</v>
      </c>
      <c r="Q23" s="217" t="s">
        <v>8377</v>
      </c>
      <c r="R23" s="217">
        <v>0</v>
      </c>
      <c r="S23" s="6">
        <v>0</v>
      </c>
      <c r="T23" s="332">
        <v>0</v>
      </c>
      <c r="U23" s="217" t="s">
        <v>8259</v>
      </c>
      <c r="W23" s="309"/>
    </row>
    <row r="24" spans="1:23" ht="38.25">
      <c r="A24" s="6">
        <v>21</v>
      </c>
      <c r="B24" s="20" t="s">
        <v>216</v>
      </c>
      <c r="C24" s="9">
        <v>5051134</v>
      </c>
      <c r="D24" s="217" t="s">
        <v>8656</v>
      </c>
      <c r="E24" s="217">
        <v>1</v>
      </c>
      <c r="F24" s="263">
        <v>44951</v>
      </c>
      <c r="G24" s="263">
        <v>44927</v>
      </c>
      <c r="H24" s="263">
        <v>45291</v>
      </c>
      <c r="I24" s="217" t="s">
        <v>8584</v>
      </c>
      <c r="J24" s="217" t="s">
        <v>8616</v>
      </c>
      <c r="K24" s="217" t="s">
        <v>8657</v>
      </c>
      <c r="L24" s="217" t="s">
        <v>8658</v>
      </c>
      <c r="M24" s="217" t="s">
        <v>8429</v>
      </c>
      <c r="N24" s="217">
        <v>0</v>
      </c>
      <c r="O24" s="217">
        <v>0</v>
      </c>
      <c r="P24" s="217">
        <v>0</v>
      </c>
      <c r="Q24" s="217" t="s">
        <v>8377</v>
      </c>
      <c r="R24" s="217">
        <v>0</v>
      </c>
      <c r="S24" s="217"/>
      <c r="T24" s="332">
        <v>87000000</v>
      </c>
      <c r="U24" s="217" t="s">
        <v>8250</v>
      </c>
    </row>
    <row r="25" spans="1:23" ht="25.5">
      <c r="A25" s="6">
        <v>22</v>
      </c>
      <c r="B25" s="168" t="s">
        <v>219</v>
      </c>
      <c r="C25" s="167">
        <v>2029278</v>
      </c>
      <c r="D25" s="217" t="s">
        <v>8659</v>
      </c>
      <c r="E25" s="217">
        <v>1</v>
      </c>
      <c r="F25" s="263">
        <v>44677</v>
      </c>
      <c r="G25" s="263">
        <v>44677</v>
      </c>
      <c r="H25" s="263">
        <v>45408</v>
      </c>
      <c r="I25" s="217" t="s">
        <v>8591</v>
      </c>
      <c r="J25" s="217" t="s">
        <v>8660</v>
      </c>
      <c r="K25" s="217" t="s">
        <v>8661</v>
      </c>
      <c r="L25" s="217" t="s">
        <v>8662</v>
      </c>
      <c r="M25" s="217" t="s">
        <v>8663</v>
      </c>
      <c r="N25" s="217">
        <v>0</v>
      </c>
      <c r="O25" s="217">
        <v>0</v>
      </c>
      <c r="P25" s="217">
        <v>0</v>
      </c>
      <c r="Q25" s="217" t="s">
        <v>8377</v>
      </c>
      <c r="R25" s="217">
        <v>0</v>
      </c>
      <c r="S25" s="338"/>
      <c r="T25" s="340">
        <v>939113000</v>
      </c>
      <c r="U25" s="217" t="s">
        <v>8250</v>
      </c>
    </row>
    <row r="26" spans="1:23" ht="63.75">
      <c r="A26" s="6">
        <v>23</v>
      </c>
      <c r="B26" s="216" t="s">
        <v>222</v>
      </c>
      <c r="C26" s="217">
        <v>5141583</v>
      </c>
      <c r="D26" s="264" t="s">
        <v>1102</v>
      </c>
      <c r="E26" s="209" t="s">
        <v>1103</v>
      </c>
      <c r="F26" s="209" t="s">
        <v>8664</v>
      </c>
      <c r="G26" s="209" t="s">
        <v>8665</v>
      </c>
      <c r="H26" s="209" t="s">
        <v>8666</v>
      </c>
      <c r="I26" s="209" t="s">
        <v>8584</v>
      </c>
      <c r="J26" s="265" t="s">
        <v>8667</v>
      </c>
      <c r="K26" s="265" t="s">
        <v>8668</v>
      </c>
      <c r="L26" s="265" t="s">
        <v>8669</v>
      </c>
      <c r="M26" s="265" t="s">
        <v>8670</v>
      </c>
      <c r="N26" s="209">
        <v>3</v>
      </c>
      <c r="O26" s="209">
        <v>3</v>
      </c>
      <c r="P26" s="209">
        <v>3</v>
      </c>
      <c r="Q26" s="209" t="s">
        <v>8671</v>
      </c>
      <c r="R26" s="397">
        <v>180</v>
      </c>
      <c r="S26" s="6">
        <v>0</v>
      </c>
      <c r="T26" s="93">
        <v>7999810000</v>
      </c>
      <c r="U26" s="402" t="s">
        <v>8259</v>
      </c>
    </row>
    <row r="27" spans="1:23" ht="51">
      <c r="A27" s="6">
        <v>24</v>
      </c>
      <c r="B27" s="214" t="s">
        <v>222</v>
      </c>
      <c r="C27" s="214">
        <v>5141583</v>
      </c>
      <c r="D27" s="264" t="s">
        <v>1014</v>
      </c>
      <c r="E27" s="209" t="s">
        <v>3357</v>
      </c>
      <c r="F27" s="209" t="s">
        <v>8672</v>
      </c>
      <c r="G27" s="209" t="s">
        <v>8672</v>
      </c>
      <c r="H27" s="209" t="s">
        <v>8673</v>
      </c>
      <c r="I27" s="209" t="s">
        <v>8591</v>
      </c>
      <c r="J27" s="265" t="s">
        <v>8674</v>
      </c>
      <c r="K27" s="209" t="s">
        <v>8675</v>
      </c>
      <c r="L27" s="265" t="s">
        <v>8676</v>
      </c>
      <c r="M27" s="209" t="s">
        <v>8677</v>
      </c>
      <c r="N27" s="209">
        <v>0</v>
      </c>
      <c r="O27" s="209">
        <v>0</v>
      </c>
      <c r="P27" s="209">
        <v>0</v>
      </c>
      <c r="Q27" s="209" t="s">
        <v>8678</v>
      </c>
      <c r="R27" s="397">
        <v>0</v>
      </c>
      <c r="S27" s="6">
        <v>0</v>
      </c>
      <c r="T27" s="93">
        <v>20000000</v>
      </c>
      <c r="U27" s="402" t="s">
        <v>8259</v>
      </c>
    </row>
    <row r="28" spans="1:23" ht="25.5">
      <c r="A28" s="6">
        <v>25</v>
      </c>
      <c r="B28" s="219" t="s">
        <v>225</v>
      </c>
      <c r="C28" s="197">
        <v>2010895</v>
      </c>
      <c r="D28" s="217" t="s">
        <v>8679</v>
      </c>
      <c r="E28" s="217">
        <v>1</v>
      </c>
      <c r="F28" s="263">
        <v>43809</v>
      </c>
      <c r="G28" s="263">
        <v>43809</v>
      </c>
      <c r="H28" s="263">
        <v>50080</v>
      </c>
      <c r="I28" s="217" t="s">
        <v>8597</v>
      </c>
      <c r="J28" s="217" t="s">
        <v>8680</v>
      </c>
      <c r="K28" s="217" t="s">
        <v>8681</v>
      </c>
      <c r="L28" s="217" t="s">
        <v>8587</v>
      </c>
      <c r="M28" s="217" t="s">
        <v>8682</v>
      </c>
      <c r="N28" s="217">
        <v>3</v>
      </c>
      <c r="O28" s="217">
        <v>3</v>
      </c>
      <c r="P28" s="217">
        <v>3</v>
      </c>
      <c r="Q28" s="263">
        <v>45323</v>
      </c>
      <c r="R28" s="217">
        <v>9</v>
      </c>
      <c r="S28" s="6">
        <v>0</v>
      </c>
      <c r="T28" s="403">
        <v>40000000</v>
      </c>
      <c r="U28" s="217" t="s">
        <v>8250</v>
      </c>
    </row>
    <row r="29" spans="1:23" ht="63.75">
      <c r="A29" s="6"/>
      <c r="B29" s="399" t="s">
        <v>8500</v>
      </c>
      <c r="C29" s="197">
        <v>5295858</v>
      </c>
      <c r="D29" s="217" t="s">
        <v>768</v>
      </c>
      <c r="E29" s="217" t="s">
        <v>8683</v>
      </c>
      <c r="F29" s="400">
        <v>44347</v>
      </c>
      <c r="G29" s="263">
        <v>44347</v>
      </c>
      <c r="H29" s="263">
        <v>45657</v>
      </c>
      <c r="I29" s="217" t="s">
        <v>8684</v>
      </c>
      <c r="J29" s="217" t="s">
        <v>8685</v>
      </c>
      <c r="K29" s="217" t="s">
        <v>8686</v>
      </c>
      <c r="L29" s="217" t="s">
        <v>8687</v>
      </c>
      <c r="M29" s="217" t="s">
        <v>8688</v>
      </c>
      <c r="N29" s="217">
        <v>40</v>
      </c>
      <c r="O29" s="397">
        <v>0</v>
      </c>
      <c r="P29" s="397">
        <v>0</v>
      </c>
      <c r="Q29" s="397">
        <v>0</v>
      </c>
      <c r="R29" s="397">
        <v>0</v>
      </c>
      <c r="S29" s="397">
        <v>0</v>
      </c>
      <c r="T29" s="332">
        <v>1000000000</v>
      </c>
      <c r="U29" s="217" t="s">
        <v>8250</v>
      </c>
    </row>
    <row r="30" spans="1:23" ht="102">
      <c r="A30" s="6">
        <v>26</v>
      </c>
      <c r="B30" s="20" t="s">
        <v>231</v>
      </c>
      <c r="C30" s="9">
        <v>2657457</v>
      </c>
      <c r="D30" s="217" t="s">
        <v>8689</v>
      </c>
      <c r="E30" s="217">
        <v>1</v>
      </c>
      <c r="F30" s="263">
        <v>42116</v>
      </c>
      <c r="G30" s="263">
        <v>42116</v>
      </c>
      <c r="H30" s="263">
        <v>48691</v>
      </c>
      <c r="I30" s="217" t="s">
        <v>8591</v>
      </c>
      <c r="J30" s="217" t="s">
        <v>8690</v>
      </c>
      <c r="K30" s="217" t="s">
        <v>8691</v>
      </c>
      <c r="L30" s="217" t="s">
        <v>8692</v>
      </c>
      <c r="M30" s="217" t="s">
        <v>8693</v>
      </c>
      <c r="N30" s="217">
        <v>12</v>
      </c>
      <c r="O30" s="217">
        <v>7</v>
      </c>
      <c r="P30" s="217">
        <v>2</v>
      </c>
      <c r="Q30" s="263">
        <v>45197</v>
      </c>
      <c r="R30" s="217">
        <v>3150</v>
      </c>
      <c r="S30" s="217" t="s">
        <v>8694</v>
      </c>
      <c r="T30" s="332">
        <v>142800000000</v>
      </c>
      <c r="U30" s="217" t="s">
        <v>8250</v>
      </c>
    </row>
    <row r="31" spans="1:23" ht="51">
      <c r="A31" s="6">
        <v>27</v>
      </c>
      <c r="B31" s="20" t="s">
        <v>242</v>
      </c>
      <c r="C31" s="9">
        <v>5076285</v>
      </c>
      <c r="D31" s="217" t="s">
        <v>8695</v>
      </c>
      <c r="E31" s="217">
        <v>1</v>
      </c>
      <c r="F31" s="263">
        <v>45044</v>
      </c>
      <c r="G31" s="217" t="s">
        <v>8377</v>
      </c>
      <c r="H31" s="217" t="s">
        <v>8377</v>
      </c>
      <c r="I31" s="217" t="s">
        <v>8573</v>
      </c>
      <c r="J31" s="217" t="s">
        <v>8696</v>
      </c>
      <c r="K31" s="217" t="s">
        <v>8697</v>
      </c>
      <c r="L31" s="217" t="s">
        <v>8587</v>
      </c>
      <c r="M31" s="217" t="s">
        <v>8698</v>
      </c>
      <c r="N31" s="217">
        <v>0</v>
      </c>
      <c r="O31" s="217">
        <v>0</v>
      </c>
      <c r="P31" s="217">
        <v>0</v>
      </c>
      <c r="Q31" s="217" t="s">
        <v>8377</v>
      </c>
      <c r="R31" s="217">
        <v>0</v>
      </c>
      <c r="S31" s="6">
        <v>0</v>
      </c>
      <c r="T31" s="332">
        <v>0</v>
      </c>
      <c r="U31" s="217" t="s">
        <v>8250</v>
      </c>
    </row>
    <row r="32" spans="1:23" ht="76.5">
      <c r="A32" s="6">
        <v>28</v>
      </c>
      <c r="B32" s="20" t="s">
        <v>243</v>
      </c>
      <c r="C32" s="9">
        <v>5084555</v>
      </c>
      <c r="D32" s="217" t="s">
        <v>8699</v>
      </c>
      <c r="E32" s="217">
        <v>1</v>
      </c>
      <c r="F32" s="263">
        <v>44766</v>
      </c>
      <c r="G32" s="263">
        <v>44766</v>
      </c>
      <c r="H32" s="263">
        <v>46227</v>
      </c>
      <c r="I32" s="217" t="s">
        <v>8573</v>
      </c>
      <c r="J32" s="217" t="s">
        <v>8700</v>
      </c>
      <c r="K32" s="217" t="s">
        <v>8701</v>
      </c>
      <c r="L32" s="217" t="s">
        <v>8702</v>
      </c>
      <c r="M32" s="217" t="s">
        <v>8703</v>
      </c>
      <c r="N32" s="217">
        <v>3</v>
      </c>
      <c r="O32" s="217">
        <v>3</v>
      </c>
      <c r="P32" s="217">
        <v>3</v>
      </c>
      <c r="Q32" s="217" t="s">
        <v>8377</v>
      </c>
      <c r="R32" s="217">
        <v>0</v>
      </c>
      <c r="S32" s="6">
        <v>0</v>
      </c>
      <c r="T32" s="332">
        <v>6853200000</v>
      </c>
      <c r="U32" s="217" t="s">
        <v>8250</v>
      </c>
    </row>
    <row r="33" spans="1:23" ht="63.75">
      <c r="A33" s="6">
        <v>29</v>
      </c>
      <c r="B33" s="20" t="s">
        <v>248</v>
      </c>
      <c r="C33" s="9">
        <v>6232485</v>
      </c>
      <c r="D33" s="217" t="s">
        <v>8704</v>
      </c>
      <c r="E33" s="217">
        <v>1</v>
      </c>
      <c r="F33" s="263">
        <v>44927</v>
      </c>
      <c r="G33" s="263">
        <v>44927</v>
      </c>
      <c r="H33" s="263">
        <v>45291</v>
      </c>
      <c r="I33" s="217" t="s">
        <v>8584</v>
      </c>
      <c r="J33" s="217" t="s">
        <v>8705</v>
      </c>
      <c r="K33" s="217" t="s">
        <v>8706</v>
      </c>
      <c r="L33" s="217" t="s">
        <v>8593</v>
      </c>
      <c r="M33" s="217" t="s">
        <v>8707</v>
      </c>
      <c r="N33" s="217">
        <v>0</v>
      </c>
      <c r="O33" s="217">
        <v>0</v>
      </c>
      <c r="P33" s="217">
        <v>0</v>
      </c>
      <c r="Q33" s="217" t="s">
        <v>8377</v>
      </c>
      <c r="R33" s="217">
        <v>0</v>
      </c>
      <c r="S33" s="6">
        <v>0</v>
      </c>
      <c r="T33" s="332">
        <v>6000000</v>
      </c>
      <c r="U33" s="217" t="s">
        <v>8259</v>
      </c>
    </row>
    <row r="34" spans="1:23" ht="25.5">
      <c r="A34" s="6">
        <v>30</v>
      </c>
      <c r="B34" s="20" t="s">
        <v>264</v>
      </c>
      <c r="C34" s="9">
        <v>2807459</v>
      </c>
      <c r="D34" s="217" t="s">
        <v>8708</v>
      </c>
      <c r="E34" s="217">
        <v>1</v>
      </c>
      <c r="F34" s="263">
        <v>44621</v>
      </c>
      <c r="G34" s="263">
        <v>44621</v>
      </c>
      <c r="H34" s="263">
        <v>45291</v>
      </c>
      <c r="I34" s="217" t="s">
        <v>8591</v>
      </c>
      <c r="J34" s="217" t="s">
        <v>8616</v>
      </c>
      <c r="K34" s="217" t="s">
        <v>8709</v>
      </c>
      <c r="L34" s="217" t="s">
        <v>8593</v>
      </c>
      <c r="M34" s="217" t="s">
        <v>8710</v>
      </c>
      <c r="N34" s="217">
        <v>4</v>
      </c>
      <c r="O34" s="217">
        <v>3</v>
      </c>
      <c r="P34" s="217">
        <v>2</v>
      </c>
      <c r="Q34" s="217" t="s">
        <v>8377</v>
      </c>
      <c r="R34" s="217">
        <v>0</v>
      </c>
      <c r="S34" s="6">
        <v>0</v>
      </c>
      <c r="T34" s="332">
        <v>0</v>
      </c>
      <c r="U34" s="217" t="s">
        <v>8250</v>
      </c>
    </row>
    <row r="35" spans="1:23" ht="38.25">
      <c r="A35" s="6">
        <v>31</v>
      </c>
      <c r="B35" s="20" t="s">
        <v>266</v>
      </c>
      <c r="C35" s="9">
        <v>6268048</v>
      </c>
      <c r="D35" s="217" t="s">
        <v>8711</v>
      </c>
      <c r="E35" s="217">
        <v>1</v>
      </c>
      <c r="F35" s="263">
        <v>44896</v>
      </c>
      <c r="G35" s="263">
        <v>44896</v>
      </c>
      <c r="H35" s="263">
        <v>45377</v>
      </c>
      <c r="I35" s="217" t="s">
        <v>8591</v>
      </c>
      <c r="J35" s="217" t="s">
        <v>8712</v>
      </c>
      <c r="K35" s="217" t="s">
        <v>8713</v>
      </c>
      <c r="L35" s="217" t="s">
        <v>8587</v>
      </c>
      <c r="M35" s="217" t="s">
        <v>8440</v>
      </c>
      <c r="N35" s="217">
        <v>1</v>
      </c>
      <c r="O35" s="217">
        <v>3</v>
      </c>
      <c r="P35" s="217">
        <v>0</v>
      </c>
      <c r="Q35" s="263">
        <v>44896</v>
      </c>
      <c r="R35" s="217">
        <v>4</v>
      </c>
      <c r="S35" s="217" t="s">
        <v>8714</v>
      </c>
      <c r="T35" s="332">
        <v>2093000000</v>
      </c>
      <c r="U35" s="217" t="s">
        <v>8259</v>
      </c>
    </row>
    <row r="36" spans="1:23" ht="63.75">
      <c r="A36" s="6">
        <v>32</v>
      </c>
      <c r="B36" s="20" t="s">
        <v>279</v>
      </c>
      <c r="C36" s="9">
        <v>5877288</v>
      </c>
      <c r="D36" s="217" t="s">
        <v>8715</v>
      </c>
      <c r="E36" s="217">
        <v>1</v>
      </c>
      <c r="F36" s="263">
        <v>45044</v>
      </c>
      <c r="G36" s="263">
        <v>45042</v>
      </c>
      <c r="H36" s="263">
        <v>45410</v>
      </c>
      <c r="I36" s="217" t="s">
        <v>8573</v>
      </c>
      <c r="J36" s="217" t="s">
        <v>8716</v>
      </c>
      <c r="K36" s="217" t="s">
        <v>8717</v>
      </c>
      <c r="L36" s="217" t="s">
        <v>8718</v>
      </c>
      <c r="M36" s="217" t="s">
        <v>8719</v>
      </c>
      <c r="N36" s="217">
        <v>3</v>
      </c>
      <c r="O36" s="217">
        <v>3</v>
      </c>
      <c r="P36" s="217">
        <v>3</v>
      </c>
      <c r="Q36" s="263">
        <v>45044</v>
      </c>
      <c r="R36" s="217">
        <v>0</v>
      </c>
      <c r="S36" s="217" t="s">
        <v>8720</v>
      </c>
      <c r="T36" s="332">
        <v>0</v>
      </c>
      <c r="U36" s="217" t="s">
        <v>8259</v>
      </c>
    </row>
    <row r="37" spans="1:23" ht="25.5">
      <c r="A37" s="6">
        <v>33</v>
      </c>
      <c r="B37" s="20" t="s">
        <v>284</v>
      </c>
      <c r="C37" s="9">
        <v>2618176</v>
      </c>
      <c r="D37" s="217" t="s">
        <v>8721</v>
      </c>
      <c r="E37" s="217">
        <v>1</v>
      </c>
      <c r="F37" s="263">
        <v>44957</v>
      </c>
      <c r="G37" s="217" t="s">
        <v>8377</v>
      </c>
      <c r="H37" s="217" t="s">
        <v>8377</v>
      </c>
      <c r="I37" s="217"/>
      <c r="J37" s="217"/>
      <c r="K37" s="217"/>
      <c r="L37" s="217"/>
      <c r="M37" s="217"/>
      <c r="N37" s="217">
        <v>0</v>
      </c>
      <c r="O37" s="217">
        <v>0</v>
      </c>
      <c r="P37" s="217">
        <v>0</v>
      </c>
      <c r="Q37" s="217" t="s">
        <v>8377</v>
      </c>
      <c r="R37" s="217">
        <v>0</v>
      </c>
      <c r="S37" s="6">
        <v>0</v>
      </c>
      <c r="T37" s="332">
        <v>40000000</v>
      </c>
      <c r="U37" s="217" t="s">
        <v>8250</v>
      </c>
    </row>
    <row r="38" spans="1:23" ht="25.5">
      <c r="A38" s="6">
        <v>34</v>
      </c>
      <c r="B38" s="20" t="s">
        <v>286</v>
      </c>
      <c r="C38" s="9">
        <v>2100231</v>
      </c>
      <c r="D38" s="217" t="s">
        <v>8722</v>
      </c>
      <c r="E38" s="217">
        <v>1</v>
      </c>
      <c r="F38" s="263">
        <v>45044</v>
      </c>
      <c r="G38" s="263">
        <v>45044</v>
      </c>
      <c r="H38" s="263">
        <v>45400</v>
      </c>
      <c r="I38" s="217" t="s">
        <v>8591</v>
      </c>
      <c r="J38" s="217" t="s">
        <v>372</v>
      </c>
      <c r="K38" s="217" t="s">
        <v>8697</v>
      </c>
      <c r="L38" s="217" t="s">
        <v>8587</v>
      </c>
      <c r="M38" s="217" t="s">
        <v>8723</v>
      </c>
      <c r="N38" s="217">
        <v>1</v>
      </c>
      <c r="O38" s="217">
        <v>1</v>
      </c>
      <c r="P38" s="217">
        <v>0</v>
      </c>
      <c r="Q38" s="263">
        <v>45034</v>
      </c>
      <c r="R38" s="217">
        <v>0</v>
      </c>
      <c r="S38" s="6">
        <v>0</v>
      </c>
      <c r="T38" s="332">
        <v>100000000</v>
      </c>
      <c r="U38" s="217" t="s">
        <v>8250</v>
      </c>
    </row>
    <row r="39" spans="1:23" ht="89.25">
      <c r="A39" s="6">
        <v>35</v>
      </c>
      <c r="B39" s="20" t="s">
        <v>296</v>
      </c>
      <c r="C39" s="9">
        <v>5671833</v>
      </c>
      <c r="D39" s="217" t="s">
        <v>8724</v>
      </c>
      <c r="E39" s="217">
        <v>1</v>
      </c>
      <c r="F39" s="263">
        <v>44441</v>
      </c>
      <c r="G39" s="263">
        <v>44441</v>
      </c>
      <c r="H39" s="263">
        <v>45902</v>
      </c>
      <c r="I39" s="217" t="s">
        <v>8573</v>
      </c>
      <c r="J39" s="217" t="s">
        <v>8725</v>
      </c>
      <c r="K39" s="217" t="s">
        <v>8726</v>
      </c>
      <c r="L39" s="217" t="s">
        <v>8593</v>
      </c>
      <c r="M39" s="217" t="s">
        <v>8727</v>
      </c>
      <c r="N39" s="217">
        <v>2</v>
      </c>
      <c r="O39" s="217">
        <v>2</v>
      </c>
      <c r="P39" s="217">
        <v>0</v>
      </c>
      <c r="Q39" s="263">
        <v>44441</v>
      </c>
      <c r="R39" s="217">
        <v>0</v>
      </c>
      <c r="S39" s="6">
        <v>0</v>
      </c>
      <c r="T39" s="332">
        <v>0</v>
      </c>
      <c r="U39" s="217" t="s">
        <v>8250</v>
      </c>
    </row>
    <row r="40" spans="1:23" ht="76.5">
      <c r="A40" s="6">
        <v>36</v>
      </c>
      <c r="B40" s="216" t="s">
        <v>298</v>
      </c>
      <c r="C40" s="217">
        <v>2668505</v>
      </c>
      <c r="D40" s="217" t="s">
        <v>8728</v>
      </c>
      <c r="E40" s="217">
        <v>1</v>
      </c>
      <c r="F40" s="263">
        <v>44928</v>
      </c>
      <c r="G40" s="263">
        <v>44928</v>
      </c>
      <c r="H40" s="263">
        <v>45291</v>
      </c>
      <c r="I40" s="217" t="s">
        <v>8573</v>
      </c>
      <c r="J40" s="217" t="s">
        <v>8729</v>
      </c>
      <c r="K40" s="217" t="s">
        <v>8730</v>
      </c>
      <c r="L40" s="217" t="s">
        <v>8593</v>
      </c>
      <c r="M40" s="217" t="s">
        <v>8731</v>
      </c>
      <c r="N40" s="217">
        <v>1</v>
      </c>
      <c r="O40" s="217">
        <v>1</v>
      </c>
      <c r="P40" s="217">
        <v>0</v>
      </c>
      <c r="Q40" s="263">
        <v>44928</v>
      </c>
      <c r="R40" s="217">
        <v>2</v>
      </c>
      <c r="S40" s="6">
        <v>0</v>
      </c>
      <c r="T40" s="332">
        <v>960000</v>
      </c>
      <c r="U40" s="217" t="s">
        <v>8250</v>
      </c>
      <c r="W40" s="308"/>
    </row>
    <row r="41" spans="1:23" ht="38.25">
      <c r="A41" s="6">
        <v>37</v>
      </c>
      <c r="B41" s="216" t="s">
        <v>298</v>
      </c>
      <c r="C41" s="217">
        <v>2668505</v>
      </c>
      <c r="D41" s="217" t="s">
        <v>8732</v>
      </c>
      <c r="E41" s="217">
        <v>2</v>
      </c>
      <c r="F41" s="263">
        <v>45037</v>
      </c>
      <c r="G41" s="263">
        <v>45037</v>
      </c>
      <c r="H41" s="263">
        <v>45403</v>
      </c>
      <c r="I41" s="217" t="s">
        <v>8597</v>
      </c>
      <c r="J41" s="217" t="s">
        <v>372</v>
      </c>
      <c r="K41" s="217" t="s">
        <v>8733</v>
      </c>
      <c r="L41" s="217" t="s">
        <v>8593</v>
      </c>
      <c r="M41" s="217" t="s">
        <v>8731</v>
      </c>
      <c r="N41" s="217">
        <v>1</v>
      </c>
      <c r="O41" s="217">
        <v>1</v>
      </c>
      <c r="P41" s="217">
        <v>0</v>
      </c>
      <c r="Q41" s="263">
        <v>45037</v>
      </c>
      <c r="R41" s="217">
        <v>2</v>
      </c>
      <c r="S41" s="6">
        <v>0</v>
      </c>
      <c r="T41" s="332">
        <v>10000000</v>
      </c>
      <c r="U41" s="217" t="s">
        <v>8250</v>
      </c>
      <c r="W41" s="308"/>
    </row>
    <row r="42" spans="1:23" ht="38.25">
      <c r="A42" s="6">
        <v>38</v>
      </c>
      <c r="B42" s="20" t="s">
        <v>298</v>
      </c>
      <c r="C42" s="9">
        <v>2668505</v>
      </c>
      <c r="D42" s="217" t="s">
        <v>8734</v>
      </c>
      <c r="E42" s="217">
        <v>3</v>
      </c>
      <c r="F42" s="263">
        <v>45100</v>
      </c>
      <c r="G42" s="263">
        <v>45100</v>
      </c>
      <c r="H42" s="263">
        <v>45291</v>
      </c>
      <c r="I42" s="217" t="s">
        <v>8584</v>
      </c>
      <c r="J42" s="217" t="s">
        <v>372</v>
      </c>
      <c r="K42" s="217" t="s">
        <v>8606</v>
      </c>
      <c r="L42" s="217" t="s">
        <v>8735</v>
      </c>
      <c r="M42" s="217" t="s">
        <v>8736</v>
      </c>
      <c r="N42" s="217">
        <v>3</v>
      </c>
      <c r="O42" s="217">
        <v>1</v>
      </c>
      <c r="P42" s="217">
        <v>0</v>
      </c>
      <c r="Q42" s="263">
        <v>45100</v>
      </c>
      <c r="R42" s="217">
        <v>2</v>
      </c>
      <c r="S42" s="6">
        <v>0</v>
      </c>
      <c r="T42" s="332">
        <v>75273000</v>
      </c>
      <c r="U42" s="217" t="s">
        <v>8250</v>
      </c>
      <c r="W42" s="309"/>
    </row>
    <row r="43" spans="1:23" ht="25.5">
      <c r="A43" s="6">
        <v>39</v>
      </c>
      <c r="B43" s="20" t="s">
        <v>300</v>
      </c>
      <c r="C43" s="9">
        <v>5352827</v>
      </c>
      <c r="D43" s="217" t="s">
        <v>8737</v>
      </c>
      <c r="E43" s="217">
        <v>1</v>
      </c>
      <c r="F43" s="263">
        <v>44197</v>
      </c>
      <c r="G43" s="263">
        <v>45397</v>
      </c>
      <c r="H43" s="263">
        <v>45658</v>
      </c>
      <c r="I43" s="217" t="s">
        <v>8597</v>
      </c>
      <c r="J43" s="217" t="s">
        <v>8738</v>
      </c>
      <c r="K43" s="217" t="s">
        <v>8739</v>
      </c>
      <c r="L43" s="217" t="s">
        <v>8593</v>
      </c>
      <c r="M43" s="217" t="s">
        <v>8740</v>
      </c>
      <c r="N43" s="217">
        <v>1</v>
      </c>
      <c r="O43" s="217">
        <v>3</v>
      </c>
      <c r="P43" s="217">
        <v>3</v>
      </c>
      <c r="Q43" s="263">
        <v>44441</v>
      </c>
      <c r="R43" s="217">
        <v>0</v>
      </c>
      <c r="S43" s="217" t="s">
        <v>8741</v>
      </c>
      <c r="T43" s="332">
        <v>500000000</v>
      </c>
      <c r="U43" s="217" t="s">
        <v>8250</v>
      </c>
    </row>
    <row r="44" spans="1:23" ht="38.25">
      <c r="A44" s="6">
        <v>40</v>
      </c>
      <c r="B44" s="20" t="s">
        <v>301</v>
      </c>
      <c r="C44" s="9">
        <v>2548747</v>
      </c>
      <c r="D44" s="217" t="s">
        <v>8742</v>
      </c>
      <c r="E44" s="217">
        <v>1</v>
      </c>
      <c r="F44" s="263">
        <v>44481</v>
      </c>
      <c r="G44" s="263">
        <v>44481</v>
      </c>
      <c r="H44" s="263">
        <v>45657</v>
      </c>
      <c r="I44" s="217" t="s">
        <v>8591</v>
      </c>
      <c r="J44" s="217" t="s">
        <v>372</v>
      </c>
      <c r="K44" s="217" t="s">
        <v>8743</v>
      </c>
      <c r="L44" s="217" t="s">
        <v>8658</v>
      </c>
      <c r="M44" s="217" t="s">
        <v>8744</v>
      </c>
      <c r="N44" s="217">
        <v>3</v>
      </c>
      <c r="O44" s="217">
        <v>3</v>
      </c>
      <c r="P44" s="217">
        <v>3</v>
      </c>
      <c r="Q44" s="263">
        <v>44481</v>
      </c>
      <c r="R44" s="217">
        <v>9</v>
      </c>
      <c r="S44" s="6">
        <v>0</v>
      </c>
      <c r="T44" s="332">
        <v>1800000000</v>
      </c>
      <c r="U44" s="217" t="s">
        <v>8250</v>
      </c>
    </row>
    <row r="45" spans="1:23" ht="25.5">
      <c r="A45" s="6">
        <v>41</v>
      </c>
      <c r="B45" s="216" t="s">
        <v>306</v>
      </c>
      <c r="C45" s="217">
        <v>6342485</v>
      </c>
      <c r="D45" s="217" t="s">
        <v>8745</v>
      </c>
      <c r="E45" s="217">
        <v>1</v>
      </c>
      <c r="F45" s="263">
        <v>45054</v>
      </c>
      <c r="G45" s="217" t="s">
        <v>8377</v>
      </c>
      <c r="H45" s="263">
        <v>45291</v>
      </c>
      <c r="I45" s="217" t="s">
        <v>8591</v>
      </c>
      <c r="J45" s="217" t="s">
        <v>8746</v>
      </c>
      <c r="K45" s="217" t="s">
        <v>8747</v>
      </c>
      <c r="L45" s="217" t="s">
        <v>8748</v>
      </c>
      <c r="M45" s="217" t="s">
        <v>8749</v>
      </c>
      <c r="N45" s="217">
        <v>0</v>
      </c>
      <c r="O45" s="217">
        <v>0</v>
      </c>
      <c r="P45" s="217">
        <v>0</v>
      </c>
      <c r="Q45" s="217" t="s">
        <v>8377</v>
      </c>
      <c r="R45" s="217">
        <v>0</v>
      </c>
      <c r="S45" s="6">
        <v>0</v>
      </c>
      <c r="T45" s="332">
        <v>24000000</v>
      </c>
      <c r="U45" s="217" t="s">
        <v>8259</v>
      </c>
      <c r="W45" s="308"/>
    </row>
    <row r="46" spans="1:23" ht="25.5">
      <c r="A46" s="6">
        <v>42</v>
      </c>
      <c r="B46" s="20" t="s">
        <v>306</v>
      </c>
      <c r="C46" s="9">
        <v>6342485</v>
      </c>
      <c r="D46" s="217" t="s">
        <v>8659</v>
      </c>
      <c r="E46" s="217">
        <v>2</v>
      </c>
      <c r="F46" s="263">
        <v>45062</v>
      </c>
      <c r="G46" s="217" t="s">
        <v>8377</v>
      </c>
      <c r="H46" s="263">
        <v>45291</v>
      </c>
      <c r="I46" s="217" t="s">
        <v>8591</v>
      </c>
      <c r="J46" s="217" t="s">
        <v>8750</v>
      </c>
      <c r="K46" s="217" t="s">
        <v>8713</v>
      </c>
      <c r="L46" s="217" t="s">
        <v>8748</v>
      </c>
      <c r="M46" s="217" t="s">
        <v>8749</v>
      </c>
      <c r="N46" s="217">
        <v>0</v>
      </c>
      <c r="O46" s="217">
        <v>0</v>
      </c>
      <c r="P46" s="217">
        <v>0</v>
      </c>
      <c r="Q46" s="217" t="s">
        <v>8377</v>
      </c>
      <c r="R46" s="217">
        <v>0</v>
      </c>
      <c r="S46" s="6">
        <v>0</v>
      </c>
      <c r="T46" s="332">
        <v>144755000</v>
      </c>
      <c r="U46" s="217" t="s">
        <v>8250</v>
      </c>
      <c r="W46" s="309"/>
    </row>
    <row r="47" spans="1:23" ht="25.5">
      <c r="A47" s="6">
        <v>43</v>
      </c>
      <c r="B47" s="20" t="s">
        <v>309</v>
      </c>
      <c r="C47" s="9">
        <v>2050374</v>
      </c>
      <c r="D47" s="217" t="s">
        <v>8751</v>
      </c>
      <c r="E47" s="217">
        <v>1</v>
      </c>
      <c r="F47" s="263">
        <v>45068</v>
      </c>
      <c r="G47" s="263">
        <v>45068</v>
      </c>
      <c r="H47" s="263">
        <v>45434</v>
      </c>
      <c r="I47" s="217" t="s">
        <v>8591</v>
      </c>
      <c r="J47" s="217" t="s">
        <v>372</v>
      </c>
      <c r="K47" s="217" t="s">
        <v>8752</v>
      </c>
      <c r="L47" s="217" t="s">
        <v>8753</v>
      </c>
      <c r="M47" s="217" t="s">
        <v>8754</v>
      </c>
      <c r="N47" s="217">
        <v>2</v>
      </c>
      <c r="O47" s="217">
        <v>3</v>
      </c>
      <c r="P47" s="217">
        <v>10</v>
      </c>
      <c r="Q47" s="263">
        <v>45076</v>
      </c>
      <c r="R47" s="217">
        <v>61</v>
      </c>
      <c r="S47" s="6">
        <v>0</v>
      </c>
      <c r="T47" s="332">
        <v>250400000</v>
      </c>
      <c r="U47" s="217" t="s">
        <v>8250</v>
      </c>
    </row>
    <row r="48" spans="1:23" ht="51">
      <c r="A48" s="6">
        <v>44</v>
      </c>
      <c r="B48" s="20" t="s">
        <v>315</v>
      </c>
      <c r="C48" s="9">
        <v>5320607</v>
      </c>
      <c r="D48" s="217" t="s">
        <v>8755</v>
      </c>
      <c r="E48" s="217">
        <v>1</v>
      </c>
      <c r="F48" s="263">
        <v>44963</v>
      </c>
      <c r="G48" s="263">
        <v>44963</v>
      </c>
      <c r="H48" s="263">
        <v>45328</v>
      </c>
      <c r="I48" s="217" t="s">
        <v>8584</v>
      </c>
      <c r="J48" s="217" t="s">
        <v>372</v>
      </c>
      <c r="K48" s="217" t="s">
        <v>8756</v>
      </c>
      <c r="L48" s="217" t="s">
        <v>8757</v>
      </c>
      <c r="M48" s="217" t="s">
        <v>8758</v>
      </c>
      <c r="N48" s="217">
        <v>0</v>
      </c>
      <c r="O48" s="217">
        <v>0</v>
      </c>
      <c r="P48" s="217">
        <v>0</v>
      </c>
      <c r="Q48" s="263">
        <v>44963</v>
      </c>
      <c r="R48" s="217">
        <v>0</v>
      </c>
      <c r="S48" s="217" t="s">
        <v>8759</v>
      </c>
      <c r="T48" s="332">
        <v>94000000</v>
      </c>
      <c r="U48" s="217" t="s">
        <v>8250</v>
      </c>
    </row>
    <row r="49" spans="1:23" ht="89.25">
      <c r="A49" s="6">
        <v>45</v>
      </c>
      <c r="B49" s="216" t="s">
        <v>319</v>
      </c>
      <c r="C49" s="217">
        <v>2887746</v>
      </c>
      <c r="D49" s="217" t="s">
        <v>8760</v>
      </c>
      <c r="E49" s="217">
        <v>1</v>
      </c>
      <c r="F49" s="263">
        <v>45245</v>
      </c>
      <c r="G49" s="263">
        <v>45245</v>
      </c>
      <c r="H49" s="217" t="s">
        <v>8377</v>
      </c>
      <c r="I49" s="217" t="s">
        <v>8573</v>
      </c>
      <c r="J49" s="217" t="s">
        <v>8761</v>
      </c>
      <c r="K49" s="217" t="s">
        <v>8762</v>
      </c>
      <c r="L49" s="217" t="s">
        <v>8763</v>
      </c>
      <c r="M49" s="217" t="s">
        <v>8764</v>
      </c>
      <c r="N49" s="217">
        <v>0</v>
      </c>
      <c r="O49" s="217">
        <v>0</v>
      </c>
      <c r="P49" s="217">
        <v>0</v>
      </c>
      <c r="Q49" s="217" t="s">
        <v>8377</v>
      </c>
      <c r="R49" s="217">
        <v>0</v>
      </c>
      <c r="S49" s="6">
        <v>0</v>
      </c>
      <c r="T49" s="332">
        <v>55000000</v>
      </c>
      <c r="U49" s="217" t="s">
        <v>8250</v>
      </c>
      <c r="W49" s="308"/>
    </row>
    <row r="50" spans="1:23" ht="127.5">
      <c r="A50" s="6">
        <v>46</v>
      </c>
      <c r="B50" s="216" t="s">
        <v>319</v>
      </c>
      <c r="C50" s="217">
        <v>2887746</v>
      </c>
      <c r="D50" s="217" t="s">
        <v>8765</v>
      </c>
      <c r="E50" s="217">
        <v>2</v>
      </c>
      <c r="F50" s="263">
        <v>44927</v>
      </c>
      <c r="G50" s="263">
        <v>44927</v>
      </c>
      <c r="H50" s="217" t="s">
        <v>8377</v>
      </c>
      <c r="I50" s="217" t="s">
        <v>8584</v>
      </c>
      <c r="J50" s="217" t="s">
        <v>8766</v>
      </c>
      <c r="K50" s="217" t="s">
        <v>8767</v>
      </c>
      <c r="L50" s="217"/>
      <c r="M50" s="217" t="s">
        <v>8768</v>
      </c>
      <c r="N50" s="217">
        <v>0</v>
      </c>
      <c r="O50" s="217">
        <v>0</v>
      </c>
      <c r="P50" s="217">
        <v>0</v>
      </c>
      <c r="Q50" s="217" t="s">
        <v>8377</v>
      </c>
      <c r="R50" s="217">
        <v>0</v>
      </c>
      <c r="S50" s="6">
        <v>0</v>
      </c>
      <c r="T50" s="332">
        <v>0</v>
      </c>
      <c r="U50" s="217" t="s">
        <v>8250</v>
      </c>
      <c r="W50" s="308"/>
    </row>
    <row r="51" spans="1:23" ht="127.5">
      <c r="A51" s="6">
        <v>47</v>
      </c>
      <c r="B51" s="20" t="s">
        <v>319</v>
      </c>
      <c r="C51" s="9">
        <v>2887746</v>
      </c>
      <c r="D51" s="217" t="s">
        <v>8769</v>
      </c>
      <c r="E51" s="217">
        <v>3</v>
      </c>
      <c r="F51" s="263">
        <v>44955</v>
      </c>
      <c r="G51" s="263">
        <v>44953</v>
      </c>
      <c r="H51" s="217" t="s">
        <v>8377</v>
      </c>
      <c r="I51" s="217" t="s">
        <v>8573</v>
      </c>
      <c r="J51" s="217" t="s">
        <v>8770</v>
      </c>
      <c r="K51" s="217" t="s">
        <v>8771</v>
      </c>
      <c r="L51" s="217" t="s">
        <v>8772</v>
      </c>
      <c r="M51" s="217" t="s">
        <v>8773</v>
      </c>
      <c r="N51" s="217">
        <v>0</v>
      </c>
      <c r="O51" s="217">
        <v>0</v>
      </c>
      <c r="P51" s="217">
        <v>0</v>
      </c>
      <c r="Q51" s="217" t="s">
        <v>8377</v>
      </c>
      <c r="R51" s="217">
        <v>0</v>
      </c>
      <c r="S51" s="6">
        <v>0</v>
      </c>
      <c r="T51" s="332">
        <v>1210000000</v>
      </c>
      <c r="U51" s="217" t="s">
        <v>8250</v>
      </c>
      <c r="W51" s="308"/>
    </row>
    <row r="52" spans="1:23" ht="89.25">
      <c r="A52" s="6">
        <v>48</v>
      </c>
      <c r="B52" s="216" t="s">
        <v>319</v>
      </c>
      <c r="C52" s="217">
        <v>2887746</v>
      </c>
      <c r="D52" s="217" t="s">
        <v>8774</v>
      </c>
      <c r="E52" s="217">
        <v>4</v>
      </c>
      <c r="F52" s="263">
        <v>44982</v>
      </c>
      <c r="G52" s="263">
        <v>44982</v>
      </c>
      <c r="H52" s="217" t="s">
        <v>8377</v>
      </c>
      <c r="I52" s="217" t="s">
        <v>8591</v>
      </c>
      <c r="J52" s="217" t="s">
        <v>8775</v>
      </c>
      <c r="K52" s="217" t="s">
        <v>8776</v>
      </c>
      <c r="L52" s="217" t="s">
        <v>8777</v>
      </c>
      <c r="M52" s="217" t="s">
        <v>8778</v>
      </c>
      <c r="N52" s="217">
        <v>0</v>
      </c>
      <c r="O52" s="217">
        <v>0</v>
      </c>
      <c r="P52" s="217">
        <v>0</v>
      </c>
      <c r="Q52" s="217" t="s">
        <v>8377</v>
      </c>
      <c r="R52" s="217">
        <v>0</v>
      </c>
      <c r="S52" s="6">
        <v>0</v>
      </c>
      <c r="T52" s="332">
        <v>0</v>
      </c>
      <c r="U52" s="217" t="s">
        <v>8250</v>
      </c>
      <c r="W52" s="308"/>
    </row>
    <row r="53" spans="1:23" ht="63.75">
      <c r="A53" s="6">
        <v>49</v>
      </c>
      <c r="B53" s="216" t="s">
        <v>319</v>
      </c>
      <c r="C53" s="217">
        <v>2887746</v>
      </c>
      <c r="D53" s="217" t="s">
        <v>8779</v>
      </c>
      <c r="E53" s="217">
        <v>5</v>
      </c>
      <c r="F53" s="263">
        <v>44967</v>
      </c>
      <c r="G53" s="263">
        <v>44967</v>
      </c>
      <c r="H53" s="217" t="s">
        <v>8377</v>
      </c>
      <c r="I53" s="217" t="s">
        <v>8573</v>
      </c>
      <c r="J53" s="217" t="s">
        <v>8780</v>
      </c>
      <c r="K53" s="217" t="s">
        <v>8781</v>
      </c>
      <c r="L53" s="217" t="s">
        <v>8782</v>
      </c>
      <c r="M53" s="217" t="s">
        <v>8783</v>
      </c>
      <c r="N53" s="217">
        <v>0</v>
      </c>
      <c r="O53" s="217">
        <v>0</v>
      </c>
      <c r="P53" s="217">
        <v>0</v>
      </c>
      <c r="Q53" s="217" t="s">
        <v>8377</v>
      </c>
      <c r="R53" s="217">
        <v>0</v>
      </c>
      <c r="S53" s="6">
        <v>0</v>
      </c>
      <c r="T53" s="332">
        <v>0</v>
      </c>
      <c r="U53" s="217" t="s">
        <v>8250</v>
      </c>
      <c r="W53" s="308"/>
    </row>
    <row r="54" spans="1:23" ht="140.25">
      <c r="A54" s="6">
        <v>50</v>
      </c>
      <c r="B54" s="216" t="s">
        <v>319</v>
      </c>
      <c r="C54" s="217">
        <v>2887746</v>
      </c>
      <c r="D54" s="217" t="s">
        <v>8784</v>
      </c>
      <c r="E54" s="217">
        <v>6</v>
      </c>
      <c r="F54" s="263">
        <v>45007</v>
      </c>
      <c r="G54" s="263">
        <v>45007</v>
      </c>
      <c r="H54" s="217" t="s">
        <v>8377</v>
      </c>
      <c r="I54" s="217" t="s">
        <v>8573</v>
      </c>
      <c r="J54" s="217" t="s">
        <v>8785</v>
      </c>
      <c r="K54" s="217" t="s">
        <v>8786</v>
      </c>
      <c r="L54" s="217" t="s">
        <v>8787</v>
      </c>
      <c r="M54" s="217" t="s">
        <v>8788</v>
      </c>
      <c r="N54" s="217">
        <v>0</v>
      </c>
      <c r="O54" s="217">
        <v>0</v>
      </c>
      <c r="P54" s="217">
        <v>0</v>
      </c>
      <c r="Q54" s="217" t="s">
        <v>8377</v>
      </c>
      <c r="R54" s="217">
        <v>0</v>
      </c>
      <c r="S54" s="6">
        <v>0</v>
      </c>
      <c r="T54" s="332">
        <v>0</v>
      </c>
      <c r="U54" s="217" t="s">
        <v>8250</v>
      </c>
      <c r="W54" s="308"/>
    </row>
    <row r="55" spans="1:23" ht="89.25">
      <c r="A55" s="6">
        <v>51</v>
      </c>
      <c r="B55" s="216" t="s">
        <v>319</v>
      </c>
      <c r="C55" s="217">
        <v>2887746</v>
      </c>
      <c r="D55" s="217" t="s">
        <v>8774</v>
      </c>
      <c r="E55" s="217">
        <v>7</v>
      </c>
      <c r="F55" s="263">
        <v>44982</v>
      </c>
      <c r="G55" s="263">
        <v>44982</v>
      </c>
      <c r="H55" s="217" t="s">
        <v>8377</v>
      </c>
      <c r="I55" s="217" t="s">
        <v>8591</v>
      </c>
      <c r="J55" s="217" t="s">
        <v>8775</v>
      </c>
      <c r="K55" s="217" t="s">
        <v>8776</v>
      </c>
      <c r="L55" s="217" t="s">
        <v>8777</v>
      </c>
      <c r="M55" s="217" t="s">
        <v>8778</v>
      </c>
      <c r="N55" s="217">
        <v>0</v>
      </c>
      <c r="O55" s="217">
        <v>0</v>
      </c>
      <c r="P55" s="217">
        <v>0</v>
      </c>
      <c r="Q55" s="217" t="s">
        <v>8377</v>
      </c>
      <c r="R55" s="217">
        <v>0</v>
      </c>
      <c r="S55" s="6">
        <v>0</v>
      </c>
      <c r="T55" s="332">
        <v>0</v>
      </c>
      <c r="U55" s="217" t="s">
        <v>8250</v>
      </c>
      <c r="W55" s="308"/>
    </row>
    <row r="56" spans="1:23" ht="127.5">
      <c r="A56" s="6">
        <v>52</v>
      </c>
      <c r="B56" s="216" t="s">
        <v>319</v>
      </c>
      <c r="C56" s="217">
        <v>2887746</v>
      </c>
      <c r="D56" s="217" t="s">
        <v>8765</v>
      </c>
      <c r="E56" s="217">
        <v>8</v>
      </c>
      <c r="F56" s="263">
        <v>44927</v>
      </c>
      <c r="G56" s="263">
        <v>44927</v>
      </c>
      <c r="H56" s="217" t="s">
        <v>8377</v>
      </c>
      <c r="I56" s="217" t="s">
        <v>8584</v>
      </c>
      <c r="J56" s="217" t="s">
        <v>8766</v>
      </c>
      <c r="K56" s="217" t="s">
        <v>8767</v>
      </c>
      <c r="L56" s="217"/>
      <c r="M56" s="217" t="s">
        <v>8768</v>
      </c>
      <c r="N56" s="217">
        <v>0</v>
      </c>
      <c r="O56" s="217">
        <v>0</v>
      </c>
      <c r="P56" s="217">
        <v>0</v>
      </c>
      <c r="Q56" s="217" t="s">
        <v>8377</v>
      </c>
      <c r="R56" s="217">
        <v>0</v>
      </c>
      <c r="S56" s="6">
        <v>0</v>
      </c>
      <c r="T56" s="332">
        <v>0</v>
      </c>
      <c r="U56" s="217" t="s">
        <v>8250</v>
      </c>
      <c r="W56" s="308"/>
    </row>
    <row r="57" spans="1:23" ht="140.25">
      <c r="A57" s="6">
        <v>53</v>
      </c>
      <c r="B57" s="216" t="s">
        <v>319</v>
      </c>
      <c r="C57" s="217">
        <v>2887746</v>
      </c>
      <c r="D57" s="217" t="s">
        <v>8784</v>
      </c>
      <c r="E57" s="217">
        <v>9</v>
      </c>
      <c r="F57" s="263">
        <v>44995</v>
      </c>
      <c r="G57" s="263">
        <v>44927</v>
      </c>
      <c r="H57" s="263">
        <v>45291</v>
      </c>
      <c r="I57" s="217" t="s">
        <v>8584</v>
      </c>
      <c r="J57" s="217" t="s">
        <v>8785</v>
      </c>
      <c r="K57" s="217" t="s">
        <v>8786</v>
      </c>
      <c r="L57" s="217" t="s">
        <v>8789</v>
      </c>
      <c r="M57" s="217" t="s">
        <v>8790</v>
      </c>
      <c r="N57" s="217">
        <v>0</v>
      </c>
      <c r="O57" s="217">
        <v>0</v>
      </c>
      <c r="P57" s="217">
        <v>0</v>
      </c>
      <c r="Q57" s="217" t="s">
        <v>8377</v>
      </c>
      <c r="R57" s="217">
        <v>0</v>
      </c>
      <c r="S57" s="6">
        <v>0</v>
      </c>
      <c r="T57" s="332">
        <v>3957320000</v>
      </c>
      <c r="U57" s="217" t="s">
        <v>8250</v>
      </c>
      <c r="W57" s="308"/>
    </row>
    <row r="58" spans="1:23" ht="140.25">
      <c r="A58" s="6">
        <v>54</v>
      </c>
      <c r="B58" s="216" t="s">
        <v>319</v>
      </c>
      <c r="C58" s="217">
        <v>2887746</v>
      </c>
      <c r="D58" s="217" t="s">
        <v>8784</v>
      </c>
      <c r="E58" s="217">
        <v>10</v>
      </c>
      <c r="F58" s="263">
        <v>45007</v>
      </c>
      <c r="G58" s="263">
        <v>45007</v>
      </c>
      <c r="H58" s="263">
        <v>45373</v>
      </c>
      <c r="I58" s="217" t="s">
        <v>8573</v>
      </c>
      <c r="J58" s="217" t="s">
        <v>8785</v>
      </c>
      <c r="K58" s="217" t="s">
        <v>8786</v>
      </c>
      <c r="L58" s="217" t="s">
        <v>8787</v>
      </c>
      <c r="M58" s="217" t="s">
        <v>8788</v>
      </c>
      <c r="N58" s="217">
        <v>0</v>
      </c>
      <c r="O58" s="217">
        <v>0</v>
      </c>
      <c r="P58" s="217">
        <v>0</v>
      </c>
      <c r="Q58" s="217" t="s">
        <v>8377</v>
      </c>
      <c r="R58" s="217">
        <v>0</v>
      </c>
      <c r="S58" s="6">
        <v>0</v>
      </c>
      <c r="T58" s="332">
        <v>0</v>
      </c>
      <c r="U58" s="217" t="s">
        <v>8250</v>
      </c>
      <c r="W58" s="308"/>
    </row>
    <row r="59" spans="1:23" ht="38.25">
      <c r="A59" s="6">
        <v>55</v>
      </c>
      <c r="B59" s="216" t="s">
        <v>319</v>
      </c>
      <c r="C59" s="217">
        <v>2887746</v>
      </c>
      <c r="D59" s="217" t="s">
        <v>8774</v>
      </c>
      <c r="E59" s="217">
        <v>11</v>
      </c>
      <c r="F59" s="263">
        <v>45089</v>
      </c>
      <c r="G59" s="263">
        <v>45089</v>
      </c>
      <c r="H59" s="263">
        <v>45455</v>
      </c>
      <c r="I59" s="217" t="s">
        <v>8573</v>
      </c>
      <c r="J59" s="217" t="s">
        <v>8791</v>
      </c>
      <c r="K59" s="217" t="s">
        <v>8776</v>
      </c>
      <c r="L59" s="217" t="s">
        <v>8792</v>
      </c>
      <c r="M59" s="217" t="s">
        <v>8778</v>
      </c>
      <c r="N59" s="217">
        <v>0</v>
      </c>
      <c r="O59" s="217">
        <v>0</v>
      </c>
      <c r="P59" s="217">
        <v>0</v>
      </c>
      <c r="Q59" s="217" t="s">
        <v>8377</v>
      </c>
      <c r="R59" s="217">
        <v>0</v>
      </c>
      <c r="S59" s="6">
        <v>0</v>
      </c>
      <c r="T59" s="332">
        <v>0</v>
      </c>
      <c r="U59" s="217" t="s">
        <v>8250</v>
      </c>
      <c r="W59" s="308"/>
    </row>
    <row r="60" spans="1:23" ht="76.5">
      <c r="A60" s="6">
        <v>56</v>
      </c>
      <c r="B60" s="216" t="s">
        <v>319</v>
      </c>
      <c r="C60" s="217">
        <v>2887746</v>
      </c>
      <c r="D60" s="217" t="s">
        <v>8765</v>
      </c>
      <c r="E60" s="217">
        <v>12</v>
      </c>
      <c r="F60" s="263">
        <v>45216</v>
      </c>
      <c r="G60" s="263">
        <v>45216</v>
      </c>
      <c r="H60" s="263">
        <v>46312</v>
      </c>
      <c r="I60" s="217" t="s">
        <v>8584</v>
      </c>
      <c r="J60" s="217" t="s">
        <v>8793</v>
      </c>
      <c r="K60" s="217"/>
      <c r="L60" s="217" t="s">
        <v>8794</v>
      </c>
      <c r="M60" s="217"/>
      <c r="N60" s="217">
        <v>0</v>
      </c>
      <c r="O60" s="217">
        <v>0</v>
      </c>
      <c r="P60" s="217">
        <v>0</v>
      </c>
      <c r="Q60" s="217" t="s">
        <v>8377</v>
      </c>
      <c r="R60" s="217">
        <v>0</v>
      </c>
      <c r="S60" s="6">
        <v>0</v>
      </c>
      <c r="T60" s="332">
        <v>0</v>
      </c>
      <c r="U60" s="217" t="s">
        <v>8250</v>
      </c>
      <c r="W60" s="308"/>
    </row>
    <row r="61" spans="1:23" ht="89.25">
      <c r="A61" s="6">
        <v>57</v>
      </c>
      <c r="B61" s="216" t="s">
        <v>319</v>
      </c>
      <c r="C61" s="217">
        <v>2887746</v>
      </c>
      <c r="D61" s="217" t="s">
        <v>8795</v>
      </c>
      <c r="E61" s="217">
        <v>13</v>
      </c>
      <c r="F61" s="263">
        <v>45187</v>
      </c>
      <c r="G61" s="263">
        <v>45187</v>
      </c>
      <c r="H61" s="263">
        <v>47014</v>
      </c>
      <c r="I61" s="217" t="s">
        <v>8584</v>
      </c>
      <c r="J61" s="217" t="s">
        <v>8796</v>
      </c>
      <c r="K61" s="217" t="s">
        <v>8797</v>
      </c>
      <c r="L61" s="217" t="s">
        <v>8798</v>
      </c>
      <c r="M61" s="217" t="s">
        <v>8799</v>
      </c>
      <c r="N61" s="217">
        <v>0</v>
      </c>
      <c r="O61" s="217">
        <v>0</v>
      </c>
      <c r="P61" s="217">
        <v>0</v>
      </c>
      <c r="Q61" s="217" t="s">
        <v>8377</v>
      </c>
      <c r="R61" s="217">
        <v>0</v>
      </c>
      <c r="S61" s="6">
        <v>0</v>
      </c>
      <c r="T61" s="332">
        <v>0</v>
      </c>
      <c r="U61" s="217" t="s">
        <v>8250</v>
      </c>
      <c r="W61" s="308"/>
    </row>
    <row r="62" spans="1:23" ht="76.5">
      <c r="A62" s="6">
        <v>58</v>
      </c>
      <c r="B62" s="216" t="s">
        <v>319</v>
      </c>
      <c r="C62" s="217">
        <v>2887746</v>
      </c>
      <c r="D62" s="217" t="s">
        <v>8765</v>
      </c>
      <c r="E62" s="217">
        <v>14</v>
      </c>
      <c r="F62" s="263">
        <v>45201</v>
      </c>
      <c r="G62" s="263">
        <v>45201</v>
      </c>
      <c r="H62" s="263">
        <v>45567</v>
      </c>
      <c r="I62" s="217" t="s">
        <v>8584</v>
      </c>
      <c r="J62" s="217" t="s">
        <v>8793</v>
      </c>
      <c r="K62" s="217"/>
      <c r="L62" s="217" t="s">
        <v>8798</v>
      </c>
      <c r="M62" s="217" t="s">
        <v>8799</v>
      </c>
      <c r="N62" s="217">
        <v>0</v>
      </c>
      <c r="O62" s="217">
        <v>0</v>
      </c>
      <c r="P62" s="217">
        <v>0</v>
      </c>
      <c r="Q62" s="217" t="s">
        <v>8377</v>
      </c>
      <c r="R62" s="217">
        <v>0</v>
      </c>
      <c r="S62" s="6">
        <v>0</v>
      </c>
      <c r="T62" s="332">
        <v>0</v>
      </c>
      <c r="U62" s="217" t="s">
        <v>8250</v>
      </c>
      <c r="W62" s="308"/>
    </row>
    <row r="63" spans="1:23" ht="63.75">
      <c r="A63" s="6">
        <v>59</v>
      </c>
      <c r="B63" s="216" t="s">
        <v>319</v>
      </c>
      <c r="C63" s="217">
        <v>2887746</v>
      </c>
      <c r="D63" s="217" t="s">
        <v>8800</v>
      </c>
      <c r="E63" s="217">
        <v>15</v>
      </c>
      <c r="F63" s="263">
        <v>44994</v>
      </c>
      <c r="G63" s="263">
        <v>44994</v>
      </c>
      <c r="H63" s="263">
        <v>49012</v>
      </c>
      <c r="I63" s="217" t="s">
        <v>8584</v>
      </c>
      <c r="J63" s="217" t="s">
        <v>8801</v>
      </c>
      <c r="K63" s="217" t="s">
        <v>8802</v>
      </c>
      <c r="L63" s="217" t="s">
        <v>8794</v>
      </c>
      <c r="M63" s="217"/>
      <c r="N63" s="217">
        <v>0</v>
      </c>
      <c r="O63" s="217">
        <v>0</v>
      </c>
      <c r="P63" s="217">
        <v>0</v>
      </c>
      <c r="Q63" s="217" t="s">
        <v>8377</v>
      </c>
      <c r="R63" s="217">
        <v>0</v>
      </c>
      <c r="S63" s="6">
        <v>0</v>
      </c>
      <c r="T63" s="332">
        <v>0</v>
      </c>
      <c r="U63" s="217" t="s">
        <v>8250</v>
      </c>
      <c r="W63" s="308"/>
    </row>
    <row r="64" spans="1:23" ht="63.75">
      <c r="A64" s="6">
        <v>60</v>
      </c>
      <c r="B64" s="216" t="s">
        <v>319</v>
      </c>
      <c r="C64" s="217">
        <v>2887746</v>
      </c>
      <c r="D64" s="217" t="s">
        <v>8800</v>
      </c>
      <c r="E64" s="217">
        <v>16</v>
      </c>
      <c r="F64" s="263">
        <v>44966</v>
      </c>
      <c r="G64" s="263">
        <v>44966</v>
      </c>
      <c r="H64" s="263">
        <v>49349</v>
      </c>
      <c r="I64" s="217" t="s">
        <v>8584</v>
      </c>
      <c r="J64" s="217" t="s">
        <v>8801</v>
      </c>
      <c r="K64" s="217" t="s">
        <v>8802</v>
      </c>
      <c r="L64" s="217" t="s">
        <v>8794</v>
      </c>
      <c r="M64" s="217"/>
      <c r="N64" s="217">
        <v>0</v>
      </c>
      <c r="O64" s="217">
        <v>0</v>
      </c>
      <c r="P64" s="217">
        <v>0</v>
      </c>
      <c r="Q64" s="217" t="s">
        <v>8377</v>
      </c>
      <c r="R64" s="217">
        <v>0</v>
      </c>
      <c r="S64" s="6">
        <v>0</v>
      </c>
      <c r="T64" s="332">
        <v>0</v>
      </c>
      <c r="U64" s="217" t="s">
        <v>8250</v>
      </c>
      <c r="W64" s="308"/>
    </row>
    <row r="65" spans="1:23" ht="63.75">
      <c r="A65" s="6">
        <v>61</v>
      </c>
      <c r="B65" s="216" t="s">
        <v>319</v>
      </c>
      <c r="C65" s="217">
        <v>2887746</v>
      </c>
      <c r="D65" s="217" t="s">
        <v>8800</v>
      </c>
      <c r="E65" s="217">
        <v>17</v>
      </c>
      <c r="F65" s="263">
        <v>45002</v>
      </c>
      <c r="G65" s="263">
        <v>45002</v>
      </c>
      <c r="H65" s="263">
        <v>49020</v>
      </c>
      <c r="I65" s="217" t="s">
        <v>8584</v>
      </c>
      <c r="J65" s="217" t="s">
        <v>8801</v>
      </c>
      <c r="K65" s="217" t="s">
        <v>8802</v>
      </c>
      <c r="L65" s="217" t="s">
        <v>8794</v>
      </c>
      <c r="M65" s="217"/>
      <c r="N65" s="217">
        <v>0</v>
      </c>
      <c r="O65" s="217">
        <v>0</v>
      </c>
      <c r="P65" s="217">
        <v>0</v>
      </c>
      <c r="Q65" s="217" t="s">
        <v>8377</v>
      </c>
      <c r="R65" s="217">
        <v>0</v>
      </c>
      <c r="S65" s="6">
        <v>0</v>
      </c>
      <c r="T65" s="332">
        <v>0</v>
      </c>
      <c r="U65" s="217" t="s">
        <v>8250</v>
      </c>
      <c r="W65" s="308"/>
    </row>
    <row r="66" spans="1:23" ht="89.25">
      <c r="A66" s="6">
        <v>62</v>
      </c>
      <c r="B66" s="216" t="s">
        <v>319</v>
      </c>
      <c r="C66" s="217">
        <v>2887746</v>
      </c>
      <c r="D66" s="217" t="s">
        <v>8803</v>
      </c>
      <c r="E66" s="217">
        <v>18</v>
      </c>
      <c r="F66" s="263">
        <v>45170</v>
      </c>
      <c r="G66" s="263">
        <v>45170</v>
      </c>
      <c r="H66" s="263">
        <v>45536</v>
      </c>
      <c r="I66" s="217" t="s">
        <v>8573</v>
      </c>
      <c r="J66" s="217" t="s">
        <v>8770</v>
      </c>
      <c r="K66" s="217" t="s">
        <v>8804</v>
      </c>
      <c r="L66" s="217" t="s">
        <v>8763</v>
      </c>
      <c r="M66" s="217" t="s">
        <v>8764</v>
      </c>
      <c r="N66" s="217">
        <v>0</v>
      </c>
      <c r="O66" s="217">
        <v>0</v>
      </c>
      <c r="P66" s="217">
        <v>0</v>
      </c>
      <c r="Q66" s="217" t="s">
        <v>8377</v>
      </c>
      <c r="R66" s="217">
        <v>0</v>
      </c>
      <c r="S66" s="6">
        <v>0</v>
      </c>
      <c r="T66" s="332">
        <v>0</v>
      </c>
      <c r="U66" s="217" t="s">
        <v>8250</v>
      </c>
      <c r="W66" s="308"/>
    </row>
    <row r="67" spans="1:23" ht="76.5">
      <c r="A67" s="6">
        <v>63</v>
      </c>
      <c r="B67" s="216" t="s">
        <v>319</v>
      </c>
      <c r="C67" s="217">
        <v>2887746</v>
      </c>
      <c r="D67" s="217" t="s">
        <v>8760</v>
      </c>
      <c r="E67" s="217">
        <v>19</v>
      </c>
      <c r="F67" s="263">
        <v>45205</v>
      </c>
      <c r="G67" s="263">
        <v>45205</v>
      </c>
      <c r="H67" s="263">
        <v>45571</v>
      </c>
      <c r="I67" s="217" t="s">
        <v>8573</v>
      </c>
      <c r="J67" s="217" t="s">
        <v>8805</v>
      </c>
      <c r="K67" s="217" t="s">
        <v>8806</v>
      </c>
      <c r="L67" s="217" t="s">
        <v>8807</v>
      </c>
      <c r="M67" s="217" t="s">
        <v>8808</v>
      </c>
      <c r="N67" s="217">
        <v>0</v>
      </c>
      <c r="O67" s="217">
        <v>0</v>
      </c>
      <c r="P67" s="217">
        <v>0</v>
      </c>
      <c r="Q67" s="217" t="s">
        <v>8377</v>
      </c>
      <c r="R67" s="217">
        <v>0</v>
      </c>
      <c r="S67" s="6">
        <v>0</v>
      </c>
      <c r="T67" s="332">
        <v>0</v>
      </c>
      <c r="U67" s="217" t="s">
        <v>8250</v>
      </c>
      <c r="W67" s="308"/>
    </row>
    <row r="68" spans="1:23" ht="102">
      <c r="A68" s="6">
        <v>64</v>
      </c>
      <c r="B68" s="216" t="s">
        <v>319</v>
      </c>
      <c r="C68" s="217">
        <v>2887746</v>
      </c>
      <c r="D68" s="217" t="s">
        <v>8809</v>
      </c>
      <c r="E68" s="217">
        <v>20</v>
      </c>
      <c r="F68" s="263">
        <v>44927</v>
      </c>
      <c r="G68" s="263">
        <v>44927</v>
      </c>
      <c r="H68" s="263">
        <v>45657</v>
      </c>
      <c r="I68" s="217" t="s">
        <v>8591</v>
      </c>
      <c r="J68" s="217" t="s">
        <v>8810</v>
      </c>
      <c r="K68" s="217" t="s">
        <v>8811</v>
      </c>
      <c r="L68" s="217" t="s">
        <v>8812</v>
      </c>
      <c r="M68" s="217" t="s">
        <v>8813</v>
      </c>
      <c r="N68" s="217">
        <v>0</v>
      </c>
      <c r="O68" s="217">
        <v>0</v>
      </c>
      <c r="P68" s="217">
        <v>0</v>
      </c>
      <c r="Q68" s="217" t="s">
        <v>8377</v>
      </c>
      <c r="R68" s="217">
        <v>0</v>
      </c>
      <c r="S68" s="6">
        <v>0</v>
      </c>
      <c r="T68" s="332">
        <v>0</v>
      </c>
      <c r="U68" s="217" t="s">
        <v>8250</v>
      </c>
      <c r="W68" s="308"/>
    </row>
    <row r="69" spans="1:23" ht="127.5">
      <c r="A69" s="6">
        <v>65</v>
      </c>
      <c r="B69" s="216" t="s">
        <v>319</v>
      </c>
      <c r="C69" s="217">
        <v>2887746</v>
      </c>
      <c r="D69" s="217" t="s">
        <v>8765</v>
      </c>
      <c r="E69" s="217">
        <v>21</v>
      </c>
      <c r="F69" s="263">
        <v>44927</v>
      </c>
      <c r="G69" s="263">
        <v>44927</v>
      </c>
      <c r="H69" s="217" t="s">
        <v>8377</v>
      </c>
      <c r="I69" s="217" t="s">
        <v>8584</v>
      </c>
      <c r="J69" s="217" t="s">
        <v>8766</v>
      </c>
      <c r="K69" s="217" t="s">
        <v>8767</v>
      </c>
      <c r="L69" s="217"/>
      <c r="M69" s="217" t="s">
        <v>8768</v>
      </c>
      <c r="N69" s="217">
        <v>0</v>
      </c>
      <c r="O69" s="217">
        <v>0</v>
      </c>
      <c r="P69" s="217">
        <v>0</v>
      </c>
      <c r="Q69" s="217" t="s">
        <v>8377</v>
      </c>
      <c r="R69" s="217">
        <v>0</v>
      </c>
      <c r="S69" s="6">
        <v>0</v>
      </c>
      <c r="T69" s="332">
        <v>0</v>
      </c>
      <c r="U69" s="217" t="s">
        <v>8250</v>
      </c>
      <c r="W69" s="308"/>
    </row>
    <row r="70" spans="1:23" ht="140.25">
      <c r="A70" s="6">
        <v>66</v>
      </c>
      <c r="B70" s="216" t="s">
        <v>319</v>
      </c>
      <c r="C70" s="217">
        <v>2887746</v>
      </c>
      <c r="D70" s="217" t="s">
        <v>8784</v>
      </c>
      <c r="E70" s="217">
        <v>22</v>
      </c>
      <c r="F70" s="263">
        <v>44995</v>
      </c>
      <c r="G70" s="263">
        <v>44927</v>
      </c>
      <c r="H70" s="263">
        <v>45291</v>
      </c>
      <c r="I70" s="217" t="s">
        <v>8584</v>
      </c>
      <c r="J70" s="217" t="s">
        <v>8785</v>
      </c>
      <c r="K70" s="217" t="s">
        <v>8786</v>
      </c>
      <c r="L70" s="217" t="s">
        <v>8789</v>
      </c>
      <c r="M70" s="217" t="s">
        <v>8790</v>
      </c>
      <c r="N70" s="217">
        <v>0</v>
      </c>
      <c r="O70" s="217">
        <v>0</v>
      </c>
      <c r="P70" s="217">
        <v>0</v>
      </c>
      <c r="Q70" s="217" t="s">
        <v>8377</v>
      </c>
      <c r="R70" s="217">
        <v>0</v>
      </c>
      <c r="S70" s="6">
        <v>0</v>
      </c>
      <c r="T70" s="332">
        <v>3957320000</v>
      </c>
      <c r="U70" s="217" t="s">
        <v>8250</v>
      </c>
      <c r="W70" s="308"/>
    </row>
    <row r="71" spans="1:23" ht="140.25">
      <c r="A71" s="6">
        <v>67</v>
      </c>
      <c r="B71" s="216" t="s">
        <v>319</v>
      </c>
      <c r="C71" s="217">
        <v>2887746</v>
      </c>
      <c r="D71" s="217" t="s">
        <v>8784</v>
      </c>
      <c r="E71" s="217">
        <v>23</v>
      </c>
      <c r="F71" s="263">
        <v>45007</v>
      </c>
      <c r="G71" s="263">
        <v>45007</v>
      </c>
      <c r="H71" s="263">
        <v>45373</v>
      </c>
      <c r="I71" s="217" t="s">
        <v>8573</v>
      </c>
      <c r="J71" s="217" t="s">
        <v>8785</v>
      </c>
      <c r="K71" s="217" t="s">
        <v>8786</v>
      </c>
      <c r="L71" s="217" t="s">
        <v>8787</v>
      </c>
      <c r="M71" s="217" t="s">
        <v>8788</v>
      </c>
      <c r="N71" s="217">
        <v>0</v>
      </c>
      <c r="O71" s="217">
        <v>0</v>
      </c>
      <c r="P71" s="217">
        <v>0</v>
      </c>
      <c r="Q71" s="217" t="s">
        <v>8377</v>
      </c>
      <c r="R71" s="217">
        <v>0</v>
      </c>
      <c r="S71" s="6">
        <v>0</v>
      </c>
      <c r="T71" s="332">
        <v>0</v>
      </c>
      <c r="U71" s="217" t="s">
        <v>8250</v>
      </c>
      <c r="W71" s="308"/>
    </row>
    <row r="72" spans="1:23" ht="38.25">
      <c r="A72" s="6">
        <v>68</v>
      </c>
      <c r="B72" s="216" t="s">
        <v>319</v>
      </c>
      <c r="C72" s="217">
        <v>2887746</v>
      </c>
      <c r="D72" s="217" t="s">
        <v>8774</v>
      </c>
      <c r="E72" s="217">
        <v>24</v>
      </c>
      <c r="F72" s="263">
        <v>45089</v>
      </c>
      <c r="G72" s="263">
        <v>45089</v>
      </c>
      <c r="H72" s="263">
        <v>45455</v>
      </c>
      <c r="I72" s="217" t="s">
        <v>8573</v>
      </c>
      <c r="J72" s="217" t="s">
        <v>8791</v>
      </c>
      <c r="K72" s="217" t="s">
        <v>8776</v>
      </c>
      <c r="L72" s="217" t="s">
        <v>8792</v>
      </c>
      <c r="M72" s="217" t="s">
        <v>8778</v>
      </c>
      <c r="N72" s="217">
        <v>0</v>
      </c>
      <c r="O72" s="217">
        <v>0</v>
      </c>
      <c r="P72" s="217">
        <v>0</v>
      </c>
      <c r="Q72" s="217" t="s">
        <v>8377</v>
      </c>
      <c r="R72" s="217">
        <v>0</v>
      </c>
      <c r="S72" s="6">
        <v>0</v>
      </c>
      <c r="T72" s="332">
        <v>0</v>
      </c>
      <c r="U72" s="217" t="s">
        <v>8250</v>
      </c>
      <c r="W72" s="308"/>
    </row>
    <row r="73" spans="1:23" ht="76.5">
      <c r="A73" s="6">
        <v>69</v>
      </c>
      <c r="B73" s="216" t="s">
        <v>319</v>
      </c>
      <c r="C73" s="217">
        <v>2887746</v>
      </c>
      <c r="D73" s="217" t="s">
        <v>8765</v>
      </c>
      <c r="E73" s="217">
        <v>25</v>
      </c>
      <c r="F73" s="263">
        <v>45216</v>
      </c>
      <c r="G73" s="263">
        <v>45216</v>
      </c>
      <c r="H73" s="263">
        <v>46312</v>
      </c>
      <c r="I73" s="217" t="s">
        <v>8584</v>
      </c>
      <c r="J73" s="217" t="s">
        <v>8793</v>
      </c>
      <c r="K73" s="217"/>
      <c r="L73" s="217" t="s">
        <v>8794</v>
      </c>
      <c r="M73" s="217"/>
      <c r="N73" s="217">
        <v>0</v>
      </c>
      <c r="O73" s="217">
        <v>0</v>
      </c>
      <c r="P73" s="217">
        <v>0</v>
      </c>
      <c r="Q73" s="217" t="s">
        <v>8377</v>
      </c>
      <c r="R73" s="217">
        <v>0</v>
      </c>
      <c r="S73" s="6">
        <v>0</v>
      </c>
      <c r="T73" s="332">
        <v>0</v>
      </c>
      <c r="U73" s="217" t="s">
        <v>8250</v>
      </c>
      <c r="W73" s="308"/>
    </row>
    <row r="74" spans="1:23" ht="89.25">
      <c r="A74" s="6">
        <v>70</v>
      </c>
      <c r="B74" s="216" t="s">
        <v>319</v>
      </c>
      <c r="C74" s="217">
        <v>2887746</v>
      </c>
      <c r="D74" s="217" t="s">
        <v>8795</v>
      </c>
      <c r="E74" s="217">
        <v>26</v>
      </c>
      <c r="F74" s="263">
        <v>45187</v>
      </c>
      <c r="G74" s="263">
        <v>45187</v>
      </c>
      <c r="H74" s="263">
        <v>47014</v>
      </c>
      <c r="I74" s="217" t="s">
        <v>8584</v>
      </c>
      <c r="J74" s="217" t="s">
        <v>8796</v>
      </c>
      <c r="K74" s="217" t="s">
        <v>8797</v>
      </c>
      <c r="L74" s="217" t="s">
        <v>8798</v>
      </c>
      <c r="M74" s="217" t="s">
        <v>8799</v>
      </c>
      <c r="N74" s="217">
        <v>0</v>
      </c>
      <c r="O74" s="217">
        <v>0</v>
      </c>
      <c r="P74" s="217">
        <v>0</v>
      </c>
      <c r="Q74" s="217" t="s">
        <v>8377</v>
      </c>
      <c r="R74" s="217">
        <v>0</v>
      </c>
      <c r="S74" s="6">
        <v>0</v>
      </c>
      <c r="T74" s="332">
        <v>0</v>
      </c>
      <c r="U74" s="217" t="s">
        <v>8250</v>
      </c>
      <c r="W74" s="308"/>
    </row>
    <row r="75" spans="1:23" ht="76.5">
      <c r="A75" s="6">
        <v>71</v>
      </c>
      <c r="B75" s="216" t="s">
        <v>319</v>
      </c>
      <c r="C75" s="217">
        <v>2887746</v>
      </c>
      <c r="D75" s="217" t="s">
        <v>8765</v>
      </c>
      <c r="E75" s="217">
        <v>27</v>
      </c>
      <c r="F75" s="263">
        <v>45201</v>
      </c>
      <c r="G75" s="263">
        <v>45201</v>
      </c>
      <c r="H75" s="263">
        <v>45567</v>
      </c>
      <c r="I75" s="217" t="s">
        <v>8584</v>
      </c>
      <c r="J75" s="217" t="s">
        <v>8793</v>
      </c>
      <c r="K75" s="217"/>
      <c r="L75" s="217" t="s">
        <v>8798</v>
      </c>
      <c r="M75" s="217" t="s">
        <v>8799</v>
      </c>
      <c r="N75" s="217">
        <v>0</v>
      </c>
      <c r="O75" s="217">
        <v>0</v>
      </c>
      <c r="P75" s="217">
        <v>0</v>
      </c>
      <c r="Q75" s="217" t="s">
        <v>8377</v>
      </c>
      <c r="R75" s="217">
        <v>0</v>
      </c>
      <c r="S75" s="6">
        <v>0</v>
      </c>
      <c r="T75" s="332">
        <v>0</v>
      </c>
      <c r="U75" s="217" t="s">
        <v>8250</v>
      </c>
      <c r="W75" s="308"/>
    </row>
    <row r="76" spans="1:23" ht="63.75">
      <c r="A76" s="6">
        <v>72</v>
      </c>
      <c r="B76" s="216" t="s">
        <v>319</v>
      </c>
      <c r="C76" s="217">
        <v>2887746</v>
      </c>
      <c r="D76" s="217" t="s">
        <v>8800</v>
      </c>
      <c r="E76" s="217">
        <v>28</v>
      </c>
      <c r="F76" s="263">
        <v>44994</v>
      </c>
      <c r="G76" s="263">
        <v>44994</v>
      </c>
      <c r="H76" s="263">
        <v>49012</v>
      </c>
      <c r="I76" s="217" t="s">
        <v>8584</v>
      </c>
      <c r="J76" s="217" t="s">
        <v>8801</v>
      </c>
      <c r="K76" s="217" t="s">
        <v>8802</v>
      </c>
      <c r="L76" s="217" t="s">
        <v>8794</v>
      </c>
      <c r="M76" s="217"/>
      <c r="N76" s="217">
        <v>0</v>
      </c>
      <c r="O76" s="217">
        <v>0</v>
      </c>
      <c r="P76" s="217">
        <v>0</v>
      </c>
      <c r="Q76" s="217" t="s">
        <v>8377</v>
      </c>
      <c r="R76" s="217">
        <v>0</v>
      </c>
      <c r="S76" s="6">
        <v>0</v>
      </c>
      <c r="T76" s="332">
        <v>0</v>
      </c>
      <c r="U76" s="217" t="s">
        <v>8250</v>
      </c>
      <c r="W76" s="308"/>
    </row>
    <row r="77" spans="1:23" ht="63.75">
      <c r="A77" s="6">
        <v>73</v>
      </c>
      <c r="B77" s="216" t="s">
        <v>319</v>
      </c>
      <c r="C77" s="217">
        <v>2887746</v>
      </c>
      <c r="D77" s="217" t="s">
        <v>8800</v>
      </c>
      <c r="E77" s="217">
        <v>29</v>
      </c>
      <c r="F77" s="263">
        <v>44966</v>
      </c>
      <c r="G77" s="263">
        <v>44966</v>
      </c>
      <c r="H77" s="263">
        <v>49349</v>
      </c>
      <c r="I77" s="217" t="s">
        <v>8584</v>
      </c>
      <c r="J77" s="217" t="s">
        <v>8801</v>
      </c>
      <c r="K77" s="217" t="s">
        <v>8802</v>
      </c>
      <c r="L77" s="217" t="s">
        <v>8794</v>
      </c>
      <c r="M77" s="217"/>
      <c r="N77" s="217">
        <v>0</v>
      </c>
      <c r="O77" s="217">
        <v>0</v>
      </c>
      <c r="P77" s="217">
        <v>0</v>
      </c>
      <c r="Q77" s="217" t="s">
        <v>8377</v>
      </c>
      <c r="R77" s="217">
        <v>0</v>
      </c>
      <c r="S77" s="6">
        <v>0</v>
      </c>
      <c r="T77" s="332">
        <v>0</v>
      </c>
      <c r="U77" s="217" t="s">
        <v>8250</v>
      </c>
      <c r="W77" s="308"/>
    </row>
    <row r="78" spans="1:23" ht="63.75">
      <c r="A78" s="6">
        <v>74</v>
      </c>
      <c r="B78" s="216" t="s">
        <v>319</v>
      </c>
      <c r="C78" s="217">
        <v>2887746</v>
      </c>
      <c r="D78" s="217" t="s">
        <v>8800</v>
      </c>
      <c r="E78" s="217">
        <v>30</v>
      </c>
      <c r="F78" s="263">
        <v>45002</v>
      </c>
      <c r="G78" s="263">
        <v>45002</v>
      </c>
      <c r="H78" s="263">
        <v>49020</v>
      </c>
      <c r="I78" s="217" t="s">
        <v>8584</v>
      </c>
      <c r="J78" s="217" t="s">
        <v>8801</v>
      </c>
      <c r="K78" s="217" t="s">
        <v>8802</v>
      </c>
      <c r="L78" s="217" t="s">
        <v>8794</v>
      </c>
      <c r="M78" s="217"/>
      <c r="N78" s="217">
        <v>0</v>
      </c>
      <c r="O78" s="217">
        <v>0</v>
      </c>
      <c r="P78" s="217">
        <v>0</v>
      </c>
      <c r="Q78" s="217" t="s">
        <v>8377</v>
      </c>
      <c r="R78" s="217">
        <v>0</v>
      </c>
      <c r="S78" s="6">
        <v>0</v>
      </c>
      <c r="T78" s="332">
        <v>0</v>
      </c>
      <c r="U78" s="217" t="s">
        <v>8250</v>
      </c>
      <c r="W78" s="308"/>
    </row>
    <row r="79" spans="1:23" ht="89.25">
      <c r="A79" s="6">
        <v>75</v>
      </c>
      <c r="B79" s="216" t="s">
        <v>319</v>
      </c>
      <c r="C79" s="217">
        <v>2887746</v>
      </c>
      <c r="D79" s="217" t="s">
        <v>8803</v>
      </c>
      <c r="E79" s="217">
        <v>31</v>
      </c>
      <c r="F79" s="263">
        <v>45170</v>
      </c>
      <c r="G79" s="263">
        <v>45170</v>
      </c>
      <c r="H79" s="263">
        <v>45536</v>
      </c>
      <c r="I79" s="217" t="s">
        <v>8573</v>
      </c>
      <c r="J79" s="217" t="s">
        <v>8770</v>
      </c>
      <c r="K79" s="217" t="s">
        <v>8804</v>
      </c>
      <c r="L79" s="217" t="s">
        <v>8763</v>
      </c>
      <c r="M79" s="217" t="s">
        <v>8764</v>
      </c>
      <c r="N79" s="217">
        <v>0</v>
      </c>
      <c r="O79" s="217">
        <v>0</v>
      </c>
      <c r="P79" s="217">
        <v>0</v>
      </c>
      <c r="Q79" s="217" t="s">
        <v>8377</v>
      </c>
      <c r="R79" s="217">
        <v>0</v>
      </c>
      <c r="S79" s="6">
        <v>0</v>
      </c>
      <c r="T79" s="332">
        <v>0</v>
      </c>
      <c r="U79" s="217" t="s">
        <v>8250</v>
      </c>
      <c r="W79" s="308"/>
    </row>
    <row r="80" spans="1:23" ht="76.5">
      <c r="A80" s="6">
        <v>76</v>
      </c>
      <c r="B80" s="216" t="s">
        <v>319</v>
      </c>
      <c r="C80" s="217">
        <v>2887746</v>
      </c>
      <c r="D80" s="217" t="s">
        <v>8760</v>
      </c>
      <c r="E80" s="217">
        <v>32</v>
      </c>
      <c r="F80" s="263">
        <v>45205</v>
      </c>
      <c r="G80" s="263">
        <v>45205</v>
      </c>
      <c r="H80" s="263">
        <v>45571</v>
      </c>
      <c r="I80" s="217" t="s">
        <v>8573</v>
      </c>
      <c r="J80" s="217" t="s">
        <v>8805</v>
      </c>
      <c r="K80" s="217" t="s">
        <v>8806</v>
      </c>
      <c r="L80" s="217" t="s">
        <v>8807</v>
      </c>
      <c r="M80" s="217" t="s">
        <v>8808</v>
      </c>
      <c r="N80" s="217">
        <v>0</v>
      </c>
      <c r="O80" s="217">
        <v>0</v>
      </c>
      <c r="P80" s="217">
        <v>0</v>
      </c>
      <c r="Q80" s="217" t="s">
        <v>8377</v>
      </c>
      <c r="R80" s="217">
        <v>0</v>
      </c>
      <c r="S80" s="6">
        <v>0</v>
      </c>
      <c r="T80" s="332">
        <v>0</v>
      </c>
      <c r="U80" s="217" t="s">
        <v>8250</v>
      </c>
      <c r="W80" s="308"/>
    </row>
    <row r="81" spans="1:23" ht="102">
      <c r="A81" s="6">
        <v>77</v>
      </c>
      <c r="B81" s="20" t="s">
        <v>320</v>
      </c>
      <c r="C81" s="9">
        <v>5618339</v>
      </c>
      <c r="D81" s="217" t="s">
        <v>8809</v>
      </c>
      <c r="E81" s="217">
        <v>33</v>
      </c>
      <c r="F81" s="263">
        <v>44927</v>
      </c>
      <c r="G81" s="263">
        <v>44927</v>
      </c>
      <c r="H81" s="263">
        <v>45657</v>
      </c>
      <c r="I81" s="217" t="s">
        <v>8591</v>
      </c>
      <c r="J81" s="217" t="s">
        <v>8810</v>
      </c>
      <c r="K81" s="217" t="s">
        <v>8811</v>
      </c>
      <c r="L81" s="217" t="s">
        <v>8812</v>
      </c>
      <c r="M81" s="217" t="s">
        <v>8813</v>
      </c>
      <c r="N81" s="217">
        <v>0</v>
      </c>
      <c r="O81" s="217">
        <v>0</v>
      </c>
      <c r="P81" s="217">
        <v>0</v>
      </c>
      <c r="Q81" s="217" t="s">
        <v>8377</v>
      </c>
      <c r="R81" s="217">
        <v>0</v>
      </c>
      <c r="S81" s="6">
        <v>0</v>
      </c>
      <c r="T81" s="332">
        <v>0</v>
      </c>
      <c r="U81" s="217" t="s">
        <v>8250</v>
      </c>
      <c r="W81" s="309"/>
    </row>
    <row r="82" spans="1:23" ht="25.5">
      <c r="A82" s="6">
        <v>78</v>
      </c>
      <c r="B82" s="216" t="s">
        <v>321</v>
      </c>
      <c r="C82" s="217">
        <v>2718243</v>
      </c>
      <c r="D82" s="217" t="s">
        <v>8814</v>
      </c>
      <c r="E82" s="217">
        <v>1</v>
      </c>
      <c r="F82" s="263">
        <v>45161</v>
      </c>
      <c r="G82" s="263">
        <v>44733</v>
      </c>
      <c r="H82" s="263">
        <v>54640</v>
      </c>
      <c r="I82" s="217" t="s">
        <v>8573</v>
      </c>
      <c r="J82" s="217" t="s">
        <v>8815</v>
      </c>
      <c r="K82" s="217" t="s">
        <v>8816</v>
      </c>
      <c r="L82" s="217" t="s">
        <v>8593</v>
      </c>
      <c r="M82" s="217" t="s">
        <v>8817</v>
      </c>
      <c r="N82" s="217">
        <v>0</v>
      </c>
      <c r="O82" s="217">
        <v>0</v>
      </c>
      <c r="P82" s="217">
        <v>0</v>
      </c>
      <c r="Q82" s="217" t="s">
        <v>8377</v>
      </c>
      <c r="R82" s="217">
        <v>0</v>
      </c>
      <c r="S82" s="6">
        <v>0</v>
      </c>
      <c r="T82" s="332">
        <v>0</v>
      </c>
      <c r="U82" s="217" t="s">
        <v>8259</v>
      </c>
      <c r="W82" s="308"/>
    </row>
    <row r="83" spans="1:23" ht="51">
      <c r="A83" s="6">
        <v>79</v>
      </c>
      <c r="B83" s="216" t="s">
        <v>321</v>
      </c>
      <c r="C83" s="217">
        <v>2718243</v>
      </c>
      <c r="D83" s="217" t="s">
        <v>8818</v>
      </c>
      <c r="E83" s="217">
        <v>2</v>
      </c>
      <c r="F83" s="263">
        <v>45161</v>
      </c>
      <c r="G83" s="263">
        <v>44733</v>
      </c>
      <c r="H83" s="263">
        <v>54640</v>
      </c>
      <c r="I83" s="217" t="s">
        <v>8591</v>
      </c>
      <c r="J83" s="217" t="s">
        <v>8819</v>
      </c>
      <c r="K83" s="217" t="s">
        <v>8820</v>
      </c>
      <c r="L83" s="217"/>
      <c r="M83" s="217"/>
      <c r="N83" s="217">
        <v>0</v>
      </c>
      <c r="O83" s="217">
        <v>0</v>
      </c>
      <c r="P83" s="217">
        <v>0</v>
      </c>
      <c r="Q83" s="217" t="s">
        <v>8377</v>
      </c>
      <c r="R83" s="217">
        <v>0</v>
      </c>
      <c r="S83" s="6">
        <v>0</v>
      </c>
      <c r="T83" s="332">
        <v>0</v>
      </c>
      <c r="U83" s="217" t="s">
        <v>8259</v>
      </c>
      <c r="W83" s="308"/>
    </row>
    <row r="84" spans="1:23" ht="38.25">
      <c r="A84" s="6">
        <v>80</v>
      </c>
      <c r="B84" s="216" t="s">
        <v>321</v>
      </c>
      <c r="C84" s="217">
        <v>2718243</v>
      </c>
      <c r="D84" s="217" t="s">
        <v>8821</v>
      </c>
      <c r="E84" s="217">
        <v>3</v>
      </c>
      <c r="F84" s="263">
        <v>44733</v>
      </c>
      <c r="G84" s="263">
        <v>44397</v>
      </c>
      <c r="H84" s="263">
        <v>45657</v>
      </c>
      <c r="I84" s="217" t="s">
        <v>8597</v>
      </c>
      <c r="J84" s="217" t="s">
        <v>8821</v>
      </c>
      <c r="K84" s="217" t="s">
        <v>8822</v>
      </c>
      <c r="L84" s="217" t="s">
        <v>8658</v>
      </c>
      <c r="M84" s="217" t="s">
        <v>8823</v>
      </c>
      <c r="N84" s="217">
        <v>4</v>
      </c>
      <c r="O84" s="217">
        <v>5</v>
      </c>
      <c r="P84" s="217">
        <v>0</v>
      </c>
      <c r="Q84" s="217" t="s">
        <v>8377</v>
      </c>
      <c r="R84" s="217">
        <v>0</v>
      </c>
      <c r="S84" s="6">
        <v>0</v>
      </c>
      <c r="T84" s="332">
        <v>0</v>
      </c>
      <c r="U84" s="217" t="s">
        <v>8250</v>
      </c>
      <c r="W84" s="308"/>
    </row>
    <row r="85" spans="1:23" ht="51">
      <c r="A85" s="6">
        <v>81</v>
      </c>
      <c r="B85" s="216" t="s">
        <v>321</v>
      </c>
      <c r="C85" s="9">
        <v>2718243</v>
      </c>
      <c r="D85" s="217" t="s">
        <v>8824</v>
      </c>
      <c r="E85" s="217">
        <v>4</v>
      </c>
      <c r="F85" s="263">
        <v>45161</v>
      </c>
      <c r="G85" s="263">
        <v>44733</v>
      </c>
      <c r="H85" s="263">
        <v>54640</v>
      </c>
      <c r="I85" s="217" t="s">
        <v>8584</v>
      </c>
      <c r="J85" s="217" t="s">
        <v>8825</v>
      </c>
      <c r="K85" s="217" t="s">
        <v>8826</v>
      </c>
      <c r="L85" s="217"/>
      <c r="M85" s="217"/>
      <c r="N85" s="217">
        <v>0</v>
      </c>
      <c r="O85" s="217">
        <v>0</v>
      </c>
      <c r="P85" s="217">
        <v>0</v>
      </c>
      <c r="Q85" s="217" t="s">
        <v>8377</v>
      </c>
      <c r="R85" s="217">
        <v>0</v>
      </c>
      <c r="S85" s="6">
        <v>0</v>
      </c>
      <c r="T85" s="332">
        <v>0</v>
      </c>
      <c r="U85" s="217" t="s">
        <v>8259</v>
      </c>
      <c r="W85" s="309"/>
    </row>
    <row r="86" spans="1:23" ht="114.75">
      <c r="A86" s="6">
        <v>82</v>
      </c>
      <c r="B86" s="20" t="s">
        <v>323</v>
      </c>
      <c r="C86" s="9">
        <v>5435528</v>
      </c>
      <c r="D86" s="217" t="s">
        <v>8827</v>
      </c>
      <c r="E86" s="217">
        <v>1</v>
      </c>
      <c r="F86" s="263">
        <v>45033</v>
      </c>
      <c r="G86" s="263">
        <v>45033</v>
      </c>
      <c r="H86" s="263">
        <v>46387</v>
      </c>
      <c r="I86" s="217"/>
      <c r="J86" s="217" t="s">
        <v>8828</v>
      </c>
      <c r="K86" s="217" t="s">
        <v>8829</v>
      </c>
      <c r="L86" s="217" t="s">
        <v>8830</v>
      </c>
      <c r="M86" s="217" t="s">
        <v>8831</v>
      </c>
      <c r="N86" s="217">
        <v>4</v>
      </c>
      <c r="O86" s="217">
        <v>4</v>
      </c>
      <c r="P86" s="217">
        <v>1</v>
      </c>
      <c r="Q86" s="263">
        <v>45074</v>
      </c>
      <c r="R86" s="217">
        <v>150</v>
      </c>
      <c r="S86" s="217" t="s">
        <v>8832</v>
      </c>
      <c r="T86" s="332">
        <v>0</v>
      </c>
      <c r="U86" s="217" t="s">
        <v>8250</v>
      </c>
    </row>
    <row r="87" spans="1:23" ht="191.25">
      <c r="A87" s="6">
        <v>83</v>
      </c>
      <c r="B87" s="216" t="s">
        <v>327</v>
      </c>
      <c r="C87" s="217">
        <v>2074192</v>
      </c>
      <c r="D87" s="217" t="s">
        <v>8833</v>
      </c>
      <c r="E87" s="217">
        <v>1</v>
      </c>
      <c r="F87" s="263">
        <v>44537</v>
      </c>
      <c r="G87" s="263">
        <v>44537</v>
      </c>
      <c r="H87" s="263">
        <v>45267</v>
      </c>
      <c r="I87" s="217" t="s">
        <v>8591</v>
      </c>
      <c r="J87" s="217" t="s">
        <v>8834</v>
      </c>
      <c r="K87" s="217" t="s">
        <v>8835</v>
      </c>
      <c r="L87" s="217" t="s">
        <v>8836</v>
      </c>
      <c r="M87" s="217" t="s">
        <v>8837</v>
      </c>
      <c r="N87" s="217">
        <v>0</v>
      </c>
      <c r="O87" s="217">
        <v>13</v>
      </c>
      <c r="P87" s="217">
        <v>0</v>
      </c>
      <c r="Q87" s="217" t="s">
        <v>8377</v>
      </c>
      <c r="R87" s="217">
        <v>0</v>
      </c>
      <c r="S87" s="217" t="s">
        <v>8838</v>
      </c>
      <c r="T87" s="332">
        <v>3000000000</v>
      </c>
      <c r="U87" s="217" t="s">
        <v>8250</v>
      </c>
      <c r="W87" s="308"/>
    </row>
    <row r="88" spans="1:23" ht="191.25">
      <c r="A88" s="6">
        <v>84</v>
      </c>
      <c r="B88" s="20" t="s">
        <v>327</v>
      </c>
      <c r="C88" s="9">
        <v>2074192</v>
      </c>
      <c r="D88" s="217" t="s">
        <v>8839</v>
      </c>
      <c r="E88" s="217">
        <v>2</v>
      </c>
      <c r="F88" s="263">
        <v>44568</v>
      </c>
      <c r="G88" s="263">
        <v>44537</v>
      </c>
      <c r="H88" s="263">
        <v>45267</v>
      </c>
      <c r="I88" s="217" t="s">
        <v>8591</v>
      </c>
      <c r="J88" s="217" t="s">
        <v>8840</v>
      </c>
      <c r="K88" s="217" t="s">
        <v>8841</v>
      </c>
      <c r="L88" s="217" t="s">
        <v>8836</v>
      </c>
      <c r="M88" s="217" t="s">
        <v>8837</v>
      </c>
      <c r="N88" s="217">
        <v>0</v>
      </c>
      <c r="O88" s="217">
        <v>13</v>
      </c>
      <c r="P88" s="217">
        <v>0</v>
      </c>
      <c r="Q88" s="217" t="s">
        <v>8377</v>
      </c>
      <c r="R88" s="217">
        <v>0</v>
      </c>
      <c r="S88" s="217" t="s">
        <v>8838</v>
      </c>
      <c r="T88" s="332">
        <v>1000000000</v>
      </c>
      <c r="U88" s="217" t="s">
        <v>8250</v>
      </c>
      <c r="W88" s="309"/>
    </row>
    <row r="89" spans="1:23" ht="38.25">
      <c r="A89" s="6">
        <v>85</v>
      </c>
      <c r="B89" s="20" t="s">
        <v>332</v>
      </c>
      <c r="C89" s="9">
        <v>5137977</v>
      </c>
      <c r="D89" s="217" t="s">
        <v>8842</v>
      </c>
      <c r="E89" s="217">
        <v>1</v>
      </c>
      <c r="F89" s="263">
        <v>45127</v>
      </c>
      <c r="G89" s="263">
        <v>45127</v>
      </c>
      <c r="H89" s="263">
        <v>45127</v>
      </c>
      <c r="I89" s="217" t="s">
        <v>8591</v>
      </c>
      <c r="J89" s="217" t="s">
        <v>372</v>
      </c>
      <c r="K89" s="217" t="s">
        <v>8843</v>
      </c>
      <c r="L89" s="217" t="s">
        <v>8844</v>
      </c>
      <c r="M89" s="217" t="s">
        <v>8845</v>
      </c>
      <c r="N89" s="217">
        <v>0</v>
      </c>
      <c r="O89" s="217">
        <v>0</v>
      </c>
      <c r="P89" s="217">
        <v>0</v>
      </c>
      <c r="Q89" s="217" t="s">
        <v>8377</v>
      </c>
      <c r="R89" s="217">
        <v>0</v>
      </c>
      <c r="S89" s="6">
        <v>0</v>
      </c>
      <c r="T89" s="332">
        <v>23500000</v>
      </c>
      <c r="U89" s="217" t="s">
        <v>8259</v>
      </c>
    </row>
  </sheetData>
  <conditionalFormatting sqref="B4:B6 B13:B15 B8:B10">
    <cfRule type="duplicateValues" dxfId="386" priority="174"/>
  </conditionalFormatting>
  <conditionalFormatting sqref="B21 B27:B34 B23:B25">
    <cfRule type="duplicateValues" dxfId="385" priority="138"/>
  </conditionalFormatting>
  <conditionalFormatting sqref="B35">
    <cfRule type="duplicateValues" dxfId="384" priority="10"/>
  </conditionalFormatting>
  <conditionalFormatting sqref="B36:B39 B88:B89 B86 B81 B51 B46:B48 B42:B44">
    <cfRule type="duplicateValues" dxfId="383" priority="177"/>
  </conditionalFormatting>
  <conditionalFormatting sqref="C4:C6 C13:C15 C8:C10">
    <cfRule type="duplicateValues" dxfId="382" priority="176"/>
  </conditionalFormatting>
  <conditionalFormatting sqref="C21 C27:C34 C23:C25">
    <cfRule type="duplicateValues" dxfId="381" priority="140"/>
  </conditionalFormatting>
  <conditionalFormatting sqref="C35">
    <cfRule type="duplicateValues" dxfId="380" priority="6"/>
  </conditionalFormatting>
  <conditionalFormatting sqref="C36:C39 C88:C89 C85:C86 C81 C51 C46:C48 C42:C44">
    <cfRule type="duplicateValues" dxfId="379" priority="179"/>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2140C-BE26-41FB-A46E-B93F97534202}">
  <sheetPr>
    <tabColor rgb="FF006432"/>
  </sheetPr>
  <dimension ref="A1:P115"/>
  <sheetViews>
    <sheetView workbookViewId="0">
      <pane xSplit="3" ySplit="4" topLeftCell="D5" activePane="bottomRight" state="frozen"/>
      <selection pane="bottomRight" activeCell="M3" sqref="M3"/>
      <selection pane="bottomLeft" activeCell="A5" sqref="A5"/>
      <selection pane="topRight" activeCell="D1" sqref="D1"/>
    </sheetView>
  </sheetViews>
  <sheetFormatPr defaultRowHeight="15"/>
  <cols>
    <col min="1" max="1" width="4.42578125" customWidth="1"/>
    <col min="2" max="2" width="12" customWidth="1"/>
    <col min="3" max="3" width="35.5703125" customWidth="1"/>
    <col min="4" max="4" width="35.140625" style="5" customWidth="1"/>
    <col min="5" max="5" width="13.28515625" style="5" customWidth="1"/>
    <col min="6" max="6" width="14.85546875" style="5" customWidth="1"/>
    <col min="7" max="7" width="13.5703125" style="7" customWidth="1"/>
    <col min="8" max="8" width="14.140625" style="7" customWidth="1"/>
    <col min="9" max="9" width="23.140625" style="7" customWidth="1"/>
    <col min="10" max="10" width="21.5703125" style="7" customWidth="1"/>
    <col min="11" max="11" width="19" style="7" customWidth="1"/>
    <col min="12" max="12" width="24.42578125" style="7" customWidth="1"/>
    <col min="13" max="13" width="22.5703125" style="7" customWidth="1"/>
    <col min="14" max="14" width="19" style="7" customWidth="1"/>
    <col min="15" max="15" width="20.42578125" style="7" customWidth="1"/>
    <col min="16" max="16" width="18.140625" style="7" customWidth="1"/>
  </cols>
  <sheetData>
    <row r="1" spans="1:16" ht="16.5" thickBot="1">
      <c r="A1" s="641" t="s">
        <v>8846</v>
      </c>
      <c r="B1" s="641"/>
      <c r="C1" s="641"/>
      <c r="D1" s="641"/>
      <c r="E1" s="641"/>
      <c r="F1" s="641"/>
      <c r="G1" s="641"/>
      <c r="H1" s="641"/>
      <c r="I1" s="641"/>
    </row>
    <row r="2" spans="1:16" ht="7.5" customHeight="1" thickTop="1"/>
    <row r="3" spans="1:16" s="5" customFormat="1" ht="51">
      <c r="A3" s="18" t="s">
        <v>114</v>
      </c>
      <c r="B3" s="18" t="s">
        <v>116</v>
      </c>
      <c r="C3" s="18" t="s">
        <v>690</v>
      </c>
      <c r="D3" s="18" t="s">
        <v>8847</v>
      </c>
      <c r="E3" s="18" t="s">
        <v>8848</v>
      </c>
      <c r="F3" s="18" t="s">
        <v>8849</v>
      </c>
      <c r="G3" s="18" t="s">
        <v>8850</v>
      </c>
      <c r="H3" s="18" t="s">
        <v>8851</v>
      </c>
      <c r="I3" s="56" t="s">
        <v>8852</v>
      </c>
      <c r="J3" s="55" t="s">
        <v>8853</v>
      </c>
      <c r="K3" s="55" t="s">
        <v>8854</v>
      </c>
      <c r="L3" s="55" t="s">
        <v>8855</v>
      </c>
      <c r="M3" s="55" t="s">
        <v>8856</v>
      </c>
      <c r="N3" s="55" t="s">
        <v>8857</v>
      </c>
      <c r="O3" s="55" t="s">
        <v>8858</v>
      </c>
      <c r="P3" s="55" t="s">
        <v>8859</v>
      </c>
    </row>
    <row r="4" spans="1:16">
      <c r="A4" s="10">
        <v>1</v>
      </c>
      <c r="B4" s="9">
        <v>2011239</v>
      </c>
      <c r="C4" s="20" t="s">
        <v>121</v>
      </c>
      <c r="D4" s="6" t="s">
        <v>382</v>
      </c>
      <c r="E4" s="6" t="s">
        <v>382</v>
      </c>
      <c r="F4" s="6" t="s">
        <v>382</v>
      </c>
      <c r="G4" s="108" t="s">
        <v>382</v>
      </c>
      <c r="H4" s="108" t="s">
        <v>382</v>
      </c>
      <c r="I4" s="108" t="s">
        <v>382</v>
      </c>
      <c r="J4" s="108" t="s">
        <v>382</v>
      </c>
      <c r="K4" s="108" t="s">
        <v>382</v>
      </c>
      <c r="L4" s="108" t="s">
        <v>382</v>
      </c>
      <c r="M4" s="108" t="s">
        <v>382</v>
      </c>
      <c r="N4" s="108" t="s">
        <v>382</v>
      </c>
      <c r="O4" s="108"/>
      <c r="P4" s="108"/>
    </row>
    <row r="5" spans="1:16">
      <c r="A5" s="10">
        <f>A4+1</f>
        <v>2</v>
      </c>
      <c r="B5" s="9">
        <v>5809797</v>
      </c>
      <c r="C5" s="20" t="s">
        <v>131</v>
      </c>
      <c r="D5" s="6" t="s">
        <v>8860</v>
      </c>
      <c r="E5" s="228">
        <v>42668</v>
      </c>
      <c r="F5" s="228">
        <v>42668</v>
      </c>
      <c r="G5" s="108" t="s">
        <v>8861</v>
      </c>
      <c r="H5" s="108" t="s">
        <v>382</v>
      </c>
      <c r="I5" s="108" t="s">
        <v>382</v>
      </c>
      <c r="J5" s="108" t="s">
        <v>382</v>
      </c>
      <c r="K5" s="108" t="s">
        <v>382</v>
      </c>
      <c r="L5" s="108" t="s">
        <v>382</v>
      </c>
      <c r="M5" s="108" t="s">
        <v>382</v>
      </c>
      <c r="N5" s="191">
        <v>27620.013999999999</v>
      </c>
      <c r="O5" s="191">
        <v>6984.7839999999997</v>
      </c>
      <c r="P5" s="191">
        <v>8240.4150000000009</v>
      </c>
    </row>
    <row r="6" spans="1:16">
      <c r="A6" s="10">
        <f t="shared" ref="A6:A16" si="0">A5+1</f>
        <v>3</v>
      </c>
      <c r="B6" s="9">
        <v>5118344</v>
      </c>
      <c r="C6" s="20" t="s">
        <v>133</v>
      </c>
      <c r="D6" s="6" t="s">
        <v>382</v>
      </c>
      <c r="E6" s="6" t="s">
        <v>382</v>
      </c>
      <c r="F6" s="6" t="s">
        <v>382</v>
      </c>
      <c r="G6" s="108" t="s">
        <v>382</v>
      </c>
      <c r="H6" s="108" t="s">
        <v>382</v>
      </c>
      <c r="I6" s="108" t="s">
        <v>382</v>
      </c>
      <c r="J6" s="108" t="s">
        <v>382</v>
      </c>
      <c r="K6" s="108" t="s">
        <v>382</v>
      </c>
      <c r="L6" s="108" t="s">
        <v>382</v>
      </c>
      <c r="M6" s="108" t="s">
        <v>382</v>
      </c>
      <c r="N6" s="108" t="s">
        <v>382</v>
      </c>
      <c r="O6" s="108" t="s">
        <v>382</v>
      </c>
      <c r="P6" s="108" t="s">
        <v>382</v>
      </c>
    </row>
    <row r="7" spans="1:16">
      <c r="A7" s="10">
        <f t="shared" si="0"/>
        <v>4</v>
      </c>
      <c r="B7" s="9">
        <v>5095549</v>
      </c>
      <c r="C7" s="20" t="s">
        <v>136</v>
      </c>
      <c r="D7" s="6" t="s">
        <v>8862</v>
      </c>
      <c r="E7" s="228">
        <v>40087</v>
      </c>
      <c r="F7" s="228">
        <v>42916</v>
      </c>
      <c r="G7" s="108" t="s">
        <v>8863</v>
      </c>
      <c r="H7" s="108">
        <v>10</v>
      </c>
      <c r="I7" s="277">
        <v>259100000</v>
      </c>
      <c r="J7" s="277">
        <v>233730435</v>
      </c>
      <c r="K7" s="108" t="s">
        <v>382</v>
      </c>
      <c r="L7" s="108" t="s">
        <v>382</v>
      </c>
      <c r="M7" s="277">
        <v>6500000</v>
      </c>
      <c r="N7" s="277">
        <v>21921385</v>
      </c>
      <c r="O7" s="277">
        <v>127233</v>
      </c>
      <c r="P7" s="108" t="s">
        <v>382</v>
      </c>
    </row>
    <row r="8" spans="1:16">
      <c r="A8" s="10">
        <f t="shared" si="0"/>
        <v>5</v>
      </c>
      <c r="B8" s="9">
        <v>2784165</v>
      </c>
      <c r="C8" s="20" t="s">
        <v>140</v>
      </c>
      <c r="D8" s="6" t="s">
        <v>1677</v>
      </c>
      <c r="E8" s="6" t="s">
        <v>382</v>
      </c>
      <c r="F8" s="228">
        <v>44371</v>
      </c>
      <c r="G8" s="108" t="s">
        <v>8864</v>
      </c>
      <c r="H8" s="108">
        <v>2</v>
      </c>
      <c r="I8" s="277">
        <v>2780000</v>
      </c>
      <c r="J8" s="191">
        <v>21975942.5</v>
      </c>
      <c r="K8" s="108" t="s">
        <v>382</v>
      </c>
      <c r="L8" s="191">
        <v>162174.9</v>
      </c>
      <c r="M8" s="108">
        <v>0.5</v>
      </c>
      <c r="N8" s="108">
        <v>0.28699999999999998</v>
      </c>
      <c r="O8" s="108" t="s">
        <v>382</v>
      </c>
      <c r="P8" s="108" t="s">
        <v>382</v>
      </c>
    </row>
    <row r="9" spans="1:16">
      <c r="A9" s="10">
        <f t="shared" si="0"/>
        <v>6</v>
      </c>
      <c r="B9" s="9">
        <v>5133351</v>
      </c>
      <c r="C9" s="20" t="s">
        <v>143</v>
      </c>
      <c r="D9" s="6" t="s">
        <v>4704</v>
      </c>
      <c r="E9" s="6" t="s">
        <v>382</v>
      </c>
      <c r="F9" s="228">
        <v>44722</v>
      </c>
      <c r="G9" s="108" t="s">
        <v>8865</v>
      </c>
      <c r="H9" s="108">
        <v>13</v>
      </c>
      <c r="I9" s="277">
        <v>477488400</v>
      </c>
      <c r="J9" s="108" t="s">
        <v>382</v>
      </c>
      <c r="K9" s="108" t="s">
        <v>382</v>
      </c>
      <c r="L9" s="108" t="s">
        <v>382</v>
      </c>
      <c r="M9" s="277">
        <v>103801000</v>
      </c>
      <c r="N9" s="108" t="s">
        <v>382</v>
      </c>
      <c r="O9" s="108" t="s">
        <v>382</v>
      </c>
      <c r="P9" s="108" t="s">
        <v>382</v>
      </c>
    </row>
    <row r="10" spans="1:16">
      <c r="A10" s="10">
        <f t="shared" si="0"/>
        <v>7</v>
      </c>
      <c r="B10" s="9">
        <v>6172768</v>
      </c>
      <c r="C10" s="20" t="s">
        <v>144</v>
      </c>
      <c r="D10" s="6" t="s">
        <v>4364</v>
      </c>
      <c r="E10" s="228">
        <v>43179</v>
      </c>
      <c r="F10" s="228">
        <v>43179</v>
      </c>
      <c r="G10" s="108" t="s">
        <v>8866</v>
      </c>
      <c r="H10" s="108">
        <v>6</v>
      </c>
      <c r="I10" s="277">
        <v>10000000000</v>
      </c>
      <c r="J10" s="277">
        <v>1736400000</v>
      </c>
      <c r="K10" s="108" t="s">
        <v>382</v>
      </c>
      <c r="L10" s="108" t="s">
        <v>382</v>
      </c>
      <c r="M10" s="108" t="s">
        <v>382</v>
      </c>
      <c r="N10" s="108" t="s">
        <v>382</v>
      </c>
      <c r="O10" s="108" t="s">
        <v>382</v>
      </c>
      <c r="P10" s="108">
        <v>250</v>
      </c>
    </row>
    <row r="11" spans="1:16">
      <c r="A11" s="10">
        <f t="shared" si="0"/>
        <v>8</v>
      </c>
      <c r="B11" s="9">
        <v>5439183</v>
      </c>
      <c r="C11" s="20" t="s">
        <v>149</v>
      </c>
      <c r="D11" s="6" t="s">
        <v>4273</v>
      </c>
      <c r="E11" s="228">
        <v>42915</v>
      </c>
      <c r="F11" s="228">
        <v>45062</v>
      </c>
      <c r="G11" s="108" t="s">
        <v>8867</v>
      </c>
      <c r="H11" s="108">
        <v>30</v>
      </c>
      <c r="I11" s="277">
        <v>9076800000</v>
      </c>
      <c r="J11" s="277">
        <v>6323900000</v>
      </c>
      <c r="K11" s="277">
        <v>1000000000</v>
      </c>
      <c r="L11" s="277">
        <v>1171264461</v>
      </c>
      <c r="M11" s="277">
        <v>91429</v>
      </c>
      <c r="N11" s="191">
        <v>10804.29</v>
      </c>
      <c r="O11" s="108">
        <v>271</v>
      </c>
      <c r="P11" s="277">
        <v>5548</v>
      </c>
    </row>
    <row r="12" spans="1:16">
      <c r="A12" s="10">
        <f t="shared" si="0"/>
        <v>9</v>
      </c>
      <c r="B12" s="9">
        <v>2008572</v>
      </c>
      <c r="C12" s="20" t="s">
        <v>152</v>
      </c>
      <c r="D12" s="6" t="s">
        <v>382</v>
      </c>
      <c r="E12" s="6" t="s">
        <v>382</v>
      </c>
      <c r="F12" s="6" t="s">
        <v>382</v>
      </c>
      <c r="G12" s="108" t="s">
        <v>382</v>
      </c>
      <c r="H12" s="108" t="s">
        <v>382</v>
      </c>
      <c r="I12" s="108" t="s">
        <v>382</v>
      </c>
      <c r="J12" s="108" t="s">
        <v>382</v>
      </c>
      <c r="K12" s="108" t="s">
        <v>382</v>
      </c>
      <c r="L12" s="108" t="s">
        <v>382</v>
      </c>
      <c r="M12" s="108" t="s">
        <v>382</v>
      </c>
      <c r="N12" s="108" t="s">
        <v>382</v>
      </c>
      <c r="O12" s="108" t="s">
        <v>382</v>
      </c>
      <c r="P12" s="108" t="s">
        <v>382</v>
      </c>
    </row>
    <row r="13" spans="1:16">
      <c r="A13" s="10">
        <f t="shared" si="0"/>
        <v>10</v>
      </c>
      <c r="B13" s="9">
        <v>5215919</v>
      </c>
      <c r="C13" s="20" t="s">
        <v>155</v>
      </c>
      <c r="D13" s="6" t="s">
        <v>382</v>
      </c>
      <c r="E13" s="6" t="s">
        <v>382</v>
      </c>
      <c r="F13" s="6" t="s">
        <v>382</v>
      </c>
      <c r="G13" s="108" t="s">
        <v>382</v>
      </c>
      <c r="H13" s="108" t="s">
        <v>382</v>
      </c>
      <c r="I13" s="108" t="s">
        <v>382</v>
      </c>
      <c r="J13" s="108" t="s">
        <v>382</v>
      </c>
      <c r="K13" s="108" t="s">
        <v>382</v>
      </c>
      <c r="L13" s="108" t="s">
        <v>382</v>
      </c>
      <c r="M13" s="108" t="s">
        <v>382</v>
      </c>
      <c r="N13" s="108" t="s">
        <v>382</v>
      </c>
      <c r="O13" s="108" t="s">
        <v>382</v>
      </c>
      <c r="P13" s="108" t="s">
        <v>382</v>
      </c>
    </row>
    <row r="14" spans="1:16">
      <c r="A14" s="10">
        <f t="shared" si="0"/>
        <v>11</v>
      </c>
      <c r="B14" s="9">
        <v>5502977</v>
      </c>
      <c r="C14" s="20" t="s">
        <v>157</v>
      </c>
      <c r="D14" s="6" t="s">
        <v>8868</v>
      </c>
      <c r="E14" s="228">
        <v>41573</v>
      </c>
      <c r="F14" s="228">
        <v>42039</v>
      </c>
      <c r="G14" s="108" t="s">
        <v>8869</v>
      </c>
      <c r="H14" s="108">
        <v>22</v>
      </c>
      <c r="I14" s="277">
        <v>1958469388</v>
      </c>
      <c r="J14" s="108" t="s">
        <v>382</v>
      </c>
      <c r="K14" s="191">
        <v>45440775.659999996</v>
      </c>
      <c r="L14" s="191">
        <v>45465766.32</v>
      </c>
      <c r="M14" s="277">
        <v>2050</v>
      </c>
      <c r="N14" s="108">
        <v>13.09</v>
      </c>
      <c r="O14" s="108">
        <v>9.16</v>
      </c>
      <c r="P14" s="108" t="s">
        <v>382</v>
      </c>
    </row>
    <row r="15" spans="1:16">
      <c r="A15" s="10">
        <f t="shared" si="0"/>
        <v>12</v>
      </c>
      <c r="B15" s="9">
        <v>2708701</v>
      </c>
      <c r="C15" s="20" t="s">
        <v>159</v>
      </c>
      <c r="D15" s="6" t="s">
        <v>382</v>
      </c>
      <c r="E15" s="6" t="s">
        <v>382</v>
      </c>
      <c r="F15" s="6" t="s">
        <v>382</v>
      </c>
      <c r="G15" s="108" t="s">
        <v>382</v>
      </c>
      <c r="H15" s="108" t="s">
        <v>382</v>
      </c>
      <c r="I15" s="108" t="s">
        <v>382</v>
      </c>
      <c r="J15" s="108" t="s">
        <v>382</v>
      </c>
      <c r="K15" s="108" t="s">
        <v>382</v>
      </c>
      <c r="L15" s="108" t="s">
        <v>382</v>
      </c>
      <c r="M15" s="108" t="s">
        <v>382</v>
      </c>
      <c r="N15" s="108" t="s">
        <v>382</v>
      </c>
      <c r="O15" s="108" t="s">
        <v>382</v>
      </c>
      <c r="P15" s="108" t="s">
        <v>382</v>
      </c>
    </row>
    <row r="16" spans="1:16">
      <c r="A16" s="10">
        <f t="shared" si="0"/>
        <v>13</v>
      </c>
      <c r="B16" s="9">
        <v>6414877</v>
      </c>
      <c r="C16" s="20" t="s">
        <v>165</v>
      </c>
      <c r="D16" s="6" t="s">
        <v>382</v>
      </c>
      <c r="E16" s="6" t="s">
        <v>382</v>
      </c>
      <c r="F16" s="6" t="s">
        <v>382</v>
      </c>
      <c r="G16" s="108" t="s">
        <v>382</v>
      </c>
      <c r="H16" s="108" t="s">
        <v>382</v>
      </c>
      <c r="I16" s="108" t="s">
        <v>382</v>
      </c>
      <c r="J16" s="108" t="s">
        <v>382</v>
      </c>
      <c r="K16" s="108" t="s">
        <v>382</v>
      </c>
      <c r="L16" s="108" t="s">
        <v>382</v>
      </c>
      <c r="M16" s="108" t="s">
        <v>382</v>
      </c>
      <c r="N16" s="108" t="s">
        <v>382</v>
      </c>
      <c r="O16" s="108" t="s">
        <v>382</v>
      </c>
      <c r="P16" s="108" t="s">
        <v>382</v>
      </c>
    </row>
    <row r="17" spans="1:16">
      <c r="A17" s="549">
        <f>A16+1</f>
        <v>14</v>
      </c>
      <c r="B17" s="545">
        <v>5369223</v>
      </c>
      <c r="C17" s="543" t="s">
        <v>168</v>
      </c>
      <c r="D17" s="6" t="s">
        <v>1621</v>
      </c>
      <c r="E17" s="228">
        <v>45397</v>
      </c>
      <c r="F17" s="228">
        <v>45203</v>
      </c>
      <c r="G17" s="108" t="s">
        <v>8870</v>
      </c>
      <c r="H17" s="108">
        <v>7</v>
      </c>
      <c r="I17" s="277">
        <v>7792500</v>
      </c>
      <c r="J17" s="108" t="s">
        <v>382</v>
      </c>
      <c r="K17" s="108" t="s">
        <v>382</v>
      </c>
      <c r="L17" s="108" t="s">
        <v>382</v>
      </c>
      <c r="M17" s="321">
        <v>500000</v>
      </c>
      <c r="N17" s="108" t="s">
        <v>382</v>
      </c>
      <c r="O17" s="277">
        <v>212989</v>
      </c>
      <c r="P17" s="277">
        <v>452550</v>
      </c>
    </row>
    <row r="18" spans="1:16">
      <c r="A18" s="550"/>
      <c r="B18" s="546"/>
      <c r="C18" s="544"/>
      <c r="D18" s="6" t="s">
        <v>2203</v>
      </c>
      <c r="E18" s="228">
        <v>45397</v>
      </c>
      <c r="F18" s="228">
        <v>45007</v>
      </c>
      <c r="G18" s="108" t="s">
        <v>8871</v>
      </c>
      <c r="H18" s="108">
        <v>9</v>
      </c>
      <c r="I18" s="277">
        <v>12396300</v>
      </c>
      <c r="J18" s="108" t="s">
        <v>382</v>
      </c>
      <c r="K18" s="108" t="s">
        <v>382</v>
      </c>
      <c r="L18" s="108" t="s">
        <v>382</v>
      </c>
      <c r="M18" s="277">
        <v>1000000</v>
      </c>
      <c r="N18" s="108" t="s">
        <v>382</v>
      </c>
      <c r="O18" s="108" t="s">
        <v>382</v>
      </c>
      <c r="P18" s="277">
        <v>949810</v>
      </c>
    </row>
    <row r="19" spans="1:16">
      <c r="A19" s="10">
        <f>A17+1</f>
        <v>15</v>
      </c>
      <c r="B19" s="9">
        <v>5294088</v>
      </c>
      <c r="C19" s="20" t="s">
        <v>169</v>
      </c>
      <c r="D19" s="6" t="s">
        <v>1953</v>
      </c>
      <c r="E19" s="228">
        <v>44743</v>
      </c>
      <c r="F19" s="228">
        <v>44743</v>
      </c>
      <c r="G19" s="108" t="s">
        <v>8872</v>
      </c>
      <c r="H19" s="108">
        <v>14</v>
      </c>
      <c r="I19" s="277">
        <v>930520</v>
      </c>
      <c r="J19" s="277">
        <v>277500</v>
      </c>
      <c r="K19" s="108" t="s">
        <v>382</v>
      </c>
      <c r="L19" s="108" t="s">
        <v>382</v>
      </c>
      <c r="M19" s="277">
        <v>600000</v>
      </c>
      <c r="N19" s="191">
        <v>1506433.8</v>
      </c>
      <c r="O19" s="191">
        <v>236547.33</v>
      </c>
      <c r="P19" s="277">
        <v>250000</v>
      </c>
    </row>
    <row r="20" spans="1:16">
      <c r="A20" s="10">
        <f>A19+1</f>
        <v>16</v>
      </c>
      <c r="B20" s="9">
        <v>2855119</v>
      </c>
      <c r="C20" s="20" t="s">
        <v>173</v>
      </c>
      <c r="D20" s="6" t="s">
        <v>382</v>
      </c>
      <c r="E20" s="6" t="s">
        <v>382</v>
      </c>
      <c r="F20" s="6" t="s">
        <v>382</v>
      </c>
      <c r="G20" s="108" t="s">
        <v>382</v>
      </c>
      <c r="H20" s="108" t="s">
        <v>382</v>
      </c>
      <c r="I20" s="108" t="s">
        <v>382</v>
      </c>
      <c r="J20" s="108" t="s">
        <v>382</v>
      </c>
      <c r="K20" s="108" t="s">
        <v>382</v>
      </c>
      <c r="L20" s="108" t="s">
        <v>382</v>
      </c>
      <c r="M20" s="108" t="s">
        <v>382</v>
      </c>
      <c r="N20" s="108" t="s">
        <v>382</v>
      </c>
      <c r="O20" s="108" t="s">
        <v>382</v>
      </c>
      <c r="P20" s="108" t="s">
        <v>382</v>
      </c>
    </row>
    <row r="21" spans="1:16">
      <c r="A21" s="10">
        <f>A20+1</f>
        <v>17</v>
      </c>
      <c r="B21" s="9">
        <v>2094533</v>
      </c>
      <c r="C21" s="20" t="s">
        <v>174</v>
      </c>
      <c r="D21" s="6" t="s">
        <v>382</v>
      </c>
      <c r="E21" s="6" t="s">
        <v>382</v>
      </c>
      <c r="F21" s="6" t="s">
        <v>382</v>
      </c>
      <c r="G21" s="108" t="s">
        <v>382</v>
      </c>
      <c r="H21" s="108" t="s">
        <v>382</v>
      </c>
      <c r="I21" s="108" t="s">
        <v>382</v>
      </c>
      <c r="J21" s="108" t="s">
        <v>382</v>
      </c>
      <c r="K21" s="108" t="s">
        <v>382</v>
      </c>
      <c r="L21" s="108" t="s">
        <v>382</v>
      </c>
      <c r="M21" s="108" t="s">
        <v>382</v>
      </c>
      <c r="N21" s="108" t="s">
        <v>382</v>
      </c>
      <c r="O21" s="108" t="s">
        <v>382</v>
      </c>
      <c r="P21" s="108" t="s">
        <v>382</v>
      </c>
    </row>
    <row r="22" spans="1:16">
      <c r="A22" s="10">
        <f t="shared" ref="A22:A24" si="1">A21+1</f>
        <v>18</v>
      </c>
      <c r="B22" s="9">
        <v>5722942</v>
      </c>
      <c r="C22" s="20" t="s">
        <v>175</v>
      </c>
      <c r="D22" s="6" t="s">
        <v>382</v>
      </c>
      <c r="E22" s="6" t="s">
        <v>382</v>
      </c>
      <c r="F22" s="6" t="s">
        <v>382</v>
      </c>
      <c r="G22" s="108" t="s">
        <v>382</v>
      </c>
      <c r="H22" s="108" t="s">
        <v>382</v>
      </c>
      <c r="I22" s="108" t="s">
        <v>382</v>
      </c>
      <c r="J22" s="108" t="s">
        <v>382</v>
      </c>
      <c r="K22" s="108" t="s">
        <v>382</v>
      </c>
      <c r="L22" s="108" t="s">
        <v>382</v>
      </c>
      <c r="M22" s="108" t="s">
        <v>382</v>
      </c>
      <c r="N22" s="108" t="s">
        <v>382</v>
      </c>
      <c r="O22" s="108" t="s">
        <v>382</v>
      </c>
      <c r="P22" s="108" t="s">
        <v>382</v>
      </c>
    </row>
    <row r="23" spans="1:16">
      <c r="A23" s="10">
        <f t="shared" si="1"/>
        <v>19</v>
      </c>
      <c r="B23" s="9">
        <v>2867494</v>
      </c>
      <c r="C23" s="20" t="s">
        <v>176</v>
      </c>
      <c r="D23" s="6" t="s">
        <v>382</v>
      </c>
      <c r="E23" s="6" t="s">
        <v>382</v>
      </c>
      <c r="F23" s="6" t="s">
        <v>382</v>
      </c>
      <c r="G23" s="108" t="s">
        <v>382</v>
      </c>
      <c r="H23" s="108" t="s">
        <v>382</v>
      </c>
      <c r="I23" s="108" t="s">
        <v>382</v>
      </c>
      <c r="J23" s="108" t="s">
        <v>382</v>
      </c>
      <c r="K23" s="108" t="s">
        <v>382</v>
      </c>
      <c r="L23" s="108" t="s">
        <v>382</v>
      </c>
      <c r="M23" s="108" t="s">
        <v>382</v>
      </c>
      <c r="N23" s="108" t="s">
        <v>382</v>
      </c>
      <c r="O23" s="108" t="s">
        <v>382</v>
      </c>
      <c r="P23" s="108" t="s">
        <v>382</v>
      </c>
    </row>
    <row r="24" spans="1:16">
      <c r="A24" s="10">
        <f t="shared" si="1"/>
        <v>20</v>
      </c>
      <c r="B24" s="9">
        <v>6463932</v>
      </c>
      <c r="C24" s="20" t="s">
        <v>177</v>
      </c>
      <c r="D24" s="6" t="s">
        <v>382</v>
      </c>
      <c r="E24" s="6" t="s">
        <v>382</v>
      </c>
      <c r="F24" s="6" t="s">
        <v>382</v>
      </c>
      <c r="G24" s="108" t="s">
        <v>382</v>
      </c>
      <c r="H24" s="108" t="s">
        <v>382</v>
      </c>
      <c r="I24" s="108" t="s">
        <v>382</v>
      </c>
      <c r="J24" s="108" t="s">
        <v>382</v>
      </c>
      <c r="K24" s="108" t="s">
        <v>382</v>
      </c>
      <c r="L24" s="108" t="s">
        <v>382</v>
      </c>
      <c r="M24" s="108" t="s">
        <v>382</v>
      </c>
      <c r="N24" s="108" t="s">
        <v>382</v>
      </c>
      <c r="O24" s="108" t="s">
        <v>382</v>
      </c>
      <c r="P24" s="108" t="s">
        <v>382</v>
      </c>
    </row>
    <row r="25" spans="1:16" ht="38.25">
      <c r="A25" s="12">
        <f>A24+1</f>
        <v>21</v>
      </c>
      <c r="B25" s="9">
        <v>2061848</v>
      </c>
      <c r="C25" s="20" t="s">
        <v>183</v>
      </c>
      <c r="D25" s="1" t="s">
        <v>8873</v>
      </c>
      <c r="E25" s="228">
        <v>43266</v>
      </c>
      <c r="F25" s="228">
        <v>43236</v>
      </c>
      <c r="G25" s="108" t="s">
        <v>8874</v>
      </c>
      <c r="H25" s="108">
        <v>7</v>
      </c>
      <c r="I25" s="277">
        <v>1505800</v>
      </c>
      <c r="J25" s="322">
        <v>1655408</v>
      </c>
      <c r="K25" s="277">
        <v>140000</v>
      </c>
      <c r="L25" s="277">
        <v>39200</v>
      </c>
      <c r="M25" s="108">
        <v>2.8000000000000001E-2</v>
      </c>
      <c r="N25" s="108">
        <v>0.111</v>
      </c>
      <c r="O25" s="108">
        <v>0.01</v>
      </c>
      <c r="P25" s="108">
        <v>2.5000000000000001E-2</v>
      </c>
    </row>
    <row r="26" spans="1:16" ht="89.25">
      <c r="A26" s="12">
        <f>A25+1</f>
        <v>22</v>
      </c>
      <c r="B26" s="9">
        <v>5217652</v>
      </c>
      <c r="C26" s="20" t="s">
        <v>188</v>
      </c>
      <c r="D26" s="1" t="s">
        <v>8875</v>
      </c>
      <c r="E26" s="6" t="s">
        <v>382</v>
      </c>
      <c r="F26" s="228">
        <v>44272</v>
      </c>
      <c r="G26" s="108" t="s">
        <v>8876</v>
      </c>
      <c r="H26" s="108">
        <v>5</v>
      </c>
      <c r="I26" s="277">
        <v>44300000</v>
      </c>
      <c r="J26" s="277">
        <v>115447800</v>
      </c>
      <c r="K26" s="277">
        <v>50000000</v>
      </c>
      <c r="L26" s="277">
        <v>39252940</v>
      </c>
      <c r="M26" s="277">
        <v>1500000</v>
      </c>
      <c r="N26" s="191">
        <v>1191915.77</v>
      </c>
      <c r="O26" s="191">
        <v>594491.42000000004</v>
      </c>
      <c r="P26" s="277">
        <v>1638500</v>
      </c>
    </row>
    <row r="27" spans="1:16">
      <c r="A27" s="10">
        <f>A26+1</f>
        <v>23</v>
      </c>
      <c r="B27" s="9">
        <v>2780518</v>
      </c>
      <c r="C27" s="20" t="s">
        <v>189</v>
      </c>
      <c r="D27" s="6" t="s">
        <v>382</v>
      </c>
      <c r="E27" s="6" t="s">
        <v>382</v>
      </c>
      <c r="F27" s="6" t="s">
        <v>382</v>
      </c>
      <c r="G27" s="108" t="s">
        <v>382</v>
      </c>
      <c r="H27" s="108" t="s">
        <v>382</v>
      </c>
      <c r="I27" s="108" t="s">
        <v>382</v>
      </c>
      <c r="J27" s="108" t="s">
        <v>382</v>
      </c>
      <c r="K27" s="108" t="s">
        <v>382</v>
      </c>
      <c r="L27" s="108" t="s">
        <v>382</v>
      </c>
      <c r="M27" s="108" t="s">
        <v>382</v>
      </c>
      <c r="N27" s="108" t="s">
        <v>382</v>
      </c>
      <c r="O27" s="108" t="s">
        <v>382</v>
      </c>
      <c r="P27" s="108" t="s">
        <v>382</v>
      </c>
    </row>
    <row r="28" spans="1:16">
      <c r="A28" s="10">
        <f>A27+1</f>
        <v>24</v>
      </c>
      <c r="B28" s="9">
        <v>5467268</v>
      </c>
      <c r="C28" s="20" t="s">
        <v>194</v>
      </c>
      <c r="D28" s="6" t="s">
        <v>382</v>
      </c>
      <c r="E28" s="6" t="s">
        <v>382</v>
      </c>
      <c r="F28" s="6" t="s">
        <v>382</v>
      </c>
      <c r="G28" s="108" t="s">
        <v>382</v>
      </c>
      <c r="H28" s="108" t="s">
        <v>382</v>
      </c>
      <c r="I28" s="108" t="s">
        <v>382</v>
      </c>
      <c r="J28" s="108" t="s">
        <v>382</v>
      </c>
      <c r="K28" s="108" t="s">
        <v>382</v>
      </c>
      <c r="L28" s="108" t="s">
        <v>382</v>
      </c>
      <c r="M28" s="108" t="s">
        <v>382</v>
      </c>
      <c r="N28" s="108" t="s">
        <v>382</v>
      </c>
      <c r="O28" s="108" t="s">
        <v>382</v>
      </c>
      <c r="P28" s="108" t="s">
        <v>382</v>
      </c>
    </row>
    <row r="29" spans="1:16">
      <c r="A29" s="10">
        <f t="shared" ref="A29:A39" si="2">A28+1</f>
        <v>25</v>
      </c>
      <c r="B29" s="9">
        <v>5522935</v>
      </c>
      <c r="C29" s="20" t="s">
        <v>196</v>
      </c>
      <c r="D29" s="6" t="s">
        <v>8877</v>
      </c>
      <c r="E29" s="228">
        <v>41016</v>
      </c>
      <c r="F29" s="228">
        <v>45280</v>
      </c>
      <c r="G29" s="108" t="s">
        <v>8878</v>
      </c>
      <c r="H29" s="108">
        <v>10</v>
      </c>
      <c r="I29" s="277">
        <v>8255500</v>
      </c>
      <c r="J29" s="108" t="s">
        <v>382</v>
      </c>
      <c r="K29" s="108" t="s">
        <v>382</v>
      </c>
      <c r="L29" s="108" t="s">
        <v>382</v>
      </c>
      <c r="M29" s="277">
        <v>4000000</v>
      </c>
      <c r="N29" s="191">
        <v>153450.1</v>
      </c>
      <c r="O29" s="108" t="s">
        <v>382</v>
      </c>
      <c r="P29" s="277">
        <v>2500000</v>
      </c>
    </row>
    <row r="30" spans="1:16">
      <c r="A30" s="10">
        <f t="shared" si="2"/>
        <v>26</v>
      </c>
      <c r="B30" s="9">
        <v>5396662</v>
      </c>
      <c r="C30" s="20" t="s">
        <v>198</v>
      </c>
      <c r="D30" s="6" t="s">
        <v>382</v>
      </c>
      <c r="E30" s="6" t="s">
        <v>382</v>
      </c>
      <c r="F30" s="6" t="s">
        <v>382</v>
      </c>
      <c r="G30" s="108" t="s">
        <v>382</v>
      </c>
      <c r="H30" s="108" t="s">
        <v>382</v>
      </c>
      <c r="I30" s="108" t="s">
        <v>382</v>
      </c>
      <c r="J30" s="108" t="s">
        <v>382</v>
      </c>
      <c r="K30" s="108" t="s">
        <v>382</v>
      </c>
      <c r="L30" s="108" t="s">
        <v>382</v>
      </c>
      <c r="M30" s="108" t="s">
        <v>382</v>
      </c>
      <c r="N30" s="108" t="s">
        <v>382</v>
      </c>
      <c r="O30" s="108" t="s">
        <v>382</v>
      </c>
      <c r="P30" s="108" t="s">
        <v>382</v>
      </c>
    </row>
    <row r="31" spans="1:16">
      <c r="A31" s="10">
        <f t="shared" si="2"/>
        <v>27</v>
      </c>
      <c r="B31" s="9">
        <v>5830974</v>
      </c>
      <c r="C31" s="20" t="s">
        <v>199</v>
      </c>
      <c r="D31" s="6" t="s">
        <v>8879</v>
      </c>
      <c r="E31" s="6" t="s">
        <v>382</v>
      </c>
      <c r="F31" s="228">
        <v>43224</v>
      </c>
      <c r="G31" s="108" t="s">
        <v>8880</v>
      </c>
      <c r="H31" s="108">
        <v>10</v>
      </c>
      <c r="I31" s="108" t="s">
        <v>382</v>
      </c>
      <c r="J31" s="108" t="s">
        <v>382</v>
      </c>
      <c r="K31" s="108" t="s">
        <v>382</v>
      </c>
      <c r="L31" s="108" t="s">
        <v>382</v>
      </c>
      <c r="M31" s="108" t="s">
        <v>382</v>
      </c>
      <c r="N31" s="108" t="s">
        <v>382</v>
      </c>
      <c r="O31" s="108" t="s">
        <v>382</v>
      </c>
      <c r="P31" s="108" t="s">
        <v>382</v>
      </c>
    </row>
    <row r="32" spans="1:16">
      <c r="A32" s="10">
        <f t="shared" si="2"/>
        <v>28</v>
      </c>
      <c r="B32" s="9">
        <v>2057573</v>
      </c>
      <c r="C32" s="20" t="s">
        <v>201</v>
      </c>
      <c r="D32" s="6" t="s">
        <v>8881</v>
      </c>
      <c r="E32" s="228">
        <v>45380</v>
      </c>
      <c r="F32" s="228">
        <v>43396</v>
      </c>
      <c r="G32" s="108" t="s">
        <v>8882</v>
      </c>
      <c r="H32" s="108">
        <v>4</v>
      </c>
      <c r="I32" s="277">
        <v>10577940000</v>
      </c>
      <c r="J32" s="108" t="s">
        <v>382</v>
      </c>
      <c r="K32" s="108" t="s">
        <v>382</v>
      </c>
      <c r="L32" s="108" t="s">
        <v>382</v>
      </c>
      <c r="M32" s="277">
        <v>80000</v>
      </c>
      <c r="N32" s="108" t="s">
        <v>382</v>
      </c>
      <c r="O32" s="108" t="s">
        <v>382</v>
      </c>
      <c r="P32" s="108" t="s">
        <v>382</v>
      </c>
    </row>
    <row r="33" spans="1:16">
      <c r="A33" s="10">
        <f t="shared" si="2"/>
        <v>29</v>
      </c>
      <c r="B33" s="9">
        <v>5699134</v>
      </c>
      <c r="C33" s="20" t="s">
        <v>202</v>
      </c>
      <c r="D33" s="6" t="s">
        <v>202</v>
      </c>
      <c r="E33" s="228">
        <v>40347</v>
      </c>
      <c r="F33" s="228">
        <v>40347</v>
      </c>
      <c r="G33" s="108" t="s">
        <v>8883</v>
      </c>
      <c r="H33" s="108">
        <v>3</v>
      </c>
      <c r="I33" s="277">
        <v>35563200</v>
      </c>
      <c r="J33" s="277">
        <v>53532297</v>
      </c>
      <c r="K33" s="277">
        <v>45215600</v>
      </c>
      <c r="L33" s="277">
        <v>25831700</v>
      </c>
      <c r="M33" s="277">
        <v>25205</v>
      </c>
      <c r="N33" s="108" t="s">
        <v>382</v>
      </c>
      <c r="O33" s="108" t="s">
        <v>382</v>
      </c>
      <c r="P33" s="277">
        <v>18969</v>
      </c>
    </row>
    <row r="34" spans="1:16">
      <c r="A34" s="10">
        <f t="shared" si="2"/>
        <v>30</v>
      </c>
      <c r="B34" s="9">
        <v>5412153</v>
      </c>
      <c r="C34" s="20" t="s">
        <v>203</v>
      </c>
      <c r="D34" s="6" t="s">
        <v>4336</v>
      </c>
      <c r="E34" s="228">
        <v>44535</v>
      </c>
      <c r="F34" s="228">
        <v>45168</v>
      </c>
      <c r="G34" s="108" t="s">
        <v>8884</v>
      </c>
      <c r="H34" s="108">
        <v>60</v>
      </c>
      <c r="I34" s="277">
        <v>877750900</v>
      </c>
      <c r="J34" s="277">
        <v>279451745</v>
      </c>
      <c r="K34" s="277">
        <v>91897120</v>
      </c>
      <c r="L34" s="277">
        <v>67515997</v>
      </c>
      <c r="M34" s="277">
        <v>3000000</v>
      </c>
      <c r="N34" s="277">
        <v>475850</v>
      </c>
      <c r="O34" s="277">
        <v>475850</v>
      </c>
      <c r="P34" s="277">
        <v>1250000</v>
      </c>
    </row>
    <row r="35" spans="1:16">
      <c r="A35" s="10">
        <f t="shared" si="2"/>
        <v>31</v>
      </c>
      <c r="B35" s="9">
        <v>2034859</v>
      </c>
      <c r="C35" s="20" t="s">
        <v>204</v>
      </c>
      <c r="D35" s="6" t="s">
        <v>382</v>
      </c>
      <c r="E35" s="6" t="s">
        <v>382</v>
      </c>
      <c r="F35" s="6" t="s">
        <v>382</v>
      </c>
      <c r="G35" s="108" t="s">
        <v>382</v>
      </c>
      <c r="H35" s="108" t="s">
        <v>382</v>
      </c>
      <c r="I35" s="108" t="s">
        <v>382</v>
      </c>
      <c r="J35" s="108" t="s">
        <v>382</v>
      </c>
      <c r="K35" s="108" t="s">
        <v>382</v>
      </c>
      <c r="L35" s="108" t="s">
        <v>382</v>
      </c>
      <c r="M35" s="108" t="s">
        <v>382</v>
      </c>
      <c r="N35" s="108" t="s">
        <v>382</v>
      </c>
      <c r="O35" s="108" t="s">
        <v>382</v>
      </c>
      <c r="P35" s="108" t="s">
        <v>382</v>
      </c>
    </row>
    <row r="36" spans="1:16">
      <c r="A36" s="10">
        <f t="shared" si="2"/>
        <v>32</v>
      </c>
      <c r="B36" s="9">
        <v>5253535</v>
      </c>
      <c r="C36" s="20" t="s">
        <v>208</v>
      </c>
      <c r="D36" s="6" t="s">
        <v>382</v>
      </c>
      <c r="E36" s="6" t="s">
        <v>382</v>
      </c>
      <c r="F36" s="6" t="s">
        <v>382</v>
      </c>
      <c r="G36" s="108" t="s">
        <v>382</v>
      </c>
      <c r="H36" s="108" t="s">
        <v>382</v>
      </c>
      <c r="I36" s="108" t="s">
        <v>382</v>
      </c>
      <c r="J36" s="108" t="s">
        <v>382</v>
      </c>
      <c r="K36" s="108" t="s">
        <v>382</v>
      </c>
      <c r="L36" s="108" t="s">
        <v>382</v>
      </c>
      <c r="M36" s="108" t="s">
        <v>382</v>
      </c>
      <c r="N36" s="108" t="s">
        <v>382</v>
      </c>
      <c r="O36" s="108" t="s">
        <v>382</v>
      </c>
      <c r="P36" s="108" t="s">
        <v>382</v>
      </c>
    </row>
    <row r="37" spans="1:16">
      <c r="A37" s="10">
        <f t="shared" si="2"/>
        <v>33</v>
      </c>
      <c r="B37" s="9">
        <v>5150884</v>
      </c>
      <c r="C37" s="20" t="s">
        <v>210</v>
      </c>
      <c r="D37" s="6" t="s">
        <v>382</v>
      </c>
      <c r="E37" s="6" t="s">
        <v>382</v>
      </c>
      <c r="F37" s="6" t="s">
        <v>382</v>
      </c>
      <c r="G37" s="108" t="s">
        <v>382</v>
      </c>
      <c r="H37" s="108" t="s">
        <v>382</v>
      </c>
      <c r="I37" s="108" t="s">
        <v>382</v>
      </c>
      <c r="J37" s="108" t="s">
        <v>382</v>
      </c>
      <c r="K37" s="108" t="s">
        <v>382</v>
      </c>
      <c r="L37" s="108" t="s">
        <v>382</v>
      </c>
      <c r="M37" s="108" t="s">
        <v>382</v>
      </c>
      <c r="N37" s="108" t="s">
        <v>382</v>
      </c>
      <c r="O37" s="108" t="s">
        <v>382</v>
      </c>
      <c r="P37" s="108" t="s">
        <v>382</v>
      </c>
    </row>
    <row r="38" spans="1:16">
      <c r="A38" s="10">
        <f t="shared" si="2"/>
        <v>34</v>
      </c>
      <c r="B38" s="9">
        <v>5051304</v>
      </c>
      <c r="C38" s="20" t="s">
        <v>211</v>
      </c>
      <c r="D38" s="6" t="s">
        <v>382</v>
      </c>
      <c r="E38" s="6" t="s">
        <v>382</v>
      </c>
      <c r="F38" s="6" t="s">
        <v>382</v>
      </c>
      <c r="G38" s="108" t="s">
        <v>382</v>
      </c>
      <c r="H38" s="108" t="s">
        <v>382</v>
      </c>
      <c r="I38" s="108" t="s">
        <v>382</v>
      </c>
      <c r="J38" s="108" t="s">
        <v>382</v>
      </c>
      <c r="K38" s="108" t="s">
        <v>382</v>
      </c>
      <c r="L38" s="108" t="s">
        <v>382</v>
      </c>
      <c r="M38" s="108" t="s">
        <v>382</v>
      </c>
      <c r="N38" s="108" t="s">
        <v>382</v>
      </c>
      <c r="O38" s="108" t="s">
        <v>382</v>
      </c>
      <c r="P38" s="108" t="s">
        <v>382</v>
      </c>
    </row>
    <row r="39" spans="1:16">
      <c r="A39" s="10">
        <f t="shared" si="2"/>
        <v>35</v>
      </c>
      <c r="B39" s="9">
        <v>2550466</v>
      </c>
      <c r="C39" s="20" t="s">
        <v>214</v>
      </c>
      <c r="D39" s="6" t="s">
        <v>382</v>
      </c>
      <c r="E39" s="6" t="s">
        <v>382</v>
      </c>
      <c r="F39" s="6" t="s">
        <v>382</v>
      </c>
      <c r="G39" s="108" t="s">
        <v>382</v>
      </c>
      <c r="H39" s="108" t="s">
        <v>382</v>
      </c>
      <c r="I39" s="108" t="s">
        <v>382</v>
      </c>
      <c r="J39" s="108" t="s">
        <v>382</v>
      </c>
      <c r="K39" s="108" t="s">
        <v>382</v>
      </c>
      <c r="L39" s="108" t="s">
        <v>382</v>
      </c>
      <c r="M39" s="108" t="s">
        <v>382</v>
      </c>
      <c r="N39" s="108" t="s">
        <v>382</v>
      </c>
      <c r="O39" s="108" t="s">
        <v>382</v>
      </c>
      <c r="P39" s="108" t="s">
        <v>382</v>
      </c>
    </row>
    <row r="40" spans="1:16" ht="25.5">
      <c r="A40" s="10">
        <f>A39+1</f>
        <v>36</v>
      </c>
      <c r="B40" s="9">
        <v>5051134</v>
      </c>
      <c r="C40" s="20" t="s">
        <v>216</v>
      </c>
      <c r="D40" s="1" t="s">
        <v>8885</v>
      </c>
      <c r="E40" s="228">
        <v>44221</v>
      </c>
      <c r="F40" s="228">
        <v>44175</v>
      </c>
      <c r="G40" s="108" t="s">
        <v>8886</v>
      </c>
      <c r="H40" s="108">
        <v>21</v>
      </c>
      <c r="I40" s="277">
        <v>40040000</v>
      </c>
      <c r="J40" s="277">
        <v>37025907</v>
      </c>
      <c r="K40" s="277">
        <v>20000000</v>
      </c>
      <c r="L40" s="277">
        <v>37025907</v>
      </c>
      <c r="M40" s="277">
        <v>200000</v>
      </c>
      <c r="N40" s="277">
        <v>700000</v>
      </c>
      <c r="O40" s="191">
        <v>42136.7</v>
      </c>
      <c r="P40" s="277">
        <v>45000</v>
      </c>
    </row>
    <row r="41" spans="1:16">
      <c r="A41" s="10">
        <f>A40+1</f>
        <v>37</v>
      </c>
      <c r="B41" s="9">
        <v>2095025</v>
      </c>
      <c r="C41" s="20" t="s">
        <v>217</v>
      </c>
      <c r="D41" s="6" t="s">
        <v>382</v>
      </c>
      <c r="E41" s="6" t="s">
        <v>382</v>
      </c>
      <c r="F41" s="6" t="s">
        <v>382</v>
      </c>
      <c r="G41" s="108" t="s">
        <v>382</v>
      </c>
      <c r="H41" s="108" t="s">
        <v>382</v>
      </c>
      <c r="I41" s="108" t="s">
        <v>382</v>
      </c>
      <c r="J41" s="108" t="s">
        <v>382</v>
      </c>
      <c r="K41" s="108" t="s">
        <v>382</v>
      </c>
      <c r="L41" s="108" t="s">
        <v>382</v>
      </c>
      <c r="M41" s="108" t="s">
        <v>382</v>
      </c>
      <c r="N41" s="108" t="s">
        <v>382</v>
      </c>
      <c r="O41" s="108" t="s">
        <v>382</v>
      </c>
      <c r="P41" s="108" t="s">
        <v>382</v>
      </c>
    </row>
    <row r="42" spans="1:16">
      <c r="A42" s="10">
        <f t="shared" ref="A42:A43" si="3">A41+1</f>
        <v>38</v>
      </c>
      <c r="B42" s="9">
        <v>2045931</v>
      </c>
      <c r="C42" s="20" t="s">
        <v>218</v>
      </c>
      <c r="D42" s="6" t="s">
        <v>382</v>
      </c>
      <c r="E42" s="6" t="s">
        <v>382</v>
      </c>
      <c r="F42" s="6" t="s">
        <v>382</v>
      </c>
      <c r="G42" s="108" t="s">
        <v>382</v>
      </c>
      <c r="H42" s="108" t="s">
        <v>382</v>
      </c>
      <c r="I42" s="108" t="s">
        <v>382</v>
      </c>
      <c r="J42" s="108" t="s">
        <v>382</v>
      </c>
      <c r="K42" s="108" t="s">
        <v>382</v>
      </c>
      <c r="L42" s="108" t="s">
        <v>382</v>
      </c>
      <c r="M42" s="108" t="s">
        <v>382</v>
      </c>
      <c r="N42" s="108" t="s">
        <v>382</v>
      </c>
      <c r="O42" s="108" t="s">
        <v>382</v>
      </c>
      <c r="P42" s="108" t="s">
        <v>382</v>
      </c>
    </row>
    <row r="43" spans="1:16">
      <c r="A43" s="10">
        <f t="shared" si="3"/>
        <v>39</v>
      </c>
      <c r="B43" s="9">
        <v>2029278</v>
      </c>
      <c r="C43" s="20" t="s">
        <v>219</v>
      </c>
      <c r="D43" s="6" t="s">
        <v>935</v>
      </c>
      <c r="E43" s="6" t="s">
        <v>382</v>
      </c>
      <c r="F43" s="228">
        <v>44272</v>
      </c>
      <c r="G43" s="108" t="s">
        <v>8887</v>
      </c>
      <c r="H43" s="108">
        <v>5</v>
      </c>
      <c r="I43" s="191">
        <v>32232.77</v>
      </c>
      <c r="J43" s="108" t="s">
        <v>382</v>
      </c>
      <c r="K43" s="191">
        <v>1919.58</v>
      </c>
      <c r="L43" s="191">
        <v>1919.58</v>
      </c>
      <c r="M43" s="108" t="s">
        <v>382</v>
      </c>
      <c r="N43" s="108" t="s">
        <v>382</v>
      </c>
      <c r="O43" s="108">
        <v>0.21299999999999999</v>
      </c>
      <c r="P43" s="108">
        <v>2.7E-2</v>
      </c>
    </row>
    <row r="44" spans="1:16">
      <c r="A44" s="10">
        <f>A43+1</f>
        <v>40</v>
      </c>
      <c r="B44" s="9">
        <v>5106567</v>
      </c>
      <c r="C44" s="20" t="s">
        <v>220</v>
      </c>
      <c r="D44" s="1" t="s">
        <v>8888</v>
      </c>
      <c r="E44" s="6" t="s">
        <v>382</v>
      </c>
      <c r="F44" s="228">
        <v>44349</v>
      </c>
      <c r="G44" s="108" t="s">
        <v>8889</v>
      </c>
      <c r="H44" s="108">
        <v>20</v>
      </c>
      <c r="I44" s="108" t="s">
        <v>382</v>
      </c>
      <c r="J44" s="108" t="s">
        <v>382</v>
      </c>
      <c r="K44" s="108" t="s">
        <v>382</v>
      </c>
      <c r="L44" s="108" t="s">
        <v>382</v>
      </c>
      <c r="M44" s="108">
        <v>945.8</v>
      </c>
      <c r="N44" s="108" t="s">
        <v>382</v>
      </c>
      <c r="O44" s="277">
        <v>546721</v>
      </c>
      <c r="P44" s="277">
        <v>450000</v>
      </c>
    </row>
    <row r="45" spans="1:16">
      <c r="A45" s="10">
        <f>A44+1</f>
        <v>41</v>
      </c>
      <c r="B45" s="9">
        <v>5141583</v>
      </c>
      <c r="C45" s="20" t="s">
        <v>222</v>
      </c>
      <c r="D45" s="6" t="s">
        <v>1499</v>
      </c>
      <c r="E45" s="228">
        <v>39227</v>
      </c>
      <c r="F45" s="228">
        <v>42668</v>
      </c>
      <c r="G45" s="277" t="s">
        <v>8890</v>
      </c>
      <c r="H45" s="277">
        <v>25</v>
      </c>
      <c r="I45" s="277">
        <v>172670000</v>
      </c>
      <c r="J45" s="277">
        <v>2422750572</v>
      </c>
      <c r="K45" s="277">
        <v>699395675</v>
      </c>
      <c r="L45" s="277">
        <v>560080310</v>
      </c>
      <c r="M45" s="191">
        <v>3000000</v>
      </c>
      <c r="N45" s="191">
        <v>23069416.449999999</v>
      </c>
      <c r="O45" s="191">
        <v>5879655.5999999996</v>
      </c>
      <c r="P45" s="191">
        <v>8052353.5999999996</v>
      </c>
    </row>
    <row r="46" spans="1:16">
      <c r="A46" s="10">
        <f t="shared" ref="A46:A67" si="4">A45+1</f>
        <v>42</v>
      </c>
      <c r="B46" s="9">
        <v>5118115</v>
      </c>
      <c r="C46" s="20" t="s">
        <v>223</v>
      </c>
      <c r="D46" s="6" t="s">
        <v>382</v>
      </c>
      <c r="E46" s="6" t="s">
        <v>382</v>
      </c>
      <c r="F46" s="6" t="s">
        <v>382</v>
      </c>
      <c r="G46" s="108" t="s">
        <v>382</v>
      </c>
      <c r="H46" s="108" t="s">
        <v>382</v>
      </c>
      <c r="I46" s="108" t="s">
        <v>382</v>
      </c>
      <c r="J46" s="108" t="s">
        <v>382</v>
      </c>
      <c r="K46" s="108" t="s">
        <v>382</v>
      </c>
      <c r="L46" s="108" t="s">
        <v>382</v>
      </c>
      <c r="M46" s="108" t="s">
        <v>382</v>
      </c>
      <c r="N46" s="108" t="s">
        <v>382</v>
      </c>
      <c r="O46" s="108" t="s">
        <v>382</v>
      </c>
      <c r="P46" s="108" t="s">
        <v>382</v>
      </c>
    </row>
    <row r="47" spans="1:16">
      <c r="A47" s="10">
        <f t="shared" si="4"/>
        <v>43</v>
      </c>
      <c r="B47" s="9">
        <v>5106656</v>
      </c>
      <c r="C47" s="20" t="s">
        <v>224</v>
      </c>
      <c r="D47" s="6" t="s">
        <v>382</v>
      </c>
      <c r="E47" s="6" t="s">
        <v>382</v>
      </c>
      <c r="F47" s="6" t="s">
        <v>382</v>
      </c>
      <c r="G47" s="108" t="s">
        <v>382</v>
      </c>
      <c r="H47" s="108" t="s">
        <v>382</v>
      </c>
      <c r="I47" s="108" t="s">
        <v>382</v>
      </c>
      <c r="J47" s="108" t="s">
        <v>382</v>
      </c>
      <c r="K47" s="108" t="s">
        <v>382</v>
      </c>
      <c r="L47" s="108" t="s">
        <v>382</v>
      </c>
      <c r="M47" s="108" t="s">
        <v>382</v>
      </c>
      <c r="N47" s="108" t="s">
        <v>382</v>
      </c>
      <c r="O47" s="191">
        <v>95553.65</v>
      </c>
      <c r="P47" s="108" t="s">
        <v>382</v>
      </c>
    </row>
    <row r="48" spans="1:16">
      <c r="A48" s="10">
        <f t="shared" si="4"/>
        <v>44</v>
      </c>
      <c r="B48" s="9">
        <v>2010895</v>
      </c>
      <c r="C48" s="20" t="s">
        <v>225</v>
      </c>
      <c r="D48" s="6" t="s">
        <v>382</v>
      </c>
      <c r="E48" s="6" t="s">
        <v>382</v>
      </c>
      <c r="F48" s="6" t="s">
        <v>382</v>
      </c>
      <c r="G48" s="108" t="s">
        <v>382</v>
      </c>
      <c r="H48" s="108" t="s">
        <v>382</v>
      </c>
      <c r="I48" s="108" t="s">
        <v>382</v>
      </c>
      <c r="J48" s="108" t="s">
        <v>382</v>
      </c>
      <c r="K48" s="108" t="s">
        <v>382</v>
      </c>
      <c r="L48" s="108" t="s">
        <v>382</v>
      </c>
      <c r="M48" s="108" t="s">
        <v>382</v>
      </c>
      <c r="N48" s="108" t="s">
        <v>382</v>
      </c>
      <c r="O48" s="108" t="s">
        <v>382</v>
      </c>
      <c r="P48" s="108" t="s">
        <v>382</v>
      </c>
    </row>
    <row r="49" spans="1:16" ht="102">
      <c r="A49" s="12">
        <f t="shared" si="4"/>
        <v>45</v>
      </c>
      <c r="B49" s="9">
        <v>5295858</v>
      </c>
      <c r="C49" s="20" t="s">
        <v>227</v>
      </c>
      <c r="D49" s="1" t="s">
        <v>8891</v>
      </c>
      <c r="E49" s="228">
        <v>44642</v>
      </c>
      <c r="F49" s="228">
        <v>44642</v>
      </c>
      <c r="G49" s="108" t="s">
        <v>8892</v>
      </c>
      <c r="H49" s="108">
        <v>7</v>
      </c>
      <c r="I49" s="277">
        <v>52800000000</v>
      </c>
      <c r="J49" s="191">
        <v>44317588589.040001</v>
      </c>
      <c r="K49" s="191">
        <v>8757479.7400000002</v>
      </c>
      <c r="L49" s="191">
        <v>8757479.7400000002</v>
      </c>
      <c r="M49" s="277">
        <v>208200</v>
      </c>
      <c r="N49" s="277">
        <v>211422</v>
      </c>
      <c r="O49" s="108">
        <v>0.29199999999999998</v>
      </c>
      <c r="P49" s="108">
        <v>0.5</v>
      </c>
    </row>
    <row r="50" spans="1:16">
      <c r="A50" s="10">
        <f t="shared" si="4"/>
        <v>46</v>
      </c>
      <c r="B50" s="9">
        <v>6287727</v>
      </c>
      <c r="C50" s="20" t="s">
        <v>228</v>
      </c>
      <c r="D50" s="6" t="s">
        <v>382</v>
      </c>
      <c r="E50" s="6" t="s">
        <v>382</v>
      </c>
      <c r="F50" s="6" t="s">
        <v>382</v>
      </c>
      <c r="G50" s="108" t="s">
        <v>382</v>
      </c>
      <c r="H50" s="108" t="s">
        <v>382</v>
      </c>
      <c r="I50" s="108" t="s">
        <v>382</v>
      </c>
      <c r="J50" s="108" t="s">
        <v>382</v>
      </c>
      <c r="K50" s="108" t="s">
        <v>382</v>
      </c>
      <c r="L50" s="108" t="s">
        <v>382</v>
      </c>
      <c r="M50" s="108" t="s">
        <v>382</v>
      </c>
      <c r="N50" s="108" t="s">
        <v>382</v>
      </c>
      <c r="O50" s="108" t="s">
        <v>382</v>
      </c>
      <c r="P50" s="108" t="s">
        <v>382</v>
      </c>
    </row>
    <row r="51" spans="1:16">
      <c r="A51" s="10">
        <f t="shared" si="4"/>
        <v>47</v>
      </c>
      <c r="B51" s="9">
        <v>2678187</v>
      </c>
      <c r="C51" s="20" t="s">
        <v>230</v>
      </c>
      <c r="D51" s="6" t="s">
        <v>3449</v>
      </c>
      <c r="E51" s="228">
        <v>45394</v>
      </c>
      <c r="F51" s="228">
        <v>43511</v>
      </c>
      <c r="G51" s="108" t="s">
        <v>8893</v>
      </c>
      <c r="H51" s="108">
        <v>25</v>
      </c>
      <c r="I51" s="277">
        <v>934402000</v>
      </c>
      <c r="J51" s="108" t="s">
        <v>382</v>
      </c>
      <c r="K51" s="108" t="s">
        <v>382</v>
      </c>
      <c r="L51" s="108" t="s">
        <v>382</v>
      </c>
      <c r="M51" s="108" t="s">
        <v>382</v>
      </c>
      <c r="N51" s="108" t="s">
        <v>382</v>
      </c>
      <c r="O51" s="108" t="s">
        <v>382</v>
      </c>
      <c r="P51" s="108" t="s">
        <v>382</v>
      </c>
    </row>
    <row r="52" spans="1:16">
      <c r="A52" s="10">
        <f t="shared" si="4"/>
        <v>48</v>
      </c>
      <c r="B52" s="9">
        <v>2657457</v>
      </c>
      <c r="C52" s="20" t="s">
        <v>231</v>
      </c>
      <c r="D52" s="6" t="s">
        <v>1525</v>
      </c>
      <c r="E52" s="228">
        <v>40092</v>
      </c>
      <c r="F52" s="228">
        <v>42264</v>
      </c>
      <c r="G52" s="108" t="s">
        <v>8894</v>
      </c>
      <c r="H52" s="108">
        <v>65</v>
      </c>
      <c r="I52" s="277">
        <v>12189</v>
      </c>
      <c r="J52" s="277">
        <v>15627</v>
      </c>
      <c r="K52" s="277">
        <v>1825</v>
      </c>
      <c r="L52" s="277">
        <v>1705</v>
      </c>
      <c r="M52" s="277">
        <v>100000</v>
      </c>
      <c r="N52" s="277">
        <v>7470631</v>
      </c>
      <c r="O52" s="277">
        <v>795674</v>
      </c>
      <c r="P52" s="277">
        <v>941634</v>
      </c>
    </row>
    <row r="53" spans="1:16">
      <c r="A53" s="10">
        <f t="shared" si="4"/>
        <v>49</v>
      </c>
      <c r="B53" s="9">
        <v>3615243</v>
      </c>
      <c r="C53" s="20" t="s">
        <v>232</v>
      </c>
      <c r="D53" s="6" t="s">
        <v>382</v>
      </c>
      <c r="E53" s="6" t="s">
        <v>382</v>
      </c>
      <c r="F53" s="6" t="s">
        <v>382</v>
      </c>
      <c r="G53" s="108" t="s">
        <v>382</v>
      </c>
      <c r="H53" s="108" t="s">
        <v>382</v>
      </c>
      <c r="I53" s="108" t="s">
        <v>382</v>
      </c>
      <c r="J53" s="108" t="s">
        <v>382</v>
      </c>
      <c r="K53" s="108" t="s">
        <v>382</v>
      </c>
      <c r="L53" s="108" t="s">
        <v>382</v>
      </c>
      <c r="M53" s="108" t="s">
        <v>382</v>
      </c>
      <c r="N53" s="108" t="s">
        <v>382</v>
      </c>
      <c r="O53" s="108" t="s">
        <v>382</v>
      </c>
      <c r="P53" s="108" t="s">
        <v>382</v>
      </c>
    </row>
    <row r="54" spans="1:16">
      <c r="A54" s="10">
        <f t="shared" si="4"/>
        <v>50</v>
      </c>
      <c r="B54" s="9">
        <v>3623955</v>
      </c>
      <c r="C54" s="20" t="s">
        <v>236</v>
      </c>
      <c r="D54" s="6" t="s">
        <v>382</v>
      </c>
      <c r="E54" s="6" t="s">
        <v>382</v>
      </c>
      <c r="F54" s="6" t="s">
        <v>382</v>
      </c>
      <c r="G54" s="108" t="s">
        <v>382</v>
      </c>
      <c r="H54" s="108" t="s">
        <v>382</v>
      </c>
      <c r="I54" s="108" t="s">
        <v>382</v>
      </c>
      <c r="J54" s="108" t="s">
        <v>382</v>
      </c>
      <c r="K54" s="108" t="s">
        <v>382</v>
      </c>
      <c r="L54" s="108" t="s">
        <v>382</v>
      </c>
      <c r="M54" s="108" t="s">
        <v>382</v>
      </c>
      <c r="N54" s="108" t="s">
        <v>382</v>
      </c>
      <c r="O54" s="108" t="s">
        <v>382</v>
      </c>
      <c r="P54" s="108" t="s">
        <v>382</v>
      </c>
    </row>
    <row r="55" spans="1:16">
      <c r="A55" s="10">
        <f t="shared" si="4"/>
        <v>51</v>
      </c>
      <c r="B55" s="9">
        <v>5199077</v>
      </c>
      <c r="C55" s="20" t="s">
        <v>239</v>
      </c>
      <c r="D55" s="6" t="s">
        <v>3393</v>
      </c>
      <c r="E55" s="228">
        <v>41421</v>
      </c>
      <c r="F55" s="228">
        <v>45379</v>
      </c>
      <c r="G55" s="323">
        <v>44190</v>
      </c>
      <c r="H55" s="108">
        <v>7</v>
      </c>
      <c r="I55" s="277">
        <v>294900000</v>
      </c>
      <c r="J55" s="277">
        <v>35581000</v>
      </c>
      <c r="K55" s="277">
        <v>200000</v>
      </c>
      <c r="L55" s="277">
        <v>287822</v>
      </c>
      <c r="M55" s="277">
        <v>2500000</v>
      </c>
      <c r="N55" s="277">
        <v>21827351</v>
      </c>
      <c r="O55" s="277">
        <v>3003127</v>
      </c>
      <c r="P55" s="277">
        <v>2700000</v>
      </c>
    </row>
    <row r="56" spans="1:16">
      <c r="A56" s="10">
        <f t="shared" si="4"/>
        <v>52</v>
      </c>
      <c r="B56" s="9">
        <v>5076285</v>
      </c>
      <c r="C56" s="20" t="s">
        <v>242</v>
      </c>
      <c r="D56" s="6" t="s">
        <v>8895</v>
      </c>
      <c r="E56" s="6" t="s">
        <v>382</v>
      </c>
      <c r="F56" s="228">
        <v>44021</v>
      </c>
      <c r="G56" s="108" t="s">
        <v>8896</v>
      </c>
      <c r="H56" s="108">
        <v>3</v>
      </c>
      <c r="I56" s="277">
        <v>7400000</v>
      </c>
      <c r="J56" s="277">
        <v>45597730</v>
      </c>
      <c r="K56" s="277">
        <v>6745000</v>
      </c>
      <c r="L56" s="277">
        <v>19771600</v>
      </c>
      <c r="M56" s="108">
        <v>6.4000000000000001E-2</v>
      </c>
      <c r="N56" s="108">
        <v>444.38600000000002</v>
      </c>
      <c r="O56" s="108">
        <v>0.14799999999999999</v>
      </c>
      <c r="P56" s="108">
        <v>3.5000000000000003E-2</v>
      </c>
    </row>
    <row r="57" spans="1:16">
      <c r="A57" s="10">
        <f t="shared" si="4"/>
        <v>53</v>
      </c>
      <c r="B57" s="9">
        <v>5084555</v>
      </c>
      <c r="C57" s="20" t="s">
        <v>243</v>
      </c>
      <c r="D57" s="6" t="s">
        <v>2275</v>
      </c>
      <c r="E57" s="228">
        <v>44623</v>
      </c>
      <c r="F57" s="228">
        <v>44623</v>
      </c>
      <c r="G57" s="108" t="s">
        <v>8897</v>
      </c>
      <c r="H57" s="108">
        <v>14</v>
      </c>
      <c r="I57" s="277">
        <v>225886000</v>
      </c>
      <c r="J57" s="277">
        <v>1170641977</v>
      </c>
      <c r="K57" s="277">
        <v>39829396</v>
      </c>
      <c r="L57" s="277">
        <v>19856940</v>
      </c>
      <c r="M57" s="277">
        <v>8000000</v>
      </c>
      <c r="N57" s="277">
        <v>43647104</v>
      </c>
      <c r="O57" s="277">
        <v>4043411</v>
      </c>
      <c r="P57" s="277">
        <v>5000000</v>
      </c>
    </row>
    <row r="58" spans="1:16">
      <c r="A58" s="10">
        <f t="shared" si="4"/>
        <v>54</v>
      </c>
      <c r="B58" s="9">
        <v>5261198</v>
      </c>
      <c r="C58" s="20" t="s">
        <v>244</v>
      </c>
      <c r="D58" s="6" t="s">
        <v>382</v>
      </c>
      <c r="E58" s="6" t="s">
        <v>382</v>
      </c>
      <c r="F58" s="6" t="s">
        <v>382</v>
      </c>
      <c r="G58" s="108" t="s">
        <v>382</v>
      </c>
      <c r="H58" s="108" t="s">
        <v>382</v>
      </c>
      <c r="I58" s="108" t="s">
        <v>382</v>
      </c>
      <c r="J58" s="108" t="s">
        <v>382</v>
      </c>
      <c r="K58" s="108" t="s">
        <v>382</v>
      </c>
      <c r="L58" s="108" t="s">
        <v>382</v>
      </c>
      <c r="M58" s="108" t="s">
        <v>382</v>
      </c>
      <c r="N58" s="108" t="s">
        <v>382</v>
      </c>
      <c r="O58" s="108" t="s">
        <v>382</v>
      </c>
      <c r="P58" s="108" t="s">
        <v>382</v>
      </c>
    </row>
    <row r="59" spans="1:16">
      <c r="A59" s="10">
        <f t="shared" si="4"/>
        <v>55</v>
      </c>
      <c r="B59" s="9">
        <v>5288703</v>
      </c>
      <c r="C59" s="20" t="s">
        <v>246</v>
      </c>
      <c r="D59" s="6" t="s">
        <v>382</v>
      </c>
      <c r="E59" s="6" t="s">
        <v>382</v>
      </c>
      <c r="F59" s="6" t="s">
        <v>382</v>
      </c>
      <c r="G59" s="108" t="s">
        <v>382</v>
      </c>
      <c r="H59" s="108" t="s">
        <v>382</v>
      </c>
      <c r="I59" s="108" t="s">
        <v>382</v>
      </c>
      <c r="J59" s="108" t="s">
        <v>382</v>
      </c>
      <c r="K59" s="108" t="s">
        <v>382</v>
      </c>
      <c r="L59" s="108" t="s">
        <v>382</v>
      </c>
      <c r="M59" s="108" t="s">
        <v>382</v>
      </c>
      <c r="N59" s="108" t="s">
        <v>382</v>
      </c>
      <c r="O59" s="108" t="s">
        <v>382</v>
      </c>
      <c r="P59" s="108" t="s">
        <v>382</v>
      </c>
    </row>
    <row r="60" spans="1:16">
      <c r="A60" s="10">
        <f t="shared" si="4"/>
        <v>56</v>
      </c>
      <c r="B60" s="9">
        <v>6232485</v>
      </c>
      <c r="C60" s="20" t="s">
        <v>248</v>
      </c>
      <c r="D60" s="6" t="s">
        <v>4173</v>
      </c>
      <c r="E60" s="228">
        <v>43299</v>
      </c>
      <c r="F60" s="228">
        <v>43299</v>
      </c>
      <c r="G60" s="108" t="s">
        <v>8898</v>
      </c>
      <c r="H60" s="108">
        <v>10</v>
      </c>
      <c r="I60" s="277">
        <v>21140000</v>
      </c>
      <c r="J60" s="277">
        <v>10260849</v>
      </c>
      <c r="K60" s="108" t="s">
        <v>382</v>
      </c>
      <c r="L60" s="108" t="s">
        <v>382</v>
      </c>
      <c r="M60" s="277">
        <v>1000000</v>
      </c>
      <c r="N60" s="277">
        <v>1789758</v>
      </c>
      <c r="O60" s="191">
        <v>456328.3</v>
      </c>
      <c r="P60" s="277">
        <v>1000000</v>
      </c>
    </row>
    <row r="61" spans="1:16">
      <c r="A61" s="10">
        <f t="shared" si="4"/>
        <v>57</v>
      </c>
      <c r="B61" s="9">
        <v>6101615</v>
      </c>
      <c r="C61" s="20" t="s">
        <v>249</v>
      </c>
      <c r="D61" s="6" t="s">
        <v>382</v>
      </c>
      <c r="E61" s="6" t="s">
        <v>382</v>
      </c>
      <c r="F61" s="6" t="s">
        <v>382</v>
      </c>
      <c r="G61" s="108" t="s">
        <v>382</v>
      </c>
      <c r="H61" s="108" t="s">
        <v>382</v>
      </c>
      <c r="I61" s="108" t="s">
        <v>382</v>
      </c>
      <c r="J61" s="108" t="s">
        <v>382</v>
      </c>
      <c r="K61" s="108" t="s">
        <v>382</v>
      </c>
      <c r="L61" s="108" t="s">
        <v>382</v>
      </c>
      <c r="M61" s="108" t="s">
        <v>382</v>
      </c>
      <c r="N61" s="108" t="s">
        <v>382</v>
      </c>
      <c r="O61" s="108" t="s">
        <v>382</v>
      </c>
      <c r="P61" s="108" t="s">
        <v>382</v>
      </c>
    </row>
    <row r="62" spans="1:16">
      <c r="A62" s="10">
        <f t="shared" si="4"/>
        <v>58</v>
      </c>
      <c r="B62" s="9">
        <v>5872006</v>
      </c>
      <c r="C62" s="20" t="s">
        <v>253</v>
      </c>
      <c r="D62" s="6" t="s">
        <v>382</v>
      </c>
      <c r="E62" s="6" t="s">
        <v>382</v>
      </c>
      <c r="F62" s="6" t="s">
        <v>382</v>
      </c>
      <c r="G62" s="108" t="s">
        <v>382</v>
      </c>
      <c r="H62" s="108" t="s">
        <v>382</v>
      </c>
      <c r="I62" s="108" t="s">
        <v>382</v>
      </c>
      <c r="J62" s="108" t="s">
        <v>382</v>
      </c>
      <c r="K62" s="108" t="s">
        <v>382</v>
      </c>
      <c r="L62" s="108" t="s">
        <v>382</v>
      </c>
      <c r="M62" s="108" t="s">
        <v>382</v>
      </c>
      <c r="N62" s="108" t="s">
        <v>382</v>
      </c>
      <c r="O62" s="108" t="s">
        <v>382</v>
      </c>
      <c r="P62" s="108" t="s">
        <v>382</v>
      </c>
    </row>
    <row r="63" spans="1:16">
      <c r="A63" s="10">
        <f t="shared" si="4"/>
        <v>59</v>
      </c>
      <c r="B63" s="9">
        <v>2663813</v>
      </c>
      <c r="C63" s="20" t="s">
        <v>258</v>
      </c>
      <c r="D63" s="6" t="s">
        <v>382</v>
      </c>
      <c r="E63" s="6" t="s">
        <v>382</v>
      </c>
      <c r="F63" s="6" t="s">
        <v>382</v>
      </c>
      <c r="G63" s="108" t="s">
        <v>382</v>
      </c>
      <c r="H63" s="108" t="s">
        <v>382</v>
      </c>
      <c r="I63" s="108" t="s">
        <v>382</v>
      </c>
      <c r="J63" s="108" t="s">
        <v>382</v>
      </c>
      <c r="K63" s="108" t="s">
        <v>382</v>
      </c>
      <c r="L63" s="108" t="s">
        <v>382</v>
      </c>
      <c r="M63" s="108" t="s">
        <v>382</v>
      </c>
      <c r="N63" s="108" t="s">
        <v>382</v>
      </c>
      <c r="O63" s="108" t="s">
        <v>382</v>
      </c>
      <c r="P63" s="108" t="s">
        <v>382</v>
      </c>
    </row>
    <row r="64" spans="1:16">
      <c r="A64" s="10">
        <f t="shared" si="4"/>
        <v>60</v>
      </c>
      <c r="B64" s="9">
        <v>2016931</v>
      </c>
      <c r="C64" s="20" t="s">
        <v>260</v>
      </c>
      <c r="D64" s="6" t="s">
        <v>8899</v>
      </c>
      <c r="E64" s="6" t="s">
        <v>382</v>
      </c>
      <c r="F64" s="6" t="s">
        <v>382</v>
      </c>
      <c r="G64" s="108" t="s">
        <v>382</v>
      </c>
      <c r="H64" s="108" t="s">
        <v>382</v>
      </c>
      <c r="I64" s="108" t="s">
        <v>382</v>
      </c>
      <c r="J64" s="108" t="s">
        <v>382</v>
      </c>
      <c r="K64" s="108" t="s">
        <v>382</v>
      </c>
      <c r="L64" s="108" t="s">
        <v>382</v>
      </c>
      <c r="M64" s="108" t="s">
        <v>382</v>
      </c>
      <c r="N64" s="108" t="s">
        <v>382</v>
      </c>
      <c r="O64" s="108" t="s">
        <v>382</v>
      </c>
      <c r="P64" s="108" t="s">
        <v>382</v>
      </c>
    </row>
    <row r="65" spans="1:16">
      <c r="A65" s="10">
        <f t="shared" si="4"/>
        <v>61</v>
      </c>
      <c r="B65" s="9">
        <v>5513618</v>
      </c>
      <c r="C65" s="20" t="s">
        <v>263</v>
      </c>
      <c r="D65" s="6" t="s">
        <v>8900</v>
      </c>
      <c r="E65" s="228">
        <v>43900</v>
      </c>
      <c r="F65" s="6" t="s">
        <v>382</v>
      </c>
      <c r="G65" s="108" t="s">
        <v>382</v>
      </c>
      <c r="H65" s="108">
        <v>10</v>
      </c>
      <c r="I65" s="108" t="s">
        <v>382</v>
      </c>
      <c r="J65" s="108" t="s">
        <v>382</v>
      </c>
      <c r="K65" s="108" t="s">
        <v>382</v>
      </c>
      <c r="L65" s="108" t="s">
        <v>382</v>
      </c>
      <c r="M65" s="108" t="s">
        <v>382</v>
      </c>
      <c r="N65" s="108" t="s">
        <v>382</v>
      </c>
      <c r="O65" s="108" t="s">
        <v>382</v>
      </c>
      <c r="P65" s="108" t="s">
        <v>382</v>
      </c>
    </row>
    <row r="66" spans="1:16">
      <c r="A66" s="10">
        <f t="shared" si="4"/>
        <v>62</v>
      </c>
      <c r="B66" s="9">
        <v>2807459</v>
      </c>
      <c r="C66" s="20" t="s">
        <v>264</v>
      </c>
      <c r="D66" s="6" t="s">
        <v>1499</v>
      </c>
      <c r="E66" s="228">
        <v>45390</v>
      </c>
      <c r="F66" s="228">
        <v>41016</v>
      </c>
      <c r="G66" s="108" t="s">
        <v>8901</v>
      </c>
      <c r="H66" s="108">
        <v>14</v>
      </c>
      <c r="I66" s="277">
        <v>68865400</v>
      </c>
      <c r="J66" s="108" t="s">
        <v>382</v>
      </c>
      <c r="K66" s="108" t="s">
        <v>382</v>
      </c>
      <c r="L66" s="108" t="s">
        <v>382</v>
      </c>
      <c r="M66" s="277">
        <v>1350000</v>
      </c>
      <c r="N66" s="277">
        <v>781950</v>
      </c>
      <c r="O66" s="191">
        <v>33419.199999999997</v>
      </c>
      <c r="P66" s="277">
        <v>1350000</v>
      </c>
    </row>
    <row r="67" spans="1:16">
      <c r="A67" s="10">
        <f t="shared" si="4"/>
        <v>63</v>
      </c>
      <c r="B67" s="9">
        <v>2872943</v>
      </c>
      <c r="C67" s="20" t="s">
        <v>265</v>
      </c>
      <c r="D67" s="6" t="s">
        <v>3630</v>
      </c>
      <c r="E67" s="228">
        <v>45102</v>
      </c>
      <c r="F67" s="228">
        <v>45142</v>
      </c>
      <c r="G67" s="108" t="s">
        <v>8902</v>
      </c>
      <c r="H67" s="108">
        <v>5</v>
      </c>
      <c r="I67" s="277">
        <v>15700000</v>
      </c>
      <c r="J67" s="277">
        <v>15700000</v>
      </c>
      <c r="K67" s="108" t="s">
        <v>382</v>
      </c>
      <c r="L67" s="191">
        <v>324547.59999999998</v>
      </c>
      <c r="M67" s="108">
        <v>120</v>
      </c>
      <c r="N67" s="108" t="s">
        <v>382</v>
      </c>
      <c r="O67" s="108" t="s">
        <v>382</v>
      </c>
      <c r="P67" s="108">
        <v>21.36</v>
      </c>
    </row>
    <row r="68" spans="1:16" ht="38.25">
      <c r="A68" s="10">
        <f>A67+1</f>
        <v>64</v>
      </c>
      <c r="B68" s="9">
        <v>6268048</v>
      </c>
      <c r="C68" s="20" t="s">
        <v>266</v>
      </c>
      <c r="D68" s="1" t="s">
        <v>8903</v>
      </c>
      <c r="E68" s="228">
        <v>44677</v>
      </c>
      <c r="F68" s="228">
        <v>44659</v>
      </c>
      <c r="G68" s="108" t="s">
        <v>8904</v>
      </c>
      <c r="H68" s="108">
        <v>5</v>
      </c>
      <c r="I68" s="277">
        <v>3030000</v>
      </c>
      <c r="J68" s="108" t="s">
        <v>382</v>
      </c>
      <c r="K68" s="108" t="s">
        <v>382</v>
      </c>
      <c r="L68" s="108" t="s">
        <v>382</v>
      </c>
      <c r="M68" s="108">
        <v>140</v>
      </c>
      <c r="N68" s="108">
        <v>412.88799999999998</v>
      </c>
      <c r="O68" s="108">
        <v>141.298</v>
      </c>
      <c r="P68" s="108">
        <v>123.71</v>
      </c>
    </row>
    <row r="69" spans="1:16">
      <c r="A69" s="10">
        <f>A68+1</f>
        <v>65</v>
      </c>
      <c r="B69" s="9">
        <v>5874963</v>
      </c>
      <c r="C69" s="20" t="s">
        <v>268</v>
      </c>
      <c r="D69" s="6" t="s">
        <v>4791</v>
      </c>
      <c r="E69" s="228">
        <v>44013</v>
      </c>
      <c r="F69" s="228">
        <v>44013</v>
      </c>
      <c r="G69" s="108" t="s">
        <v>8905</v>
      </c>
      <c r="H69" s="108">
        <v>37</v>
      </c>
      <c r="I69" s="277">
        <v>173340000</v>
      </c>
      <c r="J69" s="108" t="s">
        <v>382</v>
      </c>
      <c r="K69" s="108" t="s">
        <v>382</v>
      </c>
      <c r="L69" s="108" t="s">
        <v>382</v>
      </c>
      <c r="M69" s="277">
        <v>5000000000</v>
      </c>
      <c r="N69" s="191">
        <v>979450.22</v>
      </c>
      <c r="O69" s="191">
        <v>859831.02</v>
      </c>
      <c r="P69" s="277">
        <v>5000000</v>
      </c>
    </row>
    <row r="70" spans="1:16">
      <c r="A70" s="10">
        <f t="shared" ref="A70:A85" si="5">A69+1</f>
        <v>66</v>
      </c>
      <c r="B70" s="9">
        <v>6636624</v>
      </c>
      <c r="C70" s="20" t="s">
        <v>269</v>
      </c>
      <c r="D70" s="6" t="s">
        <v>1934</v>
      </c>
      <c r="E70" s="228">
        <v>44384</v>
      </c>
      <c r="F70" s="228">
        <v>45380</v>
      </c>
      <c r="G70" s="108" t="s">
        <v>382</v>
      </c>
      <c r="H70" s="108" t="s">
        <v>382</v>
      </c>
      <c r="I70" s="108" t="s">
        <v>382</v>
      </c>
      <c r="J70" s="277">
        <v>42524057</v>
      </c>
      <c r="K70" s="108" t="s">
        <v>382</v>
      </c>
      <c r="L70" s="108" t="s">
        <v>382</v>
      </c>
      <c r="M70" s="108" t="s">
        <v>382</v>
      </c>
      <c r="N70" s="108" t="s">
        <v>382</v>
      </c>
      <c r="O70" s="108" t="s">
        <v>382</v>
      </c>
      <c r="P70" s="108" t="s">
        <v>382</v>
      </c>
    </row>
    <row r="71" spans="1:16">
      <c r="A71" s="10">
        <f t="shared" si="5"/>
        <v>67</v>
      </c>
      <c r="B71" s="9">
        <v>2839717</v>
      </c>
      <c r="C71" s="20" t="s">
        <v>270</v>
      </c>
      <c r="D71" s="6" t="s">
        <v>8906</v>
      </c>
      <c r="E71" s="228">
        <v>44522</v>
      </c>
      <c r="F71" s="228">
        <v>44335</v>
      </c>
      <c r="G71" s="323" t="s">
        <v>8907</v>
      </c>
      <c r="H71" s="108">
        <v>9</v>
      </c>
      <c r="I71" s="277">
        <v>33400000</v>
      </c>
      <c r="J71" s="277">
        <v>11500000</v>
      </c>
      <c r="K71" s="277">
        <v>38778570</v>
      </c>
      <c r="L71" s="277">
        <v>66480140</v>
      </c>
      <c r="M71" s="277">
        <v>80000</v>
      </c>
      <c r="N71" s="324">
        <v>1.772</v>
      </c>
      <c r="O71" s="108">
        <v>0.123</v>
      </c>
      <c r="P71" s="108">
        <v>0.25</v>
      </c>
    </row>
    <row r="72" spans="1:16">
      <c r="A72" s="10">
        <f t="shared" si="5"/>
        <v>68</v>
      </c>
      <c r="B72" s="9">
        <v>2344343</v>
      </c>
      <c r="C72" s="20" t="s">
        <v>271</v>
      </c>
      <c r="D72" s="6" t="s">
        <v>382</v>
      </c>
      <c r="E72" s="6" t="s">
        <v>382</v>
      </c>
      <c r="F72" s="6" t="s">
        <v>382</v>
      </c>
      <c r="G72" s="108" t="s">
        <v>382</v>
      </c>
      <c r="H72" s="108" t="s">
        <v>382</v>
      </c>
      <c r="I72" s="108" t="s">
        <v>382</v>
      </c>
      <c r="J72" s="108" t="s">
        <v>382</v>
      </c>
      <c r="K72" s="108" t="s">
        <v>382</v>
      </c>
      <c r="L72" s="108" t="s">
        <v>382</v>
      </c>
      <c r="M72" s="108" t="s">
        <v>382</v>
      </c>
      <c r="N72" s="108" t="s">
        <v>382</v>
      </c>
      <c r="O72" s="108" t="s">
        <v>382</v>
      </c>
      <c r="P72" s="108" t="s">
        <v>382</v>
      </c>
    </row>
    <row r="73" spans="1:16">
      <c r="A73" s="10">
        <f t="shared" si="5"/>
        <v>69</v>
      </c>
      <c r="B73" s="9">
        <v>2819996</v>
      </c>
      <c r="C73" s="20" t="s">
        <v>273</v>
      </c>
      <c r="D73" s="6" t="s">
        <v>382</v>
      </c>
      <c r="E73" s="6" t="s">
        <v>382</v>
      </c>
      <c r="F73" s="6" t="s">
        <v>382</v>
      </c>
      <c r="G73" s="108" t="s">
        <v>382</v>
      </c>
      <c r="H73" s="108" t="s">
        <v>382</v>
      </c>
      <c r="I73" s="108" t="s">
        <v>382</v>
      </c>
      <c r="J73" s="108" t="s">
        <v>382</v>
      </c>
      <c r="K73" s="108" t="s">
        <v>382</v>
      </c>
      <c r="L73" s="108" t="s">
        <v>382</v>
      </c>
      <c r="M73" s="108" t="s">
        <v>382</v>
      </c>
      <c r="N73" s="108" t="s">
        <v>382</v>
      </c>
      <c r="O73" s="108" t="s">
        <v>382</v>
      </c>
      <c r="P73" s="108" t="s">
        <v>382</v>
      </c>
    </row>
    <row r="74" spans="1:16">
      <c r="A74" s="10">
        <f t="shared" si="5"/>
        <v>70</v>
      </c>
      <c r="B74" s="9">
        <v>2868687</v>
      </c>
      <c r="C74" s="20" t="s">
        <v>277</v>
      </c>
      <c r="D74" s="6" t="s">
        <v>382</v>
      </c>
      <c r="E74" s="6" t="s">
        <v>382</v>
      </c>
      <c r="F74" s="6" t="s">
        <v>382</v>
      </c>
      <c r="G74" s="108" t="s">
        <v>382</v>
      </c>
      <c r="H74" s="108" t="s">
        <v>382</v>
      </c>
      <c r="I74" s="108" t="s">
        <v>382</v>
      </c>
      <c r="J74" s="108" t="s">
        <v>382</v>
      </c>
      <c r="K74" s="108" t="s">
        <v>382</v>
      </c>
      <c r="L74" s="108" t="s">
        <v>382</v>
      </c>
      <c r="M74" s="108" t="s">
        <v>382</v>
      </c>
      <c r="N74" s="108" t="s">
        <v>382</v>
      </c>
      <c r="O74" s="108" t="s">
        <v>382</v>
      </c>
      <c r="P74" s="108" t="s">
        <v>382</v>
      </c>
    </row>
    <row r="75" spans="1:16">
      <c r="A75" s="10">
        <f t="shared" si="5"/>
        <v>71</v>
      </c>
      <c r="B75" s="9">
        <v>5877288</v>
      </c>
      <c r="C75" s="20" t="s">
        <v>279</v>
      </c>
      <c r="D75" s="6" t="s">
        <v>1953</v>
      </c>
      <c r="E75" s="228">
        <v>45382</v>
      </c>
      <c r="F75" s="228">
        <v>43941</v>
      </c>
      <c r="G75" s="108" t="s">
        <v>8908</v>
      </c>
      <c r="H75" s="108">
        <v>7</v>
      </c>
      <c r="I75" s="277">
        <v>3832290</v>
      </c>
      <c r="J75" s="277">
        <v>3832290</v>
      </c>
      <c r="K75" s="108">
        <v>3</v>
      </c>
      <c r="L75" s="108">
        <v>109</v>
      </c>
      <c r="M75" s="277">
        <v>600000</v>
      </c>
      <c r="N75" s="277">
        <v>1800000</v>
      </c>
      <c r="O75" s="277">
        <v>471302</v>
      </c>
      <c r="P75" s="277">
        <v>600000</v>
      </c>
    </row>
    <row r="76" spans="1:16">
      <c r="A76" s="10">
        <f t="shared" si="5"/>
        <v>72</v>
      </c>
      <c r="B76" s="9">
        <v>6195598</v>
      </c>
      <c r="C76" s="20" t="s">
        <v>281</v>
      </c>
      <c r="D76" s="6" t="s">
        <v>382</v>
      </c>
      <c r="E76" s="6" t="s">
        <v>382</v>
      </c>
      <c r="F76" s="6" t="s">
        <v>382</v>
      </c>
      <c r="G76" s="108" t="s">
        <v>382</v>
      </c>
      <c r="H76" s="108" t="s">
        <v>382</v>
      </c>
      <c r="I76" s="108" t="s">
        <v>382</v>
      </c>
      <c r="J76" s="108" t="s">
        <v>382</v>
      </c>
      <c r="K76" s="108" t="s">
        <v>382</v>
      </c>
      <c r="L76" s="108" t="s">
        <v>382</v>
      </c>
      <c r="M76" s="108" t="s">
        <v>382</v>
      </c>
      <c r="N76" s="108" t="s">
        <v>382</v>
      </c>
      <c r="O76" s="108" t="s">
        <v>382</v>
      </c>
      <c r="P76" s="108" t="s">
        <v>382</v>
      </c>
    </row>
    <row r="77" spans="1:16">
      <c r="A77" s="12">
        <f t="shared" si="5"/>
        <v>73</v>
      </c>
      <c r="B77" s="9">
        <v>6413811</v>
      </c>
      <c r="C77" s="20" t="s">
        <v>282</v>
      </c>
      <c r="D77" s="6" t="s">
        <v>2078</v>
      </c>
      <c r="E77" s="228">
        <v>44379</v>
      </c>
      <c r="F77" s="228">
        <v>45062</v>
      </c>
      <c r="G77" s="108" t="s">
        <v>8909</v>
      </c>
      <c r="H77" s="108">
        <v>3</v>
      </c>
      <c r="I77" s="277">
        <v>189600000</v>
      </c>
      <c r="J77" s="277">
        <v>268862191</v>
      </c>
      <c r="K77" s="277">
        <v>114450500</v>
      </c>
      <c r="L77" s="277">
        <v>108451400</v>
      </c>
      <c r="M77" s="277">
        <v>3000000</v>
      </c>
      <c r="N77" s="108">
        <v>1.272</v>
      </c>
      <c r="O77" s="108">
        <v>1.272</v>
      </c>
      <c r="P77" s="108">
        <v>1.627</v>
      </c>
    </row>
    <row r="78" spans="1:16" ht="25.5">
      <c r="A78" s="12">
        <f t="shared" si="5"/>
        <v>74</v>
      </c>
      <c r="B78" s="9">
        <v>2887134</v>
      </c>
      <c r="C78" s="20" t="s">
        <v>283</v>
      </c>
      <c r="D78" s="1" t="s">
        <v>8910</v>
      </c>
      <c r="E78" s="228">
        <v>39783</v>
      </c>
      <c r="F78" s="228">
        <v>45330</v>
      </c>
      <c r="G78" s="108" t="s">
        <v>8911</v>
      </c>
      <c r="H78" s="108">
        <v>46</v>
      </c>
      <c r="I78" s="277">
        <v>513000000</v>
      </c>
      <c r="J78" s="277">
        <v>73388130</v>
      </c>
      <c r="K78" s="277">
        <v>101366820</v>
      </c>
      <c r="L78" s="277">
        <v>260000</v>
      </c>
      <c r="M78" s="277">
        <v>5000000</v>
      </c>
      <c r="N78" s="277">
        <v>3766544</v>
      </c>
      <c r="O78" s="277">
        <v>1314113</v>
      </c>
      <c r="P78" s="108" t="s">
        <v>8912</v>
      </c>
    </row>
    <row r="79" spans="1:16">
      <c r="A79" s="12">
        <f t="shared" si="5"/>
        <v>75</v>
      </c>
      <c r="B79" s="9">
        <v>2618176</v>
      </c>
      <c r="C79" s="20" t="s">
        <v>284</v>
      </c>
      <c r="D79" s="1" t="s">
        <v>8913</v>
      </c>
      <c r="E79" s="228">
        <v>44672</v>
      </c>
      <c r="F79" s="6" t="s">
        <v>8914</v>
      </c>
      <c r="G79" s="108" t="s">
        <v>8915</v>
      </c>
      <c r="H79" s="108">
        <v>4</v>
      </c>
      <c r="I79" s="277">
        <v>2700000</v>
      </c>
      <c r="J79" s="277">
        <v>3441700</v>
      </c>
      <c r="K79" s="277">
        <v>3441700</v>
      </c>
      <c r="L79" s="277">
        <v>3441700</v>
      </c>
      <c r="M79" s="277">
        <v>30000</v>
      </c>
      <c r="N79" s="277">
        <v>50000</v>
      </c>
      <c r="O79" s="277">
        <v>50000</v>
      </c>
      <c r="P79" s="277">
        <v>50000</v>
      </c>
    </row>
    <row r="80" spans="1:16">
      <c r="A80" s="12">
        <f t="shared" si="5"/>
        <v>76</v>
      </c>
      <c r="B80" s="9">
        <v>2100231</v>
      </c>
      <c r="C80" s="20" t="s">
        <v>286</v>
      </c>
      <c r="D80" s="6" t="s">
        <v>2938</v>
      </c>
      <c r="E80" s="6" t="s">
        <v>8916</v>
      </c>
      <c r="F80" s="228">
        <v>41589</v>
      </c>
      <c r="G80" s="108" t="s">
        <v>8917</v>
      </c>
      <c r="H80" s="108">
        <v>10</v>
      </c>
      <c r="I80" s="277">
        <v>12800000</v>
      </c>
      <c r="J80" s="191">
        <v>51248032.299999997</v>
      </c>
      <c r="K80" s="277">
        <v>13160000</v>
      </c>
      <c r="L80" s="191">
        <v>12963711.1</v>
      </c>
      <c r="M80" s="108">
        <v>0.2</v>
      </c>
      <c r="N80" s="108">
        <v>0.753</v>
      </c>
      <c r="O80" s="108">
        <v>0.219</v>
      </c>
      <c r="P80" s="108">
        <v>0.29399999999999998</v>
      </c>
    </row>
    <row r="81" spans="1:16">
      <c r="A81" s="12">
        <f t="shared" si="5"/>
        <v>77</v>
      </c>
      <c r="B81" s="9">
        <v>2661128</v>
      </c>
      <c r="C81" s="20" t="s">
        <v>287</v>
      </c>
      <c r="D81" s="1" t="s">
        <v>8918</v>
      </c>
      <c r="E81" s="228">
        <v>36234</v>
      </c>
      <c r="F81" s="228">
        <v>43208</v>
      </c>
      <c r="G81" s="108" t="s">
        <v>8919</v>
      </c>
      <c r="H81" s="108">
        <v>13</v>
      </c>
      <c r="I81" s="277">
        <v>3787000</v>
      </c>
      <c r="J81" s="277">
        <v>2505200</v>
      </c>
      <c r="K81" s="277">
        <v>320000</v>
      </c>
      <c r="L81" s="277">
        <v>126440</v>
      </c>
      <c r="M81" s="277">
        <v>100000</v>
      </c>
      <c r="N81" s="277">
        <v>490132</v>
      </c>
      <c r="O81" s="191">
        <v>102251.7</v>
      </c>
      <c r="P81" s="277">
        <v>105000</v>
      </c>
    </row>
    <row r="82" spans="1:16">
      <c r="A82" s="12">
        <f t="shared" si="5"/>
        <v>78</v>
      </c>
      <c r="B82" s="9">
        <v>5878756</v>
      </c>
      <c r="C82" s="20" t="s">
        <v>290</v>
      </c>
      <c r="D82" s="6" t="s">
        <v>8920</v>
      </c>
      <c r="E82" s="6" t="s">
        <v>382</v>
      </c>
      <c r="F82" s="228">
        <v>44524</v>
      </c>
      <c r="G82" s="108" t="s">
        <v>8921</v>
      </c>
      <c r="H82" s="108">
        <v>4</v>
      </c>
      <c r="I82" s="277">
        <v>1875500</v>
      </c>
      <c r="J82" s="108" t="s">
        <v>382</v>
      </c>
      <c r="K82" s="108" t="s">
        <v>382</v>
      </c>
      <c r="L82" s="108" t="s">
        <v>382</v>
      </c>
      <c r="M82" s="277">
        <v>30000</v>
      </c>
      <c r="N82" s="108" t="s">
        <v>382</v>
      </c>
      <c r="O82" s="108" t="s">
        <v>382</v>
      </c>
      <c r="P82" s="108" t="s">
        <v>382</v>
      </c>
    </row>
    <row r="83" spans="1:16" ht="25.5">
      <c r="A83" s="12">
        <f t="shared" si="5"/>
        <v>79</v>
      </c>
      <c r="B83" s="9">
        <v>2166631</v>
      </c>
      <c r="C83" s="20" t="s">
        <v>292</v>
      </c>
      <c r="D83" s="1" t="s">
        <v>8922</v>
      </c>
      <c r="E83" s="228">
        <v>41365</v>
      </c>
      <c r="F83" s="228">
        <v>43599</v>
      </c>
      <c r="G83" s="108" t="s">
        <v>8923</v>
      </c>
      <c r="H83" s="108">
        <v>5</v>
      </c>
      <c r="I83" s="277">
        <v>2570400</v>
      </c>
      <c r="J83" s="277">
        <v>3189190</v>
      </c>
      <c r="K83" s="277">
        <v>250000</v>
      </c>
      <c r="L83" s="191">
        <v>186000.4</v>
      </c>
      <c r="M83" s="277">
        <v>40000</v>
      </c>
      <c r="N83" s="277">
        <v>136310</v>
      </c>
      <c r="O83" s="277">
        <v>32330</v>
      </c>
      <c r="P83" s="277">
        <v>37600</v>
      </c>
    </row>
    <row r="84" spans="1:16">
      <c r="A84" s="12">
        <f t="shared" si="5"/>
        <v>80</v>
      </c>
      <c r="B84" s="9">
        <v>5671833</v>
      </c>
      <c r="C84" s="20" t="s">
        <v>296</v>
      </c>
      <c r="D84" s="6" t="s">
        <v>8924</v>
      </c>
      <c r="E84" s="6" t="s">
        <v>382</v>
      </c>
      <c r="F84" s="228">
        <v>45105</v>
      </c>
      <c r="G84" s="108" t="s">
        <v>8925</v>
      </c>
      <c r="H84" s="108">
        <v>2</v>
      </c>
      <c r="I84" s="277">
        <v>71200</v>
      </c>
      <c r="J84" s="277">
        <v>71200</v>
      </c>
      <c r="K84" s="108" t="s">
        <v>382</v>
      </c>
      <c r="L84" s="108" t="s">
        <v>382</v>
      </c>
      <c r="M84" s="277">
        <v>1000000</v>
      </c>
      <c r="N84" s="277">
        <v>891929</v>
      </c>
      <c r="O84" s="277">
        <v>700129</v>
      </c>
      <c r="P84" s="277">
        <v>700000</v>
      </c>
    </row>
    <row r="85" spans="1:16">
      <c r="A85" s="12">
        <f t="shared" si="5"/>
        <v>81</v>
      </c>
      <c r="B85" s="9">
        <v>2668505</v>
      </c>
      <c r="C85" s="20" t="s">
        <v>298</v>
      </c>
      <c r="D85" s="6" t="s">
        <v>382</v>
      </c>
      <c r="E85" s="6" t="s">
        <v>382</v>
      </c>
      <c r="F85" s="6" t="s">
        <v>382</v>
      </c>
      <c r="G85" s="108" t="s">
        <v>382</v>
      </c>
      <c r="H85" s="108" t="s">
        <v>382</v>
      </c>
      <c r="I85" s="108" t="s">
        <v>382</v>
      </c>
      <c r="J85" s="108" t="s">
        <v>382</v>
      </c>
      <c r="K85" s="108" t="s">
        <v>382</v>
      </c>
      <c r="L85" s="108" t="s">
        <v>382</v>
      </c>
      <c r="M85" s="108" t="s">
        <v>382</v>
      </c>
      <c r="N85" s="108" t="s">
        <v>382</v>
      </c>
      <c r="O85" s="108" t="s">
        <v>382</v>
      </c>
      <c r="P85" s="108" t="s">
        <v>382</v>
      </c>
    </row>
    <row r="86" spans="1:16">
      <c r="A86" s="551">
        <f>A85+1</f>
        <v>82</v>
      </c>
      <c r="B86" s="545">
        <v>5352827</v>
      </c>
      <c r="C86" s="543" t="s">
        <v>300</v>
      </c>
      <c r="D86" s="6" t="s">
        <v>8926</v>
      </c>
      <c r="E86" s="228">
        <v>45180</v>
      </c>
      <c r="F86" s="6" t="s">
        <v>382</v>
      </c>
      <c r="G86" s="108" t="s">
        <v>382</v>
      </c>
      <c r="H86" s="108">
        <v>3</v>
      </c>
      <c r="I86" s="108" t="s">
        <v>382</v>
      </c>
      <c r="J86" s="108" t="s">
        <v>382</v>
      </c>
      <c r="K86" s="108" t="s">
        <v>382</v>
      </c>
      <c r="L86" s="108" t="s">
        <v>382</v>
      </c>
      <c r="M86" s="108" t="s">
        <v>382</v>
      </c>
      <c r="N86" s="108" t="s">
        <v>382</v>
      </c>
      <c r="O86" s="108" t="s">
        <v>382</v>
      </c>
      <c r="P86" s="108" t="s">
        <v>382</v>
      </c>
    </row>
    <row r="87" spans="1:16">
      <c r="A87" s="552"/>
      <c r="B87" s="548"/>
      <c r="C87" s="547"/>
      <c r="D87" s="1" t="s">
        <v>8927</v>
      </c>
      <c r="E87" s="228">
        <v>44966</v>
      </c>
      <c r="F87" s="6" t="s">
        <v>382</v>
      </c>
      <c r="G87" s="108" t="s">
        <v>382</v>
      </c>
      <c r="H87" s="108">
        <v>3</v>
      </c>
      <c r="I87" s="108" t="s">
        <v>382</v>
      </c>
      <c r="J87" s="108" t="s">
        <v>382</v>
      </c>
      <c r="K87" s="108" t="s">
        <v>382</v>
      </c>
      <c r="L87" s="108" t="s">
        <v>382</v>
      </c>
      <c r="M87" s="108" t="s">
        <v>382</v>
      </c>
      <c r="N87" s="108" t="s">
        <v>382</v>
      </c>
      <c r="O87" s="108" t="s">
        <v>382</v>
      </c>
      <c r="P87" s="108" t="s">
        <v>382</v>
      </c>
    </row>
    <row r="88" spans="1:16">
      <c r="A88" s="552"/>
      <c r="B88" s="548"/>
      <c r="C88" s="547"/>
      <c r="D88" s="6" t="s">
        <v>8928</v>
      </c>
      <c r="E88" s="228">
        <v>44986</v>
      </c>
      <c r="F88" s="6" t="s">
        <v>382</v>
      </c>
      <c r="G88" s="108" t="s">
        <v>382</v>
      </c>
      <c r="H88" s="108">
        <v>3</v>
      </c>
      <c r="I88" s="108" t="s">
        <v>382</v>
      </c>
      <c r="J88" s="108" t="s">
        <v>382</v>
      </c>
      <c r="K88" s="108" t="s">
        <v>382</v>
      </c>
      <c r="L88" s="108" t="s">
        <v>382</v>
      </c>
      <c r="M88" s="108" t="s">
        <v>382</v>
      </c>
      <c r="N88" s="108" t="s">
        <v>382</v>
      </c>
      <c r="O88" s="108" t="s">
        <v>382</v>
      </c>
      <c r="P88" s="108" t="s">
        <v>382</v>
      </c>
    </row>
    <row r="89" spans="1:16">
      <c r="A89" s="552"/>
      <c r="B89" s="548"/>
      <c r="C89" s="547"/>
      <c r="D89" s="6" t="s">
        <v>8929</v>
      </c>
      <c r="E89" s="228">
        <v>45023</v>
      </c>
      <c r="F89" s="6" t="s">
        <v>382</v>
      </c>
      <c r="G89" s="108" t="s">
        <v>382</v>
      </c>
      <c r="H89" s="108">
        <v>3</v>
      </c>
      <c r="I89" s="108" t="s">
        <v>382</v>
      </c>
      <c r="J89" s="108" t="s">
        <v>382</v>
      </c>
      <c r="K89" s="108" t="s">
        <v>382</v>
      </c>
      <c r="L89" s="108" t="s">
        <v>382</v>
      </c>
      <c r="M89" s="108" t="s">
        <v>382</v>
      </c>
      <c r="N89" s="108" t="s">
        <v>382</v>
      </c>
      <c r="O89" s="108" t="s">
        <v>382</v>
      </c>
      <c r="P89" s="108" t="s">
        <v>382</v>
      </c>
    </row>
    <row r="90" spans="1:16">
      <c r="A90" s="552"/>
      <c r="B90" s="548"/>
      <c r="C90" s="547"/>
      <c r="D90" s="6" t="s">
        <v>8930</v>
      </c>
      <c r="E90" s="228">
        <v>45358</v>
      </c>
      <c r="F90" s="6" t="s">
        <v>382</v>
      </c>
      <c r="G90" s="108" t="s">
        <v>382</v>
      </c>
      <c r="H90" s="108">
        <v>3</v>
      </c>
      <c r="I90" s="108" t="s">
        <v>382</v>
      </c>
      <c r="J90" s="108" t="s">
        <v>382</v>
      </c>
      <c r="K90" s="108" t="s">
        <v>382</v>
      </c>
      <c r="L90" s="108" t="s">
        <v>382</v>
      </c>
      <c r="M90" s="108" t="s">
        <v>382</v>
      </c>
      <c r="N90" s="108" t="s">
        <v>382</v>
      </c>
      <c r="O90" s="108" t="s">
        <v>382</v>
      </c>
      <c r="P90" s="108" t="s">
        <v>382</v>
      </c>
    </row>
    <row r="91" spans="1:16">
      <c r="A91" s="553"/>
      <c r="B91" s="546"/>
      <c r="C91" s="544"/>
      <c r="D91" s="6" t="s">
        <v>8931</v>
      </c>
      <c r="E91" s="228">
        <v>45145</v>
      </c>
      <c r="F91" s="6" t="s">
        <v>382</v>
      </c>
      <c r="G91" s="108" t="s">
        <v>382</v>
      </c>
      <c r="H91" s="108">
        <v>3</v>
      </c>
      <c r="I91" s="108" t="s">
        <v>382</v>
      </c>
      <c r="J91" s="108" t="s">
        <v>382</v>
      </c>
      <c r="K91" s="108" t="s">
        <v>382</v>
      </c>
      <c r="L91" s="108" t="s">
        <v>382</v>
      </c>
      <c r="M91" s="108" t="s">
        <v>382</v>
      </c>
      <c r="N91" s="108" t="s">
        <v>382</v>
      </c>
      <c r="O91" s="108" t="s">
        <v>382</v>
      </c>
      <c r="P91" s="108" t="s">
        <v>382</v>
      </c>
    </row>
    <row r="92" spans="1:16">
      <c r="A92" s="22">
        <f>A86+1</f>
        <v>83</v>
      </c>
      <c r="B92" s="9">
        <v>2548747</v>
      </c>
      <c r="C92" s="20" t="s">
        <v>301</v>
      </c>
      <c r="D92" s="6" t="s">
        <v>382</v>
      </c>
      <c r="E92" s="6" t="s">
        <v>382</v>
      </c>
      <c r="F92" s="6" t="s">
        <v>382</v>
      </c>
      <c r="G92" s="108" t="s">
        <v>382</v>
      </c>
      <c r="H92" s="108" t="s">
        <v>382</v>
      </c>
      <c r="I92" s="108" t="s">
        <v>382</v>
      </c>
      <c r="J92" s="108" t="s">
        <v>382</v>
      </c>
      <c r="K92" s="108" t="s">
        <v>382</v>
      </c>
      <c r="L92" s="108" t="s">
        <v>382</v>
      </c>
      <c r="M92" s="108" t="s">
        <v>382</v>
      </c>
      <c r="N92" s="108" t="s">
        <v>382</v>
      </c>
      <c r="O92" s="108" t="s">
        <v>382</v>
      </c>
      <c r="P92" s="108" t="s">
        <v>382</v>
      </c>
    </row>
    <row r="93" spans="1:16">
      <c r="A93" s="62">
        <f>A92+1</f>
        <v>84</v>
      </c>
      <c r="B93" s="9">
        <v>6342485</v>
      </c>
      <c r="C93" s="20" t="s">
        <v>306</v>
      </c>
      <c r="D93" s="6" t="s">
        <v>382</v>
      </c>
      <c r="E93" s="6" t="s">
        <v>382</v>
      </c>
      <c r="F93" s="6" t="s">
        <v>382</v>
      </c>
      <c r="G93" s="108" t="s">
        <v>382</v>
      </c>
      <c r="H93" s="108" t="s">
        <v>382</v>
      </c>
      <c r="I93" s="108" t="s">
        <v>382</v>
      </c>
      <c r="J93" s="108" t="s">
        <v>382</v>
      </c>
      <c r="K93" s="108" t="s">
        <v>382</v>
      </c>
      <c r="L93" s="108" t="s">
        <v>382</v>
      </c>
      <c r="M93" s="108" t="s">
        <v>382</v>
      </c>
      <c r="N93" s="108" t="s">
        <v>382</v>
      </c>
      <c r="O93" s="108" t="s">
        <v>382</v>
      </c>
      <c r="P93" s="108" t="s">
        <v>382</v>
      </c>
    </row>
    <row r="94" spans="1:16">
      <c r="A94" s="62">
        <f t="shared" ref="A94:A102" si="6">A93+1</f>
        <v>85</v>
      </c>
      <c r="B94" s="9">
        <v>5166667</v>
      </c>
      <c r="C94" s="20" t="s">
        <v>307</v>
      </c>
      <c r="D94" s="6" t="s">
        <v>8932</v>
      </c>
      <c r="E94" s="228">
        <v>45397</v>
      </c>
      <c r="F94" s="228">
        <v>44523</v>
      </c>
      <c r="G94" s="108" t="s">
        <v>8933</v>
      </c>
      <c r="H94" s="108">
        <v>4</v>
      </c>
      <c r="I94" s="277">
        <v>3190000000</v>
      </c>
      <c r="J94" s="108" t="s">
        <v>382</v>
      </c>
      <c r="K94" s="108" t="s">
        <v>382</v>
      </c>
      <c r="L94" s="108" t="s">
        <v>382</v>
      </c>
      <c r="M94" s="108">
        <v>70</v>
      </c>
      <c r="N94" s="108" t="s">
        <v>382</v>
      </c>
      <c r="O94" s="108" t="s">
        <v>382</v>
      </c>
      <c r="P94" s="108">
        <v>70</v>
      </c>
    </row>
    <row r="95" spans="1:16" ht="25.5">
      <c r="A95" s="62">
        <f t="shared" si="6"/>
        <v>86</v>
      </c>
      <c r="B95" s="9">
        <v>5482046</v>
      </c>
      <c r="C95" s="20" t="s">
        <v>308</v>
      </c>
      <c r="D95" s="1" t="s">
        <v>8934</v>
      </c>
      <c r="E95" s="6" t="s">
        <v>382</v>
      </c>
      <c r="F95" s="228">
        <v>44162</v>
      </c>
      <c r="G95" s="108" t="s">
        <v>8935</v>
      </c>
      <c r="H95" s="108">
        <v>64</v>
      </c>
      <c r="I95" s="277">
        <v>141800000</v>
      </c>
      <c r="J95" s="277">
        <v>86878000</v>
      </c>
      <c r="K95" s="108" t="s">
        <v>382</v>
      </c>
      <c r="L95" s="277">
        <v>6039000</v>
      </c>
      <c r="M95" s="277">
        <v>10000000</v>
      </c>
      <c r="N95" s="277">
        <v>400000</v>
      </c>
      <c r="O95" s="277">
        <v>128955</v>
      </c>
      <c r="P95" s="277">
        <v>500000</v>
      </c>
    </row>
    <row r="96" spans="1:16">
      <c r="A96" s="62">
        <f t="shared" si="6"/>
        <v>87</v>
      </c>
      <c r="B96" s="9">
        <v>2050374</v>
      </c>
      <c r="C96" s="20" t="s">
        <v>309</v>
      </c>
      <c r="D96" s="6" t="s">
        <v>309</v>
      </c>
      <c r="E96" s="228">
        <v>44371</v>
      </c>
      <c r="F96" s="228">
        <v>44371</v>
      </c>
      <c r="G96" s="108" t="s">
        <v>8936</v>
      </c>
      <c r="H96" s="108">
        <v>19</v>
      </c>
      <c r="I96" s="108" t="s">
        <v>8937</v>
      </c>
      <c r="J96" s="191">
        <v>51171825.399999999</v>
      </c>
      <c r="K96" s="191">
        <v>16069319.6</v>
      </c>
      <c r="L96" s="191">
        <v>29197310.699999999</v>
      </c>
      <c r="M96" s="277">
        <v>2000000</v>
      </c>
      <c r="N96" s="277">
        <v>4369210</v>
      </c>
      <c r="O96" s="277">
        <v>1700320</v>
      </c>
      <c r="P96" s="277">
        <v>1700000</v>
      </c>
    </row>
    <row r="97" spans="1:16">
      <c r="A97" s="62">
        <f t="shared" si="6"/>
        <v>88</v>
      </c>
      <c r="B97" s="9">
        <v>2004879</v>
      </c>
      <c r="C97" s="20" t="s">
        <v>311</v>
      </c>
      <c r="D97" s="6" t="s">
        <v>8938</v>
      </c>
      <c r="E97" s="228">
        <v>32720</v>
      </c>
      <c r="F97" s="228">
        <v>43480</v>
      </c>
      <c r="G97" s="108" t="s">
        <v>8939</v>
      </c>
      <c r="H97" s="108">
        <v>30</v>
      </c>
      <c r="I97" s="277">
        <v>423728480</v>
      </c>
      <c r="J97" s="277">
        <v>99044306</v>
      </c>
      <c r="K97" s="277">
        <v>4086800</v>
      </c>
      <c r="L97" s="277">
        <v>2021185</v>
      </c>
      <c r="M97" s="277">
        <v>2000000</v>
      </c>
      <c r="N97" s="277">
        <v>47230974</v>
      </c>
      <c r="O97" s="277">
        <v>2479067</v>
      </c>
      <c r="P97" s="277">
        <v>2400000</v>
      </c>
    </row>
    <row r="98" spans="1:16">
      <c r="A98" s="62">
        <f t="shared" si="6"/>
        <v>89</v>
      </c>
      <c r="B98" s="9">
        <v>5320607</v>
      </c>
      <c r="C98" s="20" t="s">
        <v>315</v>
      </c>
      <c r="D98" s="6" t="s">
        <v>4561</v>
      </c>
      <c r="E98" s="228">
        <v>44963</v>
      </c>
      <c r="F98" s="228">
        <v>44349</v>
      </c>
      <c r="G98" s="108" t="s">
        <v>8940</v>
      </c>
      <c r="H98" s="108">
        <v>6</v>
      </c>
      <c r="I98" s="108">
        <v>1</v>
      </c>
      <c r="J98" s="108">
        <v>1</v>
      </c>
      <c r="K98" s="108">
        <v>1</v>
      </c>
      <c r="L98" s="108">
        <v>1</v>
      </c>
      <c r="M98" s="108">
        <v>1</v>
      </c>
      <c r="N98" s="108">
        <v>0.17699999999999999</v>
      </c>
      <c r="O98" s="108">
        <v>0.124</v>
      </c>
      <c r="P98" s="108">
        <v>0.318</v>
      </c>
    </row>
    <row r="99" spans="1:16">
      <c r="A99" s="62">
        <f t="shared" si="6"/>
        <v>90</v>
      </c>
      <c r="B99" s="9">
        <v>5015243</v>
      </c>
      <c r="C99" s="20" t="s">
        <v>317</v>
      </c>
      <c r="D99" s="6" t="s">
        <v>382</v>
      </c>
      <c r="E99" s="6" t="s">
        <v>382</v>
      </c>
      <c r="F99" s="6" t="s">
        <v>382</v>
      </c>
      <c r="G99" s="108" t="s">
        <v>382</v>
      </c>
      <c r="H99" s="108" t="s">
        <v>382</v>
      </c>
      <c r="I99" s="108" t="s">
        <v>382</v>
      </c>
      <c r="J99" s="108" t="s">
        <v>382</v>
      </c>
      <c r="K99" s="108" t="s">
        <v>382</v>
      </c>
      <c r="L99" s="108" t="s">
        <v>382</v>
      </c>
      <c r="M99" s="108" t="s">
        <v>382</v>
      </c>
      <c r="N99" s="108" t="s">
        <v>382</v>
      </c>
      <c r="O99" s="108" t="s">
        <v>382</v>
      </c>
      <c r="P99" s="108" t="s">
        <v>382</v>
      </c>
    </row>
    <row r="100" spans="1:16">
      <c r="A100" s="62">
        <f t="shared" si="6"/>
        <v>91</v>
      </c>
      <c r="B100" s="9">
        <v>5452503</v>
      </c>
      <c r="C100" s="20" t="s">
        <v>318</v>
      </c>
      <c r="D100" s="6" t="s">
        <v>382</v>
      </c>
      <c r="E100" s="6" t="s">
        <v>382</v>
      </c>
      <c r="F100" s="6" t="s">
        <v>382</v>
      </c>
      <c r="G100" s="108" t="s">
        <v>382</v>
      </c>
      <c r="H100" s="108" t="s">
        <v>382</v>
      </c>
      <c r="I100" s="108" t="s">
        <v>382</v>
      </c>
      <c r="J100" s="108" t="s">
        <v>382</v>
      </c>
      <c r="K100" s="108" t="s">
        <v>382</v>
      </c>
      <c r="L100" s="108" t="s">
        <v>382</v>
      </c>
      <c r="M100" s="108" t="s">
        <v>382</v>
      </c>
      <c r="N100" s="108" t="s">
        <v>382</v>
      </c>
      <c r="O100" s="108" t="s">
        <v>382</v>
      </c>
      <c r="P100" s="108" t="s">
        <v>382</v>
      </c>
    </row>
    <row r="101" spans="1:16" ht="25.5">
      <c r="A101" s="62">
        <f t="shared" si="6"/>
        <v>92</v>
      </c>
      <c r="B101" s="9">
        <v>2887746</v>
      </c>
      <c r="C101" s="20" t="s">
        <v>319</v>
      </c>
      <c r="D101" s="1" t="s">
        <v>8941</v>
      </c>
      <c r="E101" s="6" t="s">
        <v>382</v>
      </c>
      <c r="F101" s="228">
        <v>45155</v>
      </c>
      <c r="G101" s="108" t="s">
        <v>8942</v>
      </c>
      <c r="H101" s="108">
        <v>34</v>
      </c>
      <c r="I101" s="277">
        <v>3737000000</v>
      </c>
      <c r="J101" s="277">
        <v>2300855950</v>
      </c>
      <c r="K101" s="277">
        <v>2842209100</v>
      </c>
      <c r="L101" s="277">
        <v>355809880</v>
      </c>
      <c r="M101" s="277">
        <v>10000000</v>
      </c>
      <c r="N101" s="277">
        <v>57248350</v>
      </c>
      <c r="O101" s="277">
        <v>1251429</v>
      </c>
      <c r="P101" s="277">
        <v>6563115</v>
      </c>
    </row>
    <row r="102" spans="1:16">
      <c r="A102" s="62">
        <f t="shared" si="6"/>
        <v>93</v>
      </c>
      <c r="B102" s="9">
        <v>5618339</v>
      </c>
      <c r="C102" s="20" t="s">
        <v>320</v>
      </c>
      <c r="D102" s="6" t="s">
        <v>382</v>
      </c>
      <c r="E102" s="6" t="s">
        <v>382</v>
      </c>
      <c r="F102" s="6" t="s">
        <v>382</v>
      </c>
      <c r="G102" s="108" t="s">
        <v>382</v>
      </c>
      <c r="H102" s="108" t="s">
        <v>382</v>
      </c>
      <c r="I102" s="108" t="s">
        <v>382</v>
      </c>
      <c r="J102" s="108" t="s">
        <v>382</v>
      </c>
      <c r="K102" s="108" t="s">
        <v>382</v>
      </c>
      <c r="L102" s="108" t="s">
        <v>382</v>
      </c>
      <c r="M102" s="108" t="s">
        <v>382</v>
      </c>
      <c r="N102" s="108" t="s">
        <v>382</v>
      </c>
      <c r="O102" s="108" t="s">
        <v>382</v>
      </c>
      <c r="P102" s="108" t="s">
        <v>382</v>
      </c>
    </row>
    <row r="103" spans="1:16">
      <c r="A103" s="551">
        <f>A102+1</f>
        <v>94</v>
      </c>
      <c r="B103" s="545">
        <v>2718243</v>
      </c>
      <c r="C103" s="543" t="s">
        <v>321</v>
      </c>
      <c r="D103" s="6" t="s">
        <v>4784</v>
      </c>
      <c r="E103" s="228">
        <v>54851</v>
      </c>
      <c r="F103" s="228">
        <v>44349</v>
      </c>
      <c r="G103" s="108" t="s">
        <v>8943</v>
      </c>
      <c r="H103" s="108">
        <v>3</v>
      </c>
      <c r="I103" s="277">
        <v>67382400</v>
      </c>
      <c r="J103" s="108" t="s">
        <v>382</v>
      </c>
      <c r="K103" s="108" t="s">
        <v>382</v>
      </c>
      <c r="L103" s="108" t="s">
        <v>382</v>
      </c>
      <c r="M103" s="277">
        <v>600000</v>
      </c>
      <c r="N103" s="108" t="s">
        <v>382</v>
      </c>
      <c r="O103" s="108" t="s">
        <v>382</v>
      </c>
      <c r="P103" s="108" t="s">
        <v>382</v>
      </c>
    </row>
    <row r="104" spans="1:16">
      <c r="A104" s="553"/>
      <c r="B104" s="546"/>
      <c r="C104" s="544"/>
      <c r="D104" s="6" t="s">
        <v>8944</v>
      </c>
      <c r="E104" s="228">
        <v>54640</v>
      </c>
      <c r="F104" s="228">
        <v>43819</v>
      </c>
      <c r="G104" s="108" t="s">
        <v>8945</v>
      </c>
      <c r="H104" s="108">
        <v>5</v>
      </c>
      <c r="I104" s="277">
        <v>107894600</v>
      </c>
      <c r="J104" s="277">
        <v>99711185</v>
      </c>
      <c r="K104" s="277">
        <v>104969800</v>
      </c>
      <c r="L104" s="277">
        <v>94589862</v>
      </c>
      <c r="M104" s="277">
        <v>600000</v>
      </c>
      <c r="N104" s="108" t="s">
        <v>382</v>
      </c>
      <c r="O104" s="108" t="s">
        <v>382</v>
      </c>
      <c r="P104" s="108" t="s">
        <v>382</v>
      </c>
    </row>
    <row r="105" spans="1:16">
      <c r="A105" s="22">
        <f>A103+1</f>
        <v>95</v>
      </c>
      <c r="B105" s="9">
        <v>6896197</v>
      </c>
      <c r="C105" s="20" t="s">
        <v>322</v>
      </c>
      <c r="D105" s="6" t="s">
        <v>6943</v>
      </c>
      <c r="E105" s="6" t="s">
        <v>382</v>
      </c>
      <c r="F105" s="6" t="s">
        <v>382</v>
      </c>
      <c r="G105" s="108" t="s">
        <v>382</v>
      </c>
      <c r="H105" s="108" t="s">
        <v>382</v>
      </c>
      <c r="I105" s="108" t="s">
        <v>382</v>
      </c>
      <c r="J105" s="108" t="s">
        <v>382</v>
      </c>
      <c r="K105" s="108" t="s">
        <v>382</v>
      </c>
      <c r="L105" s="108" t="s">
        <v>382</v>
      </c>
      <c r="M105" s="108" t="s">
        <v>382</v>
      </c>
      <c r="N105" s="108" t="s">
        <v>382</v>
      </c>
      <c r="O105" s="108" t="s">
        <v>382</v>
      </c>
      <c r="P105" s="108" t="s">
        <v>382</v>
      </c>
    </row>
    <row r="106" spans="1:16" ht="51">
      <c r="A106" s="554">
        <f>A105+1</f>
        <v>96</v>
      </c>
      <c r="B106" s="545">
        <v>5435528</v>
      </c>
      <c r="C106" s="543" t="s">
        <v>323</v>
      </c>
      <c r="D106" s="1" t="s">
        <v>8946</v>
      </c>
      <c r="E106" s="6" t="s">
        <v>382</v>
      </c>
      <c r="F106" s="228">
        <v>45287</v>
      </c>
      <c r="G106" s="108" t="s">
        <v>8947</v>
      </c>
      <c r="H106" s="108">
        <v>10</v>
      </c>
      <c r="I106" s="277">
        <v>75646000</v>
      </c>
      <c r="J106" s="108" t="s">
        <v>382</v>
      </c>
      <c r="K106" s="277">
        <v>1500000</v>
      </c>
      <c r="L106" s="108" t="s">
        <v>382</v>
      </c>
      <c r="M106" s="277">
        <v>2000</v>
      </c>
      <c r="N106" s="108" t="s">
        <v>382</v>
      </c>
      <c r="O106" s="108" t="s">
        <v>382</v>
      </c>
      <c r="P106" s="108" t="s">
        <v>382</v>
      </c>
    </row>
    <row r="107" spans="1:16" ht="89.25">
      <c r="A107" s="555"/>
      <c r="B107" s="548"/>
      <c r="C107" s="547"/>
      <c r="D107" s="1" t="s">
        <v>8948</v>
      </c>
      <c r="E107" s="6" t="s">
        <v>382</v>
      </c>
      <c r="F107" s="228">
        <v>45181</v>
      </c>
      <c r="G107" s="108" t="s">
        <v>8949</v>
      </c>
      <c r="H107" s="108">
        <v>16</v>
      </c>
      <c r="I107" s="277">
        <v>2596500000</v>
      </c>
      <c r="J107" s="108" t="s">
        <v>382</v>
      </c>
      <c r="K107" s="191">
        <v>5496511.2400000002</v>
      </c>
      <c r="L107" s="277">
        <v>15000000</v>
      </c>
      <c r="M107" s="108" t="s">
        <v>382</v>
      </c>
      <c r="N107" s="108" t="s">
        <v>382</v>
      </c>
      <c r="O107" s="108" t="s">
        <v>382</v>
      </c>
      <c r="P107" s="108" t="s">
        <v>382</v>
      </c>
    </row>
    <row r="108" spans="1:16" ht="38.25">
      <c r="A108" s="555"/>
      <c r="B108" s="548"/>
      <c r="C108" s="547"/>
      <c r="D108" s="1" t="s">
        <v>8950</v>
      </c>
      <c r="E108" s="228">
        <v>44589</v>
      </c>
      <c r="F108" s="228">
        <v>43671</v>
      </c>
      <c r="G108" s="108" t="s">
        <v>8951</v>
      </c>
      <c r="H108" s="108">
        <v>25</v>
      </c>
      <c r="I108" s="108" t="s">
        <v>8952</v>
      </c>
      <c r="J108" s="191">
        <v>98468779.805000007</v>
      </c>
      <c r="K108" s="191">
        <v>34111223.522</v>
      </c>
      <c r="L108" s="191">
        <v>14295061.062999999</v>
      </c>
      <c r="M108" s="108" t="s">
        <v>382</v>
      </c>
      <c r="N108" s="108" t="s">
        <v>382</v>
      </c>
      <c r="O108" s="108" t="s">
        <v>382</v>
      </c>
      <c r="P108" s="108" t="s">
        <v>382</v>
      </c>
    </row>
    <row r="109" spans="1:16" ht="51">
      <c r="A109" s="555"/>
      <c r="B109" s="548"/>
      <c r="C109" s="547"/>
      <c r="D109" s="1" t="s">
        <v>8953</v>
      </c>
      <c r="E109" s="228">
        <v>44578</v>
      </c>
      <c r="F109" s="228">
        <v>44217</v>
      </c>
      <c r="G109" s="325">
        <v>44348</v>
      </c>
      <c r="H109" s="108">
        <v>30</v>
      </c>
      <c r="I109" s="277">
        <v>229613130</v>
      </c>
      <c r="J109" s="277">
        <v>218000000</v>
      </c>
      <c r="K109" s="108" t="s">
        <v>382</v>
      </c>
      <c r="L109" s="108" t="s">
        <v>382</v>
      </c>
      <c r="M109" s="277">
        <v>15000000</v>
      </c>
      <c r="N109" s="108" t="s">
        <v>382</v>
      </c>
      <c r="O109" s="108" t="s">
        <v>382</v>
      </c>
      <c r="P109" s="108" t="s">
        <v>382</v>
      </c>
    </row>
    <row r="110" spans="1:16" ht="38.25">
      <c r="A110" s="555"/>
      <c r="B110" s="546"/>
      <c r="C110" s="544"/>
      <c r="D110" s="1" t="s">
        <v>8954</v>
      </c>
      <c r="E110" s="6" t="s">
        <v>382</v>
      </c>
      <c r="F110" s="228">
        <v>45287</v>
      </c>
      <c r="G110" s="108" t="s">
        <v>8947</v>
      </c>
      <c r="H110" s="108">
        <v>10</v>
      </c>
      <c r="I110" s="277">
        <v>75640000</v>
      </c>
      <c r="J110" s="108" t="s">
        <v>382</v>
      </c>
      <c r="K110" s="277">
        <v>1700000</v>
      </c>
      <c r="L110" s="108" t="s">
        <v>382</v>
      </c>
      <c r="M110" s="277">
        <v>2000</v>
      </c>
      <c r="N110" s="108" t="s">
        <v>382</v>
      </c>
      <c r="O110" s="108" t="s">
        <v>382</v>
      </c>
      <c r="P110" s="108" t="s">
        <v>382</v>
      </c>
    </row>
    <row r="111" spans="1:16">
      <c r="A111" s="22">
        <f>A106+1</f>
        <v>97</v>
      </c>
      <c r="B111" s="9">
        <v>6141536</v>
      </c>
      <c r="C111" s="20" t="s">
        <v>325</v>
      </c>
      <c r="D111" s="6" t="s">
        <v>382</v>
      </c>
      <c r="E111" s="6" t="s">
        <v>382</v>
      </c>
      <c r="F111" s="6" t="s">
        <v>382</v>
      </c>
      <c r="G111" s="108" t="s">
        <v>382</v>
      </c>
      <c r="H111" s="108" t="s">
        <v>382</v>
      </c>
      <c r="I111" s="108" t="s">
        <v>382</v>
      </c>
      <c r="J111" s="108" t="s">
        <v>382</v>
      </c>
      <c r="K111" s="108" t="s">
        <v>382</v>
      </c>
      <c r="L111" s="108" t="s">
        <v>382</v>
      </c>
      <c r="M111" s="108" t="s">
        <v>382</v>
      </c>
      <c r="N111" s="108" t="s">
        <v>382</v>
      </c>
      <c r="O111" s="108" t="s">
        <v>382</v>
      </c>
      <c r="P111" s="108" t="s">
        <v>382</v>
      </c>
    </row>
    <row r="112" spans="1:16">
      <c r="A112" s="22">
        <f>A111+1</f>
        <v>98</v>
      </c>
      <c r="B112" s="9">
        <v>5124913</v>
      </c>
      <c r="C112" s="20" t="s">
        <v>326</v>
      </c>
      <c r="D112" s="6" t="s">
        <v>8938</v>
      </c>
      <c r="E112" s="228">
        <v>32720</v>
      </c>
      <c r="F112" s="6" t="s">
        <v>8955</v>
      </c>
      <c r="G112" s="108" t="s">
        <v>8939</v>
      </c>
      <c r="H112" s="108">
        <v>30</v>
      </c>
      <c r="I112" s="277">
        <v>423728480</v>
      </c>
      <c r="J112" s="277">
        <v>99044306</v>
      </c>
      <c r="K112" s="277">
        <v>4086800</v>
      </c>
      <c r="L112" s="277">
        <v>2021185</v>
      </c>
      <c r="M112" s="277">
        <v>2000000</v>
      </c>
      <c r="N112" s="277">
        <v>47230974</v>
      </c>
      <c r="O112" s="277">
        <v>2479067</v>
      </c>
      <c r="P112" s="277">
        <v>2400000</v>
      </c>
    </row>
    <row r="113" spans="1:16">
      <c r="A113" s="22">
        <f t="shared" ref="A113:A114" si="7">A112+1</f>
        <v>99</v>
      </c>
      <c r="B113" s="9">
        <v>2074192</v>
      </c>
      <c r="C113" s="20" t="s">
        <v>327</v>
      </c>
      <c r="D113" s="6" t="s">
        <v>382</v>
      </c>
      <c r="E113" s="228">
        <v>45393</v>
      </c>
      <c r="F113" s="228">
        <v>45398</v>
      </c>
      <c r="G113" s="108" t="s">
        <v>382</v>
      </c>
      <c r="H113" s="108" t="s">
        <v>382</v>
      </c>
      <c r="I113" s="108" t="s">
        <v>382</v>
      </c>
      <c r="J113" s="108" t="s">
        <v>382</v>
      </c>
      <c r="K113" s="108" t="s">
        <v>382</v>
      </c>
      <c r="L113" s="108" t="s">
        <v>382</v>
      </c>
      <c r="M113" s="108" t="s">
        <v>382</v>
      </c>
      <c r="N113" s="108" t="s">
        <v>382</v>
      </c>
      <c r="O113" s="108" t="s">
        <v>382</v>
      </c>
      <c r="P113" s="108" t="s">
        <v>382</v>
      </c>
    </row>
    <row r="114" spans="1:16">
      <c r="A114" s="22">
        <f t="shared" si="7"/>
        <v>100</v>
      </c>
      <c r="B114" s="9">
        <v>5137977</v>
      </c>
      <c r="C114" s="20" t="s">
        <v>332</v>
      </c>
      <c r="D114" s="6" t="s">
        <v>382</v>
      </c>
      <c r="E114" s="6" t="s">
        <v>382</v>
      </c>
      <c r="F114" s="6" t="s">
        <v>382</v>
      </c>
      <c r="G114" s="108" t="s">
        <v>382</v>
      </c>
      <c r="H114" s="108" t="s">
        <v>382</v>
      </c>
      <c r="I114" s="108" t="s">
        <v>382</v>
      </c>
      <c r="J114" s="108" t="s">
        <v>382</v>
      </c>
      <c r="K114" s="108" t="s">
        <v>382</v>
      </c>
      <c r="L114" s="108" t="s">
        <v>382</v>
      </c>
      <c r="M114" s="108" t="s">
        <v>382</v>
      </c>
      <c r="N114" s="108" t="s">
        <v>382</v>
      </c>
      <c r="O114" s="108" t="s">
        <v>382</v>
      </c>
      <c r="P114" s="108" t="s">
        <v>382</v>
      </c>
    </row>
    <row r="115" spans="1:16">
      <c r="J115" s="7">
        <f>SUM(J4:J114)</f>
        <v>60335269722.045006</v>
      </c>
    </row>
  </sheetData>
  <mergeCells count="13">
    <mergeCell ref="C103:C104"/>
    <mergeCell ref="B103:B104"/>
    <mergeCell ref="C106:C110"/>
    <mergeCell ref="B106:B110"/>
    <mergeCell ref="A17:A18"/>
    <mergeCell ref="A86:A91"/>
    <mergeCell ref="A103:A104"/>
    <mergeCell ref="A106:A110"/>
    <mergeCell ref="A1:I1"/>
    <mergeCell ref="C17:C18"/>
    <mergeCell ref="B17:B18"/>
    <mergeCell ref="C86:C91"/>
    <mergeCell ref="B86:B91"/>
  </mergeCells>
  <conditionalFormatting sqref="B28:B67">
    <cfRule type="duplicateValues" dxfId="378" priority="1109"/>
  </conditionalFormatting>
  <conditionalFormatting sqref="B68">
    <cfRule type="duplicateValues" dxfId="377" priority="10"/>
  </conditionalFormatting>
  <conditionalFormatting sqref="B69">
    <cfRule type="duplicateValues" dxfId="376" priority="9"/>
  </conditionalFormatting>
  <conditionalFormatting sqref="B70">
    <cfRule type="duplicateValues" dxfId="375" priority="8"/>
  </conditionalFormatting>
  <conditionalFormatting sqref="B71">
    <cfRule type="duplicateValues" dxfId="374" priority="7"/>
  </conditionalFormatting>
  <conditionalFormatting sqref="B72">
    <cfRule type="duplicateValues" dxfId="373" priority="6"/>
  </conditionalFormatting>
  <conditionalFormatting sqref="B73 B4:B17 B19:B27">
    <cfRule type="duplicateValues" dxfId="372" priority="12"/>
  </conditionalFormatting>
  <conditionalFormatting sqref="B74:B86 B92:B103 B105:B106 B111:B114">
    <cfRule type="duplicateValues" dxfId="371" priority="1201"/>
  </conditionalFormatting>
  <conditionalFormatting sqref="C28:C67">
    <cfRule type="duplicateValues" dxfId="370" priority="1111"/>
  </conditionalFormatting>
  <conditionalFormatting sqref="C68">
    <cfRule type="duplicateValues" dxfId="369" priority="1"/>
  </conditionalFormatting>
  <conditionalFormatting sqref="C69:C72">
    <cfRule type="duplicateValues" dxfId="368" priority="2"/>
  </conditionalFormatting>
  <conditionalFormatting sqref="C73 C4:C17 C19:C27">
    <cfRule type="duplicateValues" dxfId="367" priority="4"/>
  </conditionalFormatting>
  <conditionalFormatting sqref="C74:C86 C92:C103 C105:C106 C111:C114">
    <cfRule type="duplicateValues" dxfId="366" priority="1203"/>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DACD5-0EB9-47C7-911D-FFAE30610B0E}">
  <sheetPr>
    <tabColor rgb="FF006432"/>
  </sheetPr>
  <dimension ref="A1:AM131"/>
  <sheetViews>
    <sheetView workbookViewId="0">
      <pane xSplit="3" ySplit="5" topLeftCell="D6" activePane="bottomRight" state="frozen"/>
      <selection pane="bottomRight" activeCell="D3" sqref="D3:G4"/>
      <selection pane="bottomLeft" activeCell="A6" sqref="A6"/>
      <selection pane="topRight" activeCell="D1" sqref="D1"/>
    </sheetView>
  </sheetViews>
  <sheetFormatPr defaultRowHeight="15"/>
  <cols>
    <col min="1" max="1" width="4" bestFit="1" customWidth="1"/>
    <col min="2" max="2" width="32" customWidth="1"/>
    <col min="3" max="3" width="11" customWidth="1"/>
    <col min="4" max="14" width="12.85546875" style="7" customWidth="1"/>
    <col min="15" max="15" width="14.28515625" style="7" customWidth="1"/>
    <col min="16" max="18" width="12.85546875" style="7" customWidth="1"/>
    <col min="19" max="19" width="14.5703125" style="7" customWidth="1"/>
    <col min="20" max="23" width="12.5703125" customWidth="1"/>
    <col min="24" max="31" width="14" customWidth="1"/>
    <col min="32" max="32" width="13" customWidth="1"/>
    <col min="33" max="33" width="13.42578125" customWidth="1"/>
    <col min="34" max="34" width="11.7109375" customWidth="1"/>
    <col min="35" max="36" width="13.42578125" customWidth="1"/>
    <col min="37" max="37" width="12.42578125" customWidth="1"/>
    <col min="38" max="38" width="13.42578125" customWidth="1"/>
    <col min="39" max="39" width="12.85546875" customWidth="1"/>
  </cols>
  <sheetData>
    <row r="1" spans="1:39" ht="16.5" thickBot="1">
      <c r="A1" s="642" t="s">
        <v>8956</v>
      </c>
      <c r="B1" s="642"/>
      <c r="C1" s="642"/>
      <c r="D1" s="642"/>
      <c r="E1" s="642"/>
      <c r="F1" s="642"/>
      <c r="G1" s="642"/>
      <c r="H1" s="642"/>
      <c r="I1" s="642"/>
      <c r="J1" s="642"/>
      <c r="K1" s="642"/>
      <c r="L1" s="642"/>
      <c r="M1" s="642"/>
      <c r="N1" s="642"/>
      <c r="O1" s="642"/>
      <c r="P1" s="642"/>
      <c r="Q1" s="326"/>
      <c r="R1" s="253"/>
      <c r="S1" s="253"/>
    </row>
    <row r="2" spans="1:39" ht="6" customHeight="1" thickTop="1"/>
    <row r="3" spans="1:39" s="8" customFormat="1" ht="15" customHeight="1">
      <c r="A3" s="556" t="s">
        <v>114</v>
      </c>
      <c r="B3" s="556" t="s">
        <v>690</v>
      </c>
      <c r="C3" s="556" t="s">
        <v>116</v>
      </c>
      <c r="D3" s="558" t="s">
        <v>8957</v>
      </c>
      <c r="E3" s="558"/>
      <c r="F3" s="558"/>
      <c r="G3" s="558"/>
      <c r="H3" s="556" t="s">
        <v>8958</v>
      </c>
      <c r="I3" s="556"/>
      <c r="J3" s="556"/>
      <c r="K3" s="556"/>
      <c r="L3" s="530" t="s">
        <v>8959</v>
      </c>
      <c r="M3" s="557"/>
      <c r="N3" s="557"/>
      <c r="O3" s="557"/>
      <c r="P3" s="557"/>
      <c r="Q3" s="557"/>
      <c r="R3" s="557"/>
      <c r="S3" s="557"/>
      <c r="T3" s="557"/>
      <c r="U3" s="557"/>
      <c r="V3" s="557"/>
      <c r="W3" s="531"/>
      <c r="X3" s="560" t="s">
        <v>8960</v>
      </c>
      <c r="Y3" s="558"/>
      <c r="Z3" s="558"/>
      <c r="AA3" s="558"/>
      <c r="AB3" s="558" t="s">
        <v>8961</v>
      </c>
      <c r="AC3" s="558"/>
      <c r="AD3" s="558"/>
      <c r="AE3" s="558"/>
      <c r="AF3" s="562" t="s">
        <v>8962</v>
      </c>
      <c r="AG3" s="562"/>
      <c r="AH3" s="562"/>
      <c r="AI3" s="562"/>
      <c r="AJ3" s="562" t="s">
        <v>8963</v>
      </c>
      <c r="AK3" s="562"/>
      <c r="AL3" s="562"/>
      <c r="AM3" s="562"/>
    </row>
    <row r="4" spans="1:39" s="5" customFormat="1" ht="24" customHeight="1">
      <c r="A4" s="556"/>
      <c r="B4" s="556"/>
      <c r="C4" s="556"/>
      <c r="D4" s="559"/>
      <c r="E4" s="559"/>
      <c r="F4" s="559"/>
      <c r="G4" s="559"/>
      <c r="H4" s="556"/>
      <c r="I4" s="556"/>
      <c r="J4" s="556"/>
      <c r="K4" s="556"/>
      <c r="L4" s="530" t="s">
        <v>8964</v>
      </c>
      <c r="M4" s="557"/>
      <c r="N4" s="557"/>
      <c r="O4" s="531"/>
      <c r="P4" s="530" t="s">
        <v>8965</v>
      </c>
      <c r="Q4" s="557"/>
      <c r="R4" s="557"/>
      <c r="S4" s="531"/>
      <c r="T4" s="530" t="s">
        <v>8966</v>
      </c>
      <c r="U4" s="557"/>
      <c r="V4" s="557"/>
      <c r="W4" s="531"/>
      <c r="X4" s="561"/>
      <c r="Y4" s="559"/>
      <c r="Z4" s="559"/>
      <c r="AA4" s="559"/>
      <c r="AB4" s="559"/>
      <c r="AC4" s="559"/>
      <c r="AD4" s="559"/>
      <c r="AE4" s="559"/>
      <c r="AF4" s="563"/>
      <c r="AG4" s="563"/>
      <c r="AH4" s="563"/>
      <c r="AI4" s="563"/>
      <c r="AJ4" s="563"/>
      <c r="AK4" s="563"/>
      <c r="AL4" s="563"/>
      <c r="AM4" s="563"/>
    </row>
    <row r="5" spans="1:39" s="5" customFormat="1" ht="41.25" customHeight="1">
      <c r="A5" s="556"/>
      <c r="B5" s="556"/>
      <c r="C5" s="556"/>
      <c r="D5" s="273" t="s">
        <v>8967</v>
      </c>
      <c r="E5" s="272" t="s">
        <v>8968</v>
      </c>
      <c r="F5" s="272" t="s">
        <v>8969</v>
      </c>
      <c r="G5" s="272" t="s">
        <v>8970</v>
      </c>
      <c r="H5" s="269" t="s">
        <v>8967</v>
      </c>
      <c r="I5" s="269" t="s">
        <v>8968</v>
      </c>
      <c r="J5" s="269" t="s">
        <v>8969</v>
      </c>
      <c r="K5" s="269" t="s">
        <v>8970</v>
      </c>
      <c r="L5" s="268" t="s">
        <v>8967</v>
      </c>
      <c r="M5" s="268" t="s">
        <v>8968</v>
      </c>
      <c r="N5" s="268" t="s">
        <v>8969</v>
      </c>
      <c r="O5" s="268" t="s">
        <v>8970</v>
      </c>
      <c r="P5" s="270" t="s">
        <v>8967</v>
      </c>
      <c r="Q5" s="270" t="s">
        <v>8968</v>
      </c>
      <c r="R5" s="270" t="s">
        <v>8969</v>
      </c>
      <c r="S5" s="270" t="s">
        <v>8970</v>
      </c>
      <c r="T5" s="271" t="s">
        <v>8967</v>
      </c>
      <c r="U5" s="271" t="s">
        <v>8968</v>
      </c>
      <c r="V5" s="271" t="s">
        <v>8969</v>
      </c>
      <c r="W5" s="271" t="s">
        <v>8970</v>
      </c>
      <c r="X5" s="268" t="s">
        <v>8967</v>
      </c>
      <c r="Y5" s="268" t="s">
        <v>8968</v>
      </c>
      <c r="Z5" s="268" t="s">
        <v>8969</v>
      </c>
      <c r="AA5" s="268" t="s">
        <v>8970</v>
      </c>
      <c r="AB5" s="271" t="s">
        <v>8967</v>
      </c>
      <c r="AC5" s="271" t="s">
        <v>8971</v>
      </c>
      <c r="AD5" s="271" t="s">
        <v>8969</v>
      </c>
      <c r="AE5" s="271" t="s">
        <v>8970</v>
      </c>
      <c r="AF5" s="270" t="s">
        <v>8967</v>
      </c>
      <c r="AG5" s="270" t="s">
        <v>8968</v>
      </c>
      <c r="AH5" s="270" t="s">
        <v>8969</v>
      </c>
      <c r="AI5" s="270" t="s">
        <v>8970</v>
      </c>
      <c r="AJ5" s="268" t="s">
        <v>8967</v>
      </c>
      <c r="AK5" s="268" t="s">
        <v>8968</v>
      </c>
      <c r="AL5" s="268" t="s">
        <v>8969</v>
      </c>
      <c r="AM5" s="268" t="s">
        <v>8970</v>
      </c>
    </row>
    <row r="6" spans="1:39">
      <c r="A6" s="6">
        <v>1</v>
      </c>
      <c r="B6" s="259" t="s">
        <v>121</v>
      </c>
      <c r="C6" s="9">
        <v>2011239</v>
      </c>
      <c r="D6" s="108" t="s">
        <v>382</v>
      </c>
      <c r="E6" s="108" t="s">
        <v>382</v>
      </c>
      <c r="F6" s="108" t="s">
        <v>382</v>
      </c>
      <c r="G6" s="108" t="s">
        <v>382</v>
      </c>
      <c r="H6" s="108" t="s">
        <v>382</v>
      </c>
      <c r="I6" s="108" t="s">
        <v>382</v>
      </c>
      <c r="J6" s="108" t="s">
        <v>382</v>
      </c>
      <c r="K6" s="108" t="s">
        <v>382</v>
      </c>
      <c r="L6" s="108" t="s">
        <v>382</v>
      </c>
      <c r="M6" s="108" t="s">
        <v>382</v>
      </c>
      <c r="N6" s="108" t="s">
        <v>382</v>
      </c>
      <c r="O6" s="108" t="s">
        <v>382</v>
      </c>
      <c r="P6" s="108" t="s">
        <v>382</v>
      </c>
      <c r="Q6" s="108" t="s">
        <v>382</v>
      </c>
      <c r="R6" s="108" t="s">
        <v>382</v>
      </c>
      <c r="S6" s="108" t="s">
        <v>382</v>
      </c>
      <c r="T6" s="12" t="s">
        <v>382</v>
      </c>
      <c r="U6" s="12" t="s">
        <v>382</v>
      </c>
      <c r="V6" s="12" t="s">
        <v>382</v>
      </c>
      <c r="W6" s="12" t="s">
        <v>382</v>
      </c>
      <c r="X6" s="12" t="s">
        <v>382</v>
      </c>
      <c r="Y6" s="12" t="s">
        <v>382</v>
      </c>
      <c r="Z6" s="12" t="s">
        <v>382</v>
      </c>
      <c r="AA6" s="12" t="s">
        <v>382</v>
      </c>
      <c r="AB6" s="12" t="s">
        <v>382</v>
      </c>
      <c r="AC6" s="12" t="s">
        <v>382</v>
      </c>
      <c r="AD6" s="12" t="s">
        <v>382</v>
      </c>
      <c r="AE6" s="12" t="s">
        <v>382</v>
      </c>
      <c r="AF6" s="12" t="s">
        <v>382</v>
      </c>
      <c r="AG6" s="12" t="s">
        <v>382</v>
      </c>
      <c r="AH6" s="12" t="s">
        <v>382</v>
      </c>
      <c r="AI6" s="12" t="s">
        <v>382</v>
      </c>
      <c r="AJ6" s="12" t="s">
        <v>382</v>
      </c>
      <c r="AK6" s="12" t="s">
        <v>382</v>
      </c>
      <c r="AL6" s="12" t="s">
        <v>382</v>
      </c>
      <c r="AM6" s="12" t="s">
        <v>382</v>
      </c>
    </row>
    <row r="7" spans="1:39">
      <c r="A7" s="186">
        <f>A6+1</f>
        <v>2</v>
      </c>
      <c r="B7" s="260" t="s">
        <v>126</v>
      </c>
      <c r="C7" s="9">
        <v>5097517</v>
      </c>
      <c r="D7" s="108"/>
      <c r="E7" s="108"/>
      <c r="F7" s="108"/>
      <c r="G7" s="108"/>
      <c r="H7" s="108"/>
      <c r="I7" s="108"/>
      <c r="J7" s="108"/>
      <c r="K7" s="108"/>
      <c r="L7" s="108"/>
      <c r="M7" s="108"/>
      <c r="N7" s="108"/>
      <c r="O7" s="108"/>
      <c r="P7" s="108"/>
      <c r="Q7" s="108"/>
      <c r="R7" s="108"/>
      <c r="S7" s="108"/>
      <c r="T7" s="12"/>
      <c r="U7" s="12"/>
      <c r="V7" s="12"/>
      <c r="W7" s="12"/>
      <c r="X7" s="12"/>
      <c r="Y7" s="12"/>
      <c r="Z7" s="12"/>
      <c r="AA7" s="12"/>
      <c r="AB7" s="12"/>
      <c r="AC7" s="12"/>
      <c r="AD7" s="12"/>
      <c r="AE7" s="12"/>
      <c r="AF7" s="12"/>
      <c r="AG7" s="12"/>
      <c r="AH7" s="12"/>
      <c r="AI7" s="12"/>
      <c r="AJ7" s="12"/>
      <c r="AK7" s="22"/>
      <c r="AL7" s="12"/>
      <c r="AM7" s="12"/>
    </row>
    <row r="8" spans="1:39">
      <c r="A8" s="6">
        <f>A7+1</f>
        <v>3</v>
      </c>
      <c r="B8" s="259" t="s">
        <v>131</v>
      </c>
      <c r="C8" s="9">
        <v>5809797</v>
      </c>
      <c r="D8" s="191">
        <v>3506.94</v>
      </c>
      <c r="E8" s="191">
        <v>3506.94</v>
      </c>
      <c r="F8" s="108" t="s">
        <v>382</v>
      </c>
      <c r="G8" s="108" t="s">
        <v>382</v>
      </c>
      <c r="H8" s="108">
        <v>20</v>
      </c>
      <c r="I8" s="108">
        <v>21.7</v>
      </c>
      <c r="J8" s="108" t="s">
        <v>382</v>
      </c>
      <c r="K8" s="108" t="s">
        <v>382</v>
      </c>
      <c r="L8" s="108">
        <v>3</v>
      </c>
      <c r="M8" s="108">
        <v>5.84</v>
      </c>
      <c r="N8" s="108"/>
      <c r="O8" s="277">
        <v>186100000</v>
      </c>
      <c r="P8" s="108">
        <v>2</v>
      </c>
      <c r="Q8" s="108">
        <v>4.84</v>
      </c>
      <c r="R8" s="108"/>
      <c r="S8" s="277">
        <v>172800000</v>
      </c>
      <c r="T8" s="12">
        <v>1</v>
      </c>
      <c r="U8" s="12">
        <v>1</v>
      </c>
      <c r="V8" s="12" t="s">
        <v>382</v>
      </c>
      <c r="W8" s="258">
        <v>13300000</v>
      </c>
      <c r="X8" s="12">
        <v>2</v>
      </c>
      <c r="Y8" s="12">
        <v>4.84</v>
      </c>
      <c r="Z8" s="12" t="s">
        <v>382</v>
      </c>
      <c r="AA8" s="258">
        <v>172800000</v>
      </c>
      <c r="AB8" s="12">
        <v>5</v>
      </c>
      <c r="AC8" s="12">
        <v>5.25</v>
      </c>
      <c r="AD8" s="12"/>
      <c r="AE8" s="258">
        <v>57565000</v>
      </c>
      <c r="AF8" s="12" t="s">
        <v>382</v>
      </c>
      <c r="AG8" s="12" t="s">
        <v>382</v>
      </c>
      <c r="AH8" s="12">
        <v>25000000</v>
      </c>
      <c r="AI8" s="258">
        <v>25000000</v>
      </c>
      <c r="AJ8" s="12" t="s">
        <v>382</v>
      </c>
      <c r="AK8" s="12" t="s">
        <v>382</v>
      </c>
      <c r="AL8" s="12" t="s">
        <v>382</v>
      </c>
      <c r="AM8" s="12" t="s">
        <v>382</v>
      </c>
    </row>
    <row r="9" spans="1:39">
      <c r="A9" s="6">
        <f>A8+1</f>
        <v>4</v>
      </c>
      <c r="B9" s="259" t="s">
        <v>133</v>
      </c>
      <c r="C9" s="9">
        <v>5118344</v>
      </c>
      <c r="D9" s="108" t="s">
        <v>382</v>
      </c>
      <c r="E9" s="108" t="s">
        <v>382</v>
      </c>
      <c r="F9" s="108" t="s">
        <v>382</v>
      </c>
      <c r="G9" s="108" t="s">
        <v>382</v>
      </c>
      <c r="H9" s="108" t="s">
        <v>382</v>
      </c>
      <c r="I9" s="108" t="s">
        <v>382</v>
      </c>
      <c r="J9" s="108" t="s">
        <v>382</v>
      </c>
      <c r="K9" s="108" t="s">
        <v>382</v>
      </c>
      <c r="L9" s="108" t="s">
        <v>382</v>
      </c>
      <c r="M9" s="108" t="s">
        <v>382</v>
      </c>
      <c r="N9" s="108" t="s">
        <v>382</v>
      </c>
      <c r="O9" s="277" t="s">
        <v>382</v>
      </c>
      <c r="P9" s="108" t="s">
        <v>382</v>
      </c>
      <c r="Q9" s="108" t="s">
        <v>382</v>
      </c>
      <c r="R9" s="108" t="s">
        <v>382</v>
      </c>
      <c r="S9" s="108" t="s">
        <v>382</v>
      </c>
      <c r="T9" s="12" t="s">
        <v>382</v>
      </c>
      <c r="U9" s="12" t="s">
        <v>382</v>
      </c>
      <c r="V9" s="12" t="s">
        <v>382</v>
      </c>
      <c r="W9" s="12" t="s">
        <v>382</v>
      </c>
      <c r="X9" s="12" t="s">
        <v>382</v>
      </c>
      <c r="Y9" s="12" t="s">
        <v>382</v>
      </c>
      <c r="Z9" s="12" t="s">
        <v>382</v>
      </c>
      <c r="AA9" s="12" t="s">
        <v>382</v>
      </c>
      <c r="AB9" s="12" t="s">
        <v>382</v>
      </c>
      <c r="AC9" s="12" t="s">
        <v>382</v>
      </c>
      <c r="AD9" s="12" t="s">
        <v>382</v>
      </c>
      <c r="AE9" s="12" t="s">
        <v>382</v>
      </c>
      <c r="AF9" s="12" t="s">
        <v>382</v>
      </c>
      <c r="AG9" s="12" t="s">
        <v>382</v>
      </c>
      <c r="AH9" s="258">
        <v>2500000</v>
      </c>
      <c r="AI9" s="258">
        <v>2500000</v>
      </c>
      <c r="AJ9" s="12" t="s">
        <v>382</v>
      </c>
      <c r="AK9" s="12" t="s">
        <v>382</v>
      </c>
      <c r="AL9" s="12" t="s">
        <v>382</v>
      </c>
      <c r="AM9" s="12" t="s">
        <v>382</v>
      </c>
    </row>
    <row r="10" spans="1:39">
      <c r="A10" s="6">
        <f>A9+1</f>
        <v>5</v>
      </c>
      <c r="B10" s="259" t="s">
        <v>136</v>
      </c>
      <c r="C10" s="9">
        <v>5095549</v>
      </c>
      <c r="D10" s="108">
        <v>706.38</v>
      </c>
      <c r="E10" s="108">
        <v>706.38</v>
      </c>
      <c r="F10" s="108" t="s">
        <v>382</v>
      </c>
      <c r="G10" s="108" t="s">
        <v>382</v>
      </c>
      <c r="H10" s="108" t="s">
        <v>382</v>
      </c>
      <c r="I10" s="108">
        <v>82.5</v>
      </c>
      <c r="J10" s="108" t="s">
        <v>382</v>
      </c>
      <c r="K10" s="108" t="s">
        <v>382</v>
      </c>
      <c r="L10" s="108" t="s">
        <v>382</v>
      </c>
      <c r="M10" s="108" t="s">
        <v>382</v>
      </c>
      <c r="N10" s="108" t="s">
        <v>382</v>
      </c>
      <c r="O10" s="108" t="s">
        <v>382</v>
      </c>
      <c r="P10" s="108" t="s">
        <v>382</v>
      </c>
      <c r="Q10" s="108" t="s">
        <v>382</v>
      </c>
      <c r="R10" s="108" t="s">
        <v>382</v>
      </c>
      <c r="S10" s="108" t="s">
        <v>382</v>
      </c>
      <c r="T10" s="12" t="s">
        <v>382</v>
      </c>
      <c r="U10" s="12" t="s">
        <v>382</v>
      </c>
      <c r="V10" s="12" t="s">
        <v>382</v>
      </c>
      <c r="W10" s="12" t="s">
        <v>382</v>
      </c>
      <c r="X10" s="12" t="s">
        <v>382</v>
      </c>
      <c r="Y10" s="12" t="s">
        <v>382</v>
      </c>
      <c r="Z10" s="12" t="s">
        <v>382</v>
      </c>
      <c r="AA10" s="12" t="s">
        <v>382</v>
      </c>
      <c r="AB10" s="12" t="s">
        <v>382</v>
      </c>
      <c r="AC10" s="12" t="s">
        <v>382</v>
      </c>
      <c r="AD10" s="12" t="s">
        <v>382</v>
      </c>
      <c r="AE10" s="12" t="s">
        <v>382</v>
      </c>
      <c r="AF10" s="12" t="s">
        <v>382</v>
      </c>
      <c r="AG10" s="12" t="s">
        <v>382</v>
      </c>
      <c r="AH10" s="12" t="s">
        <v>382</v>
      </c>
      <c r="AI10" s="258">
        <v>4990000</v>
      </c>
      <c r="AJ10" s="12" t="s">
        <v>382</v>
      </c>
      <c r="AK10" s="12" t="s">
        <v>382</v>
      </c>
      <c r="AL10" s="12" t="s">
        <v>382</v>
      </c>
      <c r="AM10" s="12" t="s">
        <v>382</v>
      </c>
    </row>
    <row r="11" spans="1:39">
      <c r="A11" s="6">
        <v>6</v>
      </c>
      <c r="B11" s="259" t="s">
        <v>140</v>
      </c>
      <c r="C11" s="9">
        <v>2784165</v>
      </c>
      <c r="D11" s="108" t="s">
        <v>382</v>
      </c>
      <c r="E11" s="108" t="s">
        <v>382</v>
      </c>
      <c r="F11" s="108" t="s">
        <v>382</v>
      </c>
      <c r="G11" s="108" t="s">
        <v>382</v>
      </c>
      <c r="H11" s="108" t="s">
        <v>382</v>
      </c>
      <c r="I11" s="108" t="s">
        <v>382</v>
      </c>
      <c r="J11" s="108" t="s">
        <v>382</v>
      </c>
      <c r="K11" s="108" t="s">
        <v>382</v>
      </c>
      <c r="L11" s="108" t="s">
        <v>382</v>
      </c>
      <c r="M11" s="108" t="s">
        <v>382</v>
      </c>
      <c r="N11" s="108" t="s">
        <v>382</v>
      </c>
      <c r="O11" s="108" t="s">
        <v>382</v>
      </c>
      <c r="P11" s="108" t="s">
        <v>382</v>
      </c>
      <c r="Q11" s="108" t="s">
        <v>382</v>
      </c>
      <c r="R11" s="108" t="s">
        <v>382</v>
      </c>
      <c r="S11" s="108" t="s">
        <v>382</v>
      </c>
      <c r="T11" s="12" t="s">
        <v>382</v>
      </c>
      <c r="U11" s="12" t="s">
        <v>382</v>
      </c>
      <c r="V11" s="12" t="s">
        <v>382</v>
      </c>
      <c r="W11" s="12" t="s">
        <v>382</v>
      </c>
      <c r="X11" s="12" t="s">
        <v>382</v>
      </c>
      <c r="Y11" s="12" t="s">
        <v>382</v>
      </c>
      <c r="Z11" s="12" t="s">
        <v>382</v>
      </c>
      <c r="AA11" s="12" t="s">
        <v>382</v>
      </c>
      <c r="AB11" s="12" t="s">
        <v>382</v>
      </c>
      <c r="AC11" s="12" t="s">
        <v>382</v>
      </c>
      <c r="AD11" s="12" t="s">
        <v>382</v>
      </c>
      <c r="AE11" s="12" t="s">
        <v>382</v>
      </c>
      <c r="AF11" s="12" t="s">
        <v>382</v>
      </c>
      <c r="AG11" s="12" t="s">
        <v>382</v>
      </c>
      <c r="AH11" s="12" t="s">
        <v>382</v>
      </c>
      <c r="AI11" s="12" t="s">
        <v>382</v>
      </c>
      <c r="AJ11" s="12" t="s">
        <v>382</v>
      </c>
      <c r="AK11" s="12" t="s">
        <v>382</v>
      </c>
      <c r="AL11" s="12" t="s">
        <v>382</v>
      </c>
      <c r="AM11" s="12" t="s">
        <v>382</v>
      </c>
    </row>
    <row r="12" spans="1:39">
      <c r="A12" s="6">
        <f t="shared" ref="A12:A13" si="0">A11+1</f>
        <v>7</v>
      </c>
      <c r="B12" s="259" t="s">
        <v>143</v>
      </c>
      <c r="C12" s="9">
        <v>5133351</v>
      </c>
      <c r="D12" s="108" t="s">
        <v>382</v>
      </c>
      <c r="E12" s="108" t="s">
        <v>382</v>
      </c>
      <c r="F12" s="108" t="s">
        <v>382</v>
      </c>
      <c r="G12" s="108" t="s">
        <v>382</v>
      </c>
      <c r="H12" s="108" t="s">
        <v>382</v>
      </c>
      <c r="I12" s="108" t="s">
        <v>382</v>
      </c>
      <c r="J12" s="108" t="s">
        <v>382</v>
      </c>
      <c r="K12" s="108" t="s">
        <v>382</v>
      </c>
      <c r="L12" s="108" t="s">
        <v>382</v>
      </c>
      <c r="M12" s="108" t="s">
        <v>382</v>
      </c>
      <c r="N12" s="108" t="s">
        <v>382</v>
      </c>
      <c r="O12" s="108" t="s">
        <v>382</v>
      </c>
      <c r="P12" s="108" t="s">
        <v>382</v>
      </c>
      <c r="Q12" s="108" t="s">
        <v>382</v>
      </c>
      <c r="R12" s="108" t="s">
        <v>382</v>
      </c>
      <c r="S12" s="108" t="s">
        <v>382</v>
      </c>
      <c r="T12" s="12" t="s">
        <v>382</v>
      </c>
      <c r="U12" s="12" t="s">
        <v>382</v>
      </c>
      <c r="V12" s="12" t="s">
        <v>382</v>
      </c>
      <c r="W12" s="12" t="s">
        <v>382</v>
      </c>
      <c r="X12" s="12" t="s">
        <v>382</v>
      </c>
      <c r="Y12" s="12" t="s">
        <v>382</v>
      </c>
      <c r="Z12" s="12" t="s">
        <v>382</v>
      </c>
      <c r="AA12" s="12" t="s">
        <v>382</v>
      </c>
      <c r="AB12" s="12" t="s">
        <v>382</v>
      </c>
      <c r="AC12" s="12" t="s">
        <v>382</v>
      </c>
      <c r="AD12" s="12" t="s">
        <v>382</v>
      </c>
      <c r="AE12" s="12" t="s">
        <v>382</v>
      </c>
      <c r="AF12" s="12" t="s">
        <v>382</v>
      </c>
      <c r="AG12" s="12" t="s">
        <v>382</v>
      </c>
      <c r="AH12" s="275">
        <v>12000000</v>
      </c>
      <c r="AI12" s="258">
        <v>6000000</v>
      </c>
      <c r="AJ12" s="12" t="s">
        <v>382</v>
      </c>
      <c r="AK12" s="12" t="s">
        <v>382</v>
      </c>
      <c r="AL12" s="12" t="s">
        <v>382</v>
      </c>
      <c r="AM12" s="12" t="s">
        <v>382</v>
      </c>
    </row>
    <row r="13" spans="1:39">
      <c r="A13" s="6">
        <f t="shared" si="0"/>
        <v>8</v>
      </c>
      <c r="B13" s="259" t="s">
        <v>144</v>
      </c>
      <c r="C13" s="9">
        <v>6172768</v>
      </c>
      <c r="D13" s="108">
        <v>354.12</v>
      </c>
      <c r="E13" s="108">
        <v>354.12</v>
      </c>
      <c r="F13" s="108" t="s">
        <v>382</v>
      </c>
      <c r="G13" s="108" t="s">
        <v>382</v>
      </c>
      <c r="H13" s="108" t="s">
        <v>382</v>
      </c>
      <c r="I13" s="108" t="s">
        <v>382</v>
      </c>
      <c r="J13" s="108" t="s">
        <v>382</v>
      </c>
      <c r="K13" s="108" t="s">
        <v>382</v>
      </c>
      <c r="L13" s="108" t="s">
        <v>382</v>
      </c>
      <c r="M13" s="108" t="s">
        <v>382</v>
      </c>
      <c r="N13" s="108" t="s">
        <v>382</v>
      </c>
      <c r="O13" s="108" t="s">
        <v>382</v>
      </c>
      <c r="P13" s="108" t="s">
        <v>382</v>
      </c>
      <c r="Q13" s="108" t="s">
        <v>382</v>
      </c>
      <c r="R13" s="108" t="s">
        <v>382</v>
      </c>
      <c r="S13" s="108" t="s">
        <v>382</v>
      </c>
      <c r="T13" s="12" t="s">
        <v>382</v>
      </c>
      <c r="U13" s="12" t="s">
        <v>382</v>
      </c>
      <c r="V13" s="12" t="s">
        <v>382</v>
      </c>
      <c r="W13" s="12" t="s">
        <v>382</v>
      </c>
      <c r="X13" s="12" t="s">
        <v>382</v>
      </c>
      <c r="Y13" s="12" t="s">
        <v>382</v>
      </c>
      <c r="Z13" s="12" t="s">
        <v>382</v>
      </c>
      <c r="AA13" s="12" t="s">
        <v>382</v>
      </c>
      <c r="AB13" s="12" t="s">
        <v>382</v>
      </c>
      <c r="AC13" s="12" t="s">
        <v>382</v>
      </c>
      <c r="AD13" s="12" t="s">
        <v>382</v>
      </c>
      <c r="AE13" s="12" t="s">
        <v>382</v>
      </c>
      <c r="AF13" s="12" t="s">
        <v>382</v>
      </c>
      <c r="AG13" s="12" t="s">
        <v>382</v>
      </c>
      <c r="AH13" s="258">
        <v>1700000</v>
      </c>
      <c r="AI13" s="258">
        <v>1700000</v>
      </c>
      <c r="AJ13" s="12" t="s">
        <v>382</v>
      </c>
      <c r="AK13" s="12" t="s">
        <v>382</v>
      </c>
      <c r="AL13" s="12" t="s">
        <v>382</v>
      </c>
      <c r="AM13" s="12" t="s">
        <v>382</v>
      </c>
    </row>
    <row r="14" spans="1:39">
      <c r="A14" s="186">
        <v>9</v>
      </c>
      <c r="B14" s="260" t="s">
        <v>146</v>
      </c>
      <c r="C14" s="9">
        <v>2788705</v>
      </c>
      <c r="D14" s="108"/>
      <c r="E14" s="108"/>
      <c r="F14" s="108"/>
      <c r="G14" s="108"/>
      <c r="H14" s="108"/>
      <c r="I14" s="108"/>
      <c r="J14" s="108"/>
      <c r="K14" s="108"/>
      <c r="L14" s="108"/>
      <c r="M14" s="108"/>
      <c r="N14" s="108"/>
      <c r="O14" s="108"/>
      <c r="P14" s="108"/>
      <c r="Q14" s="108"/>
      <c r="R14" s="108"/>
      <c r="S14" s="108"/>
      <c r="T14" s="12"/>
      <c r="U14" s="12"/>
      <c r="V14" s="12"/>
      <c r="W14" s="12"/>
      <c r="X14" s="12"/>
      <c r="Y14" s="12"/>
      <c r="Z14" s="12"/>
      <c r="AA14" s="12"/>
      <c r="AB14" s="12"/>
      <c r="AC14" s="12"/>
      <c r="AD14" s="12"/>
      <c r="AE14" s="12"/>
      <c r="AF14" s="12"/>
      <c r="AG14" s="12"/>
      <c r="AH14" s="12"/>
      <c r="AI14" s="12"/>
      <c r="AJ14" s="12"/>
      <c r="AK14" s="22"/>
      <c r="AL14" s="12"/>
      <c r="AM14" s="12"/>
    </row>
    <row r="15" spans="1:39">
      <c r="A15" s="6">
        <v>10</v>
      </c>
      <c r="B15" s="259" t="s">
        <v>629</v>
      </c>
      <c r="C15" s="9">
        <v>5439183</v>
      </c>
      <c r="D15" s="108">
        <v>131.46</v>
      </c>
      <c r="E15" s="108" t="s">
        <v>382</v>
      </c>
      <c r="F15" s="108" t="s">
        <v>382</v>
      </c>
      <c r="G15" s="108" t="s">
        <v>382</v>
      </c>
      <c r="H15" s="108">
        <v>2.5</v>
      </c>
      <c r="I15" s="108">
        <v>2.5</v>
      </c>
      <c r="J15" s="108" t="s">
        <v>382</v>
      </c>
      <c r="K15" s="108" t="s">
        <v>382</v>
      </c>
      <c r="L15" s="108">
        <v>3.7</v>
      </c>
      <c r="M15" s="108">
        <v>2.1</v>
      </c>
      <c r="N15" s="108" t="s">
        <v>382</v>
      </c>
      <c r="O15" s="108" t="s">
        <v>382</v>
      </c>
      <c r="P15" s="108">
        <v>2.7</v>
      </c>
      <c r="Q15" s="108">
        <v>1.4</v>
      </c>
      <c r="R15" s="108" t="s">
        <v>382</v>
      </c>
      <c r="S15" s="108" t="s">
        <v>382</v>
      </c>
      <c r="T15" s="12">
        <v>1</v>
      </c>
      <c r="U15" s="12">
        <v>0.7</v>
      </c>
      <c r="V15" s="12" t="s">
        <v>382</v>
      </c>
      <c r="W15" s="12" t="s">
        <v>382</v>
      </c>
      <c r="X15" s="12">
        <v>2.7</v>
      </c>
      <c r="Y15" s="12" t="s">
        <v>382</v>
      </c>
      <c r="Z15" s="12" t="s">
        <v>382</v>
      </c>
      <c r="AA15" s="12" t="s">
        <v>382</v>
      </c>
      <c r="AB15" s="12">
        <v>0.3</v>
      </c>
      <c r="AC15" s="12">
        <v>0.3</v>
      </c>
      <c r="AD15" s="12" t="s">
        <v>382</v>
      </c>
      <c r="AE15" s="258">
        <v>3500000</v>
      </c>
      <c r="AF15" s="12" t="s">
        <v>382</v>
      </c>
      <c r="AG15" s="12" t="s">
        <v>382</v>
      </c>
      <c r="AH15" s="276">
        <v>9325000</v>
      </c>
      <c r="AI15" s="12" t="s">
        <v>382</v>
      </c>
      <c r="AJ15" s="12" t="s">
        <v>382</v>
      </c>
      <c r="AK15" s="12" t="s">
        <v>382</v>
      </c>
      <c r="AL15" s="277">
        <v>18650000</v>
      </c>
      <c r="AM15" s="258">
        <v>77000000</v>
      </c>
    </row>
    <row r="16" spans="1:39">
      <c r="A16" s="6">
        <f>A15+1</f>
        <v>11</v>
      </c>
      <c r="B16" s="259" t="s">
        <v>152</v>
      </c>
      <c r="C16" s="9">
        <v>2008572</v>
      </c>
      <c r="D16" s="108" t="s">
        <v>382</v>
      </c>
      <c r="E16" s="191">
        <v>4782.5</v>
      </c>
      <c r="F16" s="108" t="s">
        <v>382</v>
      </c>
      <c r="G16" s="108" t="s">
        <v>382</v>
      </c>
      <c r="H16" s="108" t="s">
        <v>382</v>
      </c>
      <c r="I16" s="191">
        <v>1847.3</v>
      </c>
      <c r="J16" s="108" t="s">
        <v>382</v>
      </c>
      <c r="K16" s="108" t="s">
        <v>382</v>
      </c>
      <c r="L16" s="108" t="s">
        <v>382</v>
      </c>
      <c r="M16" s="108">
        <v>413.1</v>
      </c>
      <c r="N16" s="108" t="s">
        <v>382</v>
      </c>
      <c r="O16" s="108" t="s">
        <v>382</v>
      </c>
      <c r="P16" s="108" t="s">
        <v>382</v>
      </c>
      <c r="Q16" s="108">
        <v>222.6</v>
      </c>
      <c r="R16" s="108" t="s">
        <v>382</v>
      </c>
      <c r="S16" s="108" t="s">
        <v>382</v>
      </c>
      <c r="T16" s="12" t="s">
        <v>382</v>
      </c>
      <c r="U16" s="12">
        <v>190.5</v>
      </c>
      <c r="V16" s="12" t="s">
        <v>382</v>
      </c>
      <c r="W16" s="12" t="s">
        <v>382</v>
      </c>
      <c r="X16" s="258">
        <v>1710000</v>
      </c>
      <c r="Y16" s="258">
        <v>2600000</v>
      </c>
      <c r="Z16" s="12" t="s">
        <v>382</v>
      </c>
      <c r="AA16" s="12" t="s">
        <v>382</v>
      </c>
      <c r="AB16" s="12">
        <v>7.5</v>
      </c>
      <c r="AC16" s="12">
        <v>2.2999999999999998</v>
      </c>
      <c r="AD16" s="12" t="s">
        <v>382</v>
      </c>
      <c r="AE16" s="12" t="s">
        <v>382</v>
      </c>
      <c r="AF16" s="12" t="s">
        <v>382</v>
      </c>
      <c r="AG16" s="12" t="s">
        <v>382</v>
      </c>
      <c r="AH16" s="258">
        <v>64300000</v>
      </c>
      <c r="AI16" s="258">
        <v>40000000</v>
      </c>
      <c r="AJ16" s="12" t="s">
        <v>382</v>
      </c>
      <c r="AK16" s="12" t="s">
        <v>382</v>
      </c>
      <c r="AL16" s="12" t="s">
        <v>382</v>
      </c>
      <c r="AM16" s="12" t="s">
        <v>382</v>
      </c>
    </row>
    <row r="17" spans="1:39">
      <c r="A17" s="6">
        <v>12</v>
      </c>
      <c r="B17" s="259" t="s">
        <v>155</v>
      </c>
      <c r="C17" s="9">
        <v>5215919</v>
      </c>
      <c r="D17" s="108" t="s">
        <v>382</v>
      </c>
      <c r="E17" s="108" t="s">
        <v>382</v>
      </c>
      <c r="F17" s="108" t="s">
        <v>382</v>
      </c>
      <c r="G17" s="108" t="s">
        <v>382</v>
      </c>
      <c r="H17" s="108" t="s">
        <v>382</v>
      </c>
      <c r="I17" s="108" t="s">
        <v>382</v>
      </c>
      <c r="J17" s="108" t="s">
        <v>382</v>
      </c>
      <c r="K17" s="108" t="s">
        <v>382</v>
      </c>
      <c r="L17" s="108" t="s">
        <v>382</v>
      </c>
      <c r="M17" s="108" t="s">
        <v>382</v>
      </c>
      <c r="N17" s="108" t="s">
        <v>382</v>
      </c>
      <c r="O17" s="108" t="s">
        <v>382</v>
      </c>
      <c r="P17" s="108" t="s">
        <v>382</v>
      </c>
      <c r="Q17" s="108" t="s">
        <v>382</v>
      </c>
      <c r="R17" s="108" t="s">
        <v>382</v>
      </c>
      <c r="S17" s="108" t="s">
        <v>382</v>
      </c>
      <c r="T17" s="12" t="s">
        <v>382</v>
      </c>
      <c r="U17" s="12" t="s">
        <v>382</v>
      </c>
      <c r="V17" s="12" t="s">
        <v>382</v>
      </c>
      <c r="W17" s="12" t="s">
        <v>382</v>
      </c>
      <c r="X17" s="12" t="s">
        <v>382</v>
      </c>
      <c r="Y17" s="12" t="s">
        <v>382</v>
      </c>
      <c r="Z17" s="12" t="s">
        <v>382</v>
      </c>
      <c r="AA17" s="12" t="s">
        <v>382</v>
      </c>
      <c r="AB17" s="12" t="s">
        <v>382</v>
      </c>
      <c r="AC17" s="12" t="s">
        <v>382</v>
      </c>
      <c r="AD17" s="12" t="s">
        <v>382</v>
      </c>
      <c r="AE17" s="12" t="s">
        <v>382</v>
      </c>
      <c r="AF17" s="12" t="s">
        <v>382</v>
      </c>
      <c r="AG17" s="12" t="s">
        <v>382</v>
      </c>
      <c r="AH17" s="12" t="s">
        <v>382</v>
      </c>
      <c r="AI17" s="12" t="s">
        <v>382</v>
      </c>
      <c r="AJ17" s="12" t="s">
        <v>382</v>
      </c>
      <c r="AK17" s="12" t="s">
        <v>382</v>
      </c>
      <c r="AL17" s="12" t="s">
        <v>382</v>
      </c>
      <c r="AM17" s="12" t="s">
        <v>382</v>
      </c>
    </row>
    <row r="18" spans="1:39">
      <c r="A18" s="6">
        <f t="shared" ref="A18:A19" si="1">A17+1</f>
        <v>13</v>
      </c>
      <c r="B18" s="405" t="s">
        <v>157</v>
      </c>
      <c r="C18" s="9">
        <v>5502977</v>
      </c>
      <c r="D18" s="108" t="s">
        <v>382</v>
      </c>
      <c r="E18" s="108">
        <v>1.4</v>
      </c>
      <c r="F18" s="108" t="s">
        <v>382</v>
      </c>
      <c r="G18" s="108" t="s">
        <v>382</v>
      </c>
      <c r="H18" s="108" t="s">
        <v>382</v>
      </c>
      <c r="I18" s="108" t="s">
        <v>382</v>
      </c>
      <c r="J18" s="108" t="s">
        <v>382</v>
      </c>
      <c r="K18" s="108" t="s">
        <v>382</v>
      </c>
      <c r="L18" s="108" t="s">
        <v>382</v>
      </c>
      <c r="M18" s="108" t="s">
        <v>382</v>
      </c>
      <c r="N18" s="108" t="s">
        <v>382</v>
      </c>
      <c r="O18" s="108" t="s">
        <v>382</v>
      </c>
      <c r="P18" s="108" t="s">
        <v>382</v>
      </c>
      <c r="Q18" s="108" t="s">
        <v>382</v>
      </c>
      <c r="R18" s="108" t="s">
        <v>382</v>
      </c>
      <c r="S18" s="108" t="s">
        <v>382</v>
      </c>
      <c r="T18" s="12" t="s">
        <v>382</v>
      </c>
      <c r="U18" s="12" t="s">
        <v>382</v>
      </c>
      <c r="V18" s="12" t="s">
        <v>382</v>
      </c>
      <c r="W18" s="12" t="s">
        <v>382</v>
      </c>
      <c r="X18" s="12" t="s">
        <v>382</v>
      </c>
      <c r="Y18" s="12" t="s">
        <v>382</v>
      </c>
      <c r="Z18" s="12" t="s">
        <v>382</v>
      </c>
      <c r="AA18" s="12" t="s">
        <v>382</v>
      </c>
      <c r="AB18" s="12" t="s">
        <v>382</v>
      </c>
      <c r="AC18" s="12">
        <v>2</v>
      </c>
      <c r="AD18" s="12" t="s">
        <v>382</v>
      </c>
      <c r="AE18" s="12" t="s">
        <v>382</v>
      </c>
      <c r="AF18" s="12" t="s">
        <v>382</v>
      </c>
      <c r="AG18" s="12" t="s">
        <v>382</v>
      </c>
      <c r="AH18" s="12" t="s">
        <v>382</v>
      </c>
      <c r="AI18" s="258">
        <v>15000000</v>
      </c>
      <c r="AJ18" s="12" t="s">
        <v>382</v>
      </c>
      <c r="AK18" s="12" t="s">
        <v>382</v>
      </c>
      <c r="AL18" s="12" t="s">
        <v>382</v>
      </c>
      <c r="AM18" s="12" t="s">
        <v>382</v>
      </c>
    </row>
    <row r="19" spans="1:39">
      <c r="A19" s="6">
        <f t="shared" si="1"/>
        <v>14</v>
      </c>
      <c r="B19" s="259" t="s">
        <v>159</v>
      </c>
      <c r="C19" s="9">
        <v>2708701</v>
      </c>
      <c r="D19" s="191">
        <v>6100.29</v>
      </c>
      <c r="E19" s="108" t="s">
        <v>382</v>
      </c>
      <c r="F19" s="108" t="s">
        <v>382</v>
      </c>
      <c r="G19" s="108" t="s">
        <v>382</v>
      </c>
      <c r="H19" s="108">
        <v>15.1</v>
      </c>
      <c r="I19" s="108">
        <v>15.1</v>
      </c>
      <c r="J19" s="108" t="s">
        <v>382</v>
      </c>
      <c r="K19" s="108" t="s">
        <v>382</v>
      </c>
      <c r="L19" s="108">
        <v>3.2</v>
      </c>
      <c r="M19" s="108">
        <v>3.2</v>
      </c>
      <c r="N19" s="277">
        <v>16800000</v>
      </c>
      <c r="O19" s="277">
        <v>6000000</v>
      </c>
      <c r="P19" s="108">
        <v>1.2</v>
      </c>
      <c r="Q19" s="108">
        <v>1.2</v>
      </c>
      <c r="R19" s="277">
        <v>4800000</v>
      </c>
      <c r="S19" s="277">
        <v>4800000</v>
      </c>
      <c r="T19" s="12">
        <v>2</v>
      </c>
      <c r="U19" s="12">
        <v>2</v>
      </c>
      <c r="V19" s="258">
        <v>12000000</v>
      </c>
      <c r="W19" s="258">
        <v>1200000</v>
      </c>
      <c r="X19" s="12" t="s">
        <v>382</v>
      </c>
      <c r="Y19" s="12" t="s">
        <v>382</v>
      </c>
      <c r="Z19" s="12" t="s">
        <v>382</v>
      </c>
      <c r="AA19" s="12" t="s">
        <v>382</v>
      </c>
      <c r="AB19" s="12">
        <v>2</v>
      </c>
      <c r="AC19" s="12">
        <v>2.1</v>
      </c>
      <c r="AD19" s="12" t="s">
        <v>382</v>
      </c>
      <c r="AE19" s="12" t="s">
        <v>382</v>
      </c>
      <c r="AF19" s="12" t="s">
        <v>382</v>
      </c>
      <c r="AG19" s="12" t="s">
        <v>382</v>
      </c>
      <c r="AH19" s="258">
        <v>88535000</v>
      </c>
      <c r="AI19" s="258">
        <v>88535000</v>
      </c>
      <c r="AJ19" s="12" t="s">
        <v>382</v>
      </c>
      <c r="AK19" s="12" t="s">
        <v>382</v>
      </c>
      <c r="AL19" s="12" t="s">
        <v>382</v>
      </c>
      <c r="AM19" s="12" t="s">
        <v>382</v>
      </c>
    </row>
    <row r="20" spans="1:39">
      <c r="A20" s="186">
        <v>15</v>
      </c>
      <c r="B20" s="260" t="s">
        <v>161</v>
      </c>
      <c r="C20" s="9">
        <v>2014491</v>
      </c>
      <c r="D20" s="108"/>
      <c r="E20" s="108"/>
      <c r="F20" s="108"/>
      <c r="G20" s="108"/>
      <c r="H20" s="108"/>
      <c r="I20" s="108"/>
      <c r="J20" s="108"/>
      <c r="K20" s="108"/>
      <c r="L20" s="108"/>
      <c r="M20" s="108"/>
      <c r="N20" s="108"/>
      <c r="O20" s="108"/>
      <c r="P20" s="108"/>
      <c r="Q20" s="108"/>
      <c r="R20" s="108"/>
      <c r="S20" s="108"/>
      <c r="T20" s="12"/>
      <c r="U20" s="12"/>
      <c r="V20" s="12"/>
      <c r="W20" s="12"/>
      <c r="X20" s="12"/>
      <c r="Y20" s="12"/>
      <c r="Z20" s="12"/>
      <c r="AA20" s="12"/>
      <c r="AB20" s="12"/>
      <c r="AC20" s="12"/>
      <c r="AD20" s="12"/>
      <c r="AE20" s="12"/>
      <c r="AF20" s="12"/>
      <c r="AG20" s="12"/>
      <c r="AH20" s="12"/>
      <c r="AI20" s="12"/>
      <c r="AJ20" s="12"/>
      <c r="AK20" s="22"/>
      <c r="AL20" s="12"/>
      <c r="AM20" s="12"/>
    </row>
    <row r="21" spans="1:39">
      <c r="A21" s="6">
        <v>16</v>
      </c>
      <c r="B21" s="259" t="s">
        <v>165</v>
      </c>
      <c r="C21" s="9">
        <v>6414877</v>
      </c>
      <c r="D21" s="108">
        <v>76.05</v>
      </c>
      <c r="E21" s="108" t="s">
        <v>382</v>
      </c>
      <c r="F21" s="108" t="s">
        <v>382</v>
      </c>
      <c r="G21" s="108" t="s">
        <v>382</v>
      </c>
      <c r="H21" s="108">
        <v>24.5</v>
      </c>
      <c r="I21" s="108">
        <v>24.5</v>
      </c>
      <c r="J21" s="108" t="s">
        <v>382</v>
      </c>
      <c r="K21" s="108" t="s">
        <v>382</v>
      </c>
      <c r="L21" s="108">
        <v>25</v>
      </c>
      <c r="M21" s="108">
        <v>25</v>
      </c>
      <c r="N21" s="108" t="s">
        <v>382</v>
      </c>
      <c r="O21" s="108" t="s">
        <v>382</v>
      </c>
      <c r="P21" s="108">
        <v>24.5</v>
      </c>
      <c r="Q21" s="108">
        <v>24.5</v>
      </c>
      <c r="R21" s="108" t="s">
        <v>382</v>
      </c>
      <c r="S21" s="108" t="s">
        <v>382</v>
      </c>
      <c r="T21" s="12">
        <v>0.5</v>
      </c>
      <c r="U21" s="12">
        <v>0.5</v>
      </c>
      <c r="V21" s="12" t="s">
        <v>382</v>
      </c>
      <c r="W21" s="12" t="s">
        <v>382</v>
      </c>
      <c r="X21" s="12">
        <v>0.1</v>
      </c>
      <c r="Y21" s="12">
        <v>0.1</v>
      </c>
      <c r="Z21" s="12" t="s">
        <v>382</v>
      </c>
      <c r="AA21" s="12" t="s">
        <v>382</v>
      </c>
      <c r="AB21" s="12">
        <v>13.5</v>
      </c>
      <c r="AC21" s="12">
        <v>13.5</v>
      </c>
      <c r="AD21" s="12" t="s">
        <v>382</v>
      </c>
      <c r="AE21" s="12" t="s">
        <v>382</v>
      </c>
      <c r="AF21" s="12" t="s">
        <v>382</v>
      </c>
      <c r="AG21" s="12" t="s">
        <v>382</v>
      </c>
      <c r="AH21" s="12" t="s">
        <v>382</v>
      </c>
      <c r="AI21" s="12" t="s">
        <v>382</v>
      </c>
      <c r="AJ21" s="12" t="s">
        <v>382</v>
      </c>
      <c r="AK21" s="12" t="s">
        <v>382</v>
      </c>
      <c r="AL21" s="12" t="s">
        <v>382</v>
      </c>
      <c r="AM21" s="12" t="s">
        <v>382</v>
      </c>
    </row>
    <row r="22" spans="1:39">
      <c r="A22" s="6">
        <f t="shared" ref="A22:A25" si="2">A21+1</f>
        <v>17</v>
      </c>
      <c r="B22" s="259" t="s">
        <v>168</v>
      </c>
      <c r="C22" s="9">
        <v>5369223</v>
      </c>
      <c r="D22" s="191">
        <v>1046.73</v>
      </c>
      <c r="E22" s="191">
        <v>1046.73</v>
      </c>
      <c r="F22" s="108" t="s">
        <v>382</v>
      </c>
      <c r="G22" s="108" t="s">
        <v>382</v>
      </c>
      <c r="H22" s="108">
        <v>2</v>
      </c>
      <c r="I22" s="108">
        <v>2</v>
      </c>
      <c r="J22" s="108" t="s">
        <v>382</v>
      </c>
      <c r="K22" s="108" t="s">
        <v>382</v>
      </c>
      <c r="L22" s="108">
        <v>0.2</v>
      </c>
      <c r="M22" s="108">
        <v>0.2</v>
      </c>
      <c r="N22" s="275">
        <v>8500000</v>
      </c>
      <c r="O22" s="275">
        <v>8500000</v>
      </c>
      <c r="P22" s="108" t="s">
        <v>382</v>
      </c>
      <c r="Q22" s="108" t="s">
        <v>382</v>
      </c>
      <c r="R22" s="108" t="s">
        <v>382</v>
      </c>
      <c r="S22" s="108" t="s">
        <v>382</v>
      </c>
      <c r="T22" s="12">
        <v>0.2</v>
      </c>
      <c r="U22" s="12">
        <v>0.2</v>
      </c>
      <c r="V22" s="276">
        <v>8500000</v>
      </c>
      <c r="W22" s="276">
        <v>8500000</v>
      </c>
      <c r="X22" s="12" t="s">
        <v>382</v>
      </c>
      <c r="Y22" s="12" t="s">
        <v>382</v>
      </c>
      <c r="Z22" s="12" t="s">
        <v>382</v>
      </c>
      <c r="AA22" s="12" t="s">
        <v>382</v>
      </c>
      <c r="AB22" s="12">
        <v>1</v>
      </c>
      <c r="AC22" s="12">
        <v>1.1599999999999999</v>
      </c>
      <c r="AD22" s="258">
        <v>28000000</v>
      </c>
      <c r="AE22" s="258">
        <v>28000000</v>
      </c>
      <c r="AF22" s="12" t="s">
        <v>382</v>
      </c>
      <c r="AG22" s="12" t="s">
        <v>382</v>
      </c>
      <c r="AH22" s="258">
        <v>3000000</v>
      </c>
      <c r="AI22" s="258">
        <v>3000000</v>
      </c>
      <c r="AJ22" s="12" t="s">
        <v>382</v>
      </c>
      <c r="AK22" s="12" t="s">
        <v>382</v>
      </c>
      <c r="AL22" s="258">
        <v>3000000</v>
      </c>
      <c r="AM22" s="258">
        <v>3000000</v>
      </c>
    </row>
    <row r="23" spans="1:39">
      <c r="A23" s="6">
        <f t="shared" si="2"/>
        <v>18</v>
      </c>
      <c r="B23" s="259" t="s">
        <v>169</v>
      </c>
      <c r="C23" s="9">
        <v>5294088</v>
      </c>
      <c r="D23" s="108">
        <v>178.98</v>
      </c>
      <c r="E23" s="108">
        <v>178.98</v>
      </c>
      <c r="F23" s="108" t="s">
        <v>382</v>
      </c>
      <c r="G23" s="108" t="s">
        <v>382</v>
      </c>
      <c r="H23" s="108">
        <v>78</v>
      </c>
      <c r="I23" s="108">
        <v>78</v>
      </c>
      <c r="J23" s="277">
        <v>3000000</v>
      </c>
      <c r="K23" s="277">
        <v>3000000</v>
      </c>
      <c r="L23" s="108">
        <v>3</v>
      </c>
      <c r="M23" s="108">
        <v>1.5</v>
      </c>
      <c r="N23" s="277">
        <v>14000000</v>
      </c>
      <c r="O23" s="277">
        <v>3000000</v>
      </c>
      <c r="P23" s="108">
        <v>2</v>
      </c>
      <c r="Q23" s="108">
        <v>1.5</v>
      </c>
      <c r="R23" s="277">
        <v>4000000</v>
      </c>
      <c r="S23" s="277">
        <v>3000000</v>
      </c>
      <c r="T23" s="22">
        <v>1</v>
      </c>
      <c r="U23" s="12" t="s">
        <v>382</v>
      </c>
      <c r="V23" s="278">
        <v>10000000</v>
      </c>
      <c r="W23" s="12" t="s">
        <v>382</v>
      </c>
      <c r="X23" s="12">
        <v>2</v>
      </c>
      <c r="Y23" s="12">
        <v>1.5</v>
      </c>
      <c r="Z23" s="258">
        <v>5000000</v>
      </c>
      <c r="AA23" s="258">
        <v>3750000</v>
      </c>
      <c r="AB23" s="12">
        <v>1</v>
      </c>
      <c r="AC23" s="12">
        <v>0.5</v>
      </c>
      <c r="AD23" s="258">
        <v>2000000</v>
      </c>
      <c r="AE23" s="258">
        <v>1000000</v>
      </c>
      <c r="AF23" s="12" t="s">
        <v>382</v>
      </c>
      <c r="AG23" s="12" t="s">
        <v>382</v>
      </c>
      <c r="AH23" s="258">
        <v>25750840</v>
      </c>
      <c r="AI23" s="258">
        <v>25750840</v>
      </c>
      <c r="AJ23" s="12" t="s">
        <v>382</v>
      </c>
      <c r="AK23" s="12" t="s">
        <v>382</v>
      </c>
      <c r="AL23" s="12" t="s">
        <v>382</v>
      </c>
      <c r="AM23" s="12" t="s">
        <v>382</v>
      </c>
    </row>
    <row r="24" spans="1:39">
      <c r="A24" s="6">
        <f t="shared" si="2"/>
        <v>19</v>
      </c>
      <c r="B24" s="405" t="s">
        <v>173</v>
      </c>
      <c r="C24" s="9">
        <v>2855119</v>
      </c>
      <c r="D24" s="108" t="s">
        <v>382</v>
      </c>
      <c r="E24" s="108">
        <v>1405.41</v>
      </c>
      <c r="F24" s="108" t="s">
        <v>382</v>
      </c>
      <c r="G24" s="108" t="s">
        <v>382</v>
      </c>
      <c r="H24" s="108" t="s">
        <v>382</v>
      </c>
      <c r="I24" s="108" t="s">
        <v>382</v>
      </c>
      <c r="J24" s="108" t="s">
        <v>382</v>
      </c>
      <c r="K24" s="108" t="s">
        <v>382</v>
      </c>
      <c r="L24" s="108" t="s">
        <v>382</v>
      </c>
      <c r="M24" s="108">
        <v>13.5</v>
      </c>
      <c r="N24" s="108" t="s">
        <v>382</v>
      </c>
      <c r="O24" s="108" t="s">
        <v>382</v>
      </c>
      <c r="P24" s="108" t="s">
        <v>382</v>
      </c>
      <c r="Q24" s="108">
        <v>2.6</v>
      </c>
      <c r="R24" s="108" t="s">
        <v>382</v>
      </c>
      <c r="S24" s="108" t="s">
        <v>382</v>
      </c>
      <c r="T24" s="12" t="s">
        <v>382</v>
      </c>
      <c r="U24" s="12">
        <v>10.9</v>
      </c>
      <c r="V24" s="12" t="s">
        <v>382</v>
      </c>
      <c r="W24" s="12" t="s">
        <v>382</v>
      </c>
      <c r="X24" s="12" t="s">
        <v>382</v>
      </c>
      <c r="Y24" s="12" t="s">
        <v>382</v>
      </c>
      <c r="Z24" s="12" t="s">
        <v>382</v>
      </c>
      <c r="AA24" s="12" t="s">
        <v>382</v>
      </c>
      <c r="AB24" s="12" t="s">
        <v>382</v>
      </c>
      <c r="AC24" s="12" t="s">
        <v>382</v>
      </c>
      <c r="AD24" s="12" t="s">
        <v>382</v>
      </c>
      <c r="AE24" s="12" t="s">
        <v>382</v>
      </c>
      <c r="AF24" s="12" t="s">
        <v>382</v>
      </c>
      <c r="AG24" s="12" t="s">
        <v>382</v>
      </c>
      <c r="AH24" s="12" t="s">
        <v>382</v>
      </c>
      <c r="AI24" s="258">
        <v>197480000</v>
      </c>
      <c r="AJ24" s="12" t="s">
        <v>382</v>
      </c>
      <c r="AK24" s="12" t="s">
        <v>382</v>
      </c>
      <c r="AL24" s="12" t="s">
        <v>382</v>
      </c>
      <c r="AM24" s="12" t="s">
        <v>382</v>
      </c>
    </row>
    <row r="25" spans="1:39">
      <c r="A25" s="6">
        <f t="shared" si="2"/>
        <v>20</v>
      </c>
      <c r="B25" s="279" t="s">
        <v>174</v>
      </c>
      <c r="C25" s="9">
        <v>2094533</v>
      </c>
      <c r="D25" s="191">
        <v>3602.07</v>
      </c>
      <c r="E25" s="108" t="s">
        <v>382</v>
      </c>
      <c r="F25" s="108" t="s">
        <v>382</v>
      </c>
      <c r="G25" s="108" t="s">
        <v>382</v>
      </c>
      <c r="H25" s="108" t="s">
        <v>382</v>
      </c>
      <c r="I25" s="108">
        <v>16.77</v>
      </c>
      <c r="J25" s="108" t="s">
        <v>382</v>
      </c>
      <c r="K25" s="108" t="s">
        <v>382</v>
      </c>
      <c r="L25" s="108">
        <v>29.7</v>
      </c>
      <c r="M25" s="108">
        <v>30</v>
      </c>
      <c r="N25" s="108" t="s">
        <v>382</v>
      </c>
      <c r="O25" s="277">
        <v>7903000000</v>
      </c>
      <c r="P25" s="108">
        <v>14.85</v>
      </c>
      <c r="Q25" s="108">
        <v>15</v>
      </c>
      <c r="R25" s="108" t="s">
        <v>382</v>
      </c>
      <c r="S25" s="277">
        <v>7840000000</v>
      </c>
      <c r="T25" s="12">
        <v>14.85</v>
      </c>
      <c r="U25" s="12">
        <v>15</v>
      </c>
      <c r="V25" s="12" t="s">
        <v>382</v>
      </c>
      <c r="W25" s="258">
        <v>63000000</v>
      </c>
      <c r="X25" s="12" t="s">
        <v>382</v>
      </c>
      <c r="Y25" s="12" t="s">
        <v>382</v>
      </c>
      <c r="Z25" s="12" t="s">
        <v>382</v>
      </c>
      <c r="AA25" s="12" t="s">
        <v>382</v>
      </c>
      <c r="AB25" s="12" t="s">
        <v>382</v>
      </c>
      <c r="AC25" s="12" t="s">
        <v>382</v>
      </c>
      <c r="AD25" s="12" t="s">
        <v>8972</v>
      </c>
      <c r="AE25" s="258">
        <v>35160000</v>
      </c>
      <c r="AF25" s="12" t="s">
        <v>382</v>
      </c>
      <c r="AG25" s="12" t="s">
        <v>382</v>
      </c>
      <c r="AH25" s="258">
        <v>62500000</v>
      </c>
      <c r="AI25" s="258">
        <v>62500000</v>
      </c>
      <c r="AJ25" s="12" t="s">
        <v>382</v>
      </c>
      <c r="AK25" s="12" t="s">
        <v>382</v>
      </c>
      <c r="AL25" s="12" t="s">
        <v>382</v>
      </c>
      <c r="AM25" s="12" t="s">
        <v>382</v>
      </c>
    </row>
    <row r="26" spans="1:39">
      <c r="A26" s="6">
        <v>21</v>
      </c>
      <c r="B26" s="259" t="s">
        <v>175</v>
      </c>
      <c r="C26" s="9">
        <v>5722942</v>
      </c>
      <c r="D26" s="108" t="s">
        <v>382</v>
      </c>
      <c r="E26" s="108" t="s">
        <v>382</v>
      </c>
      <c r="F26" s="108" t="s">
        <v>382</v>
      </c>
      <c r="G26" s="108" t="s">
        <v>382</v>
      </c>
      <c r="H26" s="108" t="s">
        <v>382</v>
      </c>
      <c r="I26" s="108" t="s">
        <v>382</v>
      </c>
      <c r="J26" s="108" t="s">
        <v>382</v>
      </c>
      <c r="K26" s="108" t="s">
        <v>382</v>
      </c>
      <c r="L26" s="108" t="s">
        <v>382</v>
      </c>
      <c r="M26" s="108" t="s">
        <v>382</v>
      </c>
      <c r="N26" s="108" t="s">
        <v>382</v>
      </c>
      <c r="O26" s="108" t="s">
        <v>382</v>
      </c>
      <c r="P26" s="108" t="s">
        <v>382</v>
      </c>
      <c r="Q26" s="108" t="s">
        <v>382</v>
      </c>
      <c r="R26" s="108" t="s">
        <v>382</v>
      </c>
      <c r="S26" s="108" t="s">
        <v>382</v>
      </c>
      <c r="T26" s="12" t="s">
        <v>382</v>
      </c>
      <c r="U26" s="12" t="s">
        <v>382</v>
      </c>
      <c r="V26" s="12" t="s">
        <v>382</v>
      </c>
      <c r="W26" s="12" t="s">
        <v>382</v>
      </c>
      <c r="X26" s="12" t="s">
        <v>382</v>
      </c>
      <c r="Y26" s="12" t="s">
        <v>382</v>
      </c>
      <c r="Z26" s="12" t="s">
        <v>382</v>
      </c>
      <c r="AA26" s="12" t="s">
        <v>382</v>
      </c>
      <c r="AB26" s="12" t="s">
        <v>382</v>
      </c>
      <c r="AC26" s="12" t="s">
        <v>382</v>
      </c>
      <c r="AD26" s="12" t="s">
        <v>382</v>
      </c>
      <c r="AE26" s="12" t="s">
        <v>382</v>
      </c>
      <c r="AF26" s="12" t="s">
        <v>382</v>
      </c>
      <c r="AG26" s="12" t="s">
        <v>382</v>
      </c>
      <c r="AH26" s="12" t="s">
        <v>382</v>
      </c>
      <c r="AI26" s="12" t="s">
        <v>382</v>
      </c>
      <c r="AJ26" s="12" t="s">
        <v>382</v>
      </c>
      <c r="AK26" s="12" t="s">
        <v>382</v>
      </c>
      <c r="AL26" s="12" t="s">
        <v>382</v>
      </c>
      <c r="AM26" s="12" t="s">
        <v>382</v>
      </c>
    </row>
    <row r="27" spans="1:39">
      <c r="A27" s="6">
        <v>22</v>
      </c>
      <c r="B27" s="405" t="s">
        <v>176</v>
      </c>
      <c r="C27" s="9">
        <v>2867494</v>
      </c>
      <c r="D27" s="108" t="s">
        <v>382</v>
      </c>
      <c r="E27" s="108" t="s">
        <v>382</v>
      </c>
      <c r="F27" s="108" t="s">
        <v>382</v>
      </c>
      <c r="G27" s="108" t="s">
        <v>382</v>
      </c>
      <c r="H27" s="108" t="s">
        <v>382</v>
      </c>
      <c r="I27" s="108" t="s">
        <v>382</v>
      </c>
      <c r="J27" s="108" t="s">
        <v>382</v>
      </c>
      <c r="K27" s="108" t="s">
        <v>382</v>
      </c>
      <c r="L27" s="108" t="s">
        <v>382</v>
      </c>
      <c r="M27" s="108" t="s">
        <v>382</v>
      </c>
      <c r="N27" s="108" t="s">
        <v>382</v>
      </c>
      <c r="O27" s="108" t="s">
        <v>382</v>
      </c>
      <c r="P27" s="108" t="s">
        <v>382</v>
      </c>
      <c r="Q27" s="108" t="s">
        <v>382</v>
      </c>
      <c r="R27" s="108" t="s">
        <v>382</v>
      </c>
      <c r="S27" s="108" t="s">
        <v>382</v>
      </c>
      <c r="T27" s="12" t="s">
        <v>382</v>
      </c>
      <c r="U27" s="12" t="s">
        <v>382</v>
      </c>
      <c r="V27" s="12" t="s">
        <v>382</v>
      </c>
      <c r="W27" s="12" t="s">
        <v>382</v>
      </c>
      <c r="X27" s="12" t="s">
        <v>382</v>
      </c>
      <c r="Y27" s="12" t="s">
        <v>382</v>
      </c>
      <c r="Z27" s="12" t="s">
        <v>382</v>
      </c>
      <c r="AA27" s="12" t="s">
        <v>382</v>
      </c>
      <c r="AB27" s="12" t="s">
        <v>382</v>
      </c>
      <c r="AC27" s="12" t="s">
        <v>382</v>
      </c>
      <c r="AD27" s="12" t="s">
        <v>382</v>
      </c>
      <c r="AE27" s="12" t="s">
        <v>382</v>
      </c>
      <c r="AF27" s="12" t="s">
        <v>382</v>
      </c>
      <c r="AG27" s="12" t="s">
        <v>382</v>
      </c>
      <c r="AH27" s="258">
        <v>500000</v>
      </c>
      <c r="AI27" s="12" t="s">
        <v>382</v>
      </c>
      <c r="AJ27" s="12" t="s">
        <v>382</v>
      </c>
      <c r="AK27" s="12" t="s">
        <v>382</v>
      </c>
      <c r="AL27" s="12" t="s">
        <v>382</v>
      </c>
      <c r="AM27" s="12" t="s">
        <v>382</v>
      </c>
    </row>
    <row r="28" spans="1:39">
      <c r="A28" s="6">
        <v>23</v>
      </c>
      <c r="B28" s="259" t="s">
        <v>177</v>
      </c>
      <c r="C28" s="9">
        <v>6463932</v>
      </c>
      <c r="D28" s="108" t="s">
        <v>382</v>
      </c>
      <c r="E28" s="108" t="s">
        <v>382</v>
      </c>
      <c r="F28" s="108" t="s">
        <v>382</v>
      </c>
      <c r="G28" s="108" t="s">
        <v>382</v>
      </c>
      <c r="H28" s="108" t="s">
        <v>382</v>
      </c>
      <c r="I28" s="108" t="s">
        <v>382</v>
      </c>
      <c r="J28" s="108" t="s">
        <v>382</v>
      </c>
      <c r="K28" s="108" t="s">
        <v>382</v>
      </c>
      <c r="L28" s="108" t="s">
        <v>382</v>
      </c>
      <c r="M28" s="108" t="s">
        <v>382</v>
      </c>
      <c r="N28" s="108" t="s">
        <v>382</v>
      </c>
      <c r="O28" s="108" t="s">
        <v>382</v>
      </c>
      <c r="P28" s="108" t="s">
        <v>382</v>
      </c>
      <c r="Q28" s="108" t="s">
        <v>382</v>
      </c>
      <c r="R28" s="108" t="s">
        <v>382</v>
      </c>
      <c r="S28" s="108" t="s">
        <v>382</v>
      </c>
      <c r="T28" s="12" t="s">
        <v>382</v>
      </c>
      <c r="U28" s="12" t="s">
        <v>382</v>
      </c>
      <c r="V28" s="12" t="s">
        <v>382</v>
      </c>
      <c r="W28" s="12" t="s">
        <v>382</v>
      </c>
      <c r="X28" s="12" t="s">
        <v>382</v>
      </c>
      <c r="Y28" s="12" t="s">
        <v>382</v>
      </c>
      <c r="Z28" s="12" t="s">
        <v>382</v>
      </c>
      <c r="AA28" s="12" t="s">
        <v>382</v>
      </c>
      <c r="AB28" s="12" t="s">
        <v>382</v>
      </c>
      <c r="AC28" s="12" t="s">
        <v>382</v>
      </c>
      <c r="AD28" s="12" t="s">
        <v>382</v>
      </c>
      <c r="AE28" s="12" t="s">
        <v>382</v>
      </c>
      <c r="AF28" s="12" t="s">
        <v>382</v>
      </c>
      <c r="AG28" s="12" t="s">
        <v>382</v>
      </c>
      <c r="AH28" s="12" t="s">
        <v>382</v>
      </c>
      <c r="AI28" s="12" t="s">
        <v>382</v>
      </c>
      <c r="AJ28" s="12" t="s">
        <v>382</v>
      </c>
      <c r="AK28" s="12" t="s">
        <v>382</v>
      </c>
      <c r="AL28" s="12" t="s">
        <v>382</v>
      </c>
      <c r="AM28" s="12" t="s">
        <v>382</v>
      </c>
    </row>
    <row r="29" spans="1:39">
      <c r="A29" s="186">
        <v>24</v>
      </c>
      <c r="B29" s="260" t="s">
        <v>178</v>
      </c>
      <c r="C29" s="9">
        <v>5260833</v>
      </c>
      <c r="D29" s="108"/>
      <c r="E29" s="108"/>
      <c r="F29" s="108"/>
      <c r="G29" s="108"/>
      <c r="H29" s="108"/>
      <c r="I29" s="108"/>
      <c r="J29" s="108"/>
      <c r="K29" s="108"/>
      <c r="L29" s="108"/>
      <c r="M29" s="108"/>
      <c r="N29" s="108"/>
      <c r="O29" s="108"/>
      <c r="P29" s="108"/>
      <c r="Q29" s="108"/>
      <c r="R29" s="108"/>
      <c r="S29" s="108"/>
      <c r="T29" s="12"/>
      <c r="U29" s="12"/>
      <c r="V29" s="12"/>
      <c r="W29" s="12"/>
      <c r="X29" s="12"/>
      <c r="Y29" s="12"/>
      <c r="Z29" s="12"/>
      <c r="AA29" s="12"/>
      <c r="AB29" s="12"/>
      <c r="AC29" s="12"/>
      <c r="AD29" s="12"/>
      <c r="AE29" s="12"/>
      <c r="AF29" s="12"/>
      <c r="AG29" s="12"/>
      <c r="AH29" s="12"/>
      <c r="AI29" s="12"/>
      <c r="AJ29" s="12"/>
      <c r="AK29" s="22"/>
      <c r="AL29" s="12"/>
      <c r="AM29" s="12"/>
    </row>
    <row r="30" spans="1:39">
      <c r="A30" s="186">
        <v>25</v>
      </c>
      <c r="B30" s="260" t="s">
        <v>179</v>
      </c>
      <c r="C30" s="9">
        <v>2051303</v>
      </c>
      <c r="D30" s="108"/>
      <c r="E30" s="108"/>
      <c r="F30" s="108"/>
      <c r="G30" s="108"/>
      <c r="H30" s="108"/>
      <c r="I30" s="108"/>
      <c r="J30" s="108"/>
      <c r="K30" s="108"/>
      <c r="L30" s="108"/>
      <c r="M30" s="108"/>
      <c r="N30" s="108"/>
      <c r="O30" s="108"/>
      <c r="P30" s="108"/>
      <c r="Q30" s="108"/>
      <c r="R30" s="108"/>
      <c r="S30" s="108"/>
      <c r="T30" s="12"/>
      <c r="U30" s="12"/>
      <c r="V30" s="12"/>
      <c r="W30" s="12"/>
      <c r="X30" s="12"/>
      <c r="Y30" s="12"/>
      <c r="Z30" s="12"/>
      <c r="AA30" s="12"/>
      <c r="AB30" s="12"/>
      <c r="AC30" s="12"/>
      <c r="AD30" s="12"/>
      <c r="AE30" s="12"/>
      <c r="AF30" s="12"/>
      <c r="AG30" s="12"/>
      <c r="AH30" s="12"/>
      <c r="AI30" s="12"/>
      <c r="AJ30" s="12"/>
      <c r="AK30" s="22"/>
      <c r="AL30" s="12"/>
      <c r="AM30" s="12"/>
    </row>
    <row r="31" spans="1:39">
      <c r="A31" s="6">
        <f>A30+1</f>
        <v>26</v>
      </c>
      <c r="B31" s="259" t="s">
        <v>183</v>
      </c>
      <c r="C31" s="9">
        <v>2061848</v>
      </c>
      <c r="D31" s="108">
        <v>235.15</v>
      </c>
      <c r="E31" s="108">
        <v>235.15</v>
      </c>
      <c r="F31" s="108" t="s">
        <v>382</v>
      </c>
      <c r="G31" s="108" t="s">
        <v>382</v>
      </c>
      <c r="H31" s="108">
        <v>3.4</v>
      </c>
      <c r="I31" s="108">
        <v>2</v>
      </c>
      <c r="J31" s="108" t="s">
        <v>382</v>
      </c>
      <c r="K31" s="108" t="s">
        <v>382</v>
      </c>
      <c r="L31" s="108">
        <v>4.4000000000000004</v>
      </c>
      <c r="M31" s="108">
        <v>5.6</v>
      </c>
      <c r="N31" s="277">
        <v>14860000</v>
      </c>
      <c r="O31" s="277">
        <v>30520000</v>
      </c>
      <c r="P31" s="108">
        <v>2.8</v>
      </c>
      <c r="Q31" s="108">
        <v>2.9</v>
      </c>
      <c r="R31" s="277">
        <v>13260000</v>
      </c>
      <c r="S31" s="277">
        <v>20700000</v>
      </c>
      <c r="T31" s="12">
        <v>1.6</v>
      </c>
      <c r="U31" s="12">
        <v>2.8</v>
      </c>
      <c r="V31" s="258">
        <v>1600000</v>
      </c>
      <c r="W31" s="258">
        <v>9820000</v>
      </c>
      <c r="X31" s="258">
        <v>37940</v>
      </c>
      <c r="Y31" s="258">
        <v>46563</v>
      </c>
      <c r="Z31" s="258">
        <v>8800000</v>
      </c>
      <c r="AA31" s="258">
        <v>14900000</v>
      </c>
      <c r="AB31" s="12">
        <v>2.5</v>
      </c>
      <c r="AC31" s="12">
        <v>1.1000000000000001</v>
      </c>
      <c r="AD31" s="258">
        <v>1500000</v>
      </c>
      <c r="AE31" s="258">
        <v>16050000</v>
      </c>
      <c r="AF31" s="12" t="s">
        <v>382</v>
      </c>
      <c r="AG31" s="12" t="s">
        <v>382</v>
      </c>
      <c r="AH31" s="258">
        <v>13580000</v>
      </c>
      <c r="AI31" s="258">
        <v>13580000</v>
      </c>
      <c r="AJ31" s="12" t="s">
        <v>382</v>
      </c>
      <c r="AK31" s="12" t="s">
        <v>382</v>
      </c>
      <c r="AL31" s="12" t="s">
        <v>382</v>
      </c>
      <c r="AM31" s="12" t="s">
        <v>382</v>
      </c>
    </row>
    <row r="32" spans="1:39">
      <c r="A32" s="186">
        <v>27</v>
      </c>
      <c r="B32" s="260" t="s">
        <v>185</v>
      </c>
      <c r="C32" s="9">
        <v>2766337</v>
      </c>
      <c r="D32" s="108"/>
      <c r="E32" s="108"/>
      <c r="F32" s="108"/>
      <c r="G32" s="108"/>
      <c r="H32" s="108"/>
      <c r="I32" s="108"/>
      <c r="J32" s="108"/>
      <c r="K32" s="108"/>
      <c r="L32" s="108"/>
      <c r="M32" s="108"/>
      <c r="N32" s="108"/>
      <c r="O32" s="108"/>
      <c r="P32" s="108"/>
      <c r="Q32" s="108"/>
      <c r="R32" s="108"/>
      <c r="S32" s="108"/>
      <c r="T32" s="12"/>
      <c r="U32" s="12"/>
      <c r="V32" s="12"/>
      <c r="W32" s="12"/>
      <c r="X32" s="12"/>
      <c r="Y32" s="12"/>
      <c r="Z32" s="12"/>
      <c r="AA32" s="12"/>
      <c r="AB32" s="12"/>
      <c r="AC32" s="12"/>
      <c r="AD32" s="12"/>
      <c r="AE32" s="12"/>
      <c r="AF32" s="12"/>
      <c r="AG32" s="12"/>
      <c r="AH32" s="12"/>
      <c r="AI32" s="12"/>
      <c r="AJ32" s="12"/>
      <c r="AK32" s="22"/>
      <c r="AL32" s="12"/>
      <c r="AM32" s="12"/>
    </row>
    <row r="33" spans="1:39">
      <c r="A33" s="186">
        <v>28</v>
      </c>
      <c r="B33" s="260" t="s">
        <v>187</v>
      </c>
      <c r="C33" s="9">
        <v>5810086</v>
      </c>
      <c r="D33" s="108"/>
      <c r="E33" s="108"/>
      <c r="F33" s="108"/>
      <c r="G33" s="108"/>
      <c r="H33" s="108"/>
      <c r="I33" s="108"/>
      <c r="J33" s="108"/>
      <c r="K33" s="108"/>
      <c r="L33" s="108"/>
      <c r="M33" s="108"/>
      <c r="N33" s="108"/>
      <c r="O33" s="108"/>
      <c r="P33" s="108"/>
      <c r="Q33" s="108"/>
      <c r="R33" s="108"/>
      <c r="S33" s="108"/>
      <c r="T33" s="12"/>
      <c r="U33" s="12"/>
      <c r="V33" s="12"/>
      <c r="W33" s="12"/>
      <c r="X33" s="12"/>
      <c r="Y33" s="12"/>
      <c r="Z33" s="12"/>
      <c r="AA33" s="12"/>
      <c r="AB33" s="12"/>
      <c r="AC33" s="12"/>
      <c r="AD33" s="12"/>
      <c r="AE33" s="12"/>
      <c r="AF33" s="12"/>
      <c r="AG33" s="12"/>
      <c r="AH33" s="12"/>
      <c r="AI33" s="12"/>
      <c r="AJ33" s="12"/>
      <c r="AK33" s="22"/>
      <c r="AL33" s="12"/>
      <c r="AM33" s="12"/>
    </row>
    <row r="34" spans="1:39">
      <c r="A34" s="6">
        <f>A33+1</f>
        <v>29</v>
      </c>
      <c r="B34" s="259" t="s">
        <v>188</v>
      </c>
      <c r="C34" s="9">
        <v>5217652</v>
      </c>
      <c r="D34" s="108">
        <v>801.7</v>
      </c>
      <c r="E34" s="108">
        <v>801.7</v>
      </c>
      <c r="F34" s="108" t="s">
        <v>382</v>
      </c>
      <c r="G34" s="108" t="s">
        <v>382</v>
      </c>
      <c r="H34" s="108">
        <v>256.39999999999998</v>
      </c>
      <c r="I34" s="108">
        <v>178.28</v>
      </c>
      <c r="J34" s="108" t="s">
        <v>382</v>
      </c>
      <c r="K34" s="108" t="s">
        <v>382</v>
      </c>
      <c r="L34" s="108">
        <v>2</v>
      </c>
      <c r="M34" s="108">
        <v>2</v>
      </c>
      <c r="N34" s="277">
        <v>10000000</v>
      </c>
      <c r="O34" s="277">
        <v>10000000</v>
      </c>
      <c r="P34" s="108">
        <v>1</v>
      </c>
      <c r="Q34" s="108">
        <v>1</v>
      </c>
      <c r="R34" s="277">
        <v>5000000</v>
      </c>
      <c r="S34" s="277">
        <v>5000000</v>
      </c>
      <c r="T34" s="12">
        <v>1</v>
      </c>
      <c r="U34" s="12">
        <v>1</v>
      </c>
      <c r="V34" s="258">
        <v>5000000</v>
      </c>
      <c r="W34" s="258">
        <v>5000000</v>
      </c>
      <c r="X34" s="12"/>
      <c r="Y34" s="12"/>
      <c r="Z34" s="12"/>
      <c r="AA34" s="12"/>
      <c r="AB34" s="12">
        <v>10</v>
      </c>
      <c r="AC34" s="12">
        <v>10</v>
      </c>
      <c r="AD34" s="258">
        <v>85000000</v>
      </c>
      <c r="AE34" s="258">
        <v>117200000</v>
      </c>
      <c r="AF34" s="12" t="s">
        <v>382</v>
      </c>
      <c r="AG34" s="12" t="s">
        <v>382</v>
      </c>
      <c r="AH34" s="258">
        <v>32500000</v>
      </c>
      <c r="AI34" s="258">
        <v>32500000</v>
      </c>
      <c r="AJ34" s="12" t="s">
        <v>382</v>
      </c>
      <c r="AK34" s="12" t="s">
        <v>382</v>
      </c>
      <c r="AL34" s="12" t="s">
        <v>382</v>
      </c>
      <c r="AM34" s="12" t="s">
        <v>382</v>
      </c>
    </row>
    <row r="35" spans="1:39">
      <c r="A35" s="6">
        <v>30</v>
      </c>
      <c r="B35" s="259" t="s">
        <v>189</v>
      </c>
      <c r="C35" s="9">
        <v>2780518</v>
      </c>
      <c r="D35" s="108" t="s">
        <v>382</v>
      </c>
      <c r="E35" s="108" t="s">
        <v>382</v>
      </c>
      <c r="F35" s="108" t="s">
        <v>382</v>
      </c>
      <c r="G35" s="108" t="s">
        <v>382</v>
      </c>
      <c r="H35" s="108" t="s">
        <v>382</v>
      </c>
      <c r="I35" s="108" t="s">
        <v>382</v>
      </c>
      <c r="J35" s="108" t="s">
        <v>382</v>
      </c>
      <c r="K35" s="108" t="s">
        <v>382</v>
      </c>
      <c r="L35" s="108" t="s">
        <v>382</v>
      </c>
      <c r="M35" s="108" t="s">
        <v>382</v>
      </c>
      <c r="N35" s="108" t="s">
        <v>382</v>
      </c>
      <c r="O35" s="108" t="s">
        <v>382</v>
      </c>
      <c r="P35" s="108" t="s">
        <v>382</v>
      </c>
      <c r="Q35" s="108" t="s">
        <v>382</v>
      </c>
      <c r="R35" s="108" t="s">
        <v>382</v>
      </c>
      <c r="S35" s="108" t="s">
        <v>382</v>
      </c>
      <c r="T35" s="12" t="s">
        <v>382</v>
      </c>
      <c r="U35" s="12" t="s">
        <v>382</v>
      </c>
      <c r="V35" s="12" t="s">
        <v>382</v>
      </c>
      <c r="W35" s="12" t="s">
        <v>382</v>
      </c>
      <c r="X35" s="12" t="s">
        <v>382</v>
      </c>
      <c r="Y35" s="12" t="s">
        <v>382</v>
      </c>
      <c r="Z35" s="12" t="s">
        <v>382</v>
      </c>
      <c r="AA35" s="12" t="s">
        <v>382</v>
      </c>
      <c r="AB35" s="12" t="s">
        <v>382</v>
      </c>
      <c r="AC35" s="12" t="s">
        <v>382</v>
      </c>
      <c r="AD35" s="12" t="s">
        <v>382</v>
      </c>
      <c r="AE35" s="12" t="s">
        <v>382</v>
      </c>
      <c r="AF35" s="12" t="s">
        <v>382</v>
      </c>
      <c r="AG35" s="12" t="s">
        <v>382</v>
      </c>
      <c r="AH35" s="12" t="s">
        <v>382</v>
      </c>
      <c r="AI35" s="12" t="s">
        <v>382</v>
      </c>
      <c r="AJ35" s="12" t="s">
        <v>382</v>
      </c>
      <c r="AK35" s="12" t="s">
        <v>382</v>
      </c>
      <c r="AL35" s="12" t="s">
        <v>382</v>
      </c>
      <c r="AM35" s="12" t="s">
        <v>382</v>
      </c>
    </row>
    <row r="36" spans="1:39">
      <c r="A36" s="186">
        <v>31</v>
      </c>
      <c r="B36" s="260" t="s">
        <v>193</v>
      </c>
      <c r="C36" s="9">
        <v>5272378</v>
      </c>
      <c r="D36" s="195"/>
      <c r="E36" s="195"/>
      <c r="F36" s="195"/>
      <c r="G36" s="195"/>
      <c r="H36" s="195"/>
      <c r="I36" s="195"/>
      <c r="J36" s="195"/>
      <c r="K36" s="195"/>
      <c r="L36" s="195"/>
      <c r="M36" s="195"/>
      <c r="N36" s="195"/>
      <c r="O36" s="195"/>
      <c r="P36" s="195"/>
      <c r="Q36" s="195"/>
      <c r="R36" s="195"/>
      <c r="S36" s="195"/>
      <c r="T36" s="22"/>
      <c r="U36" s="22"/>
      <c r="V36" s="22"/>
      <c r="W36" s="22"/>
      <c r="X36" s="22"/>
      <c r="Y36" s="22"/>
      <c r="Z36" s="22"/>
      <c r="AA36" s="22"/>
      <c r="AB36" s="22"/>
      <c r="AC36" s="22"/>
      <c r="AD36" s="22"/>
      <c r="AE36" s="22"/>
      <c r="AF36" s="22"/>
      <c r="AG36" s="22"/>
      <c r="AH36" s="22"/>
      <c r="AI36" s="22"/>
      <c r="AJ36" s="22"/>
      <c r="AK36" s="22"/>
      <c r="AL36" s="12"/>
      <c r="AM36" s="12"/>
    </row>
    <row r="37" spans="1:39">
      <c r="A37" s="6">
        <f>A36+1</f>
        <v>32</v>
      </c>
      <c r="B37" s="405" t="s">
        <v>194</v>
      </c>
      <c r="C37" s="9">
        <v>5467268</v>
      </c>
      <c r="D37" s="108" t="s">
        <v>382</v>
      </c>
      <c r="E37" s="108">
        <v>649.01</v>
      </c>
      <c r="F37" s="108" t="s">
        <v>382</v>
      </c>
      <c r="G37" s="108" t="s">
        <v>382</v>
      </c>
      <c r="H37" s="108" t="s">
        <v>382</v>
      </c>
      <c r="I37" s="108" t="s">
        <v>382</v>
      </c>
      <c r="J37" s="108" t="s">
        <v>382</v>
      </c>
      <c r="K37" s="108" t="s">
        <v>382</v>
      </c>
      <c r="L37" s="108" t="s">
        <v>382</v>
      </c>
      <c r="M37" s="108">
        <v>17.399999999999999</v>
      </c>
      <c r="N37" s="108" t="s">
        <v>382</v>
      </c>
      <c r="O37" s="108" t="s">
        <v>382</v>
      </c>
      <c r="P37" s="108" t="s">
        <v>382</v>
      </c>
      <c r="Q37" s="108">
        <v>6.5</v>
      </c>
      <c r="R37" s="108" t="s">
        <v>382</v>
      </c>
      <c r="S37" s="108" t="s">
        <v>382</v>
      </c>
      <c r="T37" s="12" t="s">
        <v>382</v>
      </c>
      <c r="U37" s="12">
        <v>10.9</v>
      </c>
      <c r="V37" s="12" t="s">
        <v>382</v>
      </c>
      <c r="W37" s="12" t="s">
        <v>382</v>
      </c>
      <c r="X37" s="12" t="s">
        <v>382</v>
      </c>
      <c r="Y37" s="12" t="s">
        <v>382</v>
      </c>
      <c r="Z37" s="12" t="s">
        <v>382</v>
      </c>
      <c r="AA37" s="12" t="s">
        <v>382</v>
      </c>
      <c r="AB37" s="12" t="s">
        <v>382</v>
      </c>
      <c r="AC37" s="258">
        <v>10000</v>
      </c>
      <c r="AD37" s="12" t="s">
        <v>382</v>
      </c>
      <c r="AE37" s="12" t="s">
        <v>382</v>
      </c>
      <c r="AF37" s="12" t="s">
        <v>382</v>
      </c>
      <c r="AG37" s="12" t="s">
        <v>382</v>
      </c>
      <c r="AH37" s="12" t="s">
        <v>382</v>
      </c>
      <c r="AI37" s="278">
        <v>172285000</v>
      </c>
      <c r="AJ37" s="12" t="s">
        <v>382</v>
      </c>
      <c r="AK37" s="12" t="s">
        <v>382</v>
      </c>
      <c r="AL37" s="12" t="s">
        <v>382</v>
      </c>
      <c r="AM37" s="12" t="s">
        <v>382</v>
      </c>
    </row>
    <row r="38" spans="1:39">
      <c r="A38" s="6">
        <v>33</v>
      </c>
      <c r="B38" s="259" t="s">
        <v>196</v>
      </c>
      <c r="C38" s="9">
        <v>5522935</v>
      </c>
      <c r="D38" s="191">
        <v>7191.78</v>
      </c>
      <c r="E38" s="191">
        <v>7191.78</v>
      </c>
      <c r="F38" s="108" t="s">
        <v>382</v>
      </c>
      <c r="G38" s="108" t="s">
        <v>382</v>
      </c>
      <c r="H38" s="108">
        <v>161.9</v>
      </c>
      <c r="I38" s="108">
        <v>161.9</v>
      </c>
      <c r="J38" s="108" t="s">
        <v>382</v>
      </c>
      <c r="K38" s="108" t="s">
        <v>382</v>
      </c>
      <c r="L38" s="108" t="s">
        <v>382</v>
      </c>
      <c r="M38" s="108" t="s">
        <v>382</v>
      </c>
      <c r="N38" s="108" t="s">
        <v>382</v>
      </c>
      <c r="O38" s="108" t="s">
        <v>382</v>
      </c>
      <c r="P38" s="108" t="s">
        <v>382</v>
      </c>
      <c r="Q38" s="108" t="s">
        <v>382</v>
      </c>
      <c r="R38" s="108" t="s">
        <v>382</v>
      </c>
      <c r="S38" s="108" t="s">
        <v>382</v>
      </c>
      <c r="T38" s="12" t="s">
        <v>382</v>
      </c>
      <c r="U38" s="12" t="s">
        <v>382</v>
      </c>
      <c r="V38" s="12" t="s">
        <v>382</v>
      </c>
      <c r="W38" s="12" t="s">
        <v>382</v>
      </c>
      <c r="X38" s="12" t="s">
        <v>382</v>
      </c>
      <c r="Y38" s="12" t="s">
        <v>382</v>
      </c>
      <c r="Z38" s="12" t="s">
        <v>382</v>
      </c>
      <c r="AA38" s="12" t="s">
        <v>382</v>
      </c>
      <c r="AB38" s="12" t="s">
        <v>382</v>
      </c>
      <c r="AC38" s="12" t="s">
        <v>382</v>
      </c>
      <c r="AD38" s="12" t="s">
        <v>382</v>
      </c>
      <c r="AE38" s="12" t="s">
        <v>382</v>
      </c>
      <c r="AF38" s="12" t="s">
        <v>382</v>
      </c>
      <c r="AG38" s="12" t="s">
        <v>382</v>
      </c>
      <c r="AH38" s="12" t="s">
        <v>382</v>
      </c>
      <c r="AI38" s="12" t="s">
        <v>382</v>
      </c>
      <c r="AJ38" s="12" t="s">
        <v>382</v>
      </c>
      <c r="AK38" s="12" t="s">
        <v>382</v>
      </c>
      <c r="AL38" s="12" t="s">
        <v>382</v>
      </c>
      <c r="AM38" s="12" t="s">
        <v>382</v>
      </c>
    </row>
    <row r="39" spans="1:39">
      <c r="A39" s="186">
        <v>34</v>
      </c>
      <c r="B39" s="260" t="s">
        <v>197</v>
      </c>
      <c r="C39" s="9">
        <v>5528089</v>
      </c>
      <c r="D39" s="195"/>
      <c r="E39" s="195"/>
      <c r="F39" s="195"/>
      <c r="G39" s="195"/>
      <c r="H39" s="195"/>
      <c r="I39" s="195"/>
      <c r="J39" s="195"/>
      <c r="K39" s="195"/>
      <c r="L39" s="195"/>
      <c r="M39" s="195"/>
      <c r="N39" s="195"/>
      <c r="O39" s="195"/>
      <c r="P39" s="195"/>
      <c r="Q39" s="195"/>
      <c r="R39" s="195"/>
      <c r="S39" s="195"/>
      <c r="T39" s="22"/>
      <c r="U39" s="22"/>
      <c r="V39" s="22"/>
      <c r="W39" s="22"/>
      <c r="X39" s="22"/>
      <c r="Y39" s="22"/>
      <c r="Z39" s="22"/>
      <c r="AA39" s="22"/>
      <c r="AB39" s="22"/>
      <c r="AC39" s="22"/>
      <c r="AD39" s="22"/>
      <c r="AE39" s="22"/>
      <c r="AF39" s="22"/>
      <c r="AG39" s="22"/>
      <c r="AH39" s="22"/>
      <c r="AI39" s="22"/>
      <c r="AJ39" s="22"/>
      <c r="AK39" s="22"/>
      <c r="AL39" s="12"/>
      <c r="AM39" s="12"/>
    </row>
    <row r="40" spans="1:39">
      <c r="A40" s="6">
        <f>A39+1</f>
        <v>35</v>
      </c>
      <c r="B40" s="259" t="s">
        <v>198</v>
      </c>
      <c r="C40" s="9">
        <v>5396662</v>
      </c>
      <c r="D40" s="108" t="s">
        <v>382</v>
      </c>
      <c r="E40" s="108" t="s">
        <v>382</v>
      </c>
      <c r="F40" s="108" t="s">
        <v>382</v>
      </c>
      <c r="G40" s="108" t="s">
        <v>382</v>
      </c>
      <c r="H40" s="108" t="s">
        <v>382</v>
      </c>
      <c r="I40" s="108" t="s">
        <v>382</v>
      </c>
      <c r="J40" s="108" t="s">
        <v>382</v>
      </c>
      <c r="K40" s="108" t="s">
        <v>382</v>
      </c>
      <c r="L40" s="108" t="s">
        <v>382</v>
      </c>
      <c r="M40" s="108" t="s">
        <v>382</v>
      </c>
      <c r="N40" s="108" t="s">
        <v>382</v>
      </c>
      <c r="O40" s="108" t="s">
        <v>382</v>
      </c>
      <c r="P40" s="108" t="s">
        <v>382</v>
      </c>
      <c r="Q40" s="108" t="s">
        <v>382</v>
      </c>
      <c r="R40" s="108" t="s">
        <v>382</v>
      </c>
      <c r="S40" s="108" t="s">
        <v>382</v>
      </c>
      <c r="T40" s="12" t="s">
        <v>382</v>
      </c>
      <c r="U40" s="12" t="s">
        <v>382</v>
      </c>
      <c r="V40" s="12" t="s">
        <v>382</v>
      </c>
      <c r="W40" s="12" t="s">
        <v>382</v>
      </c>
      <c r="X40" s="108">
        <v>0.5</v>
      </c>
      <c r="Y40" s="108">
        <v>0.5</v>
      </c>
      <c r="Z40" s="12" t="s">
        <v>382</v>
      </c>
      <c r="AA40" s="12" t="s">
        <v>382</v>
      </c>
      <c r="AB40" s="108">
        <v>2</v>
      </c>
      <c r="AC40" s="108">
        <v>2</v>
      </c>
      <c r="AD40" s="12" t="s">
        <v>382</v>
      </c>
      <c r="AE40" s="12" t="s">
        <v>382</v>
      </c>
      <c r="AF40" s="12" t="s">
        <v>382</v>
      </c>
      <c r="AG40" s="12" t="s">
        <v>382</v>
      </c>
      <c r="AH40" s="277">
        <v>11220000</v>
      </c>
      <c r="AI40" s="277">
        <v>11220000</v>
      </c>
      <c r="AJ40" s="12" t="s">
        <v>382</v>
      </c>
      <c r="AK40" s="12" t="s">
        <v>382</v>
      </c>
      <c r="AL40" s="12" t="s">
        <v>382</v>
      </c>
      <c r="AM40" s="12" t="s">
        <v>382</v>
      </c>
    </row>
    <row r="41" spans="1:39">
      <c r="A41" s="6">
        <v>36</v>
      </c>
      <c r="B41" s="259" t="s">
        <v>199</v>
      </c>
      <c r="C41" s="9">
        <v>5830974</v>
      </c>
      <c r="D41" s="108" t="s">
        <v>382</v>
      </c>
      <c r="E41" s="108" t="s">
        <v>382</v>
      </c>
      <c r="F41" s="108" t="s">
        <v>382</v>
      </c>
      <c r="G41" s="108" t="s">
        <v>382</v>
      </c>
      <c r="H41" s="108" t="s">
        <v>382</v>
      </c>
      <c r="I41" s="108" t="s">
        <v>382</v>
      </c>
      <c r="J41" s="108" t="s">
        <v>382</v>
      </c>
      <c r="K41" s="108" t="s">
        <v>382</v>
      </c>
      <c r="L41" s="108" t="s">
        <v>382</v>
      </c>
      <c r="M41" s="108" t="s">
        <v>382</v>
      </c>
      <c r="N41" s="108" t="s">
        <v>382</v>
      </c>
      <c r="O41" s="108" t="s">
        <v>382</v>
      </c>
      <c r="P41" s="108" t="s">
        <v>382</v>
      </c>
      <c r="Q41" s="108" t="s">
        <v>382</v>
      </c>
      <c r="R41" s="108" t="s">
        <v>382</v>
      </c>
      <c r="S41" s="108" t="s">
        <v>382</v>
      </c>
      <c r="T41" s="12" t="s">
        <v>382</v>
      </c>
      <c r="U41" s="12" t="s">
        <v>382</v>
      </c>
      <c r="V41" s="12" t="s">
        <v>382</v>
      </c>
      <c r="W41" s="12" t="s">
        <v>382</v>
      </c>
      <c r="X41" s="12" t="s">
        <v>382</v>
      </c>
      <c r="Y41" s="12" t="s">
        <v>382</v>
      </c>
      <c r="Z41" s="12" t="s">
        <v>382</v>
      </c>
      <c r="AA41" s="12" t="s">
        <v>382</v>
      </c>
      <c r="AB41" s="12" t="s">
        <v>382</v>
      </c>
      <c r="AC41" s="12" t="s">
        <v>382</v>
      </c>
      <c r="AD41" s="12" t="s">
        <v>382</v>
      </c>
      <c r="AE41" s="12" t="s">
        <v>382</v>
      </c>
      <c r="AF41" s="12" t="s">
        <v>382</v>
      </c>
      <c r="AG41" s="12" t="s">
        <v>382</v>
      </c>
      <c r="AH41" s="12" t="s">
        <v>382</v>
      </c>
      <c r="AI41" s="12" t="s">
        <v>382</v>
      </c>
      <c r="AJ41" s="12" t="s">
        <v>382</v>
      </c>
      <c r="AK41" s="12" t="s">
        <v>382</v>
      </c>
      <c r="AL41" s="12" t="s">
        <v>382</v>
      </c>
      <c r="AM41" s="12" t="s">
        <v>382</v>
      </c>
    </row>
    <row r="42" spans="1:39">
      <c r="A42" s="6">
        <v>37</v>
      </c>
      <c r="B42" s="259" t="s">
        <v>201</v>
      </c>
      <c r="C42" s="9">
        <v>2057573</v>
      </c>
      <c r="D42" s="108" t="s">
        <v>382</v>
      </c>
      <c r="E42" s="108" t="s">
        <v>382</v>
      </c>
      <c r="F42" s="108" t="s">
        <v>382</v>
      </c>
      <c r="G42" s="108" t="s">
        <v>382</v>
      </c>
      <c r="H42" s="108" t="s">
        <v>382</v>
      </c>
      <c r="I42" s="108" t="s">
        <v>382</v>
      </c>
      <c r="J42" s="108" t="s">
        <v>382</v>
      </c>
      <c r="K42" s="108" t="s">
        <v>382</v>
      </c>
      <c r="L42" s="108" t="s">
        <v>382</v>
      </c>
      <c r="M42" s="108" t="s">
        <v>382</v>
      </c>
      <c r="N42" s="108" t="s">
        <v>382</v>
      </c>
      <c r="O42" s="108" t="s">
        <v>382</v>
      </c>
      <c r="P42" s="108" t="s">
        <v>382</v>
      </c>
      <c r="Q42" s="108" t="s">
        <v>382</v>
      </c>
      <c r="R42" s="108" t="s">
        <v>382</v>
      </c>
      <c r="S42" s="108" t="s">
        <v>382</v>
      </c>
      <c r="T42" s="12" t="s">
        <v>382</v>
      </c>
      <c r="U42" s="12" t="s">
        <v>382</v>
      </c>
      <c r="V42" s="12" t="s">
        <v>382</v>
      </c>
      <c r="W42" s="12" t="s">
        <v>382</v>
      </c>
      <c r="X42" s="12" t="s">
        <v>382</v>
      </c>
      <c r="Y42" s="12" t="s">
        <v>382</v>
      </c>
      <c r="Z42" s="12" t="s">
        <v>382</v>
      </c>
      <c r="AA42" s="12" t="s">
        <v>382</v>
      </c>
      <c r="AB42" s="12" t="s">
        <v>382</v>
      </c>
      <c r="AC42" s="12" t="s">
        <v>382</v>
      </c>
      <c r="AD42" s="12" t="s">
        <v>382</v>
      </c>
      <c r="AE42" s="12" t="s">
        <v>382</v>
      </c>
      <c r="AF42" s="12" t="s">
        <v>382</v>
      </c>
      <c r="AG42" s="12" t="s">
        <v>382</v>
      </c>
      <c r="AH42" s="12" t="s">
        <v>382</v>
      </c>
      <c r="AI42" s="12" t="s">
        <v>382</v>
      </c>
      <c r="AJ42" s="12" t="s">
        <v>382</v>
      </c>
      <c r="AK42" s="12" t="s">
        <v>382</v>
      </c>
      <c r="AL42" s="12" t="s">
        <v>382</v>
      </c>
      <c r="AM42" s="12" t="s">
        <v>382</v>
      </c>
    </row>
    <row r="43" spans="1:39">
      <c r="A43" s="6">
        <f>A42+1</f>
        <v>38</v>
      </c>
      <c r="B43" s="405" t="s">
        <v>202</v>
      </c>
      <c r="C43" s="9">
        <v>5699134</v>
      </c>
      <c r="D43" s="108" t="s">
        <v>382</v>
      </c>
      <c r="E43" s="108" t="s">
        <v>382</v>
      </c>
      <c r="F43" s="108" t="s">
        <v>382</v>
      </c>
      <c r="G43" s="108" t="s">
        <v>382</v>
      </c>
      <c r="H43" s="108" t="s">
        <v>382</v>
      </c>
      <c r="I43" s="108" t="s">
        <v>382</v>
      </c>
      <c r="J43" s="108" t="s">
        <v>382</v>
      </c>
      <c r="K43" s="108" t="s">
        <v>382</v>
      </c>
      <c r="L43" s="108" t="s">
        <v>382</v>
      </c>
      <c r="M43" s="108" t="s">
        <v>382</v>
      </c>
      <c r="N43" s="108" t="s">
        <v>382</v>
      </c>
      <c r="O43" s="108" t="s">
        <v>382</v>
      </c>
      <c r="P43" s="108" t="s">
        <v>382</v>
      </c>
      <c r="Q43" s="108" t="s">
        <v>382</v>
      </c>
      <c r="R43" s="108" t="s">
        <v>382</v>
      </c>
      <c r="S43" s="108" t="s">
        <v>382</v>
      </c>
      <c r="T43" s="12" t="s">
        <v>382</v>
      </c>
      <c r="U43" s="12" t="s">
        <v>382</v>
      </c>
      <c r="V43" s="12" t="s">
        <v>382</v>
      </c>
      <c r="W43" s="12" t="s">
        <v>382</v>
      </c>
      <c r="X43" s="12" t="s">
        <v>382</v>
      </c>
      <c r="Y43" s="12" t="s">
        <v>382</v>
      </c>
      <c r="Z43" s="12" t="s">
        <v>382</v>
      </c>
      <c r="AA43" s="12" t="s">
        <v>382</v>
      </c>
      <c r="AB43" s="12" t="s">
        <v>382</v>
      </c>
      <c r="AC43" s="12" t="s">
        <v>382</v>
      </c>
      <c r="AD43" s="12" t="s">
        <v>382</v>
      </c>
      <c r="AE43" s="12" t="s">
        <v>382</v>
      </c>
      <c r="AF43" s="12" t="s">
        <v>382</v>
      </c>
      <c r="AG43" s="12" t="s">
        <v>382</v>
      </c>
      <c r="AH43" s="277">
        <v>40400000</v>
      </c>
      <c r="AI43" s="277">
        <v>40400000</v>
      </c>
      <c r="AJ43" s="12" t="s">
        <v>382</v>
      </c>
      <c r="AK43" s="12" t="s">
        <v>382</v>
      </c>
      <c r="AL43" s="12" t="s">
        <v>382</v>
      </c>
      <c r="AM43" s="12" t="s">
        <v>382</v>
      </c>
    </row>
    <row r="44" spans="1:39">
      <c r="A44" s="6">
        <v>39</v>
      </c>
      <c r="B44" s="259" t="s">
        <v>203</v>
      </c>
      <c r="C44" s="9">
        <v>5412153</v>
      </c>
      <c r="D44" s="108" t="s">
        <v>382</v>
      </c>
      <c r="E44" s="108">
        <v>355</v>
      </c>
      <c r="F44" s="108" t="s">
        <v>382</v>
      </c>
      <c r="G44" s="108" t="s">
        <v>382</v>
      </c>
      <c r="H44" s="108" t="s">
        <v>382</v>
      </c>
      <c r="I44" s="108">
        <v>355</v>
      </c>
      <c r="J44" s="108" t="s">
        <v>382</v>
      </c>
      <c r="K44" s="108" t="s">
        <v>382</v>
      </c>
      <c r="L44" s="108" t="s">
        <v>382</v>
      </c>
      <c r="M44" s="108" t="s">
        <v>382</v>
      </c>
      <c r="N44" s="108" t="s">
        <v>382</v>
      </c>
      <c r="O44" s="108" t="s">
        <v>382</v>
      </c>
      <c r="P44" s="108" t="s">
        <v>382</v>
      </c>
      <c r="Q44" s="108">
        <v>0.7</v>
      </c>
      <c r="R44" s="108" t="s">
        <v>382</v>
      </c>
      <c r="S44" s="277">
        <v>3000000</v>
      </c>
      <c r="T44" s="12" t="s">
        <v>382</v>
      </c>
      <c r="U44" s="12" t="s">
        <v>382</v>
      </c>
      <c r="V44" s="12" t="s">
        <v>382</v>
      </c>
      <c r="W44" s="12" t="s">
        <v>382</v>
      </c>
      <c r="X44" s="12" t="s">
        <v>382</v>
      </c>
      <c r="Y44" s="12" t="s">
        <v>382</v>
      </c>
      <c r="Z44" s="12" t="s">
        <v>382</v>
      </c>
      <c r="AA44" s="12" t="s">
        <v>382</v>
      </c>
      <c r="AB44" s="12" t="s">
        <v>382</v>
      </c>
      <c r="AC44" s="108">
        <v>2</v>
      </c>
      <c r="AD44" s="12" t="s">
        <v>382</v>
      </c>
      <c r="AE44" s="277">
        <v>20000000</v>
      </c>
      <c r="AF44" s="12" t="s">
        <v>382</v>
      </c>
      <c r="AG44" s="12" t="s">
        <v>382</v>
      </c>
      <c r="AH44" s="12" t="s">
        <v>382</v>
      </c>
      <c r="AI44" s="12" t="s">
        <v>382</v>
      </c>
      <c r="AJ44" s="12" t="s">
        <v>382</v>
      </c>
      <c r="AK44" s="12" t="s">
        <v>382</v>
      </c>
      <c r="AL44" s="12" t="s">
        <v>382</v>
      </c>
      <c r="AM44" s="12" t="s">
        <v>382</v>
      </c>
    </row>
    <row r="45" spans="1:39">
      <c r="A45" s="6">
        <v>40</v>
      </c>
      <c r="B45" s="259" t="s">
        <v>204</v>
      </c>
      <c r="C45" s="9">
        <v>2034859</v>
      </c>
      <c r="D45" s="108" t="s">
        <v>382</v>
      </c>
      <c r="E45" s="108" t="s">
        <v>382</v>
      </c>
      <c r="F45" s="108" t="s">
        <v>382</v>
      </c>
      <c r="G45" s="108" t="s">
        <v>382</v>
      </c>
      <c r="H45" s="108" t="s">
        <v>382</v>
      </c>
      <c r="I45" s="108" t="s">
        <v>382</v>
      </c>
      <c r="J45" s="108" t="s">
        <v>382</v>
      </c>
      <c r="K45" s="108" t="s">
        <v>382</v>
      </c>
      <c r="L45" s="108">
        <v>12</v>
      </c>
      <c r="M45" s="108" t="s">
        <v>382</v>
      </c>
      <c r="N45" s="108" t="s">
        <v>382</v>
      </c>
      <c r="O45" s="108" t="s">
        <v>382</v>
      </c>
      <c r="P45" s="108">
        <v>10</v>
      </c>
      <c r="Q45" s="108" t="s">
        <v>382</v>
      </c>
      <c r="R45" s="108" t="s">
        <v>382</v>
      </c>
      <c r="S45" s="108" t="s">
        <v>382</v>
      </c>
      <c r="T45" s="108">
        <v>2</v>
      </c>
      <c r="U45" s="108">
        <v>2</v>
      </c>
      <c r="V45" s="277">
        <v>4525000</v>
      </c>
      <c r="W45" s="277">
        <v>4525000</v>
      </c>
      <c r="X45" s="12" t="s">
        <v>382</v>
      </c>
      <c r="Y45" s="12" t="s">
        <v>382</v>
      </c>
      <c r="Z45" s="12" t="s">
        <v>382</v>
      </c>
      <c r="AA45" s="12" t="s">
        <v>382</v>
      </c>
      <c r="AB45" s="108">
        <v>10</v>
      </c>
      <c r="AC45" s="108">
        <v>10</v>
      </c>
      <c r="AD45" s="277">
        <v>5200000</v>
      </c>
      <c r="AE45" s="277">
        <v>5200000</v>
      </c>
      <c r="AF45" s="12" t="s">
        <v>382</v>
      </c>
      <c r="AG45" s="12" t="s">
        <v>382</v>
      </c>
      <c r="AH45" s="12" t="s">
        <v>382</v>
      </c>
      <c r="AI45" s="12" t="s">
        <v>382</v>
      </c>
      <c r="AJ45" s="12" t="s">
        <v>382</v>
      </c>
      <c r="AK45" s="12" t="s">
        <v>382</v>
      </c>
      <c r="AL45" s="12" t="s">
        <v>382</v>
      </c>
      <c r="AM45" s="12" t="s">
        <v>382</v>
      </c>
    </row>
    <row r="46" spans="1:39">
      <c r="A46" s="6">
        <v>41</v>
      </c>
      <c r="B46" s="259" t="s">
        <v>208</v>
      </c>
      <c r="C46" s="9">
        <v>5253535</v>
      </c>
      <c r="D46" s="108" t="s">
        <v>382</v>
      </c>
      <c r="E46" s="108" t="s">
        <v>382</v>
      </c>
      <c r="F46" s="108" t="s">
        <v>382</v>
      </c>
      <c r="G46" s="108" t="s">
        <v>382</v>
      </c>
      <c r="H46" s="108" t="s">
        <v>382</v>
      </c>
      <c r="I46" s="108" t="s">
        <v>382</v>
      </c>
      <c r="J46" s="108" t="s">
        <v>382</v>
      </c>
      <c r="K46" s="108" t="s">
        <v>382</v>
      </c>
      <c r="L46" s="108" t="s">
        <v>382</v>
      </c>
      <c r="M46" s="108" t="s">
        <v>382</v>
      </c>
      <c r="N46" s="108" t="s">
        <v>382</v>
      </c>
      <c r="O46" s="108" t="s">
        <v>382</v>
      </c>
      <c r="P46" s="108" t="s">
        <v>382</v>
      </c>
      <c r="Q46" s="108" t="s">
        <v>382</v>
      </c>
      <c r="R46" s="108" t="s">
        <v>382</v>
      </c>
      <c r="S46" s="108" t="s">
        <v>382</v>
      </c>
      <c r="T46" s="12" t="s">
        <v>382</v>
      </c>
      <c r="U46" s="12" t="s">
        <v>382</v>
      </c>
      <c r="V46" s="12" t="s">
        <v>382</v>
      </c>
      <c r="W46" s="12" t="s">
        <v>382</v>
      </c>
      <c r="X46" s="12" t="s">
        <v>382</v>
      </c>
      <c r="Y46" s="12" t="s">
        <v>382</v>
      </c>
      <c r="Z46" s="12" t="s">
        <v>382</v>
      </c>
      <c r="AA46" s="12" t="s">
        <v>382</v>
      </c>
      <c r="AB46" s="12" t="s">
        <v>382</v>
      </c>
      <c r="AC46" s="12" t="s">
        <v>382</v>
      </c>
      <c r="AD46" s="12" t="s">
        <v>382</v>
      </c>
      <c r="AE46" s="12" t="s">
        <v>382</v>
      </c>
      <c r="AF46" s="12" t="s">
        <v>382</v>
      </c>
      <c r="AG46" s="12" t="s">
        <v>382</v>
      </c>
      <c r="AH46" s="12" t="s">
        <v>382</v>
      </c>
      <c r="AI46" s="12" t="s">
        <v>382</v>
      </c>
      <c r="AJ46" s="12" t="s">
        <v>382</v>
      </c>
      <c r="AK46" s="12" t="s">
        <v>382</v>
      </c>
      <c r="AL46" s="12" t="s">
        <v>382</v>
      </c>
      <c r="AM46" s="12" t="s">
        <v>382</v>
      </c>
    </row>
    <row r="47" spans="1:39">
      <c r="A47" s="6">
        <f t="shared" ref="A47:A48" si="3">A46+1</f>
        <v>42</v>
      </c>
      <c r="B47" s="259" t="s">
        <v>210</v>
      </c>
      <c r="C47" s="9">
        <v>5150884</v>
      </c>
      <c r="D47" s="108" t="s">
        <v>382</v>
      </c>
      <c r="E47" s="108" t="s">
        <v>382</v>
      </c>
      <c r="F47" s="108" t="s">
        <v>382</v>
      </c>
      <c r="G47" s="108" t="s">
        <v>382</v>
      </c>
      <c r="H47" s="108" t="s">
        <v>382</v>
      </c>
      <c r="I47" s="108" t="s">
        <v>382</v>
      </c>
      <c r="J47" s="108" t="s">
        <v>382</v>
      </c>
      <c r="K47" s="108" t="s">
        <v>382</v>
      </c>
      <c r="L47" s="108">
        <v>7.0000000000000001E-3</v>
      </c>
      <c r="M47" s="108">
        <v>7.0000000000000001E-3</v>
      </c>
      <c r="N47" s="277">
        <v>750000</v>
      </c>
      <c r="O47" s="277">
        <v>750000</v>
      </c>
      <c r="P47" s="108">
        <v>7.0000000000000001E-3</v>
      </c>
      <c r="Q47" s="108">
        <v>7.0000000000000001E-3</v>
      </c>
      <c r="R47" s="277">
        <v>750000</v>
      </c>
      <c r="S47" s="277">
        <v>750000</v>
      </c>
      <c r="T47" s="12" t="s">
        <v>382</v>
      </c>
      <c r="U47" s="12" t="s">
        <v>382</v>
      </c>
      <c r="V47" s="12" t="s">
        <v>382</v>
      </c>
      <c r="W47" s="12" t="s">
        <v>382</v>
      </c>
      <c r="X47" s="12" t="s">
        <v>382</v>
      </c>
      <c r="Y47" s="12" t="s">
        <v>382</v>
      </c>
      <c r="Z47" s="12" t="s">
        <v>382</v>
      </c>
      <c r="AA47" s="12" t="s">
        <v>382</v>
      </c>
      <c r="AB47" s="12" t="s">
        <v>382</v>
      </c>
      <c r="AC47" s="12" t="s">
        <v>382</v>
      </c>
      <c r="AD47" s="12" t="s">
        <v>382</v>
      </c>
      <c r="AE47" s="12" t="s">
        <v>382</v>
      </c>
      <c r="AF47" s="12" t="s">
        <v>382</v>
      </c>
      <c r="AG47" s="12" t="s">
        <v>382</v>
      </c>
      <c r="AH47" s="277">
        <v>750000</v>
      </c>
      <c r="AI47" s="277">
        <v>750000</v>
      </c>
      <c r="AJ47" s="12" t="s">
        <v>382</v>
      </c>
      <c r="AK47" s="12" t="s">
        <v>382</v>
      </c>
      <c r="AL47" s="12" t="s">
        <v>382</v>
      </c>
      <c r="AM47" s="12" t="s">
        <v>382</v>
      </c>
    </row>
    <row r="48" spans="1:39">
      <c r="A48" s="6">
        <f t="shared" si="3"/>
        <v>43</v>
      </c>
      <c r="B48" s="259" t="s">
        <v>211</v>
      </c>
      <c r="C48" s="9">
        <v>5051304</v>
      </c>
      <c r="D48" s="108">
        <v>3</v>
      </c>
      <c r="E48" s="108">
        <v>3</v>
      </c>
      <c r="F48" s="108" t="s">
        <v>382</v>
      </c>
      <c r="G48" s="108" t="s">
        <v>382</v>
      </c>
      <c r="H48" s="108" t="s">
        <v>382</v>
      </c>
      <c r="I48" s="108" t="s">
        <v>382</v>
      </c>
      <c r="J48" s="108" t="s">
        <v>382</v>
      </c>
      <c r="K48" s="108" t="s">
        <v>382</v>
      </c>
      <c r="L48" s="108">
        <v>3</v>
      </c>
      <c r="M48" s="108">
        <v>3</v>
      </c>
      <c r="N48" s="277">
        <v>36500000</v>
      </c>
      <c r="O48" s="277">
        <v>36500000</v>
      </c>
      <c r="P48" s="108">
        <v>2</v>
      </c>
      <c r="Q48" s="108">
        <v>2</v>
      </c>
      <c r="R48" s="277">
        <v>30000000</v>
      </c>
      <c r="S48" s="277">
        <v>30000000</v>
      </c>
      <c r="T48" s="108">
        <v>1</v>
      </c>
      <c r="U48" s="108">
        <v>1</v>
      </c>
      <c r="V48" s="277">
        <v>6500000</v>
      </c>
      <c r="W48" s="277">
        <v>6500000</v>
      </c>
      <c r="X48" s="12" t="s">
        <v>382</v>
      </c>
      <c r="Y48" s="12" t="s">
        <v>382</v>
      </c>
      <c r="Z48" s="12" t="s">
        <v>382</v>
      </c>
      <c r="AA48" s="12" t="s">
        <v>382</v>
      </c>
      <c r="AB48" s="108">
        <v>2</v>
      </c>
      <c r="AC48" s="108">
        <v>2</v>
      </c>
      <c r="AD48" s="277">
        <v>30000000</v>
      </c>
      <c r="AE48" s="277">
        <v>30000000</v>
      </c>
      <c r="AF48" s="12" t="s">
        <v>382</v>
      </c>
      <c r="AG48" s="12" t="s">
        <v>382</v>
      </c>
      <c r="AH48" s="277">
        <v>5000000</v>
      </c>
      <c r="AI48" s="277">
        <v>5000000</v>
      </c>
      <c r="AJ48" s="12" t="s">
        <v>382</v>
      </c>
      <c r="AK48" s="12" t="s">
        <v>382</v>
      </c>
      <c r="AL48" s="12" t="s">
        <v>382</v>
      </c>
      <c r="AM48" s="12" t="s">
        <v>382</v>
      </c>
    </row>
    <row r="49" spans="1:39">
      <c r="A49" s="186">
        <v>44</v>
      </c>
      <c r="B49" s="260" t="s">
        <v>213</v>
      </c>
      <c r="C49" s="9">
        <v>5401801</v>
      </c>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row>
    <row r="50" spans="1:39">
      <c r="A50" s="109">
        <v>45</v>
      </c>
      <c r="B50" s="279" t="s">
        <v>214</v>
      </c>
      <c r="C50" s="9">
        <v>2550466</v>
      </c>
      <c r="D50" s="108" t="s">
        <v>382</v>
      </c>
      <c r="E50" s="108" t="s">
        <v>382</v>
      </c>
      <c r="F50" s="108" t="s">
        <v>382</v>
      </c>
      <c r="G50" s="108" t="s">
        <v>382</v>
      </c>
      <c r="H50" s="108" t="s">
        <v>382</v>
      </c>
      <c r="I50" s="108" t="s">
        <v>382</v>
      </c>
      <c r="J50" s="108" t="s">
        <v>382</v>
      </c>
      <c r="K50" s="108" t="s">
        <v>382</v>
      </c>
      <c r="L50" s="108" t="s">
        <v>382</v>
      </c>
      <c r="M50" s="108" t="s">
        <v>382</v>
      </c>
      <c r="N50" s="108" t="s">
        <v>382</v>
      </c>
      <c r="O50" s="108" t="s">
        <v>382</v>
      </c>
      <c r="P50" s="108" t="s">
        <v>382</v>
      </c>
      <c r="Q50" s="108" t="s">
        <v>382</v>
      </c>
      <c r="R50" s="108" t="s">
        <v>382</v>
      </c>
      <c r="S50" s="108" t="s">
        <v>382</v>
      </c>
      <c r="T50" s="12" t="s">
        <v>382</v>
      </c>
      <c r="U50" s="12" t="s">
        <v>382</v>
      </c>
      <c r="V50" s="12" t="s">
        <v>382</v>
      </c>
      <c r="W50" s="12" t="s">
        <v>382</v>
      </c>
      <c r="X50" s="12" t="s">
        <v>382</v>
      </c>
      <c r="Y50" s="12" t="s">
        <v>382</v>
      </c>
      <c r="Z50" s="12" t="s">
        <v>382</v>
      </c>
      <c r="AA50" s="12" t="s">
        <v>382</v>
      </c>
      <c r="AB50" s="12" t="s">
        <v>382</v>
      </c>
      <c r="AC50" s="12" t="s">
        <v>382</v>
      </c>
      <c r="AD50" s="12" t="s">
        <v>382</v>
      </c>
      <c r="AE50" s="12" t="s">
        <v>382</v>
      </c>
      <c r="AF50" s="12" t="s">
        <v>382</v>
      </c>
      <c r="AG50" s="12" t="s">
        <v>382</v>
      </c>
      <c r="AH50" s="12" t="s">
        <v>382</v>
      </c>
      <c r="AI50" s="12" t="s">
        <v>382</v>
      </c>
      <c r="AJ50" s="12" t="s">
        <v>382</v>
      </c>
      <c r="AK50" s="12" t="s">
        <v>382</v>
      </c>
      <c r="AL50" s="12" t="s">
        <v>382</v>
      </c>
      <c r="AM50" s="12" t="s">
        <v>382</v>
      </c>
    </row>
    <row r="51" spans="1:39">
      <c r="A51" s="6">
        <f>A50+1</f>
        <v>46</v>
      </c>
      <c r="B51" s="259" t="s">
        <v>216</v>
      </c>
      <c r="C51" s="9">
        <v>5051134</v>
      </c>
      <c r="D51" s="108">
        <v>359</v>
      </c>
      <c r="E51" s="108" t="s">
        <v>382</v>
      </c>
      <c r="F51" s="108" t="s">
        <v>382</v>
      </c>
      <c r="G51" s="108" t="s">
        <v>382</v>
      </c>
      <c r="H51" s="108">
        <v>0.9</v>
      </c>
      <c r="I51" s="108" t="s">
        <v>382</v>
      </c>
      <c r="J51" s="108" t="s">
        <v>382</v>
      </c>
      <c r="K51" s="108" t="s">
        <v>382</v>
      </c>
      <c r="L51" s="108">
        <v>3</v>
      </c>
      <c r="M51" s="108">
        <v>3</v>
      </c>
      <c r="N51" s="108" t="s">
        <v>382</v>
      </c>
      <c r="O51" s="191">
        <v>381024569.24000001</v>
      </c>
      <c r="P51" s="108">
        <v>1.5</v>
      </c>
      <c r="Q51" s="108">
        <v>1.5</v>
      </c>
      <c r="R51" s="108" t="s">
        <v>382</v>
      </c>
      <c r="S51" s="191">
        <v>381024569.24000001</v>
      </c>
      <c r="T51" s="108">
        <v>1.5</v>
      </c>
      <c r="U51" s="108">
        <v>1.5</v>
      </c>
      <c r="V51" s="12" t="s">
        <v>382</v>
      </c>
      <c r="W51" s="277">
        <v>15000000</v>
      </c>
      <c r="X51" s="277">
        <v>250000</v>
      </c>
      <c r="Y51" s="277">
        <v>250000</v>
      </c>
      <c r="Z51" s="12" t="s">
        <v>382</v>
      </c>
      <c r="AA51" s="12" t="s">
        <v>382</v>
      </c>
      <c r="AB51" s="108">
        <v>1.1000000000000001</v>
      </c>
      <c r="AC51" s="108">
        <v>1.1000000000000001</v>
      </c>
      <c r="AD51" s="12" t="s">
        <v>382</v>
      </c>
      <c r="AE51" s="12" t="s">
        <v>382</v>
      </c>
      <c r="AF51" s="12" t="s">
        <v>382</v>
      </c>
      <c r="AG51" s="12" t="s">
        <v>382</v>
      </c>
      <c r="AH51" s="12" t="s">
        <v>382</v>
      </c>
      <c r="AI51" s="277">
        <v>6000000</v>
      </c>
      <c r="AJ51" s="12" t="s">
        <v>382</v>
      </c>
      <c r="AK51" s="12" t="s">
        <v>382</v>
      </c>
      <c r="AL51" s="12" t="s">
        <v>382</v>
      </c>
      <c r="AM51" s="277">
        <v>1500000</v>
      </c>
    </row>
    <row r="52" spans="1:39">
      <c r="A52" s="6">
        <v>47</v>
      </c>
      <c r="B52" s="259" t="s">
        <v>217</v>
      </c>
      <c r="C52" s="9">
        <v>2095025</v>
      </c>
      <c r="D52" s="108" t="s">
        <v>382</v>
      </c>
      <c r="E52" s="108" t="s">
        <v>382</v>
      </c>
      <c r="F52" s="108" t="s">
        <v>382</v>
      </c>
      <c r="G52" s="108" t="s">
        <v>382</v>
      </c>
      <c r="H52" s="108" t="s">
        <v>382</v>
      </c>
      <c r="I52" s="108" t="s">
        <v>382</v>
      </c>
      <c r="J52" s="108" t="s">
        <v>382</v>
      </c>
      <c r="K52" s="108" t="s">
        <v>382</v>
      </c>
      <c r="L52" s="108" t="s">
        <v>382</v>
      </c>
      <c r="M52" s="108" t="s">
        <v>382</v>
      </c>
      <c r="N52" s="108" t="s">
        <v>382</v>
      </c>
      <c r="O52" s="108" t="s">
        <v>382</v>
      </c>
      <c r="P52" s="108" t="s">
        <v>382</v>
      </c>
      <c r="Q52" s="108" t="s">
        <v>382</v>
      </c>
      <c r="R52" s="108" t="s">
        <v>382</v>
      </c>
      <c r="S52" s="108" t="s">
        <v>382</v>
      </c>
      <c r="T52" s="12" t="s">
        <v>382</v>
      </c>
      <c r="U52" s="12" t="s">
        <v>382</v>
      </c>
      <c r="V52" s="12" t="s">
        <v>382</v>
      </c>
      <c r="W52" s="12" t="s">
        <v>382</v>
      </c>
      <c r="X52" s="12" t="s">
        <v>382</v>
      </c>
      <c r="Y52" s="12" t="s">
        <v>382</v>
      </c>
      <c r="Z52" s="12" t="s">
        <v>382</v>
      </c>
      <c r="AA52" s="12" t="s">
        <v>382</v>
      </c>
      <c r="AB52" s="12" t="s">
        <v>382</v>
      </c>
      <c r="AC52" s="12" t="s">
        <v>382</v>
      </c>
      <c r="AD52" s="12" t="s">
        <v>382</v>
      </c>
      <c r="AE52" s="12" t="s">
        <v>382</v>
      </c>
      <c r="AF52" s="12" t="s">
        <v>382</v>
      </c>
      <c r="AG52" s="12" t="s">
        <v>382</v>
      </c>
      <c r="AH52" s="12" t="s">
        <v>382</v>
      </c>
      <c r="AI52" s="12" t="s">
        <v>382</v>
      </c>
      <c r="AJ52" s="12" t="s">
        <v>382</v>
      </c>
      <c r="AK52" s="12" t="s">
        <v>382</v>
      </c>
      <c r="AL52" s="12" t="s">
        <v>382</v>
      </c>
      <c r="AM52" s="12" t="s">
        <v>382</v>
      </c>
    </row>
    <row r="53" spans="1:39">
      <c r="A53" s="6">
        <v>48</v>
      </c>
      <c r="B53" s="259" t="s">
        <v>218</v>
      </c>
      <c r="C53" s="9">
        <v>2045931</v>
      </c>
      <c r="D53" s="108">
        <v>276</v>
      </c>
      <c r="E53" s="108">
        <v>276</v>
      </c>
      <c r="F53" s="108" t="s">
        <v>382</v>
      </c>
      <c r="G53" s="108" t="s">
        <v>382</v>
      </c>
      <c r="H53" s="108" t="s">
        <v>382</v>
      </c>
      <c r="I53" s="108" t="s">
        <v>382</v>
      </c>
      <c r="J53" s="108" t="s">
        <v>382</v>
      </c>
      <c r="K53" s="108" t="s">
        <v>382</v>
      </c>
      <c r="L53" s="108" t="s">
        <v>382</v>
      </c>
      <c r="M53" s="108" t="s">
        <v>382</v>
      </c>
      <c r="N53" s="108" t="s">
        <v>382</v>
      </c>
      <c r="O53" s="108" t="s">
        <v>382</v>
      </c>
      <c r="P53" s="108">
        <v>10</v>
      </c>
      <c r="Q53" s="108">
        <v>10</v>
      </c>
      <c r="R53" s="108" t="s">
        <v>382</v>
      </c>
      <c r="S53" s="108" t="s">
        <v>382</v>
      </c>
      <c r="T53" s="108">
        <v>10</v>
      </c>
      <c r="U53" s="108">
        <v>10</v>
      </c>
      <c r="V53" s="12" t="s">
        <v>382</v>
      </c>
      <c r="W53" s="12" t="s">
        <v>382</v>
      </c>
      <c r="X53" s="12" t="s">
        <v>382</v>
      </c>
      <c r="Y53" s="12" t="s">
        <v>382</v>
      </c>
      <c r="Z53" s="12" t="s">
        <v>382</v>
      </c>
      <c r="AA53" s="12" t="s">
        <v>382</v>
      </c>
      <c r="AB53" s="12" t="s">
        <v>382</v>
      </c>
      <c r="AC53" s="12" t="s">
        <v>382</v>
      </c>
      <c r="AD53" s="12" t="s">
        <v>382</v>
      </c>
      <c r="AE53" s="12" t="s">
        <v>382</v>
      </c>
      <c r="AF53" s="12" t="s">
        <v>382</v>
      </c>
      <c r="AG53" s="12" t="s">
        <v>382</v>
      </c>
      <c r="AH53" s="12" t="s">
        <v>382</v>
      </c>
      <c r="AI53" s="12" t="s">
        <v>382</v>
      </c>
      <c r="AJ53" s="12" t="s">
        <v>382</v>
      </c>
      <c r="AK53" s="12" t="s">
        <v>382</v>
      </c>
      <c r="AL53" s="12" t="s">
        <v>382</v>
      </c>
      <c r="AM53" s="12" t="s">
        <v>382</v>
      </c>
    </row>
    <row r="54" spans="1:39">
      <c r="A54" s="6">
        <f t="shared" ref="A54:A56" si="4">A53+1</f>
        <v>49</v>
      </c>
      <c r="B54" s="279" t="s">
        <v>219</v>
      </c>
      <c r="C54" s="9">
        <v>2029278</v>
      </c>
      <c r="D54" s="108" t="s">
        <v>382</v>
      </c>
      <c r="E54" s="108" t="s">
        <v>382</v>
      </c>
      <c r="F54" s="108" t="s">
        <v>382</v>
      </c>
      <c r="G54" s="108" t="s">
        <v>382</v>
      </c>
      <c r="H54" s="108">
        <v>13.9</v>
      </c>
      <c r="I54" s="108">
        <v>3.1</v>
      </c>
      <c r="J54" s="108" t="s">
        <v>382</v>
      </c>
      <c r="K54" s="108" t="s">
        <v>382</v>
      </c>
      <c r="L54" s="108">
        <v>30</v>
      </c>
      <c r="M54" s="108">
        <v>54.6</v>
      </c>
      <c r="N54" s="108" t="s">
        <v>382</v>
      </c>
      <c r="O54" s="277">
        <v>818452500</v>
      </c>
      <c r="P54" s="108">
        <v>17</v>
      </c>
      <c r="Q54" s="108">
        <v>29.5</v>
      </c>
      <c r="R54" s="108" t="s">
        <v>382</v>
      </c>
      <c r="S54" s="277">
        <v>757595600</v>
      </c>
      <c r="T54" s="108">
        <v>13</v>
      </c>
      <c r="U54" s="108">
        <v>25.1</v>
      </c>
      <c r="V54" s="12" t="s">
        <v>382</v>
      </c>
      <c r="W54" s="277">
        <v>60856900</v>
      </c>
      <c r="X54" s="277">
        <v>73000</v>
      </c>
      <c r="Y54" s="277">
        <v>765700</v>
      </c>
      <c r="Z54" s="12" t="s">
        <v>382</v>
      </c>
      <c r="AA54" s="12" t="s">
        <v>382</v>
      </c>
      <c r="AB54" s="108">
        <v>10</v>
      </c>
      <c r="AC54" s="108">
        <v>12.1</v>
      </c>
      <c r="AD54" s="12" t="s">
        <v>382</v>
      </c>
      <c r="AE54" s="277">
        <v>100704500</v>
      </c>
      <c r="AF54" s="12" t="s">
        <v>382</v>
      </c>
      <c r="AG54" s="12" t="s">
        <v>382</v>
      </c>
      <c r="AH54" s="12" t="s">
        <v>382</v>
      </c>
      <c r="AI54" s="277">
        <v>139029000</v>
      </c>
      <c r="AJ54" s="12" t="s">
        <v>382</v>
      </c>
      <c r="AK54" s="12" t="s">
        <v>382</v>
      </c>
      <c r="AL54" s="12" t="s">
        <v>382</v>
      </c>
      <c r="AM54" s="12" t="s">
        <v>382</v>
      </c>
    </row>
    <row r="55" spans="1:39">
      <c r="A55" s="6">
        <f t="shared" si="4"/>
        <v>50</v>
      </c>
      <c r="B55" s="259" t="s">
        <v>220</v>
      </c>
      <c r="C55" s="9">
        <v>5106567</v>
      </c>
      <c r="D55" s="108">
        <v>445.1</v>
      </c>
      <c r="E55" s="108">
        <v>445.1</v>
      </c>
      <c r="F55" s="108" t="s">
        <v>382</v>
      </c>
      <c r="G55" s="108" t="s">
        <v>382</v>
      </c>
      <c r="H55" s="108">
        <v>1.8</v>
      </c>
      <c r="I55" s="108">
        <v>1.26</v>
      </c>
      <c r="J55" s="108" t="s">
        <v>382</v>
      </c>
      <c r="K55" s="108" t="s">
        <v>382</v>
      </c>
      <c r="L55" s="108" t="s">
        <v>382</v>
      </c>
      <c r="M55" s="108" t="s">
        <v>382</v>
      </c>
      <c r="N55" s="108" t="s">
        <v>382</v>
      </c>
      <c r="O55" s="108" t="s">
        <v>382</v>
      </c>
      <c r="P55" s="108" t="s">
        <v>382</v>
      </c>
      <c r="Q55" s="108" t="s">
        <v>382</v>
      </c>
      <c r="R55" s="108" t="s">
        <v>382</v>
      </c>
      <c r="S55" s="108" t="s">
        <v>382</v>
      </c>
      <c r="T55" s="12" t="s">
        <v>382</v>
      </c>
      <c r="U55" s="12" t="s">
        <v>382</v>
      </c>
      <c r="V55" s="277">
        <v>7200000</v>
      </c>
      <c r="W55" s="277">
        <v>19500000</v>
      </c>
      <c r="X55" s="12" t="s">
        <v>382</v>
      </c>
      <c r="Y55" s="12" t="s">
        <v>382</v>
      </c>
      <c r="Z55" s="12" t="s">
        <v>382</v>
      </c>
      <c r="AA55" s="12" t="s">
        <v>382</v>
      </c>
      <c r="AB55" s="108">
        <v>1</v>
      </c>
      <c r="AC55" s="108">
        <v>2</v>
      </c>
      <c r="AD55" s="277">
        <v>21400000</v>
      </c>
      <c r="AE55" s="277">
        <v>30000000</v>
      </c>
      <c r="AF55" s="12" t="s">
        <v>382</v>
      </c>
      <c r="AG55" s="12" t="s">
        <v>382</v>
      </c>
      <c r="AH55" s="277">
        <v>24793500</v>
      </c>
      <c r="AI55" s="277">
        <v>64990600</v>
      </c>
      <c r="AJ55" s="12" t="s">
        <v>382</v>
      </c>
      <c r="AK55" s="12" t="s">
        <v>382</v>
      </c>
      <c r="AL55" s="12" t="s">
        <v>382</v>
      </c>
      <c r="AM55" s="12" t="s">
        <v>382</v>
      </c>
    </row>
    <row r="56" spans="1:39">
      <c r="A56" s="6">
        <f t="shared" si="4"/>
        <v>51</v>
      </c>
      <c r="B56" s="259" t="s">
        <v>222</v>
      </c>
      <c r="C56" s="9">
        <v>5141583</v>
      </c>
      <c r="D56" s="191">
        <v>1885.02</v>
      </c>
      <c r="E56" s="191">
        <v>1885.02</v>
      </c>
      <c r="F56" s="108" t="s">
        <v>382</v>
      </c>
      <c r="G56" s="108" t="s">
        <v>382</v>
      </c>
      <c r="H56" s="108">
        <v>30.25</v>
      </c>
      <c r="I56" s="108">
        <v>165.11</v>
      </c>
      <c r="J56" s="108" t="s">
        <v>382</v>
      </c>
      <c r="K56" s="108" t="s">
        <v>382</v>
      </c>
      <c r="L56" s="108" t="s">
        <v>382</v>
      </c>
      <c r="M56" s="108" t="s">
        <v>382</v>
      </c>
      <c r="N56" s="108" t="s">
        <v>382</v>
      </c>
      <c r="O56" s="108" t="s">
        <v>382</v>
      </c>
      <c r="P56" s="108" t="s">
        <v>382</v>
      </c>
      <c r="Q56" s="108" t="s">
        <v>382</v>
      </c>
      <c r="R56" s="108" t="s">
        <v>382</v>
      </c>
      <c r="S56" s="108" t="s">
        <v>382</v>
      </c>
      <c r="T56" s="12" t="s">
        <v>382</v>
      </c>
      <c r="U56" s="12" t="s">
        <v>382</v>
      </c>
      <c r="V56" s="12" t="s">
        <v>382</v>
      </c>
      <c r="W56" s="12" t="s">
        <v>382</v>
      </c>
      <c r="X56" s="12" t="s">
        <v>382</v>
      </c>
      <c r="Y56" s="12" t="s">
        <v>382</v>
      </c>
      <c r="Z56" s="12" t="s">
        <v>382</v>
      </c>
      <c r="AA56" s="12" t="s">
        <v>382</v>
      </c>
      <c r="AB56" s="108">
        <v>4.8</v>
      </c>
      <c r="AC56" s="108">
        <v>4.8</v>
      </c>
      <c r="AD56" s="277">
        <v>9176479</v>
      </c>
      <c r="AE56" s="277">
        <v>19670770</v>
      </c>
      <c r="AF56" s="12" t="s">
        <v>382</v>
      </c>
      <c r="AG56" s="12" t="s">
        <v>382</v>
      </c>
      <c r="AH56" s="12" t="s">
        <v>382</v>
      </c>
      <c r="AI56" s="277">
        <v>158000000</v>
      </c>
      <c r="AJ56" s="12" t="s">
        <v>382</v>
      </c>
      <c r="AK56" s="12" t="s">
        <v>382</v>
      </c>
      <c r="AL56" s="12" t="s">
        <v>382</v>
      </c>
      <c r="AM56" s="12" t="s">
        <v>382</v>
      </c>
    </row>
    <row r="57" spans="1:39">
      <c r="A57" s="109">
        <v>52</v>
      </c>
      <c r="B57" s="279" t="s">
        <v>223</v>
      </c>
      <c r="C57" s="9">
        <v>5118115</v>
      </c>
      <c r="D57" s="108" t="s">
        <v>382</v>
      </c>
      <c r="E57" s="108" t="s">
        <v>382</v>
      </c>
      <c r="F57" s="108" t="s">
        <v>382</v>
      </c>
      <c r="G57" s="108" t="s">
        <v>382</v>
      </c>
      <c r="H57" s="108" t="s">
        <v>382</v>
      </c>
      <c r="I57" s="108" t="s">
        <v>382</v>
      </c>
      <c r="J57" s="108" t="s">
        <v>382</v>
      </c>
      <c r="K57" s="108" t="s">
        <v>382</v>
      </c>
      <c r="L57" s="108" t="s">
        <v>382</v>
      </c>
      <c r="M57" s="108" t="s">
        <v>382</v>
      </c>
      <c r="N57" s="108" t="s">
        <v>382</v>
      </c>
      <c r="O57" s="108" t="s">
        <v>382</v>
      </c>
      <c r="P57" s="108" t="s">
        <v>382</v>
      </c>
      <c r="Q57" s="108" t="s">
        <v>382</v>
      </c>
      <c r="R57" s="108" t="s">
        <v>382</v>
      </c>
      <c r="S57" s="108" t="s">
        <v>382</v>
      </c>
      <c r="T57" s="12" t="s">
        <v>382</v>
      </c>
      <c r="U57" s="12" t="s">
        <v>382</v>
      </c>
      <c r="V57" s="12" t="s">
        <v>382</v>
      </c>
      <c r="W57" s="12" t="s">
        <v>382</v>
      </c>
      <c r="X57" s="12" t="s">
        <v>382</v>
      </c>
      <c r="Y57" s="12" t="s">
        <v>382</v>
      </c>
      <c r="Z57" s="12" t="s">
        <v>382</v>
      </c>
      <c r="AA57" s="12" t="s">
        <v>382</v>
      </c>
      <c r="AB57" s="12" t="s">
        <v>382</v>
      </c>
      <c r="AC57" s="12" t="s">
        <v>382</v>
      </c>
      <c r="AD57" s="12" t="s">
        <v>382</v>
      </c>
      <c r="AE57" s="12" t="s">
        <v>382</v>
      </c>
      <c r="AF57" s="12" t="s">
        <v>382</v>
      </c>
      <c r="AG57" s="12" t="s">
        <v>382</v>
      </c>
      <c r="AH57" s="12" t="s">
        <v>382</v>
      </c>
      <c r="AI57" s="12" t="s">
        <v>382</v>
      </c>
      <c r="AJ57" s="12" t="s">
        <v>382</v>
      </c>
      <c r="AK57" s="12" t="s">
        <v>382</v>
      </c>
      <c r="AL57" s="12" t="s">
        <v>382</v>
      </c>
      <c r="AM57" s="12" t="s">
        <v>382</v>
      </c>
    </row>
    <row r="58" spans="1:39">
      <c r="A58" s="6">
        <f t="shared" ref="A58:A60" si="5">A57+1</f>
        <v>53</v>
      </c>
      <c r="B58" s="259" t="s">
        <v>224</v>
      </c>
      <c r="C58" s="9">
        <v>5106656</v>
      </c>
      <c r="D58" s="108" t="s">
        <v>382</v>
      </c>
      <c r="E58" s="108" t="s">
        <v>382</v>
      </c>
      <c r="F58" s="108" t="s">
        <v>382</v>
      </c>
      <c r="G58" s="108" t="s">
        <v>382</v>
      </c>
      <c r="H58" s="108" t="s">
        <v>382</v>
      </c>
      <c r="I58" s="108" t="s">
        <v>382</v>
      </c>
      <c r="J58" s="108" t="s">
        <v>382</v>
      </c>
      <c r="K58" s="108" t="s">
        <v>382</v>
      </c>
      <c r="L58" s="108" t="s">
        <v>382</v>
      </c>
      <c r="M58" s="108" t="s">
        <v>382</v>
      </c>
      <c r="N58" s="108" t="s">
        <v>382</v>
      </c>
      <c r="O58" s="108" t="s">
        <v>382</v>
      </c>
      <c r="P58" s="108" t="s">
        <v>382</v>
      </c>
      <c r="Q58" s="108" t="s">
        <v>382</v>
      </c>
      <c r="R58" s="108" t="s">
        <v>382</v>
      </c>
      <c r="S58" s="108" t="s">
        <v>382</v>
      </c>
      <c r="T58" s="12" t="s">
        <v>382</v>
      </c>
      <c r="U58" s="12" t="s">
        <v>382</v>
      </c>
      <c r="V58" s="12" t="s">
        <v>382</v>
      </c>
      <c r="W58" s="12" t="s">
        <v>382</v>
      </c>
      <c r="X58" s="12" t="s">
        <v>382</v>
      </c>
      <c r="Y58" s="12" t="s">
        <v>382</v>
      </c>
      <c r="Z58" s="12" t="s">
        <v>382</v>
      </c>
      <c r="AA58" s="12" t="s">
        <v>382</v>
      </c>
      <c r="AB58" s="12" t="s">
        <v>382</v>
      </c>
      <c r="AC58" s="12" t="s">
        <v>382</v>
      </c>
      <c r="AD58" s="12" t="s">
        <v>382</v>
      </c>
      <c r="AE58" s="12" t="s">
        <v>382</v>
      </c>
      <c r="AF58" s="12" t="s">
        <v>382</v>
      </c>
      <c r="AG58" s="12" t="s">
        <v>382</v>
      </c>
      <c r="AH58" s="12" t="s">
        <v>382</v>
      </c>
      <c r="AI58" s="277">
        <v>10541250</v>
      </c>
      <c r="AJ58" s="12" t="s">
        <v>382</v>
      </c>
      <c r="AK58" s="12" t="s">
        <v>382</v>
      </c>
      <c r="AL58" s="12" t="s">
        <v>382</v>
      </c>
      <c r="AM58" s="12" t="s">
        <v>382</v>
      </c>
    </row>
    <row r="59" spans="1:39">
      <c r="A59" s="6">
        <f t="shared" si="5"/>
        <v>54</v>
      </c>
      <c r="B59" s="259" t="s">
        <v>225</v>
      </c>
      <c r="C59" s="9">
        <v>2010895</v>
      </c>
      <c r="D59" s="108">
        <v>74.08</v>
      </c>
      <c r="E59" s="108">
        <v>74.08</v>
      </c>
      <c r="F59" s="108" t="s">
        <v>382</v>
      </c>
      <c r="G59" s="108" t="s">
        <v>382</v>
      </c>
      <c r="H59" s="108">
        <v>50</v>
      </c>
      <c r="I59" s="108">
        <v>50</v>
      </c>
      <c r="J59" s="108" t="s">
        <v>382</v>
      </c>
      <c r="K59" s="108" t="s">
        <v>382</v>
      </c>
      <c r="L59" s="108">
        <v>4</v>
      </c>
      <c r="M59" s="108">
        <v>4</v>
      </c>
      <c r="N59" s="108" t="s">
        <v>382</v>
      </c>
      <c r="O59" s="108" t="s">
        <v>382</v>
      </c>
      <c r="P59" s="108">
        <v>2</v>
      </c>
      <c r="Q59" s="108">
        <v>2</v>
      </c>
      <c r="R59" s="108" t="s">
        <v>382</v>
      </c>
      <c r="S59" s="108" t="s">
        <v>382</v>
      </c>
      <c r="T59" s="108">
        <v>2</v>
      </c>
      <c r="U59" s="108">
        <v>2</v>
      </c>
      <c r="V59" s="12" t="s">
        <v>382</v>
      </c>
      <c r="W59" s="12" t="s">
        <v>382</v>
      </c>
      <c r="X59" s="277">
        <v>702000</v>
      </c>
      <c r="Y59" s="277">
        <v>702000</v>
      </c>
      <c r="Z59" s="12" t="s">
        <v>382</v>
      </c>
      <c r="AA59" s="12" t="s">
        <v>382</v>
      </c>
      <c r="AB59" s="108">
        <v>2</v>
      </c>
      <c r="AC59" s="108">
        <v>2</v>
      </c>
      <c r="AD59" s="12" t="s">
        <v>382</v>
      </c>
      <c r="AE59" s="12" t="s">
        <v>382</v>
      </c>
      <c r="AF59" s="12" t="s">
        <v>382</v>
      </c>
      <c r="AG59" s="12" t="s">
        <v>382</v>
      </c>
      <c r="AH59" s="277">
        <v>25000000</v>
      </c>
      <c r="AI59" s="277">
        <v>25000000</v>
      </c>
      <c r="AJ59" s="12" t="s">
        <v>382</v>
      </c>
      <c r="AK59" s="12" t="s">
        <v>382</v>
      </c>
      <c r="AL59" s="12" t="s">
        <v>382</v>
      </c>
      <c r="AM59" s="12" t="s">
        <v>382</v>
      </c>
    </row>
    <row r="60" spans="1:39">
      <c r="A60" s="6">
        <f t="shared" si="5"/>
        <v>55</v>
      </c>
      <c r="B60" s="405" t="s">
        <v>227</v>
      </c>
      <c r="C60" s="9">
        <v>5295858</v>
      </c>
      <c r="D60" s="108" t="s">
        <v>382</v>
      </c>
      <c r="E60" s="108">
        <v>9.6999999999999993</v>
      </c>
      <c r="F60" s="108" t="s">
        <v>382</v>
      </c>
      <c r="G60" s="108" t="s">
        <v>382</v>
      </c>
      <c r="H60" s="108" t="s">
        <v>382</v>
      </c>
      <c r="I60" s="108" t="s">
        <v>382</v>
      </c>
      <c r="J60" s="108" t="s">
        <v>382</v>
      </c>
      <c r="K60" s="108" t="s">
        <v>382</v>
      </c>
      <c r="L60" s="108" t="s">
        <v>382</v>
      </c>
      <c r="M60" s="108" t="s">
        <v>382</v>
      </c>
      <c r="N60" s="108" t="s">
        <v>382</v>
      </c>
      <c r="O60" s="108" t="s">
        <v>382</v>
      </c>
      <c r="P60" s="108" t="s">
        <v>382</v>
      </c>
      <c r="Q60" s="108" t="s">
        <v>382</v>
      </c>
      <c r="R60" s="108" t="s">
        <v>382</v>
      </c>
      <c r="S60" s="108" t="s">
        <v>382</v>
      </c>
      <c r="T60" s="108" t="s">
        <v>382</v>
      </c>
      <c r="U60" s="108" t="s">
        <v>382</v>
      </c>
      <c r="V60" s="108" t="s">
        <v>382</v>
      </c>
      <c r="W60" s="108" t="s">
        <v>382</v>
      </c>
      <c r="X60" s="108" t="s">
        <v>382</v>
      </c>
      <c r="Y60" s="108" t="s">
        <v>382</v>
      </c>
      <c r="Z60" s="108" t="s">
        <v>382</v>
      </c>
      <c r="AA60" s="277">
        <v>83715250</v>
      </c>
      <c r="AB60" s="12" t="s">
        <v>382</v>
      </c>
      <c r="AC60" s="108">
        <v>0.7</v>
      </c>
      <c r="AD60" s="12" t="s">
        <v>382</v>
      </c>
      <c r="AE60" s="12" t="s">
        <v>382</v>
      </c>
      <c r="AF60" s="12" t="s">
        <v>382</v>
      </c>
      <c r="AG60" s="12" t="s">
        <v>382</v>
      </c>
      <c r="AH60" s="12" t="s">
        <v>382</v>
      </c>
      <c r="AI60" s="277">
        <v>86642000</v>
      </c>
      <c r="AJ60" s="12" t="s">
        <v>382</v>
      </c>
      <c r="AK60" s="12" t="s">
        <v>382</v>
      </c>
      <c r="AL60" s="12" t="s">
        <v>382</v>
      </c>
      <c r="AM60" s="12" t="s">
        <v>382</v>
      </c>
    </row>
    <row r="61" spans="1:39">
      <c r="A61" s="6">
        <v>56</v>
      </c>
      <c r="B61" s="259" t="s">
        <v>228</v>
      </c>
      <c r="C61" s="9">
        <v>6287727</v>
      </c>
      <c r="D61" s="108" t="s">
        <v>382</v>
      </c>
      <c r="E61" s="108" t="s">
        <v>382</v>
      </c>
      <c r="F61" s="108" t="s">
        <v>382</v>
      </c>
      <c r="G61" s="108" t="s">
        <v>382</v>
      </c>
      <c r="H61" s="108" t="s">
        <v>382</v>
      </c>
      <c r="I61" s="108" t="s">
        <v>382</v>
      </c>
      <c r="J61" s="108" t="s">
        <v>382</v>
      </c>
      <c r="K61" s="108" t="s">
        <v>382</v>
      </c>
      <c r="L61" s="108" t="s">
        <v>382</v>
      </c>
      <c r="M61" s="108" t="s">
        <v>382</v>
      </c>
      <c r="N61" s="108" t="s">
        <v>382</v>
      </c>
      <c r="O61" s="108" t="s">
        <v>382</v>
      </c>
      <c r="P61" s="108" t="s">
        <v>382</v>
      </c>
      <c r="Q61" s="108" t="s">
        <v>382</v>
      </c>
      <c r="R61" s="108" t="s">
        <v>382</v>
      </c>
      <c r="S61" s="108" t="s">
        <v>382</v>
      </c>
      <c r="T61" s="12" t="s">
        <v>382</v>
      </c>
      <c r="U61" s="12" t="s">
        <v>382</v>
      </c>
      <c r="V61" s="12" t="s">
        <v>382</v>
      </c>
      <c r="W61" s="12" t="s">
        <v>382</v>
      </c>
      <c r="X61" s="12" t="s">
        <v>382</v>
      </c>
      <c r="Y61" s="12" t="s">
        <v>382</v>
      </c>
      <c r="Z61" s="12" t="s">
        <v>382</v>
      </c>
      <c r="AA61" s="12" t="s">
        <v>382</v>
      </c>
      <c r="AB61" s="12" t="s">
        <v>382</v>
      </c>
      <c r="AC61" s="12" t="s">
        <v>382</v>
      </c>
      <c r="AD61" s="12" t="s">
        <v>382</v>
      </c>
      <c r="AE61" s="12" t="s">
        <v>382</v>
      </c>
      <c r="AF61" s="12" t="s">
        <v>382</v>
      </c>
      <c r="AG61" s="12" t="s">
        <v>382</v>
      </c>
      <c r="AH61" s="12" t="s">
        <v>382</v>
      </c>
      <c r="AI61" s="12" t="s">
        <v>382</v>
      </c>
      <c r="AJ61" s="12" t="s">
        <v>382</v>
      </c>
      <c r="AK61" s="12" t="s">
        <v>382</v>
      </c>
      <c r="AL61" s="12" t="s">
        <v>382</v>
      </c>
      <c r="AM61" s="12" t="s">
        <v>382</v>
      </c>
    </row>
    <row r="62" spans="1:39">
      <c r="A62" s="186">
        <v>57</v>
      </c>
      <c r="B62" s="260" t="s">
        <v>229</v>
      </c>
      <c r="C62" s="9">
        <v>2659603</v>
      </c>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row>
    <row r="63" spans="1:39">
      <c r="A63" s="186">
        <v>58</v>
      </c>
      <c r="B63" s="260" t="s">
        <v>230</v>
      </c>
      <c r="C63" s="9">
        <v>2678187</v>
      </c>
      <c r="D63" s="108" t="s">
        <v>382</v>
      </c>
      <c r="E63" s="108" t="s">
        <v>382</v>
      </c>
      <c r="F63" s="108" t="s">
        <v>382</v>
      </c>
      <c r="G63" s="108" t="s">
        <v>382</v>
      </c>
      <c r="H63" s="108" t="s">
        <v>382</v>
      </c>
      <c r="I63" s="108" t="s">
        <v>382</v>
      </c>
      <c r="J63" s="108" t="s">
        <v>382</v>
      </c>
      <c r="K63" s="108" t="s">
        <v>382</v>
      </c>
      <c r="L63" s="108" t="s">
        <v>382</v>
      </c>
      <c r="M63" s="108" t="s">
        <v>382</v>
      </c>
      <c r="N63" s="108" t="s">
        <v>382</v>
      </c>
      <c r="O63" s="108" t="s">
        <v>382</v>
      </c>
      <c r="P63" s="108" t="s">
        <v>382</v>
      </c>
      <c r="Q63" s="108" t="s">
        <v>382</v>
      </c>
      <c r="R63" s="108" t="s">
        <v>382</v>
      </c>
      <c r="S63" s="108" t="s">
        <v>382</v>
      </c>
      <c r="T63" s="12" t="s">
        <v>382</v>
      </c>
      <c r="U63" s="12" t="s">
        <v>382</v>
      </c>
      <c r="V63" s="12" t="s">
        <v>382</v>
      </c>
      <c r="W63" s="12" t="s">
        <v>382</v>
      </c>
      <c r="X63" s="12" t="s">
        <v>382</v>
      </c>
      <c r="Y63" s="12" t="s">
        <v>382</v>
      </c>
      <c r="Z63" s="12" t="s">
        <v>382</v>
      </c>
      <c r="AA63" s="12" t="s">
        <v>382</v>
      </c>
      <c r="AB63" s="12" t="s">
        <v>382</v>
      </c>
      <c r="AC63" s="12" t="s">
        <v>382</v>
      </c>
      <c r="AD63" s="12" t="s">
        <v>382</v>
      </c>
      <c r="AE63" s="12" t="s">
        <v>382</v>
      </c>
      <c r="AF63" s="12" t="s">
        <v>382</v>
      </c>
      <c r="AG63" s="12" t="s">
        <v>382</v>
      </c>
      <c r="AH63" s="12" t="s">
        <v>382</v>
      </c>
      <c r="AI63" s="12" t="s">
        <v>382</v>
      </c>
      <c r="AJ63" s="12" t="s">
        <v>382</v>
      </c>
      <c r="AK63" s="12" t="s">
        <v>382</v>
      </c>
      <c r="AL63" s="12" t="s">
        <v>382</v>
      </c>
      <c r="AM63" s="12" t="s">
        <v>382</v>
      </c>
    </row>
    <row r="64" spans="1:39">
      <c r="A64" s="6">
        <f>A63+1</f>
        <v>59</v>
      </c>
      <c r="B64" s="259" t="s">
        <v>231</v>
      </c>
      <c r="C64" s="9">
        <v>2657457</v>
      </c>
      <c r="D64" s="277">
        <v>8490</v>
      </c>
      <c r="E64" s="277">
        <v>8820</v>
      </c>
      <c r="F64" s="108" t="s">
        <v>382</v>
      </c>
      <c r="G64" s="108" t="s">
        <v>382</v>
      </c>
      <c r="H64" s="108" t="s">
        <v>382</v>
      </c>
      <c r="I64" s="108">
        <v>213</v>
      </c>
      <c r="J64" s="108" t="s">
        <v>382</v>
      </c>
      <c r="K64" s="108" t="s">
        <v>382</v>
      </c>
      <c r="L64" s="108">
        <v>80</v>
      </c>
      <c r="M64" s="108">
        <v>110</v>
      </c>
      <c r="N64" s="277">
        <v>578000000</v>
      </c>
      <c r="O64" s="277">
        <v>578000000</v>
      </c>
      <c r="P64" s="108">
        <v>40</v>
      </c>
      <c r="Q64" s="108">
        <v>64</v>
      </c>
      <c r="R64" s="277">
        <v>190490000</v>
      </c>
      <c r="S64" s="277">
        <v>190490000</v>
      </c>
      <c r="T64" s="108">
        <v>40</v>
      </c>
      <c r="U64" s="108">
        <v>46</v>
      </c>
      <c r="V64" s="277">
        <v>387510000</v>
      </c>
      <c r="W64" s="277">
        <v>387510000</v>
      </c>
      <c r="X64" s="12" t="s">
        <v>382</v>
      </c>
      <c r="Y64" s="12" t="s">
        <v>382</v>
      </c>
      <c r="Z64" s="12" t="s">
        <v>382</v>
      </c>
      <c r="AA64" s="12" t="s">
        <v>382</v>
      </c>
      <c r="AB64" s="108">
        <v>5</v>
      </c>
      <c r="AC64" s="108">
        <v>5</v>
      </c>
      <c r="AD64" s="277">
        <v>150000000</v>
      </c>
      <c r="AE64" s="277">
        <v>150000000</v>
      </c>
      <c r="AF64" s="12" t="s">
        <v>382</v>
      </c>
      <c r="AG64" s="12" t="s">
        <v>382</v>
      </c>
      <c r="AH64" s="277">
        <v>957565000</v>
      </c>
      <c r="AI64" s="277">
        <v>957565000</v>
      </c>
      <c r="AJ64" s="12" t="s">
        <v>382</v>
      </c>
      <c r="AK64" s="12" t="s">
        <v>382</v>
      </c>
      <c r="AL64" s="277">
        <v>578000000</v>
      </c>
      <c r="AM64" s="277">
        <v>578000000</v>
      </c>
    </row>
    <row r="65" spans="1:39">
      <c r="A65" s="6">
        <v>60</v>
      </c>
      <c r="B65" s="259" t="s">
        <v>232</v>
      </c>
      <c r="C65" s="9">
        <v>3615243</v>
      </c>
      <c r="D65" s="108" t="s">
        <v>382</v>
      </c>
      <c r="E65" s="108" t="s">
        <v>382</v>
      </c>
      <c r="F65" s="108" t="s">
        <v>382</v>
      </c>
      <c r="G65" s="108" t="s">
        <v>382</v>
      </c>
      <c r="H65" s="108" t="s">
        <v>382</v>
      </c>
      <c r="I65" s="108" t="s">
        <v>382</v>
      </c>
      <c r="J65" s="108" t="s">
        <v>382</v>
      </c>
      <c r="K65" s="108" t="s">
        <v>382</v>
      </c>
      <c r="L65" s="108" t="s">
        <v>382</v>
      </c>
      <c r="M65" s="108" t="s">
        <v>382</v>
      </c>
      <c r="N65" s="108" t="s">
        <v>382</v>
      </c>
      <c r="O65" s="108" t="s">
        <v>382</v>
      </c>
      <c r="P65" s="108" t="s">
        <v>382</v>
      </c>
      <c r="Q65" s="108" t="s">
        <v>382</v>
      </c>
      <c r="R65" s="108" t="s">
        <v>382</v>
      </c>
      <c r="S65" s="108" t="s">
        <v>382</v>
      </c>
      <c r="T65" s="12" t="s">
        <v>382</v>
      </c>
      <c r="U65" s="12" t="s">
        <v>382</v>
      </c>
      <c r="V65" s="12" t="s">
        <v>382</v>
      </c>
      <c r="W65" s="12" t="s">
        <v>382</v>
      </c>
      <c r="X65" s="12" t="s">
        <v>382</v>
      </c>
      <c r="Y65" s="12" t="s">
        <v>382</v>
      </c>
      <c r="Z65" s="12" t="s">
        <v>382</v>
      </c>
      <c r="AA65" s="12" t="s">
        <v>382</v>
      </c>
      <c r="AB65" s="12" t="s">
        <v>382</v>
      </c>
      <c r="AC65" s="12" t="s">
        <v>382</v>
      </c>
      <c r="AD65" s="12" t="s">
        <v>382</v>
      </c>
      <c r="AE65" s="12" t="s">
        <v>382</v>
      </c>
      <c r="AF65" s="12" t="s">
        <v>382</v>
      </c>
      <c r="AG65" s="12" t="s">
        <v>382</v>
      </c>
      <c r="AH65" s="12" t="s">
        <v>382</v>
      </c>
      <c r="AI65" s="12" t="s">
        <v>382</v>
      </c>
      <c r="AJ65" s="12" t="s">
        <v>382</v>
      </c>
      <c r="AK65" s="12" t="s">
        <v>382</v>
      </c>
      <c r="AL65" s="12" t="s">
        <v>382</v>
      </c>
      <c r="AM65" s="12" t="s">
        <v>382</v>
      </c>
    </row>
    <row r="66" spans="1:39">
      <c r="A66" s="6">
        <v>61</v>
      </c>
      <c r="B66" s="259" t="s">
        <v>236</v>
      </c>
      <c r="C66" s="9">
        <v>3623955</v>
      </c>
      <c r="D66" s="108" t="s">
        <v>382</v>
      </c>
      <c r="E66" s="108" t="s">
        <v>382</v>
      </c>
      <c r="F66" s="108" t="s">
        <v>382</v>
      </c>
      <c r="G66" s="108" t="s">
        <v>382</v>
      </c>
      <c r="H66" s="108" t="s">
        <v>382</v>
      </c>
      <c r="I66" s="108" t="s">
        <v>382</v>
      </c>
      <c r="J66" s="108" t="s">
        <v>382</v>
      </c>
      <c r="K66" s="108" t="s">
        <v>382</v>
      </c>
      <c r="L66" s="108" t="s">
        <v>382</v>
      </c>
      <c r="M66" s="108" t="s">
        <v>382</v>
      </c>
      <c r="N66" s="108" t="s">
        <v>382</v>
      </c>
      <c r="O66" s="108" t="s">
        <v>382</v>
      </c>
      <c r="P66" s="108" t="s">
        <v>382</v>
      </c>
      <c r="Q66" s="108" t="s">
        <v>382</v>
      </c>
      <c r="R66" s="108" t="s">
        <v>382</v>
      </c>
      <c r="S66" s="108" t="s">
        <v>382</v>
      </c>
      <c r="T66" s="12" t="s">
        <v>382</v>
      </c>
      <c r="U66" s="12" t="s">
        <v>382</v>
      </c>
      <c r="V66" s="12" t="s">
        <v>382</v>
      </c>
      <c r="W66" s="12" t="s">
        <v>382</v>
      </c>
      <c r="X66" s="12" t="s">
        <v>382</v>
      </c>
      <c r="Y66" s="12" t="s">
        <v>382</v>
      </c>
      <c r="Z66" s="12" t="s">
        <v>382</v>
      </c>
      <c r="AA66" s="12" t="s">
        <v>382</v>
      </c>
      <c r="AB66" s="12" t="s">
        <v>382</v>
      </c>
      <c r="AC66" s="12" t="s">
        <v>382</v>
      </c>
      <c r="AD66" s="12" t="s">
        <v>382</v>
      </c>
      <c r="AE66" s="12" t="s">
        <v>382</v>
      </c>
      <c r="AF66" s="12" t="s">
        <v>382</v>
      </c>
      <c r="AG66" s="12" t="s">
        <v>382</v>
      </c>
      <c r="AH66" s="12" t="s">
        <v>382</v>
      </c>
      <c r="AI66" s="12" t="s">
        <v>382</v>
      </c>
      <c r="AJ66" s="12" t="s">
        <v>382</v>
      </c>
      <c r="AK66" s="12" t="s">
        <v>382</v>
      </c>
      <c r="AL66" s="12" t="s">
        <v>382</v>
      </c>
      <c r="AM66" s="12" t="s">
        <v>382</v>
      </c>
    </row>
    <row r="67" spans="1:39">
      <c r="A67" s="6">
        <v>62</v>
      </c>
      <c r="B67" s="259" t="s">
        <v>239</v>
      </c>
      <c r="C67" s="9">
        <v>5199077</v>
      </c>
      <c r="D67" s="108">
        <v>333.3</v>
      </c>
      <c r="E67" s="108">
        <v>333.3</v>
      </c>
      <c r="F67" s="277">
        <v>139860000</v>
      </c>
      <c r="G67" s="277">
        <v>139860000</v>
      </c>
      <c r="H67" s="108" t="s">
        <v>382</v>
      </c>
      <c r="I67" s="108" t="s">
        <v>382</v>
      </c>
      <c r="J67" s="108" t="s">
        <v>382</v>
      </c>
      <c r="K67" s="108" t="s">
        <v>382</v>
      </c>
      <c r="L67" s="108" t="s">
        <v>382</v>
      </c>
      <c r="M67" s="108" t="s">
        <v>382</v>
      </c>
      <c r="N67" s="108" t="s">
        <v>382</v>
      </c>
      <c r="O67" s="108" t="s">
        <v>382</v>
      </c>
      <c r="P67" s="108" t="s">
        <v>382</v>
      </c>
      <c r="Q67" s="108" t="s">
        <v>382</v>
      </c>
      <c r="R67" s="108" t="s">
        <v>382</v>
      </c>
      <c r="S67" s="108" t="s">
        <v>382</v>
      </c>
      <c r="T67" s="12" t="s">
        <v>382</v>
      </c>
      <c r="U67" s="12" t="s">
        <v>382</v>
      </c>
      <c r="V67" s="12" t="s">
        <v>382</v>
      </c>
      <c r="W67" s="12" t="s">
        <v>382</v>
      </c>
      <c r="X67" s="12" t="s">
        <v>382</v>
      </c>
      <c r="Y67" s="12" t="s">
        <v>382</v>
      </c>
      <c r="Z67" s="12" t="s">
        <v>382</v>
      </c>
      <c r="AA67" s="12" t="s">
        <v>382</v>
      </c>
      <c r="AB67" s="12" t="s">
        <v>382</v>
      </c>
      <c r="AC67" s="12" t="s">
        <v>382</v>
      </c>
      <c r="AD67" s="12" t="s">
        <v>382</v>
      </c>
      <c r="AE67" s="12" t="s">
        <v>382</v>
      </c>
      <c r="AF67" s="12" t="s">
        <v>382</v>
      </c>
      <c r="AG67" s="12" t="s">
        <v>382</v>
      </c>
      <c r="AH67" s="12" t="s">
        <v>382</v>
      </c>
      <c r="AI67" s="12" t="s">
        <v>382</v>
      </c>
      <c r="AJ67" s="12" t="s">
        <v>382</v>
      </c>
      <c r="AK67" s="12" t="s">
        <v>382</v>
      </c>
      <c r="AL67" s="12" t="s">
        <v>382</v>
      </c>
      <c r="AM67" s="12" t="s">
        <v>382</v>
      </c>
    </row>
    <row r="68" spans="1:39">
      <c r="A68" s="186">
        <v>63</v>
      </c>
      <c r="B68" s="260" t="s">
        <v>240</v>
      </c>
      <c r="C68" s="9">
        <v>2075385</v>
      </c>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row>
    <row r="69" spans="1:39">
      <c r="A69" s="6">
        <f>A68+1</f>
        <v>64</v>
      </c>
      <c r="B69" s="260" t="s">
        <v>241</v>
      </c>
      <c r="C69" s="9">
        <v>2867095</v>
      </c>
      <c r="D69" s="108" t="s">
        <v>382</v>
      </c>
      <c r="E69" s="108">
        <v>4</v>
      </c>
      <c r="F69" s="108" t="s">
        <v>382</v>
      </c>
      <c r="G69" s="108" t="s">
        <v>382</v>
      </c>
      <c r="H69" s="108" t="s">
        <v>382</v>
      </c>
      <c r="I69" s="108">
        <v>4</v>
      </c>
      <c r="J69" s="108" t="s">
        <v>382</v>
      </c>
      <c r="K69" s="108" t="s">
        <v>382</v>
      </c>
      <c r="L69" s="108" t="s">
        <v>382</v>
      </c>
      <c r="M69" s="108">
        <v>8</v>
      </c>
      <c r="N69" s="108" t="s">
        <v>382</v>
      </c>
      <c r="O69" s="108" t="s">
        <v>382</v>
      </c>
      <c r="P69" s="108" t="s">
        <v>382</v>
      </c>
      <c r="Q69" s="108">
        <v>4</v>
      </c>
      <c r="R69" s="108" t="s">
        <v>382</v>
      </c>
      <c r="S69" s="108" t="s">
        <v>382</v>
      </c>
      <c r="T69" s="108" t="s">
        <v>382</v>
      </c>
      <c r="U69" s="108">
        <v>4</v>
      </c>
      <c r="V69" s="12" t="s">
        <v>382</v>
      </c>
      <c r="W69" s="12" t="s">
        <v>382</v>
      </c>
      <c r="X69" s="12" t="s">
        <v>382</v>
      </c>
      <c r="Y69" s="108">
        <v>0.21</v>
      </c>
      <c r="Z69" s="12" t="s">
        <v>382</v>
      </c>
      <c r="AA69" s="12" t="s">
        <v>382</v>
      </c>
      <c r="AB69" s="12" t="s">
        <v>382</v>
      </c>
      <c r="AC69" s="12" t="s">
        <v>382</v>
      </c>
      <c r="AD69" s="12" t="s">
        <v>382</v>
      </c>
      <c r="AE69" s="12" t="s">
        <v>382</v>
      </c>
      <c r="AF69" s="12" t="s">
        <v>382</v>
      </c>
      <c r="AG69" s="12" t="s">
        <v>382</v>
      </c>
      <c r="AH69" s="12" t="s">
        <v>382</v>
      </c>
      <c r="AI69" s="404">
        <v>179054100</v>
      </c>
      <c r="AJ69" s="12" t="s">
        <v>382</v>
      </c>
      <c r="AK69" s="12" t="s">
        <v>382</v>
      </c>
      <c r="AL69" s="12" t="s">
        <v>382</v>
      </c>
      <c r="AM69" s="12" t="s">
        <v>382</v>
      </c>
    </row>
    <row r="70" spans="1:39">
      <c r="A70" s="6">
        <v>65</v>
      </c>
      <c r="B70" s="405" t="s">
        <v>242</v>
      </c>
      <c r="C70" s="9">
        <v>5076285</v>
      </c>
      <c r="D70" s="108" t="s">
        <v>382</v>
      </c>
      <c r="E70" s="108" t="s">
        <v>382</v>
      </c>
      <c r="F70" s="108" t="s">
        <v>382</v>
      </c>
      <c r="G70" s="108" t="s">
        <v>382</v>
      </c>
      <c r="H70" s="108" t="s">
        <v>382</v>
      </c>
      <c r="I70" s="108" t="s">
        <v>382</v>
      </c>
      <c r="J70" s="108" t="s">
        <v>382</v>
      </c>
      <c r="K70" s="108" t="s">
        <v>382</v>
      </c>
      <c r="L70" s="108">
        <v>9.65</v>
      </c>
      <c r="M70" s="108">
        <v>11.7</v>
      </c>
      <c r="N70" s="108" t="s">
        <v>382</v>
      </c>
      <c r="O70" s="108" t="s">
        <v>382</v>
      </c>
      <c r="P70" s="108">
        <v>6.9</v>
      </c>
      <c r="Q70" s="108">
        <v>8.94</v>
      </c>
      <c r="R70" s="108" t="s">
        <v>382</v>
      </c>
      <c r="S70" s="108" t="s">
        <v>382</v>
      </c>
      <c r="T70" s="108">
        <v>2.75</v>
      </c>
      <c r="U70" s="108">
        <v>2.8</v>
      </c>
      <c r="V70" s="12" t="s">
        <v>382</v>
      </c>
      <c r="W70" s="277">
        <v>6600000</v>
      </c>
      <c r="X70" s="12" t="s">
        <v>382</v>
      </c>
      <c r="Y70" s="12" t="s">
        <v>382</v>
      </c>
      <c r="Z70" s="12" t="s">
        <v>382</v>
      </c>
      <c r="AA70" s="12" t="s">
        <v>382</v>
      </c>
      <c r="AB70" s="12" t="s">
        <v>382</v>
      </c>
      <c r="AC70" s="108">
        <v>7.4999999999999997E-2</v>
      </c>
      <c r="AD70" s="12" t="s">
        <v>382</v>
      </c>
      <c r="AE70" s="12" t="s">
        <v>382</v>
      </c>
      <c r="AF70" s="12" t="s">
        <v>382</v>
      </c>
      <c r="AG70" s="12" t="s">
        <v>382</v>
      </c>
      <c r="AH70" s="12" t="s">
        <v>382</v>
      </c>
      <c r="AI70" s="12" t="s">
        <v>382</v>
      </c>
      <c r="AJ70" s="12" t="s">
        <v>382</v>
      </c>
      <c r="AK70" s="12" t="s">
        <v>382</v>
      </c>
      <c r="AL70" s="12" t="s">
        <v>382</v>
      </c>
      <c r="AM70" s="12" t="s">
        <v>382</v>
      </c>
    </row>
    <row r="71" spans="1:39">
      <c r="A71" s="6">
        <f>A70+1</f>
        <v>66</v>
      </c>
      <c r="B71" s="259" t="s">
        <v>243</v>
      </c>
      <c r="C71" s="9">
        <v>5084555</v>
      </c>
      <c r="D71" s="277">
        <v>9283</v>
      </c>
      <c r="E71" s="277">
        <v>9283</v>
      </c>
      <c r="F71" s="108" t="s">
        <v>382</v>
      </c>
      <c r="G71" s="108" t="s">
        <v>382</v>
      </c>
      <c r="H71" s="277">
        <v>1502</v>
      </c>
      <c r="I71" s="108">
        <v>97</v>
      </c>
      <c r="J71" s="108" t="s">
        <v>382</v>
      </c>
      <c r="K71" s="108" t="s">
        <v>382</v>
      </c>
      <c r="L71" s="108" t="s">
        <v>382</v>
      </c>
      <c r="M71" s="108" t="s">
        <v>382</v>
      </c>
      <c r="N71" s="108" t="s">
        <v>382</v>
      </c>
      <c r="O71" s="108" t="s">
        <v>382</v>
      </c>
      <c r="P71" s="108" t="s">
        <v>382</v>
      </c>
      <c r="Q71" s="108" t="s">
        <v>382</v>
      </c>
      <c r="R71" s="108" t="s">
        <v>382</v>
      </c>
      <c r="S71" s="108" t="s">
        <v>382</v>
      </c>
      <c r="T71" s="12" t="s">
        <v>382</v>
      </c>
      <c r="U71" s="12" t="s">
        <v>382</v>
      </c>
      <c r="V71" s="12" t="s">
        <v>382</v>
      </c>
      <c r="W71" s="12" t="s">
        <v>382</v>
      </c>
      <c r="X71" s="12" t="s">
        <v>382</v>
      </c>
      <c r="Y71" s="12" t="s">
        <v>382</v>
      </c>
      <c r="Z71" s="12" t="s">
        <v>382</v>
      </c>
      <c r="AA71" s="12" t="s">
        <v>382</v>
      </c>
      <c r="AB71" s="12" t="s">
        <v>382</v>
      </c>
      <c r="AC71" s="12" t="s">
        <v>382</v>
      </c>
      <c r="AD71" s="12" t="s">
        <v>382</v>
      </c>
      <c r="AE71" s="12" t="s">
        <v>382</v>
      </c>
      <c r="AF71" s="12" t="s">
        <v>382</v>
      </c>
      <c r="AG71" s="12" t="s">
        <v>382</v>
      </c>
      <c r="AH71" s="277">
        <v>234000000</v>
      </c>
      <c r="AI71" s="277">
        <v>234000000</v>
      </c>
      <c r="AJ71" s="12" t="s">
        <v>382</v>
      </c>
      <c r="AK71" s="12" t="s">
        <v>382</v>
      </c>
      <c r="AL71" s="277">
        <v>36865000</v>
      </c>
      <c r="AM71" s="277">
        <v>36865000</v>
      </c>
    </row>
    <row r="72" spans="1:39">
      <c r="A72" s="6">
        <v>67</v>
      </c>
      <c r="B72" s="259" t="s">
        <v>244</v>
      </c>
      <c r="C72" s="9">
        <v>5261198</v>
      </c>
      <c r="D72" s="108" t="s">
        <v>382</v>
      </c>
      <c r="E72" s="108" t="s">
        <v>382</v>
      </c>
      <c r="F72" s="108" t="s">
        <v>382</v>
      </c>
      <c r="G72" s="108" t="s">
        <v>382</v>
      </c>
      <c r="H72" s="108" t="s">
        <v>382</v>
      </c>
      <c r="I72" s="108" t="s">
        <v>382</v>
      </c>
      <c r="J72" s="108" t="s">
        <v>382</v>
      </c>
      <c r="K72" s="108" t="s">
        <v>382</v>
      </c>
      <c r="L72" s="108" t="s">
        <v>382</v>
      </c>
      <c r="M72" s="108" t="s">
        <v>382</v>
      </c>
      <c r="N72" s="108" t="s">
        <v>382</v>
      </c>
      <c r="O72" s="108" t="s">
        <v>382</v>
      </c>
      <c r="P72" s="108" t="s">
        <v>382</v>
      </c>
      <c r="Q72" s="108" t="s">
        <v>382</v>
      </c>
      <c r="R72" s="108" t="s">
        <v>382</v>
      </c>
      <c r="S72" s="108" t="s">
        <v>382</v>
      </c>
      <c r="T72" s="12" t="s">
        <v>382</v>
      </c>
      <c r="U72" s="12" t="s">
        <v>382</v>
      </c>
      <c r="V72" s="12" t="s">
        <v>382</v>
      </c>
      <c r="W72" s="12" t="s">
        <v>382</v>
      </c>
      <c r="X72" s="12" t="s">
        <v>382</v>
      </c>
      <c r="Y72" s="12" t="s">
        <v>382</v>
      </c>
      <c r="Z72" s="12" t="s">
        <v>382</v>
      </c>
      <c r="AA72" s="12" t="s">
        <v>382</v>
      </c>
      <c r="AB72" s="12" t="s">
        <v>382</v>
      </c>
      <c r="AC72" s="12" t="s">
        <v>382</v>
      </c>
      <c r="AD72" s="12" t="s">
        <v>382</v>
      </c>
      <c r="AE72" s="12" t="s">
        <v>382</v>
      </c>
      <c r="AF72" s="12" t="s">
        <v>382</v>
      </c>
      <c r="AG72" s="12" t="s">
        <v>382</v>
      </c>
      <c r="AH72" s="12" t="s">
        <v>382</v>
      </c>
      <c r="AI72" s="12" t="s">
        <v>382</v>
      </c>
      <c r="AJ72" s="12" t="s">
        <v>382</v>
      </c>
      <c r="AK72" s="12" t="s">
        <v>382</v>
      </c>
      <c r="AL72" s="12" t="s">
        <v>382</v>
      </c>
      <c r="AM72" s="12" t="s">
        <v>382</v>
      </c>
    </row>
    <row r="73" spans="1:39">
      <c r="A73" s="6">
        <v>68</v>
      </c>
      <c r="B73" s="259" t="s">
        <v>246</v>
      </c>
      <c r="C73" s="9">
        <v>5288703</v>
      </c>
      <c r="D73" s="108">
        <v>57</v>
      </c>
      <c r="E73" s="108">
        <v>969.93</v>
      </c>
      <c r="F73" s="108" t="s">
        <v>382</v>
      </c>
      <c r="G73" s="108" t="s">
        <v>382</v>
      </c>
      <c r="H73" s="108" t="s">
        <v>382</v>
      </c>
      <c r="I73" s="108" t="s">
        <v>382</v>
      </c>
      <c r="J73" s="108" t="s">
        <v>382</v>
      </c>
      <c r="K73" s="108" t="s">
        <v>382</v>
      </c>
      <c r="L73" s="108">
        <v>5</v>
      </c>
      <c r="M73" s="108" t="s">
        <v>382</v>
      </c>
      <c r="N73" s="108" t="s">
        <v>382</v>
      </c>
      <c r="O73" s="108" t="s">
        <v>382</v>
      </c>
      <c r="P73" s="108">
        <v>2.5</v>
      </c>
      <c r="Q73" s="108" t="s">
        <v>382</v>
      </c>
      <c r="R73" s="108" t="s">
        <v>382</v>
      </c>
      <c r="S73" s="108" t="s">
        <v>382</v>
      </c>
      <c r="T73" s="108">
        <v>2.5</v>
      </c>
      <c r="U73" s="12" t="s">
        <v>382</v>
      </c>
      <c r="V73" s="12" t="s">
        <v>382</v>
      </c>
      <c r="W73" s="12" t="s">
        <v>382</v>
      </c>
      <c r="X73" s="12" t="s">
        <v>382</v>
      </c>
      <c r="Y73" s="12" t="s">
        <v>382</v>
      </c>
      <c r="Z73" s="12" t="s">
        <v>382</v>
      </c>
      <c r="AA73" s="12" t="s">
        <v>382</v>
      </c>
      <c r="AB73" s="108">
        <v>2.5</v>
      </c>
      <c r="AC73" s="12" t="s">
        <v>382</v>
      </c>
      <c r="AD73" s="12" t="s">
        <v>382</v>
      </c>
      <c r="AE73" s="12" t="s">
        <v>382</v>
      </c>
      <c r="AF73" s="12" t="s">
        <v>382</v>
      </c>
      <c r="AG73" s="12" t="s">
        <v>382</v>
      </c>
      <c r="AH73" s="12" t="s">
        <v>382</v>
      </c>
      <c r="AI73" s="258">
        <v>10250000</v>
      </c>
      <c r="AJ73" s="12" t="s">
        <v>382</v>
      </c>
      <c r="AK73" s="12" t="s">
        <v>382</v>
      </c>
      <c r="AL73" s="12" t="s">
        <v>382</v>
      </c>
      <c r="AM73" s="12" t="s">
        <v>382</v>
      </c>
    </row>
    <row r="74" spans="1:39">
      <c r="A74" s="6">
        <v>68</v>
      </c>
      <c r="B74" s="259" t="s">
        <v>248</v>
      </c>
      <c r="C74" s="9">
        <v>6232485</v>
      </c>
      <c r="D74" s="191">
        <v>4312</v>
      </c>
      <c r="E74" s="108" t="s">
        <v>382</v>
      </c>
      <c r="F74" s="108" t="s">
        <v>382</v>
      </c>
      <c r="G74" s="108" t="s">
        <v>382</v>
      </c>
      <c r="H74" s="108" t="s">
        <v>382</v>
      </c>
      <c r="I74" s="108" t="s">
        <v>382</v>
      </c>
      <c r="J74" s="108" t="s">
        <v>382</v>
      </c>
      <c r="K74" s="108" t="s">
        <v>382</v>
      </c>
      <c r="L74" s="108" t="s">
        <v>382</v>
      </c>
      <c r="M74" s="108" t="s">
        <v>382</v>
      </c>
      <c r="N74" s="108" t="s">
        <v>382</v>
      </c>
      <c r="O74" s="108" t="s">
        <v>382</v>
      </c>
      <c r="P74" s="108" t="s">
        <v>382</v>
      </c>
      <c r="Q74" s="108" t="s">
        <v>382</v>
      </c>
      <c r="R74" s="108" t="s">
        <v>382</v>
      </c>
      <c r="S74" s="108" t="s">
        <v>382</v>
      </c>
      <c r="T74" s="108">
        <v>1.9</v>
      </c>
      <c r="U74" s="108">
        <v>1.9</v>
      </c>
      <c r="V74" s="280">
        <v>16000000</v>
      </c>
      <c r="W74" s="277">
        <v>49000</v>
      </c>
      <c r="X74" s="12" t="s">
        <v>382</v>
      </c>
      <c r="Y74" s="12" t="s">
        <v>382</v>
      </c>
      <c r="Z74" s="12" t="s">
        <v>382</v>
      </c>
      <c r="AA74" s="12" t="s">
        <v>382</v>
      </c>
      <c r="AB74" s="12" t="s">
        <v>382</v>
      </c>
      <c r="AC74" s="108">
        <v>0.2</v>
      </c>
      <c r="AD74" s="277">
        <v>2000000</v>
      </c>
      <c r="AE74" s="12" t="s">
        <v>382</v>
      </c>
      <c r="AF74" s="12" t="s">
        <v>382</v>
      </c>
      <c r="AG74" s="12" t="s">
        <v>382</v>
      </c>
      <c r="AH74" s="277">
        <v>37865000</v>
      </c>
      <c r="AI74" s="277">
        <v>78060678</v>
      </c>
      <c r="AJ74" s="12" t="s">
        <v>382</v>
      </c>
      <c r="AK74" s="12" t="s">
        <v>382</v>
      </c>
      <c r="AL74" s="12" t="s">
        <v>382</v>
      </c>
      <c r="AM74" s="12" t="s">
        <v>382</v>
      </c>
    </row>
    <row r="75" spans="1:39">
      <c r="A75" s="6">
        <v>68</v>
      </c>
      <c r="B75" s="259" t="s">
        <v>249</v>
      </c>
      <c r="C75" s="9">
        <v>6101615</v>
      </c>
      <c r="D75" s="108">
        <v>690</v>
      </c>
      <c r="E75" s="108">
        <v>690</v>
      </c>
      <c r="F75" s="108" t="s">
        <v>382</v>
      </c>
      <c r="G75" s="108" t="s">
        <v>382</v>
      </c>
      <c r="H75" s="108">
        <v>3.9</v>
      </c>
      <c r="I75" s="108">
        <v>3.9</v>
      </c>
      <c r="J75" s="108" t="s">
        <v>382</v>
      </c>
      <c r="K75" s="108" t="s">
        <v>382</v>
      </c>
      <c r="L75" s="108">
        <v>2.16</v>
      </c>
      <c r="M75" s="108">
        <v>2.16</v>
      </c>
      <c r="N75" s="108" t="s">
        <v>382</v>
      </c>
      <c r="O75" s="108" t="s">
        <v>382</v>
      </c>
      <c r="P75" s="108">
        <v>1.08</v>
      </c>
      <c r="Q75" s="108">
        <v>1.08</v>
      </c>
      <c r="R75" s="108" t="s">
        <v>382</v>
      </c>
      <c r="S75" s="108" t="s">
        <v>382</v>
      </c>
      <c r="T75" s="108">
        <v>1.08</v>
      </c>
      <c r="U75" s="108">
        <v>1.08</v>
      </c>
      <c r="V75" s="12" t="s">
        <v>382</v>
      </c>
      <c r="W75" s="12" t="s">
        <v>382</v>
      </c>
      <c r="X75" s="12" t="s">
        <v>382</v>
      </c>
      <c r="Y75" s="12" t="s">
        <v>382</v>
      </c>
      <c r="Z75" s="12" t="s">
        <v>382</v>
      </c>
      <c r="AA75" s="12" t="s">
        <v>382</v>
      </c>
      <c r="AB75" s="108">
        <v>4</v>
      </c>
      <c r="AC75" s="108">
        <v>4</v>
      </c>
      <c r="AD75" s="12" t="s">
        <v>382</v>
      </c>
      <c r="AE75" s="12" t="s">
        <v>382</v>
      </c>
      <c r="AF75" s="277">
        <v>30120000</v>
      </c>
      <c r="AG75" s="277">
        <v>30120000</v>
      </c>
      <c r="AH75" s="12" t="s">
        <v>382</v>
      </c>
      <c r="AI75" s="12" t="s">
        <v>382</v>
      </c>
      <c r="AJ75" s="12" t="s">
        <v>382</v>
      </c>
      <c r="AK75" s="12" t="s">
        <v>382</v>
      </c>
      <c r="AL75" s="12" t="s">
        <v>382</v>
      </c>
      <c r="AM75" s="12" t="s">
        <v>382</v>
      </c>
    </row>
    <row r="76" spans="1:39">
      <c r="A76" s="186">
        <v>71</v>
      </c>
      <c r="B76" s="260" t="s">
        <v>250</v>
      </c>
      <c r="C76" s="9">
        <v>5120365</v>
      </c>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row>
    <row r="77" spans="1:39">
      <c r="A77" s="6">
        <f>A76+1</f>
        <v>72</v>
      </c>
      <c r="B77" s="260" t="s">
        <v>251</v>
      </c>
      <c r="C77" s="9">
        <v>2016656</v>
      </c>
      <c r="D77" s="108" t="s">
        <v>382</v>
      </c>
      <c r="E77" s="108">
        <v>276.91000000000003</v>
      </c>
      <c r="F77" s="108" t="s">
        <v>382</v>
      </c>
      <c r="G77" s="108" t="s">
        <v>382</v>
      </c>
      <c r="H77" s="108" t="s">
        <v>382</v>
      </c>
      <c r="I77" s="108">
        <v>25.57</v>
      </c>
      <c r="J77" s="108" t="s">
        <v>382</v>
      </c>
      <c r="K77" s="108" t="s">
        <v>382</v>
      </c>
      <c r="L77" s="108" t="s">
        <v>382</v>
      </c>
      <c r="M77" s="108">
        <v>3.3</v>
      </c>
      <c r="N77" s="108" t="s">
        <v>382</v>
      </c>
      <c r="O77" s="108" t="s">
        <v>382</v>
      </c>
      <c r="P77" s="108" t="s">
        <v>382</v>
      </c>
      <c r="Q77" s="108">
        <v>2.2999999999999998</v>
      </c>
      <c r="R77" s="108" t="s">
        <v>382</v>
      </c>
      <c r="S77" s="108" t="s">
        <v>382</v>
      </c>
      <c r="T77" s="108" t="s">
        <v>382</v>
      </c>
      <c r="U77" s="108">
        <v>1</v>
      </c>
      <c r="V77" s="12" t="s">
        <v>382</v>
      </c>
      <c r="W77" s="12" t="s">
        <v>382</v>
      </c>
      <c r="X77" s="12" t="s">
        <v>382</v>
      </c>
      <c r="Y77" s="12" t="s">
        <v>382</v>
      </c>
      <c r="Z77" s="12" t="s">
        <v>382</v>
      </c>
      <c r="AA77" s="12" t="s">
        <v>382</v>
      </c>
      <c r="AB77" s="12" t="s">
        <v>382</v>
      </c>
      <c r="AC77" s="108">
        <v>30</v>
      </c>
      <c r="AD77" s="12" t="s">
        <v>382</v>
      </c>
      <c r="AE77" s="12" t="s">
        <v>382</v>
      </c>
      <c r="AF77" s="12" t="s">
        <v>382</v>
      </c>
      <c r="AG77" s="12" t="s">
        <v>382</v>
      </c>
      <c r="AH77" s="12" t="s">
        <v>382</v>
      </c>
      <c r="AI77" s="277">
        <v>126250000</v>
      </c>
      <c r="AJ77" s="12" t="s">
        <v>382</v>
      </c>
      <c r="AK77" s="12" t="s">
        <v>382</v>
      </c>
      <c r="AL77" s="12" t="s">
        <v>382</v>
      </c>
      <c r="AM77" s="12" t="s">
        <v>382</v>
      </c>
    </row>
    <row r="78" spans="1:39">
      <c r="A78" s="6">
        <v>73</v>
      </c>
      <c r="B78" s="259" t="s">
        <v>253</v>
      </c>
      <c r="C78" s="9">
        <v>5872006</v>
      </c>
      <c r="D78" s="108" t="s">
        <v>382</v>
      </c>
      <c r="E78" s="108" t="s">
        <v>382</v>
      </c>
      <c r="F78" s="108" t="s">
        <v>382</v>
      </c>
      <c r="G78" s="108" t="s">
        <v>382</v>
      </c>
      <c r="H78" s="108" t="s">
        <v>382</v>
      </c>
      <c r="I78" s="108" t="s">
        <v>382</v>
      </c>
      <c r="J78" s="108" t="s">
        <v>382</v>
      </c>
      <c r="K78" s="108" t="s">
        <v>382</v>
      </c>
      <c r="L78" s="108" t="s">
        <v>382</v>
      </c>
      <c r="M78" s="108" t="s">
        <v>382</v>
      </c>
      <c r="N78" s="108" t="s">
        <v>382</v>
      </c>
      <c r="O78" s="108" t="s">
        <v>382</v>
      </c>
      <c r="P78" s="108" t="s">
        <v>382</v>
      </c>
      <c r="Q78" s="108" t="s">
        <v>382</v>
      </c>
      <c r="R78" s="108" t="s">
        <v>382</v>
      </c>
      <c r="S78" s="108" t="s">
        <v>382</v>
      </c>
      <c r="T78" s="12" t="s">
        <v>382</v>
      </c>
      <c r="U78" s="12" t="s">
        <v>382</v>
      </c>
      <c r="V78" s="12" t="s">
        <v>382</v>
      </c>
      <c r="W78" s="12" t="s">
        <v>382</v>
      </c>
      <c r="X78" s="12" t="s">
        <v>382</v>
      </c>
      <c r="Y78" s="12" t="s">
        <v>382</v>
      </c>
      <c r="Z78" s="12" t="s">
        <v>382</v>
      </c>
      <c r="AA78" s="12" t="s">
        <v>382</v>
      </c>
      <c r="AB78" s="12" t="s">
        <v>382</v>
      </c>
      <c r="AC78" s="12" t="s">
        <v>382</v>
      </c>
      <c r="AD78" s="12" t="s">
        <v>382</v>
      </c>
      <c r="AE78" s="12" t="s">
        <v>382</v>
      </c>
      <c r="AF78" s="12" t="s">
        <v>382</v>
      </c>
      <c r="AG78" s="12" t="s">
        <v>382</v>
      </c>
      <c r="AH78" s="12" t="s">
        <v>382</v>
      </c>
      <c r="AI78" s="12" t="s">
        <v>382</v>
      </c>
      <c r="AJ78" s="12" t="s">
        <v>382</v>
      </c>
      <c r="AK78" s="12" t="s">
        <v>382</v>
      </c>
      <c r="AL78" s="12" t="s">
        <v>382</v>
      </c>
      <c r="AM78" s="12" t="s">
        <v>382</v>
      </c>
    </row>
    <row r="79" spans="1:39">
      <c r="A79" s="186">
        <v>74</v>
      </c>
      <c r="B79" s="260" t="s">
        <v>254</v>
      </c>
      <c r="C79" s="9">
        <v>5774047</v>
      </c>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row>
    <row r="80" spans="1:39">
      <c r="A80" s="186">
        <v>75</v>
      </c>
      <c r="B80" s="260" t="s">
        <v>257</v>
      </c>
      <c r="C80" s="9">
        <v>5105439</v>
      </c>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row>
    <row r="81" spans="1:39">
      <c r="A81" s="6">
        <v>76</v>
      </c>
      <c r="B81" s="259" t="s">
        <v>258</v>
      </c>
      <c r="C81" s="9">
        <v>2663813</v>
      </c>
      <c r="D81" s="108" t="s">
        <v>382</v>
      </c>
      <c r="E81" s="108" t="s">
        <v>382</v>
      </c>
      <c r="F81" s="108" t="s">
        <v>382</v>
      </c>
      <c r="G81" s="108" t="s">
        <v>382</v>
      </c>
      <c r="H81" s="108" t="s">
        <v>382</v>
      </c>
      <c r="I81" s="108" t="s">
        <v>382</v>
      </c>
      <c r="J81" s="108" t="s">
        <v>382</v>
      </c>
      <c r="K81" s="108" t="s">
        <v>382</v>
      </c>
      <c r="L81" s="108" t="s">
        <v>382</v>
      </c>
      <c r="M81" s="108" t="s">
        <v>382</v>
      </c>
      <c r="N81" s="108" t="s">
        <v>382</v>
      </c>
      <c r="O81" s="108" t="s">
        <v>382</v>
      </c>
      <c r="P81" s="108" t="s">
        <v>382</v>
      </c>
      <c r="Q81" s="108" t="s">
        <v>382</v>
      </c>
      <c r="R81" s="108" t="s">
        <v>382</v>
      </c>
      <c r="S81" s="108" t="s">
        <v>382</v>
      </c>
      <c r="T81" s="12" t="s">
        <v>382</v>
      </c>
      <c r="U81" s="12" t="s">
        <v>382</v>
      </c>
      <c r="V81" s="12" t="s">
        <v>382</v>
      </c>
      <c r="W81" s="12" t="s">
        <v>382</v>
      </c>
      <c r="X81" s="12" t="s">
        <v>382</v>
      </c>
      <c r="Y81" s="12" t="s">
        <v>382</v>
      </c>
      <c r="Z81" s="12" t="s">
        <v>382</v>
      </c>
      <c r="AA81" s="12" t="s">
        <v>382</v>
      </c>
      <c r="AB81" s="12" t="s">
        <v>382</v>
      </c>
      <c r="AC81" s="12" t="s">
        <v>382</v>
      </c>
      <c r="AD81" s="12" t="s">
        <v>382</v>
      </c>
      <c r="AE81" s="12" t="s">
        <v>382</v>
      </c>
      <c r="AF81" s="12" t="s">
        <v>382</v>
      </c>
      <c r="AG81" s="12" t="s">
        <v>382</v>
      </c>
      <c r="AH81" s="12" t="s">
        <v>382</v>
      </c>
      <c r="AI81" s="12" t="s">
        <v>382</v>
      </c>
      <c r="AJ81" s="12" t="s">
        <v>382</v>
      </c>
      <c r="AK81" s="12" t="s">
        <v>382</v>
      </c>
      <c r="AL81" s="12" t="s">
        <v>382</v>
      </c>
      <c r="AM81" s="12" t="s">
        <v>382</v>
      </c>
    </row>
    <row r="82" spans="1:39">
      <c r="A82" s="6">
        <v>77</v>
      </c>
      <c r="B82" s="259" t="s">
        <v>260</v>
      </c>
      <c r="C82" s="9">
        <v>2016931</v>
      </c>
      <c r="D82" s="108">
        <v>35</v>
      </c>
      <c r="E82" s="108" t="s">
        <v>382</v>
      </c>
      <c r="F82" s="108" t="s">
        <v>382</v>
      </c>
      <c r="G82" s="108" t="s">
        <v>382</v>
      </c>
      <c r="H82" s="108" t="s">
        <v>382</v>
      </c>
      <c r="I82" s="108" t="s">
        <v>382</v>
      </c>
      <c r="J82" s="108" t="s">
        <v>382</v>
      </c>
      <c r="K82" s="108" t="s">
        <v>382</v>
      </c>
      <c r="L82" s="108" t="s">
        <v>382</v>
      </c>
      <c r="M82" s="108" t="s">
        <v>382</v>
      </c>
      <c r="N82" s="108" t="s">
        <v>382</v>
      </c>
      <c r="O82" s="108" t="s">
        <v>382</v>
      </c>
      <c r="P82" s="108" t="s">
        <v>382</v>
      </c>
      <c r="Q82" s="108" t="s">
        <v>382</v>
      </c>
      <c r="R82" s="108" t="s">
        <v>382</v>
      </c>
      <c r="S82" s="108" t="s">
        <v>382</v>
      </c>
      <c r="T82" s="12" t="s">
        <v>382</v>
      </c>
      <c r="U82" s="12" t="s">
        <v>382</v>
      </c>
      <c r="V82" s="12" t="s">
        <v>382</v>
      </c>
      <c r="W82" s="12" t="s">
        <v>382</v>
      </c>
      <c r="X82" s="12" t="s">
        <v>382</v>
      </c>
      <c r="Y82" s="12" t="s">
        <v>382</v>
      </c>
      <c r="Z82" s="12" t="s">
        <v>382</v>
      </c>
      <c r="AA82" s="12" t="s">
        <v>382</v>
      </c>
      <c r="AB82" s="12" t="s">
        <v>382</v>
      </c>
      <c r="AC82" s="12" t="s">
        <v>382</v>
      </c>
      <c r="AD82" s="12" t="s">
        <v>382</v>
      </c>
      <c r="AE82" s="12" t="s">
        <v>382</v>
      </c>
      <c r="AF82" s="12" t="s">
        <v>382</v>
      </c>
      <c r="AG82" s="12" t="s">
        <v>382</v>
      </c>
      <c r="AH82" s="12" t="s">
        <v>382</v>
      </c>
      <c r="AI82" s="12" t="s">
        <v>382</v>
      </c>
      <c r="AJ82" s="12" t="s">
        <v>382</v>
      </c>
      <c r="AK82" s="12" t="s">
        <v>382</v>
      </c>
      <c r="AL82" s="12" t="s">
        <v>382</v>
      </c>
      <c r="AM82" s="12" t="s">
        <v>382</v>
      </c>
    </row>
    <row r="83" spans="1:39">
      <c r="A83" s="6">
        <f t="shared" ref="A83:A86" si="6">A82+1</f>
        <v>78</v>
      </c>
      <c r="B83" s="405" t="s">
        <v>263</v>
      </c>
      <c r="C83" s="9">
        <v>5513618</v>
      </c>
      <c r="D83" s="108" t="s">
        <v>382</v>
      </c>
      <c r="E83" s="108" t="s">
        <v>382</v>
      </c>
      <c r="F83" s="108" t="s">
        <v>382</v>
      </c>
      <c r="G83" s="108" t="s">
        <v>382</v>
      </c>
      <c r="H83" s="108">
        <v>1.4</v>
      </c>
      <c r="I83" s="108">
        <v>1.82</v>
      </c>
      <c r="J83" s="277">
        <v>2500000</v>
      </c>
      <c r="K83" s="277">
        <v>3730000</v>
      </c>
      <c r="L83" s="108">
        <v>3.64</v>
      </c>
      <c r="M83" s="108">
        <v>3.64</v>
      </c>
      <c r="N83" s="108" t="s">
        <v>382</v>
      </c>
      <c r="O83" s="108" t="s">
        <v>382</v>
      </c>
      <c r="P83" s="108">
        <v>1.82</v>
      </c>
      <c r="Q83" s="108">
        <v>1.82</v>
      </c>
      <c r="R83" s="108" t="s">
        <v>382</v>
      </c>
      <c r="S83" s="108" t="s">
        <v>382</v>
      </c>
      <c r="T83" s="108">
        <v>1.82</v>
      </c>
      <c r="U83" s="108">
        <v>1.82</v>
      </c>
      <c r="V83" s="277">
        <v>2500000</v>
      </c>
      <c r="W83" s="277">
        <v>3730000</v>
      </c>
      <c r="X83" s="12" t="s">
        <v>382</v>
      </c>
      <c r="Y83" s="12" t="s">
        <v>382</v>
      </c>
      <c r="Z83" s="12" t="s">
        <v>382</v>
      </c>
      <c r="AA83" s="12" t="s">
        <v>382</v>
      </c>
      <c r="AB83" s="108">
        <v>0.6</v>
      </c>
      <c r="AC83" s="108">
        <v>0.6</v>
      </c>
      <c r="AD83" s="277">
        <v>30000000</v>
      </c>
      <c r="AE83" s="277">
        <v>29030000</v>
      </c>
      <c r="AF83" s="12" t="s">
        <v>382</v>
      </c>
      <c r="AG83" s="12" t="s">
        <v>382</v>
      </c>
      <c r="AH83" s="12" t="s">
        <v>382</v>
      </c>
      <c r="AI83" s="277">
        <v>40988</v>
      </c>
      <c r="AJ83" s="12" t="s">
        <v>382</v>
      </c>
      <c r="AK83" s="12" t="s">
        <v>382</v>
      </c>
      <c r="AL83" s="12" t="s">
        <v>382</v>
      </c>
      <c r="AM83" s="277">
        <v>29030000</v>
      </c>
    </row>
    <row r="84" spans="1:39">
      <c r="A84" s="6">
        <f t="shared" si="6"/>
        <v>79</v>
      </c>
      <c r="B84" s="259" t="s">
        <v>264</v>
      </c>
      <c r="C84" s="9">
        <v>2807459</v>
      </c>
      <c r="D84" s="108" t="s">
        <v>382</v>
      </c>
      <c r="E84" s="108">
        <v>733.28</v>
      </c>
      <c r="F84" s="108" t="s">
        <v>382</v>
      </c>
      <c r="G84" s="108" t="s">
        <v>382</v>
      </c>
      <c r="H84" s="108" t="s">
        <v>382</v>
      </c>
      <c r="I84" s="108">
        <v>25</v>
      </c>
      <c r="J84" s="108" t="s">
        <v>382</v>
      </c>
      <c r="K84" s="108" t="s">
        <v>382</v>
      </c>
      <c r="L84" s="108">
        <v>0.5</v>
      </c>
      <c r="M84" s="108" t="s">
        <v>382</v>
      </c>
      <c r="N84" s="108" t="s">
        <v>382</v>
      </c>
      <c r="O84" s="108" t="s">
        <v>382</v>
      </c>
      <c r="P84" s="108" t="s">
        <v>382</v>
      </c>
      <c r="Q84" s="108" t="s">
        <v>382</v>
      </c>
      <c r="R84" s="108" t="s">
        <v>382</v>
      </c>
      <c r="S84" s="108" t="s">
        <v>382</v>
      </c>
      <c r="T84" s="108">
        <v>0.5</v>
      </c>
      <c r="U84" s="12" t="s">
        <v>382</v>
      </c>
      <c r="V84" s="12" t="s">
        <v>382</v>
      </c>
      <c r="W84" s="12" t="s">
        <v>382</v>
      </c>
      <c r="X84" s="12" t="s">
        <v>382</v>
      </c>
      <c r="Y84" s="12" t="s">
        <v>382</v>
      </c>
      <c r="Z84" s="12" t="s">
        <v>382</v>
      </c>
      <c r="AA84" s="12" t="s">
        <v>382</v>
      </c>
      <c r="AB84" s="12" t="s">
        <v>382</v>
      </c>
      <c r="AC84" s="12" t="s">
        <v>382</v>
      </c>
      <c r="AD84" s="12" t="s">
        <v>382</v>
      </c>
      <c r="AE84" s="12" t="s">
        <v>382</v>
      </c>
      <c r="AF84" s="12" t="s">
        <v>382</v>
      </c>
      <c r="AG84" s="12" t="s">
        <v>382</v>
      </c>
      <c r="AH84" s="277">
        <v>46586000</v>
      </c>
      <c r="AI84" s="277">
        <v>41250000</v>
      </c>
      <c r="AJ84" s="12" t="s">
        <v>382</v>
      </c>
      <c r="AK84" s="12" t="s">
        <v>382</v>
      </c>
      <c r="AL84" s="12" t="s">
        <v>382</v>
      </c>
      <c r="AM84" s="12" t="s">
        <v>382</v>
      </c>
    </row>
    <row r="85" spans="1:39">
      <c r="A85" s="6">
        <f t="shared" si="6"/>
        <v>80</v>
      </c>
      <c r="B85" s="261" t="s">
        <v>265</v>
      </c>
      <c r="C85" s="9">
        <v>2872943</v>
      </c>
      <c r="D85" s="108">
        <v>291.76</v>
      </c>
      <c r="E85" s="108">
        <v>291.76</v>
      </c>
      <c r="F85" s="108" t="s">
        <v>382</v>
      </c>
      <c r="G85" s="108" t="s">
        <v>382</v>
      </c>
      <c r="H85" s="108">
        <v>4.2</v>
      </c>
      <c r="I85" s="108">
        <v>3.8</v>
      </c>
      <c r="J85" s="108" t="s">
        <v>382</v>
      </c>
      <c r="K85" s="108" t="s">
        <v>382</v>
      </c>
      <c r="L85" s="108">
        <v>1.5</v>
      </c>
      <c r="M85" s="108">
        <v>2.5</v>
      </c>
      <c r="N85" s="277">
        <v>21000</v>
      </c>
      <c r="O85" s="277">
        <v>16400</v>
      </c>
      <c r="P85" s="108">
        <v>1</v>
      </c>
      <c r="Q85" s="108">
        <v>1.57</v>
      </c>
      <c r="R85" s="277">
        <v>13000</v>
      </c>
      <c r="S85" s="277">
        <v>15000</v>
      </c>
      <c r="T85" s="108">
        <v>0.5</v>
      </c>
      <c r="U85" s="108">
        <v>1</v>
      </c>
      <c r="V85" s="277">
        <v>8000</v>
      </c>
      <c r="W85" s="277">
        <v>1400</v>
      </c>
      <c r="X85" s="108">
        <v>1</v>
      </c>
      <c r="Y85" s="108">
        <v>1.57</v>
      </c>
      <c r="Z85" s="12" t="s">
        <v>382</v>
      </c>
      <c r="AA85" s="12" t="s">
        <v>382</v>
      </c>
      <c r="AB85" s="108">
        <v>5</v>
      </c>
      <c r="AC85" s="108">
        <v>5</v>
      </c>
      <c r="AD85" s="12" t="s">
        <v>382</v>
      </c>
      <c r="AE85" s="277">
        <v>90000</v>
      </c>
      <c r="AF85" s="12" t="s">
        <v>382</v>
      </c>
      <c r="AG85" s="12" t="s">
        <v>382</v>
      </c>
      <c r="AH85" s="277">
        <v>25000</v>
      </c>
      <c r="AI85" s="277">
        <v>25000</v>
      </c>
      <c r="AJ85" s="12" t="s">
        <v>382</v>
      </c>
      <c r="AK85" s="12" t="s">
        <v>382</v>
      </c>
      <c r="AL85" s="12" t="s">
        <v>382</v>
      </c>
      <c r="AM85" s="12" t="s">
        <v>382</v>
      </c>
    </row>
    <row r="86" spans="1:39">
      <c r="A86" s="6">
        <f t="shared" si="6"/>
        <v>81</v>
      </c>
      <c r="B86" s="259" t="s">
        <v>266</v>
      </c>
      <c r="C86" s="9">
        <v>6268048</v>
      </c>
      <c r="D86" s="108">
        <v>16.8</v>
      </c>
      <c r="E86" s="108">
        <v>5.2</v>
      </c>
      <c r="F86" s="277">
        <v>11500000</v>
      </c>
      <c r="G86" s="191">
        <v>3559523.8</v>
      </c>
      <c r="H86" s="108">
        <v>19</v>
      </c>
      <c r="I86" s="108">
        <v>22.9</v>
      </c>
      <c r="J86" s="108" t="s">
        <v>382</v>
      </c>
      <c r="K86" s="108" t="s">
        <v>382</v>
      </c>
      <c r="L86" s="108">
        <v>15</v>
      </c>
      <c r="M86" s="108">
        <v>30.39</v>
      </c>
      <c r="N86" s="108" t="s">
        <v>382</v>
      </c>
      <c r="O86" s="108" t="s">
        <v>382</v>
      </c>
      <c r="P86" s="108">
        <v>10</v>
      </c>
      <c r="Q86" s="108">
        <v>21.69</v>
      </c>
      <c r="R86" s="108" t="s">
        <v>382</v>
      </c>
      <c r="S86" s="108" t="s">
        <v>382</v>
      </c>
      <c r="T86" s="108">
        <v>5</v>
      </c>
      <c r="U86" s="108">
        <v>8.6999999999999993</v>
      </c>
      <c r="V86" s="12" t="s">
        <v>382</v>
      </c>
      <c r="W86" s="277">
        <v>7000000</v>
      </c>
      <c r="X86" s="12" t="s">
        <v>382</v>
      </c>
      <c r="Y86" s="12" t="s">
        <v>382</v>
      </c>
      <c r="Z86" s="12" t="s">
        <v>382</v>
      </c>
      <c r="AA86" s="12" t="s">
        <v>382</v>
      </c>
      <c r="AB86" s="108">
        <v>5</v>
      </c>
      <c r="AC86" s="108">
        <v>5</v>
      </c>
      <c r="AD86" s="12" t="s">
        <v>382</v>
      </c>
      <c r="AE86" s="12" t="s">
        <v>382</v>
      </c>
      <c r="AF86" s="12" t="s">
        <v>382</v>
      </c>
      <c r="AG86" s="12" t="s">
        <v>382</v>
      </c>
      <c r="AH86" s="277">
        <v>10248400</v>
      </c>
      <c r="AI86" s="277">
        <v>10248400</v>
      </c>
      <c r="AJ86" s="12" t="s">
        <v>382</v>
      </c>
      <c r="AK86" s="12" t="s">
        <v>382</v>
      </c>
      <c r="AL86" s="12" t="s">
        <v>382</v>
      </c>
      <c r="AM86" s="12" t="s">
        <v>382</v>
      </c>
    </row>
    <row r="87" spans="1:39">
      <c r="A87" s="6">
        <v>82</v>
      </c>
      <c r="B87" s="405" t="s">
        <v>268</v>
      </c>
      <c r="C87" s="9">
        <v>5874963</v>
      </c>
      <c r="D87" s="108" t="s">
        <v>382</v>
      </c>
      <c r="E87" s="108" t="s">
        <v>382</v>
      </c>
      <c r="F87" s="108" t="s">
        <v>382</v>
      </c>
      <c r="G87" s="108" t="s">
        <v>382</v>
      </c>
      <c r="H87" s="108" t="s">
        <v>382</v>
      </c>
      <c r="I87" s="108" t="s">
        <v>382</v>
      </c>
      <c r="J87" s="108" t="s">
        <v>382</v>
      </c>
      <c r="K87" s="108" t="s">
        <v>382</v>
      </c>
      <c r="L87" s="108" t="s">
        <v>382</v>
      </c>
      <c r="M87" s="108" t="s">
        <v>382</v>
      </c>
      <c r="N87" s="108" t="s">
        <v>382</v>
      </c>
      <c r="O87" s="108" t="s">
        <v>382</v>
      </c>
      <c r="P87" s="108" t="s">
        <v>382</v>
      </c>
      <c r="Q87" s="108" t="s">
        <v>382</v>
      </c>
      <c r="R87" s="108" t="s">
        <v>382</v>
      </c>
      <c r="S87" s="108" t="s">
        <v>382</v>
      </c>
      <c r="T87" s="12" t="s">
        <v>382</v>
      </c>
      <c r="U87" s="12" t="s">
        <v>382</v>
      </c>
      <c r="V87" s="12" t="s">
        <v>382</v>
      </c>
      <c r="W87" s="12" t="s">
        <v>382</v>
      </c>
      <c r="X87" s="12" t="s">
        <v>382</v>
      </c>
      <c r="Y87" s="12" t="s">
        <v>382</v>
      </c>
      <c r="Z87" s="12" t="s">
        <v>382</v>
      </c>
      <c r="AA87" s="12" t="s">
        <v>382</v>
      </c>
      <c r="AB87" s="12" t="s">
        <v>382</v>
      </c>
      <c r="AC87" s="12" t="s">
        <v>382</v>
      </c>
      <c r="AD87" s="12" t="s">
        <v>382</v>
      </c>
      <c r="AE87" s="12" t="s">
        <v>382</v>
      </c>
      <c r="AF87" s="12" t="s">
        <v>382</v>
      </c>
      <c r="AG87" s="12" t="s">
        <v>382</v>
      </c>
      <c r="AH87" s="12" t="s">
        <v>382</v>
      </c>
      <c r="AI87" s="12" t="s">
        <v>382</v>
      </c>
      <c r="AJ87" s="12" t="s">
        <v>382</v>
      </c>
      <c r="AK87" s="12" t="s">
        <v>382</v>
      </c>
      <c r="AL87" s="277">
        <v>34609000</v>
      </c>
      <c r="AM87" s="277">
        <v>34609000</v>
      </c>
    </row>
    <row r="88" spans="1:39">
      <c r="A88" s="6">
        <v>83</v>
      </c>
      <c r="B88" s="259" t="s">
        <v>269</v>
      </c>
      <c r="C88" s="9">
        <v>6636624</v>
      </c>
      <c r="D88" s="108" t="s">
        <v>382</v>
      </c>
      <c r="E88" s="108" t="s">
        <v>382</v>
      </c>
      <c r="F88" s="108" t="s">
        <v>382</v>
      </c>
      <c r="G88" s="108" t="s">
        <v>382</v>
      </c>
      <c r="H88" s="108" t="s">
        <v>382</v>
      </c>
      <c r="I88" s="108" t="s">
        <v>382</v>
      </c>
      <c r="J88" s="108" t="s">
        <v>382</v>
      </c>
      <c r="K88" s="108" t="s">
        <v>382</v>
      </c>
      <c r="L88" s="108" t="s">
        <v>382</v>
      </c>
      <c r="M88" s="108" t="s">
        <v>382</v>
      </c>
      <c r="N88" s="108" t="s">
        <v>382</v>
      </c>
      <c r="O88" s="108" t="s">
        <v>382</v>
      </c>
      <c r="P88" s="108" t="s">
        <v>382</v>
      </c>
      <c r="Q88" s="108" t="s">
        <v>382</v>
      </c>
      <c r="R88" s="108" t="s">
        <v>382</v>
      </c>
      <c r="S88" s="108" t="s">
        <v>382</v>
      </c>
      <c r="T88" s="12" t="s">
        <v>382</v>
      </c>
      <c r="U88" s="12" t="s">
        <v>382</v>
      </c>
      <c r="V88" s="12" t="s">
        <v>382</v>
      </c>
      <c r="W88" s="12" t="s">
        <v>382</v>
      </c>
      <c r="X88" s="12" t="s">
        <v>382</v>
      </c>
      <c r="Y88" s="12" t="s">
        <v>382</v>
      </c>
      <c r="Z88" s="12" t="s">
        <v>382</v>
      </c>
      <c r="AA88" s="12" t="s">
        <v>382</v>
      </c>
      <c r="AB88" s="12" t="s">
        <v>382</v>
      </c>
      <c r="AC88" s="12" t="s">
        <v>382</v>
      </c>
      <c r="AD88" s="12" t="s">
        <v>382</v>
      </c>
      <c r="AE88" s="12" t="s">
        <v>382</v>
      </c>
      <c r="AF88" s="12" t="s">
        <v>382</v>
      </c>
      <c r="AG88" s="12" t="s">
        <v>382</v>
      </c>
      <c r="AH88" s="12" t="s">
        <v>382</v>
      </c>
      <c r="AI88" s="12" t="s">
        <v>382</v>
      </c>
      <c r="AJ88" s="12" t="s">
        <v>382</v>
      </c>
      <c r="AK88" s="12" t="s">
        <v>382</v>
      </c>
      <c r="AL88" s="12" t="s">
        <v>382</v>
      </c>
      <c r="AM88" s="12" t="s">
        <v>382</v>
      </c>
    </row>
    <row r="89" spans="1:39">
      <c r="A89" s="6">
        <f t="shared" ref="A89:A90" si="7">A88+1</f>
        <v>84</v>
      </c>
      <c r="B89" s="259" t="s">
        <v>270</v>
      </c>
      <c r="C89" s="9">
        <v>2839717</v>
      </c>
      <c r="D89" s="108">
        <v>375.18</v>
      </c>
      <c r="E89" s="108">
        <v>375.18</v>
      </c>
      <c r="F89" s="108" t="s">
        <v>382</v>
      </c>
      <c r="G89" s="108" t="s">
        <v>382</v>
      </c>
      <c r="H89" s="108">
        <v>11.7</v>
      </c>
      <c r="I89" s="108">
        <v>11.7</v>
      </c>
      <c r="J89" s="108" t="s">
        <v>382</v>
      </c>
      <c r="K89" s="108" t="s">
        <v>382</v>
      </c>
      <c r="L89" s="108">
        <v>6</v>
      </c>
      <c r="M89" s="108" t="s">
        <v>382</v>
      </c>
      <c r="N89" s="108" t="s">
        <v>382</v>
      </c>
      <c r="O89" s="277">
        <v>40000000</v>
      </c>
      <c r="P89" s="108">
        <v>1</v>
      </c>
      <c r="Q89" s="108" t="s">
        <v>382</v>
      </c>
      <c r="R89" s="108" t="s">
        <v>382</v>
      </c>
      <c r="S89" s="277">
        <v>2500000</v>
      </c>
      <c r="T89" s="108">
        <v>5</v>
      </c>
      <c r="U89" s="108">
        <v>5</v>
      </c>
      <c r="V89" s="12" t="s">
        <v>382</v>
      </c>
      <c r="W89" s="277">
        <v>37500000</v>
      </c>
      <c r="X89" s="277">
        <v>19000</v>
      </c>
      <c r="Y89" s="277">
        <v>19000</v>
      </c>
      <c r="Z89" s="12" t="s">
        <v>382</v>
      </c>
      <c r="AA89" s="12" t="s">
        <v>382</v>
      </c>
      <c r="AB89" s="108">
        <v>5</v>
      </c>
      <c r="AC89" s="108">
        <v>5</v>
      </c>
      <c r="AD89" s="12" t="s">
        <v>382</v>
      </c>
      <c r="AE89" s="277">
        <v>30440000</v>
      </c>
      <c r="AF89" s="12" t="s">
        <v>382</v>
      </c>
      <c r="AG89" s="12" t="s">
        <v>382</v>
      </c>
      <c r="AH89" s="12" t="s">
        <v>382</v>
      </c>
      <c r="AI89" s="277">
        <v>34532500</v>
      </c>
      <c r="AJ89" s="12" t="s">
        <v>382</v>
      </c>
      <c r="AK89" s="12" t="s">
        <v>382</v>
      </c>
      <c r="AL89" s="12" t="s">
        <v>382</v>
      </c>
      <c r="AM89" s="277">
        <v>653250000</v>
      </c>
    </row>
    <row r="90" spans="1:39">
      <c r="A90" s="6">
        <f t="shared" si="7"/>
        <v>85</v>
      </c>
      <c r="B90" s="405" t="s">
        <v>271</v>
      </c>
      <c r="C90" s="9">
        <v>2344343</v>
      </c>
      <c r="D90" s="108" t="s">
        <v>382</v>
      </c>
      <c r="E90" s="108" t="s">
        <v>382</v>
      </c>
      <c r="F90" s="108" t="s">
        <v>382</v>
      </c>
      <c r="G90" s="108" t="s">
        <v>382</v>
      </c>
      <c r="H90" s="108" t="s">
        <v>382</v>
      </c>
      <c r="I90" s="108" t="s">
        <v>382</v>
      </c>
      <c r="J90" s="108" t="s">
        <v>382</v>
      </c>
      <c r="K90" s="108" t="s">
        <v>382</v>
      </c>
      <c r="L90" s="108" t="s">
        <v>382</v>
      </c>
      <c r="M90" s="108" t="s">
        <v>382</v>
      </c>
      <c r="N90" s="108" t="s">
        <v>382</v>
      </c>
      <c r="O90" s="108" t="s">
        <v>382</v>
      </c>
      <c r="P90" s="108" t="s">
        <v>382</v>
      </c>
      <c r="Q90" s="108" t="s">
        <v>382</v>
      </c>
      <c r="R90" s="108" t="s">
        <v>382</v>
      </c>
      <c r="S90" s="108" t="s">
        <v>382</v>
      </c>
      <c r="T90" s="12" t="s">
        <v>382</v>
      </c>
      <c r="U90" s="12" t="s">
        <v>382</v>
      </c>
      <c r="V90" s="12" t="s">
        <v>382</v>
      </c>
      <c r="W90" s="12" t="s">
        <v>382</v>
      </c>
      <c r="X90" s="12" t="s">
        <v>382</v>
      </c>
      <c r="Y90" s="12" t="s">
        <v>382</v>
      </c>
      <c r="Z90" s="12" t="s">
        <v>382</v>
      </c>
      <c r="AA90" s="12" t="s">
        <v>382</v>
      </c>
      <c r="AB90" s="12" t="s">
        <v>382</v>
      </c>
      <c r="AC90" s="12" t="s">
        <v>382</v>
      </c>
      <c r="AD90" s="12" t="s">
        <v>382</v>
      </c>
      <c r="AE90" s="12" t="s">
        <v>382</v>
      </c>
      <c r="AF90" s="12" t="s">
        <v>382</v>
      </c>
      <c r="AG90" s="12" t="s">
        <v>382</v>
      </c>
      <c r="AH90" s="277">
        <v>500000</v>
      </c>
      <c r="AI90" s="277">
        <v>250000</v>
      </c>
      <c r="AJ90" s="12" t="s">
        <v>382</v>
      </c>
      <c r="AK90" s="12" t="s">
        <v>382</v>
      </c>
      <c r="AL90" s="12" t="s">
        <v>382</v>
      </c>
      <c r="AM90" s="12" t="s">
        <v>382</v>
      </c>
    </row>
    <row r="91" spans="1:39">
      <c r="A91" s="6">
        <v>86</v>
      </c>
      <c r="B91" s="259" t="s">
        <v>273</v>
      </c>
      <c r="C91" s="9">
        <v>2819996</v>
      </c>
      <c r="D91" s="108">
        <v>905.24</v>
      </c>
      <c r="E91" s="108" t="s">
        <v>382</v>
      </c>
      <c r="F91" s="108" t="s">
        <v>382</v>
      </c>
      <c r="G91" s="108" t="s">
        <v>382</v>
      </c>
      <c r="H91" s="108" t="s">
        <v>382</v>
      </c>
      <c r="I91" s="108">
        <v>68.36</v>
      </c>
      <c r="J91" s="108" t="s">
        <v>382</v>
      </c>
      <c r="K91" s="108" t="s">
        <v>382</v>
      </c>
      <c r="L91" s="108">
        <v>9.64</v>
      </c>
      <c r="M91" s="108" t="s">
        <v>382</v>
      </c>
      <c r="N91" s="108" t="s">
        <v>382</v>
      </c>
      <c r="O91" s="108" t="s">
        <v>382</v>
      </c>
      <c r="P91" s="108">
        <v>9.64</v>
      </c>
      <c r="Q91" s="108" t="s">
        <v>382</v>
      </c>
      <c r="R91" s="108" t="s">
        <v>382</v>
      </c>
      <c r="S91" s="108" t="s">
        <v>382</v>
      </c>
      <c r="T91" s="12" t="s">
        <v>382</v>
      </c>
      <c r="U91" s="108">
        <v>64.55</v>
      </c>
      <c r="V91" s="277">
        <v>2040000</v>
      </c>
      <c r="W91" s="277">
        <v>15492000</v>
      </c>
      <c r="X91" s="108">
        <v>269.92</v>
      </c>
      <c r="Y91" s="277">
        <v>16137500</v>
      </c>
      <c r="Z91" s="12" t="s">
        <v>382</v>
      </c>
      <c r="AA91" s="12" t="s">
        <v>382</v>
      </c>
      <c r="AB91" s="108">
        <v>2.2000000000000002</v>
      </c>
      <c r="AC91" s="108">
        <v>18.8</v>
      </c>
      <c r="AD91" s="12" t="s">
        <v>382</v>
      </c>
      <c r="AE91" s="277">
        <v>47500000</v>
      </c>
      <c r="AF91" s="12" t="s">
        <v>382</v>
      </c>
      <c r="AG91" s="12" t="s">
        <v>382</v>
      </c>
      <c r="AH91" s="191">
        <v>11010631.5</v>
      </c>
      <c r="AI91" s="12" t="s">
        <v>382</v>
      </c>
      <c r="AJ91" s="12" t="s">
        <v>382</v>
      </c>
      <c r="AK91" s="12" t="s">
        <v>382</v>
      </c>
      <c r="AL91" s="12" t="s">
        <v>382</v>
      </c>
      <c r="AM91" s="12" t="s">
        <v>382</v>
      </c>
    </row>
    <row r="92" spans="1:39">
      <c r="A92" s="6">
        <v>87</v>
      </c>
      <c r="B92" s="259" t="s">
        <v>277</v>
      </c>
      <c r="C92" s="9">
        <v>2868687</v>
      </c>
      <c r="D92" s="108" t="s">
        <v>382</v>
      </c>
      <c r="E92" s="108" t="s">
        <v>382</v>
      </c>
      <c r="F92" s="108" t="s">
        <v>382</v>
      </c>
      <c r="G92" s="108" t="s">
        <v>382</v>
      </c>
      <c r="H92" s="108" t="s">
        <v>382</v>
      </c>
      <c r="I92" s="108" t="s">
        <v>382</v>
      </c>
      <c r="J92" s="108" t="s">
        <v>382</v>
      </c>
      <c r="K92" s="108" t="s">
        <v>382</v>
      </c>
      <c r="L92" s="108" t="s">
        <v>382</v>
      </c>
      <c r="M92" s="108" t="s">
        <v>382</v>
      </c>
      <c r="N92" s="108" t="s">
        <v>382</v>
      </c>
      <c r="O92" s="108" t="s">
        <v>382</v>
      </c>
      <c r="P92" s="108" t="s">
        <v>382</v>
      </c>
      <c r="Q92" s="108" t="s">
        <v>382</v>
      </c>
      <c r="R92" s="108" t="s">
        <v>382</v>
      </c>
      <c r="S92" s="108" t="s">
        <v>382</v>
      </c>
      <c r="T92" s="12" t="s">
        <v>382</v>
      </c>
      <c r="U92" s="12" t="s">
        <v>382</v>
      </c>
      <c r="V92" s="12" t="s">
        <v>382</v>
      </c>
      <c r="W92" s="12" t="s">
        <v>382</v>
      </c>
      <c r="X92" s="12" t="s">
        <v>382</v>
      </c>
      <c r="Y92" s="12" t="s">
        <v>382</v>
      </c>
      <c r="Z92" s="12" t="s">
        <v>382</v>
      </c>
      <c r="AA92" s="12" t="s">
        <v>382</v>
      </c>
      <c r="AB92" s="12" t="s">
        <v>382</v>
      </c>
      <c r="AC92" s="12" t="s">
        <v>382</v>
      </c>
      <c r="AD92" s="12" t="s">
        <v>382</v>
      </c>
      <c r="AE92" s="12" t="s">
        <v>382</v>
      </c>
      <c r="AF92" s="12" t="s">
        <v>382</v>
      </c>
      <c r="AG92" s="12" t="s">
        <v>382</v>
      </c>
      <c r="AH92" s="12" t="s">
        <v>382</v>
      </c>
      <c r="AI92" s="12" t="s">
        <v>382</v>
      </c>
      <c r="AJ92" s="12" t="s">
        <v>382</v>
      </c>
      <c r="AK92" s="12" t="s">
        <v>382</v>
      </c>
      <c r="AL92" s="12" t="s">
        <v>382</v>
      </c>
      <c r="AM92" s="12" t="s">
        <v>382</v>
      </c>
    </row>
    <row r="93" spans="1:39">
      <c r="A93" s="6">
        <f t="shared" ref="A93:A94" si="8">A92+1</f>
        <v>88</v>
      </c>
      <c r="B93" s="259" t="s">
        <v>279</v>
      </c>
      <c r="C93" s="9">
        <v>5877288</v>
      </c>
      <c r="D93" s="108">
        <v>92.75</v>
      </c>
      <c r="E93" s="108">
        <v>92.75</v>
      </c>
      <c r="F93" s="108" t="s">
        <v>382</v>
      </c>
      <c r="G93" s="108" t="s">
        <v>382</v>
      </c>
      <c r="H93" s="108" t="s">
        <v>382</v>
      </c>
      <c r="I93" s="108">
        <v>22.91</v>
      </c>
      <c r="J93" s="108" t="s">
        <v>382</v>
      </c>
      <c r="K93" s="108" t="s">
        <v>382</v>
      </c>
      <c r="L93" s="108">
        <v>4.08</v>
      </c>
      <c r="M93" s="108">
        <v>4.32</v>
      </c>
      <c r="N93" s="108" t="s">
        <v>382</v>
      </c>
      <c r="O93" s="277">
        <v>7891100</v>
      </c>
      <c r="P93" s="108">
        <v>2.56</v>
      </c>
      <c r="Q93" s="108">
        <v>3.72</v>
      </c>
      <c r="R93" s="108" t="s">
        <v>382</v>
      </c>
      <c r="S93" s="108" t="s">
        <v>382</v>
      </c>
      <c r="T93" s="108">
        <v>1.52</v>
      </c>
      <c r="U93" s="108">
        <v>0.6</v>
      </c>
      <c r="V93" s="12" t="s">
        <v>382</v>
      </c>
      <c r="W93" s="277">
        <v>7891100</v>
      </c>
      <c r="X93" s="12" t="s">
        <v>382</v>
      </c>
      <c r="Y93" s="12" t="s">
        <v>382</v>
      </c>
      <c r="Z93" s="12" t="s">
        <v>382</v>
      </c>
      <c r="AA93" s="277">
        <v>1701000</v>
      </c>
      <c r="AB93" s="108">
        <v>0.5</v>
      </c>
      <c r="AC93" s="108">
        <v>0.5</v>
      </c>
      <c r="AD93" s="12" t="s">
        <v>382</v>
      </c>
      <c r="AE93" s="277">
        <v>3993560</v>
      </c>
      <c r="AF93" s="12" t="s">
        <v>382</v>
      </c>
      <c r="AG93" s="12" t="s">
        <v>382</v>
      </c>
      <c r="AH93" s="12" t="s">
        <v>382</v>
      </c>
      <c r="AI93" s="277">
        <v>8955000</v>
      </c>
      <c r="AJ93" s="12" t="s">
        <v>382</v>
      </c>
      <c r="AK93" s="12" t="s">
        <v>382</v>
      </c>
      <c r="AL93" s="12" t="s">
        <v>382</v>
      </c>
      <c r="AM93" s="12" t="s">
        <v>382</v>
      </c>
    </row>
    <row r="94" spans="1:39">
      <c r="A94" s="6">
        <f t="shared" si="8"/>
        <v>89</v>
      </c>
      <c r="B94" s="259" t="s">
        <v>281</v>
      </c>
      <c r="C94" s="9">
        <v>6195598</v>
      </c>
      <c r="D94" s="191">
        <v>1252.5999999999999</v>
      </c>
      <c r="E94" s="108" t="s">
        <v>382</v>
      </c>
      <c r="F94" s="108" t="s">
        <v>382</v>
      </c>
      <c r="G94" s="108" t="s">
        <v>382</v>
      </c>
      <c r="H94" s="108">
        <v>9.7959999999999994</v>
      </c>
      <c r="I94" s="108">
        <v>7.9</v>
      </c>
      <c r="J94" s="108" t="s">
        <v>382</v>
      </c>
      <c r="K94" s="108" t="s">
        <v>382</v>
      </c>
      <c r="L94" s="108">
        <v>16.100000000000001</v>
      </c>
      <c r="M94" s="108">
        <v>17.39</v>
      </c>
      <c r="N94" s="277">
        <v>20950</v>
      </c>
      <c r="O94" s="277">
        <v>53394</v>
      </c>
      <c r="P94" s="108">
        <v>14.23</v>
      </c>
      <c r="Q94" s="108">
        <v>15.5</v>
      </c>
      <c r="R94" s="277">
        <v>20950</v>
      </c>
      <c r="S94" s="277">
        <v>53394</v>
      </c>
      <c r="T94" s="108">
        <v>1.87</v>
      </c>
      <c r="U94" s="108">
        <v>1.89</v>
      </c>
      <c r="V94" s="277">
        <v>4300</v>
      </c>
      <c r="W94" s="277">
        <v>29814</v>
      </c>
      <c r="X94" s="108">
        <v>14.23</v>
      </c>
      <c r="Y94" s="108">
        <v>15.5</v>
      </c>
      <c r="Z94" s="12" t="s">
        <v>382</v>
      </c>
      <c r="AA94" s="12" t="s">
        <v>382</v>
      </c>
      <c r="AB94" s="108">
        <v>5</v>
      </c>
      <c r="AC94" s="108">
        <v>5</v>
      </c>
      <c r="AD94" s="12" t="s">
        <v>382</v>
      </c>
      <c r="AE94" s="277">
        <v>32533</v>
      </c>
      <c r="AF94" s="12" t="s">
        <v>382</v>
      </c>
      <c r="AG94" s="12" t="s">
        <v>382</v>
      </c>
      <c r="AH94" s="277">
        <v>18975</v>
      </c>
      <c r="AI94" s="277">
        <v>18975</v>
      </c>
      <c r="AJ94" s="12" t="s">
        <v>382</v>
      </c>
      <c r="AK94" s="12" t="s">
        <v>382</v>
      </c>
      <c r="AL94" s="12" t="s">
        <v>382</v>
      </c>
      <c r="AM94" s="12" t="s">
        <v>382</v>
      </c>
    </row>
    <row r="95" spans="1:39">
      <c r="A95" s="6">
        <v>90</v>
      </c>
      <c r="B95" s="259" t="s">
        <v>282</v>
      </c>
      <c r="C95" s="9">
        <v>6413811</v>
      </c>
      <c r="D95" s="108" t="s">
        <v>382</v>
      </c>
      <c r="E95" s="108" t="s">
        <v>382</v>
      </c>
      <c r="F95" s="108" t="s">
        <v>382</v>
      </c>
      <c r="G95" s="108" t="s">
        <v>382</v>
      </c>
      <c r="H95" s="108" t="s">
        <v>382</v>
      </c>
      <c r="I95" s="108" t="s">
        <v>382</v>
      </c>
      <c r="J95" s="108" t="s">
        <v>382</v>
      </c>
      <c r="K95" s="108" t="s">
        <v>382</v>
      </c>
      <c r="L95" s="108" t="s">
        <v>382</v>
      </c>
      <c r="M95" s="108" t="s">
        <v>382</v>
      </c>
      <c r="N95" s="108" t="s">
        <v>382</v>
      </c>
      <c r="O95" s="108" t="s">
        <v>382</v>
      </c>
      <c r="P95" s="108" t="s">
        <v>382</v>
      </c>
      <c r="Q95" s="108" t="s">
        <v>382</v>
      </c>
      <c r="R95" s="108" t="s">
        <v>382</v>
      </c>
      <c r="S95" s="108" t="s">
        <v>382</v>
      </c>
      <c r="T95" s="12" t="s">
        <v>382</v>
      </c>
      <c r="U95" s="12" t="s">
        <v>382</v>
      </c>
      <c r="V95" s="12" t="s">
        <v>382</v>
      </c>
      <c r="W95" s="12" t="s">
        <v>382</v>
      </c>
      <c r="X95" s="12" t="s">
        <v>382</v>
      </c>
      <c r="Y95" s="12" t="s">
        <v>382</v>
      </c>
      <c r="Z95" s="12" t="s">
        <v>382</v>
      </c>
      <c r="AA95" s="12" t="s">
        <v>382</v>
      </c>
      <c r="AB95" s="12" t="s">
        <v>382</v>
      </c>
      <c r="AC95" s="12" t="s">
        <v>382</v>
      </c>
      <c r="AD95" s="12" t="s">
        <v>382</v>
      </c>
      <c r="AE95" s="12" t="s">
        <v>382</v>
      </c>
      <c r="AF95" s="12" t="s">
        <v>382</v>
      </c>
      <c r="AG95" s="12" t="s">
        <v>382</v>
      </c>
      <c r="AH95" s="12" t="s">
        <v>382</v>
      </c>
      <c r="AI95" s="12" t="s">
        <v>382</v>
      </c>
      <c r="AJ95" s="12" t="s">
        <v>382</v>
      </c>
      <c r="AK95" s="12" t="s">
        <v>382</v>
      </c>
      <c r="AL95" s="12" t="s">
        <v>382</v>
      </c>
      <c r="AM95" s="12" t="s">
        <v>382</v>
      </c>
    </row>
    <row r="96" spans="1:39">
      <c r="A96" s="6">
        <f>A95+1</f>
        <v>91</v>
      </c>
      <c r="B96" s="259" t="s">
        <v>283</v>
      </c>
      <c r="C96" s="9">
        <v>2887134</v>
      </c>
      <c r="D96" s="191">
        <v>4485.6400000000003</v>
      </c>
      <c r="E96" s="191">
        <v>4485.6400000000003</v>
      </c>
      <c r="F96" s="108" t="s">
        <v>382</v>
      </c>
      <c r="G96" s="108" t="s">
        <v>382</v>
      </c>
      <c r="H96" s="108">
        <v>301.5</v>
      </c>
      <c r="I96" s="108">
        <v>301.5</v>
      </c>
      <c r="J96" s="108" t="s">
        <v>382</v>
      </c>
      <c r="K96" s="108" t="s">
        <v>382</v>
      </c>
      <c r="L96" s="108" t="s">
        <v>382</v>
      </c>
      <c r="M96" s="108" t="s">
        <v>382</v>
      </c>
      <c r="N96" s="108" t="s">
        <v>382</v>
      </c>
      <c r="O96" s="108" t="s">
        <v>382</v>
      </c>
      <c r="P96" s="108" t="s">
        <v>382</v>
      </c>
      <c r="Q96" s="108" t="s">
        <v>382</v>
      </c>
      <c r="R96" s="108" t="s">
        <v>382</v>
      </c>
      <c r="S96" s="108" t="s">
        <v>382</v>
      </c>
      <c r="T96" s="12" t="s">
        <v>382</v>
      </c>
      <c r="U96" s="12" t="s">
        <v>382</v>
      </c>
      <c r="V96" s="12" t="s">
        <v>382</v>
      </c>
      <c r="W96" s="12" t="s">
        <v>382</v>
      </c>
      <c r="X96" s="12" t="s">
        <v>382</v>
      </c>
      <c r="Y96" s="12" t="s">
        <v>382</v>
      </c>
      <c r="Z96" s="12" t="s">
        <v>382</v>
      </c>
      <c r="AA96" s="12" t="s">
        <v>382</v>
      </c>
      <c r="AB96" s="108">
        <v>1.1499999999999999</v>
      </c>
      <c r="AC96" s="108">
        <v>1.1499999999999999</v>
      </c>
      <c r="AD96" s="277">
        <v>4500000</v>
      </c>
      <c r="AE96" s="277">
        <v>4500000</v>
      </c>
      <c r="AF96" s="12" t="s">
        <v>382</v>
      </c>
      <c r="AG96" s="12" t="s">
        <v>382</v>
      </c>
      <c r="AH96" s="277">
        <v>15000000</v>
      </c>
      <c r="AI96" s="277">
        <v>36550000</v>
      </c>
      <c r="AJ96" s="12" t="s">
        <v>382</v>
      </c>
      <c r="AK96" s="12" t="s">
        <v>382</v>
      </c>
      <c r="AL96" s="12" t="s">
        <v>382</v>
      </c>
      <c r="AM96" s="12" t="s">
        <v>382</v>
      </c>
    </row>
    <row r="97" spans="1:39">
      <c r="A97" s="6">
        <v>92</v>
      </c>
      <c r="B97" s="259" t="s">
        <v>284</v>
      </c>
      <c r="C97" s="9">
        <v>2618176</v>
      </c>
      <c r="D97" s="108">
        <v>1.5</v>
      </c>
      <c r="E97" s="108">
        <v>2.5000000000000001E-2</v>
      </c>
      <c r="F97" s="108" t="s">
        <v>382</v>
      </c>
      <c r="G97" s="108" t="s">
        <v>382</v>
      </c>
      <c r="H97" s="108">
        <v>1.5</v>
      </c>
      <c r="I97" s="108">
        <v>2.5000000000000001E-2</v>
      </c>
      <c r="J97" s="108" t="s">
        <v>382</v>
      </c>
      <c r="K97" s="108" t="s">
        <v>382</v>
      </c>
      <c r="L97" s="108" t="s">
        <v>382</v>
      </c>
      <c r="M97" s="108" t="s">
        <v>382</v>
      </c>
      <c r="N97" s="108" t="s">
        <v>382</v>
      </c>
      <c r="O97" s="108" t="s">
        <v>382</v>
      </c>
      <c r="P97" s="108" t="s">
        <v>382</v>
      </c>
      <c r="Q97" s="108" t="s">
        <v>382</v>
      </c>
      <c r="R97" s="108" t="s">
        <v>382</v>
      </c>
      <c r="S97" s="108" t="s">
        <v>382</v>
      </c>
      <c r="T97" s="12" t="s">
        <v>382</v>
      </c>
      <c r="U97" s="12" t="s">
        <v>382</v>
      </c>
      <c r="V97" s="12" t="s">
        <v>382</v>
      </c>
      <c r="W97" s="12" t="s">
        <v>382</v>
      </c>
      <c r="X97" s="12" t="s">
        <v>382</v>
      </c>
      <c r="Y97" s="12" t="s">
        <v>382</v>
      </c>
      <c r="Z97" s="12" t="s">
        <v>382</v>
      </c>
      <c r="AA97" s="12" t="s">
        <v>382</v>
      </c>
      <c r="AB97" s="108">
        <v>1.5</v>
      </c>
      <c r="AC97" s="277">
        <v>20000000</v>
      </c>
      <c r="AD97" s="108">
        <v>1.5</v>
      </c>
      <c r="AE97" s="277">
        <v>20000000</v>
      </c>
      <c r="AF97" s="12" t="s">
        <v>382</v>
      </c>
      <c r="AG97" s="12" t="s">
        <v>382</v>
      </c>
      <c r="AH97" s="277">
        <v>6624800</v>
      </c>
      <c r="AI97" s="12" t="s">
        <v>382</v>
      </c>
      <c r="AJ97" s="12" t="s">
        <v>382</v>
      </c>
      <c r="AK97" s="12" t="s">
        <v>382</v>
      </c>
      <c r="AL97" s="12" t="s">
        <v>382</v>
      </c>
      <c r="AM97" s="12" t="s">
        <v>382</v>
      </c>
    </row>
    <row r="98" spans="1:39">
      <c r="A98" s="186">
        <v>93</v>
      </c>
      <c r="B98" s="260" t="s">
        <v>285</v>
      </c>
      <c r="C98" s="9">
        <v>5364884</v>
      </c>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row>
    <row r="99" spans="1:39">
      <c r="A99" s="6">
        <f t="shared" ref="A99:A100" si="9">A98+1</f>
        <v>94</v>
      </c>
      <c r="B99" s="259" t="s">
        <v>286</v>
      </c>
      <c r="C99" s="9">
        <v>2100231</v>
      </c>
      <c r="D99" s="108">
        <v>641.83000000000004</v>
      </c>
      <c r="E99" s="108">
        <v>641.83000000000004</v>
      </c>
      <c r="F99" s="108" t="s">
        <v>382</v>
      </c>
      <c r="G99" s="108" t="s">
        <v>382</v>
      </c>
      <c r="H99" s="108">
        <v>33.700000000000003</v>
      </c>
      <c r="I99" s="108">
        <v>32.6</v>
      </c>
      <c r="J99" s="108" t="s">
        <v>382</v>
      </c>
      <c r="K99" s="108" t="s">
        <v>382</v>
      </c>
      <c r="L99" s="108">
        <v>10.6</v>
      </c>
      <c r="M99" s="108">
        <v>22.4</v>
      </c>
      <c r="N99" s="108" t="s">
        <v>382</v>
      </c>
      <c r="O99" s="108" t="s">
        <v>382</v>
      </c>
      <c r="P99" s="108">
        <v>7.2</v>
      </c>
      <c r="Q99" s="108">
        <v>14.2</v>
      </c>
      <c r="R99" s="108" t="s">
        <v>382</v>
      </c>
      <c r="S99" s="108" t="s">
        <v>382</v>
      </c>
      <c r="T99" s="108">
        <v>3.4</v>
      </c>
      <c r="U99" s="108">
        <v>8.1999999999999993</v>
      </c>
      <c r="V99" s="12" t="s">
        <v>382</v>
      </c>
      <c r="W99" s="277">
        <v>30890000</v>
      </c>
      <c r="X99" s="277">
        <v>6700000</v>
      </c>
      <c r="Y99" s="277">
        <v>6717613</v>
      </c>
      <c r="Z99" s="12" t="s">
        <v>382</v>
      </c>
      <c r="AA99" s="12" t="s">
        <v>382</v>
      </c>
      <c r="AB99" s="108">
        <v>5</v>
      </c>
      <c r="AC99" s="108">
        <v>8.4</v>
      </c>
      <c r="AD99" s="12" t="s">
        <v>382</v>
      </c>
      <c r="AE99" s="277">
        <v>80300000</v>
      </c>
      <c r="AF99" s="12" t="s">
        <v>382</v>
      </c>
      <c r="AG99" s="12" t="s">
        <v>382</v>
      </c>
      <c r="AH99" s="277">
        <v>18000000</v>
      </c>
      <c r="AI99" s="277">
        <v>18000000</v>
      </c>
      <c r="AJ99" s="12" t="s">
        <v>382</v>
      </c>
      <c r="AK99" s="12" t="s">
        <v>382</v>
      </c>
      <c r="AL99" s="12" t="s">
        <v>382</v>
      </c>
      <c r="AM99" s="12" t="s">
        <v>382</v>
      </c>
    </row>
    <row r="100" spans="1:39">
      <c r="A100" s="6">
        <f t="shared" si="9"/>
        <v>95</v>
      </c>
      <c r="B100" s="259" t="s">
        <v>287</v>
      </c>
      <c r="C100" s="9">
        <v>2661128</v>
      </c>
      <c r="D100" s="108">
        <v>146</v>
      </c>
      <c r="E100" s="108">
        <v>146</v>
      </c>
      <c r="F100" s="108" t="s">
        <v>382</v>
      </c>
      <c r="G100" s="108" t="s">
        <v>382</v>
      </c>
      <c r="H100" s="108">
        <v>45.49</v>
      </c>
      <c r="I100" s="108">
        <v>45.49</v>
      </c>
      <c r="J100" s="108" t="s">
        <v>382</v>
      </c>
      <c r="K100" s="108" t="s">
        <v>382</v>
      </c>
      <c r="L100" s="108">
        <v>30.75</v>
      </c>
      <c r="M100" s="108">
        <v>30.75</v>
      </c>
      <c r="N100" s="108" t="s">
        <v>382</v>
      </c>
      <c r="O100" s="108" t="s">
        <v>382</v>
      </c>
      <c r="P100" s="108">
        <v>23.13</v>
      </c>
      <c r="Q100" s="108">
        <v>23.13</v>
      </c>
      <c r="R100" s="108" t="s">
        <v>382</v>
      </c>
      <c r="S100" s="108" t="s">
        <v>382</v>
      </c>
      <c r="T100" s="108">
        <v>7.62</v>
      </c>
      <c r="U100" s="108">
        <v>7.62</v>
      </c>
      <c r="V100" s="12" t="s">
        <v>382</v>
      </c>
      <c r="W100" s="12" t="s">
        <v>382</v>
      </c>
      <c r="X100" s="277">
        <v>6939000</v>
      </c>
      <c r="Y100" s="277">
        <v>6939000</v>
      </c>
      <c r="Z100" s="12" t="s">
        <v>382</v>
      </c>
      <c r="AA100" s="12" t="s">
        <v>382</v>
      </c>
      <c r="AB100" s="108">
        <v>2</v>
      </c>
      <c r="AC100" s="108">
        <v>2</v>
      </c>
      <c r="AD100" s="12" t="s">
        <v>382</v>
      </c>
      <c r="AE100" s="12" t="s">
        <v>382</v>
      </c>
      <c r="AF100" s="12" t="s">
        <v>382</v>
      </c>
      <c r="AG100" s="12" t="s">
        <v>382</v>
      </c>
      <c r="AH100" s="277">
        <v>31259000</v>
      </c>
      <c r="AI100" s="277">
        <v>31259000</v>
      </c>
      <c r="AJ100" s="12" t="s">
        <v>382</v>
      </c>
      <c r="AK100" s="12" t="s">
        <v>382</v>
      </c>
      <c r="AL100" s="12" t="s">
        <v>382</v>
      </c>
      <c r="AM100" s="12" t="s">
        <v>382</v>
      </c>
    </row>
    <row r="101" spans="1:39">
      <c r="A101" s="6">
        <v>96</v>
      </c>
      <c r="B101" s="259" t="s">
        <v>290</v>
      </c>
      <c r="C101" s="9">
        <v>5878756</v>
      </c>
      <c r="D101" s="108" t="s">
        <v>382</v>
      </c>
      <c r="E101" s="108" t="s">
        <v>382</v>
      </c>
      <c r="F101" s="108" t="s">
        <v>382</v>
      </c>
      <c r="G101" s="108" t="s">
        <v>382</v>
      </c>
      <c r="H101" s="108" t="s">
        <v>382</v>
      </c>
      <c r="I101" s="108" t="s">
        <v>382</v>
      </c>
      <c r="J101" s="108" t="s">
        <v>382</v>
      </c>
      <c r="K101" s="108" t="s">
        <v>382</v>
      </c>
      <c r="L101" s="108" t="s">
        <v>382</v>
      </c>
      <c r="M101" s="108" t="s">
        <v>382</v>
      </c>
      <c r="N101" s="108" t="s">
        <v>382</v>
      </c>
      <c r="O101" s="108" t="s">
        <v>382</v>
      </c>
      <c r="P101" s="108" t="s">
        <v>382</v>
      </c>
      <c r="Q101" s="108" t="s">
        <v>382</v>
      </c>
      <c r="R101" s="108" t="s">
        <v>382</v>
      </c>
      <c r="S101" s="108" t="s">
        <v>382</v>
      </c>
      <c r="T101" s="12" t="s">
        <v>382</v>
      </c>
      <c r="U101" s="12" t="s">
        <v>382</v>
      </c>
      <c r="V101" s="12" t="s">
        <v>382</v>
      </c>
      <c r="W101" s="12" t="s">
        <v>382</v>
      </c>
      <c r="X101" s="12" t="s">
        <v>382</v>
      </c>
      <c r="Y101" s="12" t="s">
        <v>382</v>
      </c>
      <c r="Z101" s="12" t="s">
        <v>382</v>
      </c>
      <c r="AA101" s="12" t="s">
        <v>382</v>
      </c>
      <c r="AB101" s="12" t="s">
        <v>382</v>
      </c>
      <c r="AC101" s="12" t="s">
        <v>382</v>
      </c>
      <c r="AD101" s="12" t="s">
        <v>382</v>
      </c>
      <c r="AE101" s="12" t="s">
        <v>382</v>
      </c>
      <c r="AF101" s="12" t="s">
        <v>382</v>
      </c>
      <c r="AG101" s="12" t="s">
        <v>382</v>
      </c>
      <c r="AH101" s="12" t="s">
        <v>382</v>
      </c>
      <c r="AI101" s="12" t="s">
        <v>382</v>
      </c>
      <c r="AJ101" s="12" t="s">
        <v>382</v>
      </c>
      <c r="AK101" s="12" t="s">
        <v>382</v>
      </c>
      <c r="AL101" s="12" t="s">
        <v>382</v>
      </c>
      <c r="AM101" s="12" t="s">
        <v>382</v>
      </c>
    </row>
    <row r="102" spans="1:39">
      <c r="A102" s="6">
        <f t="shared" ref="A102:A103" si="10">A101+1</f>
        <v>97</v>
      </c>
      <c r="B102" s="259" t="s">
        <v>292</v>
      </c>
      <c r="C102" s="9">
        <v>2166631</v>
      </c>
      <c r="D102" s="108">
        <v>337.57</v>
      </c>
      <c r="E102" s="108">
        <v>337.57</v>
      </c>
      <c r="F102" s="108" t="s">
        <v>382</v>
      </c>
      <c r="G102" s="108" t="s">
        <v>382</v>
      </c>
      <c r="H102" s="108">
        <v>1.5</v>
      </c>
      <c r="I102" s="108" t="s">
        <v>382</v>
      </c>
      <c r="J102" s="108" t="s">
        <v>382</v>
      </c>
      <c r="K102" s="108" t="s">
        <v>382</v>
      </c>
      <c r="L102" s="108" t="s">
        <v>382</v>
      </c>
      <c r="M102" s="108" t="s">
        <v>382</v>
      </c>
      <c r="N102" s="108" t="s">
        <v>382</v>
      </c>
      <c r="O102" s="108" t="s">
        <v>382</v>
      </c>
      <c r="P102" s="108">
        <v>0.36</v>
      </c>
      <c r="Q102" s="277">
        <v>10475000</v>
      </c>
      <c r="R102" s="108">
        <v>0.36</v>
      </c>
      <c r="S102" s="277">
        <v>10475000</v>
      </c>
      <c r="T102" s="12" t="s">
        <v>382</v>
      </c>
      <c r="U102" s="12" t="s">
        <v>382</v>
      </c>
      <c r="V102" s="12" t="s">
        <v>382</v>
      </c>
      <c r="W102" s="12" t="s">
        <v>382</v>
      </c>
      <c r="X102" s="12" t="s">
        <v>382</v>
      </c>
      <c r="Y102" s="12" t="s">
        <v>382</v>
      </c>
      <c r="Z102" s="12" t="s">
        <v>382</v>
      </c>
      <c r="AA102" s="12" t="s">
        <v>382</v>
      </c>
      <c r="AB102" s="12" t="s">
        <v>382</v>
      </c>
      <c r="AC102" s="12" t="s">
        <v>382</v>
      </c>
      <c r="AD102" s="12" t="s">
        <v>382</v>
      </c>
      <c r="AE102" s="12" t="s">
        <v>382</v>
      </c>
      <c r="AF102" s="12" t="s">
        <v>382</v>
      </c>
      <c r="AG102" s="12" t="s">
        <v>382</v>
      </c>
      <c r="AH102" s="277">
        <v>10475000</v>
      </c>
      <c r="AI102" s="277">
        <v>10475000</v>
      </c>
      <c r="AJ102" s="12" t="s">
        <v>382</v>
      </c>
      <c r="AK102" s="12" t="s">
        <v>382</v>
      </c>
      <c r="AL102" s="12" t="s">
        <v>382</v>
      </c>
      <c r="AM102" s="12" t="s">
        <v>382</v>
      </c>
    </row>
    <row r="103" spans="1:39">
      <c r="A103" s="6">
        <f t="shared" si="10"/>
        <v>98</v>
      </c>
      <c r="B103" s="259" t="s">
        <v>296</v>
      </c>
      <c r="C103" s="9">
        <v>5671833</v>
      </c>
      <c r="D103" s="108">
        <v>266</v>
      </c>
      <c r="E103" s="108">
        <v>266</v>
      </c>
      <c r="F103" s="108" t="s">
        <v>382</v>
      </c>
      <c r="G103" s="108" t="s">
        <v>382</v>
      </c>
      <c r="H103" s="108">
        <v>161</v>
      </c>
      <c r="I103" s="108">
        <v>161</v>
      </c>
      <c r="J103" s="108" t="s">
        <v>382</v>
      </c>
      <c r="K103" s="108" t="s">
        <v>382</v>
      </c>
      <c r="L103" s="108">
        <v>3.28</v>
      </c>
      <c r="M103" s="108">
        <v>3.28</v>
      </c>
      <c r="N103" s="108" t="s">
        <v>382</v>
      </c>
      <c r="O103" s="108" t="s">
        <v>382</v>
      </c>
      <c r="P103" s="108" t="s">
        <v>382</v>
      </c>
      <c r="Q103" s="108" t="s">
        <v>382</v>
      </c>
      <c r="R103" s="108" t="s">
        <v>382</v>
      </c>
      <c r="S103" s="108" t="s">
        <v>382</v>
      </c>
      <c r="T103" s="108">
        <v>3.28</v>
      </c>
      <c r="U103" s="108">
        <v>3.28</v>
      </c>
      <c r="V103" s="12" t="s">
        <v>382</v>
      </c>
      <c r="W103" s="12" t="s">
        <v>382</v>
      </c>
      <c r="X103" s="12" t="s">
        <v>382</v>
      </c>
      <c r="Y103" s="12" t="s">
        <v>382</v>
      </c>
      <c r="Z103" s="12" t="s">
        <v>382</v>
      </c>
      <c r="AA103" s="12" t="s">
        <v>382</v>
      </c>
      <c r="AB103" s="108">
        <v>1.43</v>
      </c>
      <c r="AC103" s="108">
        <v>1.43</v>
      </c>
      <c r="AD103" s="12" t="s">
        <v>382</v>
      </c>
      <c r="AE103" s="12" t="s">
        <v>382</v>
      </c>
      <c r="AF103" s="12" t="s">
        <v>382</v>
      </c>
      <c r="AG103" s="12" t="s">
        <v>382</v>
      </c>
      <c r="AH103" s="277">
        <v>103680000</v>
      </c>
      <c r="AI103" s="277">
        <v>103680000</v>
      </c>
      <c r="AJ103" s="12" t="s">
        <v>382</v>
      </c>
      <c r="AK103" s="12" t="s">
        <v>382</v>
      </c>
      <c r="AL103" s="12" t="s">
        <v>382</v>
      </c>
      <c r="AM103" s="12" t="s">
        <v>382</v>
      </c>
    </row>
    <row r="104" spans="1:39">
      <c r="A104" s="186">
        <v>99</v>
      </c>
      <c r="B104" s="260" t="s">
        <v>297</v>
      </c>
      <c r="C104" s="9">
        <v>5104424</v>
      </c>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row>
    <row r="105" spans="1:39">
      <c r="A105" s="109">
        <v>100</v>
      </c>
      <c r="B105" s="279" t="s">
        <v>298</v>
      </c>
      <c r="C105" s="9">
        <v>2668505</v>
      </c>
      <c r="D105" s="108" t="s">
        <v>382</v>
      </c>
      <c r="E105" s="108">
        <v>65.33</v>
      </c>
      <c r="F105" s="108" t="s">
        <v>382</v>
      </c>
      <c r="G105" s="108" t="s">
        <v>382</v>
      </c>
      <c r="H105" s="108" t="s">
        <v>382</v>
      </c>
      <c r="I105" s="108">
        <v>45.7</v>
      </c>
      <c r="J105" s="108" t="s">
        <v>382</v>
      </c>
      <c r="K105" s="108" t="s">
        <v>382</v>
      </c>
      <c r="L105" s="108" t="s">
        <v>382</v>
      </c>
      <c r="M105" s="108" t="s">
        <v>382</v>
      </c>
      <c r="N105" s="108" t="s">
        <v>382</v>
      </c>
      <c r="O105" s="108" t="s">
        <v>382</v>
      </c>
      <c r="P105" s="108" t="s">
        <v>382</v>
      </c>
      <c r="Q105" s="108" t="s">
        <v>382</v>
      </c>
      <c r="R105" s="108" t="s">
        <v>382</v>
      </c>
      <c r="S105" s="108" t="s">
        <v>382</v>
      </c>
      <c r="T105" s="12" t="s">
        <v>382</v>
      </c>
      <c r="U105" s="108">
        <v>0.56000000000000005</v>
      </c>
      <c r="V105" s="12" t="s">
        <v>382</v>
      </c>
      <c r="W105" s="277">
        <v>2000000</v>
      </c>
      <c r="X105" s="12" t="s">
        <v>382</v>
      </c>
      <c r="Y105" s="277">
        <v>200000</v>
      </c>
      <c r="Z105" s="12" t="s">
        <v>382</v>
      </c>
      <c r="AA105" s="277">
        <v>150000000</v>
      </c>
      <c r="AB105" s="12" t="s">
        <v>382</v>
      </c>
      <c r="AC105" s="108">
        <v>0.01</v>
      </c>
      <c r="AD105" s="12" t="s">
        <v>382</v>
      </c>
      <c r="AE105" s="277">
        <v>10000000</v>
      </c>
      <c r="AF105" s="12" t="s">
        <v>382</v>
      </c>
      <c r="AG105" s="12" t="s">
        <v>382</v>
      </c>
      <c r="AH105" s="12" t="s">
        <v>382</v>
      </c>
      <c r="AI105" s="12" t="s">
        <v>382</v>
      </c>
      <c r="AJ105" s="12" t="s">
        <v>382</v>
      </c>
      <c r="AK105" s="12" t="s">
        <v>382</v>
      </c>
      <c r="AL105" s="12" t="s">
        <v>382</v>
      </c>
      <c r="AM105" s="12" t="s">
        <v>382</v>
      </c>
    </row>
    <row r="106" spans="1:39">
      <c r="A106" s="186">
        <v>101</v>
      </c>
      <c r="B106" s="260" t="s">
        <v>299</v>
      </c>
      <c r="C106" s="9">
        <v>2697947</v>
      </c>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row>
    <row r="107" spans="1:39">
      <c r="A107" s="6">
        <v>102</v>
      </c>
      <c r="B107" s="259" t="s">
        <v>300</v>
      </c>
      <c r="C107" s="9">
        <v>5352827</v>
      </c>
      <c r="D107" s="108" t="s">
        <v>382</v>
      </c>
      <c r="E107" s="108" t="s">
        <v>382</v>
      </c>
      <c r="F107" s="108" t="s">
        <v>382</v>
      </c>
      <c r="G107" s="108" t="s">
        <v>382</v>
      </c>
      <c r="H107" s="108">
        <v>53</v>
      </c>
      <c r="I107" s="108">
        <v>77.47</v>
      </c>
      <c r="J107" s="108" t="s">
        <v>382</v>
      </c>
      <c r="K107" s="108" t="s">
        <v>382</v>
      </c>
      <c r="L107" s="108" t="s">
        <v>382</v>
      </c>
      <c r="M107" s="108" t="s">
        <v>382</v>
      </c>
      <c r="N107" s="108" t="s">
        <v>382</v>
      </c>
      <c r="O107" s="108" t="s">
        <v>382</v>
      </c>
      <c r="P107" s="108">
        <v>3</v>
      </c>
      <c r="Q107" s="108">
        <v>3</v>
      </c>
      <c r="R107" s="277">
        <v>44000000</v>
      </c>
      <c r="S107" s="277">
        <v>43907000</v>
      </c>
      <c r="T107" s="12" t="s">
        <v>382</v>
      </c>
      <c r="U107" s="12" t="s">
        <v>382</v>
      </c>
      <c r="V107" s="12" t="s">
        <v>382</v>
      </c>
      <c r="W107" s="12" t="s">
        <v>382</v>
      </c>
      <c r="X107" s="12" t="s">
        <v>382</v>
      </c>
      <c r="Y107" s="12" t="s">
        <v>382</v>
      </c>
      <c r="Z107" s="12" t="s">
        <v>382</v>
      </c>
      <c r="AA107" s="12" t="s">
        <v>382</v>
      </c>
      <c r="AB107" s="12" t="s">
        <v>382</v>
      </c>
      <c r="AC107" s="12" t="s">
        <v>382</v>
      </c>
      <c r="AD107" s="12" t="s">
        <v>382</v>
      </c>
      <c r="AE107" s="12" t="s">
        <v>382</v>
      </c>
      <c r="AF107" s="12" t="s">
        <v>382</v>
      </c>
      <c r="AG107" s="12" t="s">
        <v>382</v>
      </c>
      <c r="AH107" s="277">
        <v>136590</v>
      </c>
      <c r="AI107" s="12" t="s">
        <v>382</v>
      </c>
      <c r="AJ107" s="12" t="s">
        <v>382</v>
      </c>
      <c r="AK107" s="12" t="s">
        <v>382</v>
      </c>
      <c r="AL107" s="12" t="s">
        <v>382</v>
      </c>
      <c r="AM107" s="12" t="s">
        <v>382</v>
      </c>
    </row>
    <row r="108" spans="1:39">
      <c r="A108" s="6">
        <f t="shared" ref="A108:A109" si="11">A107+1</f>
        <v>103</v>
      </c>
      <c r="B108" s="259" t="s">
        <v>301</v>
      </c>
      <c r="C108" s="9">
        <v>2548747</v>
      </c>
      <c r="D108" s="191">
        <v>1298.96</v>
      </c>
      <c r="E108" s="108" t="s">
        <v>382</v>
      </c>
      <c r="F108" s="108" t="s">
        <v>382</v>
      </c>
      <c r="G108" s="108" t="s">
        <v>382</v>
      </c>
      <c r="H108" s="108" t="s">
        <v>382</v>
      </c>
      <c r="I108" s="108">
        <v>1.8</v>
      </c>
      <c r="J108" s="108" t="s">
        <v>382</v>
      </c>
      <c r="K108" s="108" t="s">
        <v>382</v>
      </c>
      <c r="L108" s="108">
        <v>1</v>
      </c>
      <c r="M108" s="108">
        <v>1</v>
      </c>
      <c r="N108" s="108" t="s">
        <v>382</v>
      </c>
      <c r="O108" s="277">
        <v>96851040</v>
      </c>
      <c r="P108" s="108">
        <v>0.5</v>
      </c>
      <c r="Q108" s="108">
        <v>0.5</v>
      </c>
      <c r="R108" s="108" t="s">
        <v>382</v>
      </c>
      <c r="S108" s="277">
        <v>56843040</v>
      </c>
      <c r="T108" s="108">
        <v>0.5</v>
      </c>
      <c r="U108" s="108">
        <v>0.5</v>
      </c>
      <c r="V108" s="12" t="s">
        <v>382</v>
      </c>
      <c r="W108" s="277">
        <v>40008000</v>
      </c>
      <c r="X108" s="12" t="s">
        <v>382</v>
      </c>
      <c r="Y108" s="12" t="s">
        <v>382</v>
      </c>
      <c r="Z108" s="12" t="s">
        <v>382</v>
      </c>
      <c r="AA108" s="12" t="s">
        <v>382</v>
      </c>
      <c r="AB108" s="108">
        <v>12</v>
      </c>
      <c r="AC108" s="108">
        <v>13.5</v>
      </c>
      <c r="AD108" s="12" t="s">
        <v>382</v>
      </c>
      <c r="AE108" s="277">
        <v>21349700</v>
      </c>
      <c r="AF108" s="12" t="s">
        <v>382</v>
      </c>
      <c r="AG108" s="12" t="s">
        <v>382</v>
      </c>
      <c r="AH108" s="12" t="s">
        <v>382</v>
      </c>
      <c r="AI108" s="277">
        <v>20000000</v>
      </c>
      <c r="AJ108" s="12" t="s">
        <v>382</v>
      </c>
      <c r="AK108" s="12" t="s">
        <v>382</v>
      </c>
      <c r="AL108" s="12" t="s">
        <v>382</v>
      </c>
      <c r="AM108" s="12" t="s">
        <v>382</v>
      </c>
    </row>
    <row r="109" spans="1:39">
      <c r="A109" s="6">
        <f t="shared" si="11"/>
        <v>104</v>
      </c>
      <c r="B109" s="260" t="s">
        <v>303</v>
      </c>
      <c r="C109" s="9">
        <v>2641984</v>
      </c>
      <c r="D109" s="108" t="s">
        <v>382</v>
      </c>
      <c r="E109" s="108">
        <v>274.3</v>
      </c>
      <c r="F109" s="108" t="s">
        <v>382</v>
      </c>
      <c r="G109" s="108" t="s">
        <v>382</v>
      </c>
      <c r="H109" s="108" t="s">
        <v>382</v>
      </c>
      <c r="I109" s="108">
        <v>99</v>
      </c>
      <c r="J109" s="108" t="s">
        <v>382</v>
      </c>
      <c r="K109" s="108" t="s">
        <v>382</v>
      </c>
      <c r="L109" s="108" t="s">
        <v>382</v>
      </c>
      <c r="M109" s="108">
        <v>9.3000000000000007</v>
      </c>
      <c r="N109" s="108" t="s">
        <v>382</v>
      </c>
      <c r="O109" s="108" t="s">
        <v>382</v>
      </c>
      <c r="P109" s="108" t="s">
        <v>382</v>
      </c>
      <c r="Q109" s="108">
        <v>6</v>
      </c>
      <c r="R109" s="108" t="s">
        <v>382</v>
      </c>
      <c r="S109" s="108" t="s">
        <v>382</v>
      </c>
      <c r="T109" s="108" t="s">
        <v>382</v>
      </c>
      <c r="U109" s="108">
        <v>3</v>
      </c>
      <c r="V109" s="12" t="s">
        <v>382</v>
      </c>
      <c r="W109" s="12" t="s">
        <v>382</v>
      </c>
      <c r="X109" s="12" t="s">
        <v>382</v>
      </c>
      <c r="Y109" s="12" t="s">
        <v>382</v>
      </c>
      <c r="Z109" s="12" t="s">
        <v>382</v>
      </c>
      <c r="AA109" s="12" t="s">
        <v>382</v>
      </c>
      <c r="AB109" s="12" t="s">
        <v>382</v>
      </c>
      <c r="AC109" s="108">
        <v>6</v>
      </c>
      <c r="AD109" s="12" t="s">
        <v>382</v>
      </c>
      <c r="AE109" s="12" t="s">
        <v>382</v>
      </c>
      <c r="AF109" s="12" t="s">
        <v>382</v>
      </c>
      <c r="AG109" s="12" t="s">
        <v>382</v>
      </c>
      <c r="AH109" s="12" t="s">
        <v>382</v>
      </c>
      <c r="AI109" s="277">
        <v>22459550</v>
      </c>
      <c r="AJ109" s="12" t="s">
        <v>382</v>
      </c>
      <c r="AK109" s="12" t="s">
        <v>382</v>
      </c>
      <c r="AL109" s="12" t="s">
        <v>382</v>
      </c>
      <c r="AM109" s="12" t="s">
        <v>382</v>
      </c>
    </row>
    <row r="110" spans="1:39">
      <c r="A110" s="6">
        <v>105</v>
      </c>
      <c r="B110" s="259" t="s">
        <v>306</v>
      </c>
      <c r="C110" s="9">
        <v>6342485</v>
      </c>
      <c r="D110" s="108">
        <v>4.4000000000000004</v>
      </c>
      <c r="E110" s="108">
        <v>4.4000000000000004</v>
      </c>
      <c r="F110" s="108" t="s">
        <v>382</v>
      </c>
      <c r="G110" s="108" t="s">
        <v>382</v>
      </c>
      <c r="H110" s="108">
        <v>3.9</v>
      </c>
      <c r="I110" s="108">
        <v>3.9</v>
      </c>
      <c r="J110" s="108" t="s">
        <v>382</v>
      </c>
      <c r="K110" s="108" t="s">
        <v>382</v>
      </c>
      <c r="L110" s="108" t="s">
        <v>382</v>
      </c>
      <c r="M110" s="108" t="s">
        <v>382</v>
      </c>
      <c r="N110" s="108" t="s">
        <v>382</v>
      </c>
      <c r="O110" s="108" t="s">
        <v>382</v>
      </c>
      <c r="P110" s="108" t="s">
        <v>382</v>
      </c>
      <c r="Q110" s="108" t="s">
        <v>382</v>
      </c>
      <c r="R110" s="108" t="s">
        <v>382</v>
      </c>
      <c r="S110" s="108" t="s">
        <v>382</v>
      </c>
      <c r="T110" s="12" t="s">
        <v>382</v>
      </c>
      <c r="U110" s="12" t="s">
        <v>382</v>
      </c>
      <c r="V110" s="12" t="s">
        <v>382</v>
      </c>
      <c r="W110" s="12" t="s">
        <v>382</v>
      </c>
      <c r="X110" s="12" t="s">
        <v>382</v>
      </c>
      <c r="Y110" s="12" t="s">
        <v>382</v>
      </c>
      <c r="Z110" s="12" t="s">
        <v>382</v>
      </c>
      <c r="AA110" s="12" t="s">
        <v>382</v>
      </c>
      <c r="AB110" s="108">
        <v>10</v>
      </c>
      <c r="AC110" s="108">
        <v>10</v>
      </c>
      <c r="AD110" s="12" t="s">
        <v>382</v>
      </c>
      <c r="AE110" s="12" t="s">
        <v>382</v>
      </c>
      <c r="AF110" s="12" t="s">
        <v>382</v>
      </c>
      <c r="AG110" s="12" t="s">
        <v>382</v>
      </c>
      <c r="AH110" s="12" t="s">
        <v>382</v>
      </c>
      <c r="AI110" s="12" t="s">
        <v>382</v>
      </c>
      <c r="AJ110" s="12" t="s">
        <v>382</v>
      </c>
      <c r="AK110" s="12" t="s">
        <v>382</v>
      </c>
      <c r="AL110" s="12" t="s">
        <v>382</v>
      </c>
      <c r="AM110" s="12" t="s">
        <v>382</v>
      </c>
    </row>
    <row r="111" spans="1:39">
      <c r="A111" s="6">
        <v>106</v>
      </c>
      <c r="B111" s="259" t="s">
        <v>307</v>
      </c>
      <c r="C111" s="9">
        <v>5166667</v>
      </c>
      <c r="D111" s="108" t="s">
        <v>382</v>
      </c>
      <c r="E111" s="108" t="s">
        <v>382</v>
      </c>
      <c r="F111" s="108" t="s">
        <v>382</v>
      </c>
      <c r="G111" s="108" t="s">
        <v>382</v>
      </c>
      <c r="H111" s="108" t="s">
        <v>382</v>
      </c>
      <c r="I111" s="108" t="s">
        <v>382</v>
      </c>
      <c r="J111" s="108" t="s">
        <v>382</v>
      </c>
      <c r="K111" s="108" t="s">
        <v>382</v>
      </c>
      <c r="L111" s="108" t="s">
        <v>382</v>
      </c>
      <c r="M111" s="108" t="s">
        <v>382</v>
      </c>
      <c r="N111" s="108" t="s">
        <v>382</v>
      </c>
      <c r="O111" s="108" t="s">
        <v>382</v>
      </c>
      <c r="P111" s="108" t="s">
        <v>382</v>
      </c>
      <c r="Q111" s="108" t="s">
        <v>382</v>
      </c>
      <c r="R111" s="108" t="s">
        <v>382</v>
      </c>
      <c r="S111" s="108" t="s">
        <v>382</v>
      </c>
      <c r="T111" s="12" t="s">
        <v>382</v>
      </c>
      <c r="U111" s="12" t="s">
        <v>382</v>
      </c>
      <c r="V111" s="12" t="s">
        <v>382</v>
      </c>
      <c r="W111" s="12" t="s">
        <v>382</v>
      </c>
      <c r="X111" s="12" t="s">
        <v>382</v>
      </c>
      <c r="Y111" s="12" t="s">
        <v>382</v>
      </c>
      <c r="Z111" s="12" t="s">
        <v>382</v>
      </c>
      <c r="AA111" s="12" t="s">
        <v>382</v>
      </c>
      <c r="AB111" s="12" t="s">
        <v>382</v>
      </c>
      <c r="AC111" s="12" t="s">
        <v>382</v>
      </c>
      <c r="AD111" s="12" t="s">
        <v>382</v>
      </c>
      <c r="AE111" s="12" t="s">
        <v>382</v>
      </c>
      <c r="AF111" s="12" t="s">
        <v>382</v>
      </c>
      <c r="AG111" s="12" t="s">
        <v>382</v>
      </c>
      <c r="AH111" s="12" t="s">
        <v>382</v>
      </c>
      <c r="AI111" s="12" t="s">
        <v>382</v>
      </c>
      <c r="AJ111" s="12" t="s">
        <v>382</v>
      </c>
      <c r="AK111" s="12" t="s">
        <v>382</v>
      </c>
      <c r="AL111" s="12" t="s">
        <v>382</v>
      </c>
      <c r="AM111" s="12" t="s">
        <v>382</v>
      </c>
    </row>
    <row r="112" spans="1:39">
      <c r="A112" s="6">
        <f t="shared" ref="A112:A113" si="12">A111+1</f>
        <v>107</v>
      </c>
      <c r="B112" s="405" t="s">
        <v>308</v>
      </c>
      <c r="C112" s="9">
        <v>5482046</v>
      </c>
      <c r="D112" s="108">
        <v>256.2</v>
      </c>
      <c r="E112" s="108">
        <v>256.2</v>
      </c>
      <c r="F112" s="108" t="s">
        <v>382</v>
      </c>
      <c r="G112" s="108" t="s">
        <v>382</v>
      </c>
      <c r="H112" s="108">
        <v>100</v>
      </c>
      <c r="I112" s="108">
        <v>100</v>
      </c>
      <c r="J112" s="108" t="s">
        <v>382</v>
      </c>
      <c r="K112" s="108" t="s">
        <v>382</v>
      </c>
      <c r="L112" s="108" t="s">
        <v>382</v>
      </c>
      <c r="M112" s="108" t="s">
        <v>382</v>
      </c>
      <c r="N112" s="108" t="s">
        <v>382</v>
      </c>
      <c r="O112" s="108" t="s">
        <v>382</v>
      </c>
      <c r="P112" s="108" t="s">
        <v>382</v>
      </c>
      <c r="Q112" s="108" t="s">
        <v>382</v>
      </c>
      <c r="R112" s="108" t="s">
        <v>382</v>
      </c>
      <c r="S112" s="108" t="s">
        <v>382</v>
      </c>
      <c r="T112" s="12" t="s">
        <v>382</v>
      </c>
      <c r="U112" s="12" t="s">
        <v>382</v>
      </c>
      <c r="V112" s="12" t="s">
        <v>382</v>
      </c>
      <c r="W112" s="12" t="s">
        <v>382</v>
      </c>
      <c r="X112" s="12" t="s">
        <v>382</v>
      </c>
      <c r="Y112" s="12" t="s">
        <v>382</v>
      </c>
      <c r="Z112" s="12" t="s">
        <v>382</v>
      </c>
      <c r="AA112" s="12" t="s">
        <v>382</v>
      </c>
      <c r="AB112" s="108">
        <v>1</v>
      </c>
      <c r="AC112" s="12" t="s">
        <v>382</v>
      </c>
      <c r="AD112" s="12" t="s">
        <v>382</v>
      </c>
      <c r="AE112" s="12" t="s">
        <v>382</v>
      </c>
      <c r="AF112" s="12" t="s">
        <v>382</v>
      </c>
      <c r="AG112" s="12" t="s">
        <v>382</v>
      </c>
      <c r="AH112" s="277">
        <v>10000000</v>
      </c>
      <c r="AI112" s="277">
        <v>10000000</v>
      </c>
      <c r="AJ112" s="12" t="s">
        <v>382</v>
      </c>
      <c r="AK112" s="12" t="s">
        <v>382</v>
      </c>
      <c r="AL112" s="12" t="s">
        <v>382</v>
      </c>
      <c r="AM112" s="12" t="s">
        <v>382</v>
      </c>
    </row>
    <row r="113" spans="1:39">
      <c r="A113" s="6">
        <f t="shared" si="12"/>
        <v>108</v>
      </c>
      <c r="B113" s="259" t="s">
        <v>309</v>
      </c>
      <c r="C113" s="9">
        <v>2050374</v>
      </c>
      <c r="D113" s="191">
        <v>1767.19</v>
      </c>
      <c r="E113" s="108" t="s">
        <v>382</v>
      </c>
      <c r="F113" s="108" t="s">
        <v>382</v>
      </c>
      <c r="G113" s="108" t="s">
        <v>382</v>
      </c>
      <c r="H113" s="108">
        <v>450</v>
      </c>
      <c r="I113" s="108">
        <v>450</v>
      </c>
      <c r="J113" s="108" t="s">
        <v>382</v>
      </c>
      <c r="K113" s="108" t="s">
        <v>382</v>
      </c>
      <c r="L113" s="108">
        <v>13</v>
      </c>
      <c r="M113" s="108">
        <v>13</v>
      </c>
      <c r="N113" s="108" t="s">
        <v>382</v>
      </c>
      <c r="O113" s="277">
        <v>45000000</v>
      </c>
      <c r="P113" s="108">
        <v>8</v>
      </c>
      <c r="Q113" s="108">
        <v>8</v>
      </c>
      <c r="R113" s="108" t="s">
        <v>382</v>
      </c>
      <c r="S113" s="277">
        <v>45000000</v>
      </c>
      <c r="T113" s="108">
        <v>5</v>
      </c>
      <c r="U113" s="108">
        <v>5</v>
      </c>
      <c r="V113" s="12" t="s">
        <v>382</v>
      </c>
      <c r="W113" s="277">
        <v>15000000</v>
      </c>
      <c r="X113" s="108">
        <v>6</v>
      </c>
      <c r="Y113" s="108">
        <v>6</v>
      </c>
      <c r="Z113" s="12" t="s">
        <v>382</v>
      </c>
      <c r="AA113" s="277">
        <v>10000000</v>
      </c>
      <c r="AB113" s="108">
        <v>5.9</v>
      </c>
      <c r="AC113" s="108">
        <v>5.9</v>
      </c>
      <c r="AD113" s="12" t="s">
        <v>382</v>
      </c>
      <c r="AE113" s="277">
        <v>5000000</v>
      </c>
      <c r="AF113" s="12" t="s">
        <v>382</v>
      </c>
      <c r="AG113" s="12" t="s">
        <v>382</v>
      </c>
      <c r="AH113" s="12" t="s">
        <v>382</v>
      </c>
      <c r="AI113" s="277">
        <v>100000000</v>
      </c>
      <c r="AJ113" s="12" t="s">
        <v>382</v>
      </c>
      <c r="AK113" s="12" t="s">
        <v>382</v>
      </c>
      <c r="AL113" s="12" t="s">
        <v>382</v>
      </c>
      <c r="AM113" s="12" t="s">
        <v>382</v>
      </c>
    </row>
    <row r="114" spans="1:39">
      <c r="A114" s="6">
        <v>109</v>
      </c>
      <c r="B114" s="259" t="s">
        <v>311</v>
      </c>
      <c r="C114" s="9">
        <v>2004879</v>
      </c>
      <c r="D114" s="108">
        <v>90.94</v>
      </c>
      <c r="E114" s="108" t="s">
        <v>382</v>
      </c>
      <c r="F114" s="108" t="s">
        <v>382</v>
      </c>
      <c r="G114" s="108" t="s">
        <v>382</v>
      </c>
      <c r="H114" s="108">
        <v>6</v>
      </c>
      <c r="I114" s="108" t="s">
        <v>382</v>
      </c>
      <c r="J114" s="108" t="s">
        <v>382</v>
      </c>
      <c r="K114" s="108" t="s">
        <v>382</v>
      </c>
      <c r="L114" s="108">
        <v>6</v>
      </c>
      <c r="M114" s="108">
        <v>6</v>
      </c>
      <c r="N114" s="277">
        <v>46530000</v>
      </c>
      <c r="O114" s="277">
        <v>46530000</v>
      </c>
      <c r="P114" s="108">
        <v>3</v>
      </c>
      <c r="Q114" s="108">
        <v>3</v>
      </c>
      <c r="R114" s="277">
        <v>40930000</v>
      </c>
      <c r="S114" s="277">
        <v>40930000</v>
      </c>
      <c r="T114" s="108">
        <v>3</v>
      </c>
      <c r="U114" s="108">
        <v>3</v>
      </c>
      <c r="V114" s="277">
        <v>5600000</v>
      </c>
      <c r="W114" s="277">
        <v>5600000</v>
      </c>
      <c r="X114" s="277">
        <v>6000</v>
      </c>
      <c r="Y114" s="12" t="s">
        <v>382</v>
      </c>
      <c r="Z114" s="12" t="s">
        <v>382</v>
      </c>
      <c r="AA114" s="12" t="s">
        <v>382</v>
      </c>
      <c r="AB114" s="12" t="s">
        <v>382</v>
      </c>
      <c r="AC114" s="12" t="s">
        <v>382</v>
      </c>
      <c r="AD114" s="12" t="s">
        <v>382</v>
      </c>
      <c r="AE114" s="12" t="s">
        <v>382</v>
      </c>
      <c r="AF114" s="12" t="s">
        <v>382</v>
      </c>
      <c r="AG114" s="12" t="s">
        <v>382</v>
      </c>
      <c r="AH114" s="277">
        <v>32700000</v>
      </c>
      <c r="AI114" s="12" t="s">
        <v>382</v>
      </c>
      <c r="AJ114" s="12" t="s">
        <v>382</v>
      </c>
      <c r="AK114" s="12" t="s">
        <v>382</v>
      </c>
      <c r="AL114" s="12" t="s">
        <v>382</v>
      </c>
      <c r="AM114" s="12" t="s">
        <v>382</v>
      </c>
    </row>
    <row r="115" spans="1:39">
      <c r="A115" s="6">
        <f t="shared" ref="A115:A116" si="13">A114+1</f>
        <v>110</v>
      </c>
      <c r="B115" s="260" t="s">
        <v>314</v>
      </c>
      <c r="C115" s="9">
        <v>2830213</v>
      </c>
      <c r="D115" s="108" t="s">
        <v>382</v>
      </c>
      <c r="E115" s="108">
        <v>226.58</v>
      </c>
      <c r="F115" s="108" t="s">
        <v>382</v>
      </c>
      <c r="G115" s="108" t="s">
        <v>382</v>
      </c>
      <c r="H115" s="108" t="s">
        <v>382</v>
      </c>
      <c r="I115" s="108">
        <v>37.299999999999997</v>
      </c>
      <c r="J115" s="108" t="s">
        <v>382</v>
      </c>
      <c r="K115" s="108" t="s">
        <v>382</v>
      </c>
      <c r="L115" s="108" t="s">
        <v>382</v>
      </c>
      <c r="M115" s="108">
        <v>10</v>
      </c>
      <c r="N115" s="108" t="s">
        <v>382</v>
      </c>
      <c r="O115" s="108" t="s">
        <v>382</v>
      </c>
      <c r="P115" s="108" t="s">
        <v>382</v>
      </c>
      <c r="Q115" s="108">
        <v>6</v>
      </c>
      <c r="R115" s="12" t="s">
        <v>382</v>
      </c>
      <c r="S115" s="12" t="s">
        <v>382</v>
      </c>
      <c r="T115" s="12" t="s">
        <v>382</v>
      </c>
      <c r="U115" s="108">
        <v>4</v>
      </c>
      <c r="V115" s="12" t="s">
        <v>382</v>
      </c>
      <c r="W115" s="12" t="s">
        <v>382</v>
      </c>
      <c r="X115" s="12" t="s">
        <v>382</v>
      </c>
      <c r="Y115" s="12" t="s">
        <v>382</v>
      </c>
      <c r="Z115" s="12" t="s">
        <v>382</v>
      </c>
      <c r="AA115" s="12" t="s">
        <v>382</v>
      </c>
      <c r="AB115" s="12" t="s">
        <v>382</v>
      </c>
      <c r="AC115" s="12" t="s">
        <v>382</v>
      </c>
      <c r="AD115" s="12" t="s">
        <v>382</v>
      </c>
      <c r="AE115" s="12" t="s">
        <v>382</v>
      </c>
      <c r="AF115" s="12" t="s">
        <v>382</v>
      </c>
      <c r="AG115" s="12" t="s">
        <v>382</v>
      </c>
      <c r="AH115" s="12" t="s">
        <v>382</v>
      </c>
      <c r="AI115" s="277">
        <v>48416100</v>
      </c>
      <c r="AJ115" s="12" t="s">
        <v>382</v>
      </c>
      <c r="AK115" s="12" t="s">
        <v>382</v>
      </c>
      <c r="AL115" s="12" t="s">
        <v>382</v>
      </c>
      <c r="AM115" s="12" t="s">
        <v>382</v>
      </c>
    </row>
    <row r="116" spans="1:39">
      <c r="A116" s="6">
        <f t="shared" si="13"/>
        <v>111</v>
      </c>
      <c r="B116" s="259" t="s">
        <v>315</v>
      </c>
      <c r="C116" s="9">
        <v>5320607</v>
      </c>
      <c r="D116" s="277">
        <v>1460</v>
      </c>
      <c r="E116" s="108" t="s">
        <v>382</v>
      </c>
      <c r="F116" s="108" t="s">
        <v>382</v>
      </c>
      <c r="G116" s="108" t="s">
        <v>382</v>
      </c>
      <c r="H116" s="108" t="s">
        <v>382</v>
      </c>
      <c r="I116" s="108">
        <v>1.2</v>
      </c>
      <c r="J116" s="108" t="s">
        <v>382</v>
      </c>
      <c r="K116" s="108" t="s">
        <v>382</v>
      </c>
      <c r="L116" s="108">
        <v>1.1000000000000001</v>
      </c>
      <c r="M116" s="108">
        <v>1.1000000000000001</v>
      </c>
      <c r="N116" s="277">
        <v>13660000</v>
      </c>
      <c r="O116" s="277">
        <v>13660000</v>
      </c>
      <c r="P116" s="108">
        <v>1</v>
      </c>
      <c r="Q116" s="108">
        <v>1</v>
      </c>
      <c r="R116" s="277">
        <v>7630000</v>
      </c>
      <c r="S116" s="277">
        <v>7630000</v>
      </c>
      <c r="T116" s="108">
        <v>0.1</v>
      </c>
      <c r="U116" s="108">
        <v>0.1</v>
      </c>
      <c r="V116" s="277">
        <v>6030000</v>
      </c>
      <c r="W116" s="277">
        <v>6030000</v>
      </c>
      <c r="X116" s="12" t="s">
        <v>382</v>
      </c>
      <c r="Y116" s="12" t="s">
        <v>382</v>
      </c>
      <c r="Z116" s="12" t="s">
        <v>382</v>
      </c>
      <c r="AA116" s="12" t="s">
        <v>382</v>
      </c>
      <c r="AB116" s="12" t="s">
        <v>382</v>
      </c>
      <c r="AC116" s="12" t="s">
        <v>382</v>
      </c>
      <c r="AD116" s="12" t="s">
        <v>382</v>
      </c>
      <c r="AE116" s="12" t="s">
        <v>382</v>
      </c>
      <c r="AF116" s="12" t="s">
        <v>382</v>
      </c>
      <c r="AG116" s="12" t="s">
        <v>382</v>
      </c>
      <c r="AH116" s="277">
        <v>17555000</v>
      </c>
      <c r="AI116" s="277">
        <v>17555000</v>
      </c>
      <c r="AJ116" s="12" t="s">
        <v>382</v>
      </c>
      <c r="AK116" s="12" t="s">
        <v>382</v>
      </c>
      <c r="AL116" s="12" t="s">
        <v>382</v>
      </c>
      <c r="AM116" s="12" t="s">
        <v>382</v>
      </c>
    </row>
    <row r="117" spans="1:39">
      <c r="A117" s="186">
        <v>112</v>
      </c>
      <c r="B117" s="260" t="s">
        <v>316</v>
      </c>
      <c r="C117" s="9">
        <v>5586119</v>
      </c>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row>
    <row r="118" spans="1:39">
      <c r="A118" s="6">
        <v>113</v>
      </c>
      <c r="B118" s="259" t="s">
        <v>317</v>
      </c>
      <c r="C118" s="9">
        <v>5015243</v>
      </c>
      <c r="D118" s="108" t="s">
        <v>382</v>
      </c>
      <c r="E118" s="108" t="s">
        <v>382</v>
      </c>
      <c r="F118" s="108" t="s">
        <v>382</v>
      </c>
      <c r="G118" s="108" t="s">
        <v>382</v>
      </c>
      <c r="H118" s="108" t="s">
        <v>382</v>
      </c>
      <c r="I118" s="108" t="s">
        <v>382</v>
      </c>
      <c r="J118" s="108" t="s">
        <v>382</v>
      </c>
      <c r="K118" s="108" t="s">
        <v>382</v>
      </c>
      <c r="L118" s="108" t="s">
        <v>382</v>
      </c>
      <c r="M118" s="108" t="s">
        <v>382</v>
      </c>
      <c r="N118" s="108" t="s">
        <v>382</v>
      </c>
      <c r="O118" s="108" t="s">
        <v>382</v>
      </c>
      <c r="P118" s="108" t="s">
        <v>382</v>
      </c>
      <c r="Q118" s="108" t="s">
        <v>382</v>
      </c>
      <c r="R118" s="108" t="s">
        <v>382</v>
      </c>
      <c r="S118" s="108" t="s">
        <v>382</v>
      </c>
      <c r="T118" s="12" t="s">
        <v>382</v>
      </c>
      <c r="U118" s="12" t="s">
        <v>382</v>
      </c>
      <c r="V118" s="12" t="s">
        <v>382</v>
      </c>
      <c r="W118" s="12" t="s">
        <v>382</v>
      </c>
      <c r="X118" s="12" t="s">
        <v>382</v>
      </c>
      <c r="Y118" s="12" t="s">
        <v>382</v>
      </c>
      <c r="Z118" s="12" t="s">
        <v>382</v>
      </c>
      <c r="AA118" s="12" t="s">
        <v>382</v>
      </c>
      <c r="AB118" s="12" t="s">
        <v>382</v>
      </c>
      <c r="AC118" s="12" t="s">
        <v>382</v>
      </c>
      <c r="AD118" s="12" t="s">
        <v>382</v>
      </c>
      <c r="AE118" s="12" t="s">
        <v>382</v>
      </c>
      <c r="AF118" s="12" t="s">
        <v>382</v>
      </c>
      <c r="AG118" s="12" t="s">
        <v>382</v>
      </c>
      <c r="AH118" s="12" t="s">
        <v>382</v>
      </c>
      <c r="AI118" s="12" t="s">
        <v>382</v>
      </c>
      <c r="AJ118" s="12" t="s">
        <v>382</v>
      </c>
      <c r="AK118" s="12" t="s">
        <v>382</v>
      </c>
      <c r="AL118" s="12" t="s">
        <v>382</v>
      </c>
      <c r="AM118" s="12" t="s">
        <v>382</v>
      </c>
    </row>
    <row r="119" spans="1:39">
      <c r="A119" s="6">
        <v>114</v>
      </c>
      <c r="B119" s="259" t="s">
        <v>318</v>
      </c>
      <c r="C119" s="9">
        <v>5452503</v>
      </c>
      <c r="D119" s="108" t="s">
        <v>382</v>
      </c>
      <c r="E119" s="108" t="s">
        <v>382</v>
      </c>
      <c r="F119" s="108" t="s">
        <v>382</v>
      </c>
      <c r="G119" s="108" t="s">
        <v>382</v>
      </c>
      <c r="H119" s="108" t="s">
        <v>382</v>
      </c>
      <c r="I119" s="108" t="s">
        <v>382</v>
      </c>
      <c r="J119" s="108" t="s">
        <v>382</v>
      </c>
      <c r="K119" s="108" t="s">
        <v>382</v>
      </c>
      <c r="L119" s="108" t="s">
        <v>382</v>
      </c>
      <c r="M119" s="108" t="s">
        <v>382</v>
      </c>
      <c r="N119" s="108" t="s">
        <v>382</v>
      </c>
      <c r="O119" s="108" t="s">
        <v>382</v>
      </c>
      <c r="P119" s="108" t="s">
        <v>382</v>
      </c>
      <c r="Q119" s="108" t="s">
        <v>382</v>
      </c>
      <c r="R119" s="108" t="s">
        <v>382</v>
      </c>
      <c r="S119" s="108" t="s">
        <v>382</v>
      </c>
      <c r="T119" s="12" t="s">
        <v>382</v>
      </c>
      <c r="U119" s="12" t="s">
        <v>382</v>
      </c>
      <c r="V119" s="12" t="s">
        <v>382</v>
      </c>
      <c r="W119" s="12" t="s">
        <v>382</v>
      </c>
      <c r="X119" s="12" t="s">
        <v>382</v>
      </c>
      <c r="Y119" s="12" t="s">
        <v>382</v>
      </c>
      <c r="Z119" s="12" t="s">
        <v>382</v>
      </c>
      <c r="AA119" s="12" t="s">
        <v>382</v>
      </c>
      <c r="AB119" s="12" t="s">
        <v>382</v>
      </c>
      <c r="AC119" s="12" t="s">
        <v>382</v>
      </c>
      <c r="AD119" s="12" t="s">
        <v>382</v>
      </c>
      <c r="AE119" s="12" t="s">
        <v>382</v>
      </c>
      <c r="AF119" s="12" t="s">
        <v>382</v>
      </c>
      <c r="AG119" s="12" t="s">
        <v>382</v>
      </c>
      <c r="AH119" s="12" t="s">
        <v>382</v>
      </c>
      <c r="AI119" s="12" t="s">
        <v>382</v>
      </c>
      <c r="AJ119" s="12" t="s">
        <v>382</v>
      </c>
      <c r="AK119" s="12" t="s">
        <v>382</v>
      </c>
      <c r="AL119" s="12" t="s">
        <v>382</v>
      </c>
      <c r="AM119" s="12" t="s">
        <v>382</v>
      </c>
    </row>
    <row r="120" spans="1:39">
      <c r="A120" s="6">
        <f>A119+1</f>
        <v>115</v>
      </c>
      <c r="B120" s="259" t="s">
        <v>319</v>
      </c>
      <c r="C120" s="9">
        <v>2887746</v>
      </c>
      <c r="D120" s="277">
        <v>2962</v>
      </c>
      <c r="E120" s="277">
        <v>2962</v>
      </c>
      <c r="F120" s="108" t="s">
        <v>382</v>
      </c>
      <c r="G120" s="108" t="s">
        <v>382</v>
      </c>
      <c r="H120" s="108">
        <v>11.95</v>
      </c>
      <c r="I120" s="108">
        <v>11.95</v>
      </c>
      <c r="J120" s="108" t="s">
        <v>382</v>
      </c>
      <c r="K120" s="108" t="s">
        <v>382</v>
      </c>
      <c r="L120" s="108">
        <v>20</v>
      </c>
      <c r="M120" s="108" t="s">
        <v>382</v>
      </c>
      <c r="N120" s="108" t="s">
        <v>382</v>
      </c>
      <c r="O120" s="108" t="s">
        <v>382</v>
      </c>
      <c r="P120" s="108">
        <v>20</v>
      </c>
      <c r="Q120" s="108" t="s">
        <v>382</v>
      </c>
      <c r="R120" s="108" t="s">
        <v>382</v>
      </c>
      <c r="S120" s="108" t="s">
        <v>382</v>
      </c>
      <c r="T120" s="12" t="s">
        <v>382</v>
      </c>
      <c r="U120" s="12" t="s">
        <v>382</v>
      </c>
      <c r="V120" s="12" t="s">
        <v>382</v>
      </c>
      <c r="W120" s="12" t="s">
        <v>382</v>
      </c>
      <c r="X120" s="12" t="s">
        <v>382</v>
      </c>
      <c r="Y120" s="12" t="s">
        <v>382</v>
      </c>
      <c r="Z120" s="12" t="s">
        <v>382</v>
      </c>
      <c r="AA120" s="12" t="s">
        <v>382</v>
      </c>
      <c r="AB120" s="108">
        <v>5</v>
      </c>
      <c r="AC120" s="108">
        <v>5</v>
      </c>
      <c r="AD120" s="277">
        <v>50000000</v>
      </c>
      <c r="AE120" s="277">
        <v>50000000</v>
      </c>
      <c r="AF120" s="12" t="s">
        <v>382</v>
      </c>
      <c r="AG120" s="12" t="s">
        <v>382</v>
      </c>
      <c r="AH120" s="277">
        <v>162000000</v>
      </c>
      <c r="AI120" s="277">
        <v>246400000</v>
      </c>
      <c r="AJ120" s="12" t="s">
        <v>382</v>
      </c>
      <c r="AK120" s="12" t="s">
        <v>382</v>
      </c>
      <c r="AL120" s="12" t="s">
        <v>382</v>
      </c>
      <c r="AM120" s="12" t="s">
        <v>382</v>
      </c>
    </row>
    <row r="121" spans="1:39">
      <c r="A121" s="6">
        <v>116</v>
      </c>
      <c r="B121" s="259" t="s">
        <v>320</v>
      </c>
      <c r="C121" s="9">
        <v>5618339</v>
      </c>
      <c r="D121" s="191">
        <v>6664.61</v>
      </c>
      <c r="E121" s="108" t="s">
        <v>382</v>
      </c>
      <c r="F121" s="108" t="s">
        <v>382</v>
      </c>
      <c r="G121" s="108" t="s">
        <v>382</v>
      </c>
      <c r="H121" s="108">
        <v>53</v>
      </c>
      <c r="I121" s="108">
        <v>51.58</v>
      </c>
      <c r="J121" s="108" t="s">
        <v>382</v>
      </c>
      <c r="K121" s="108" t="s">
        <v>382</v>
      </c>
      <c r="L121" s="108" t="s">
        <v>382</v>
      </c>
      <c r="M121" s="108" t="s">
        <v>382</v>
      </c>
      <c r="N121" s="108" t="s">
        <v>382</v>
      </c>
      <c r="O121" s="108" t="s">
        <v>382</v>
      </c>
      <c r="P121" s="108" t="s">
        <v>382</v>
      </c>
      <c r="Q121" s="108" t="s">
        <v>382</v>
      </c>
      <c r="R121" s="108" t="s">
        <v>382</v>
      </c>
      <c r="S121" s="108" t="s">
        <v>382</v>
      </c>
      <c r="T121" s="12" t="s">
        <v>382</v>
      </c>
      <c r="U121" s="12" t="s">
        <v>382</v>
      </c>
      <c r="V121" s="12" t="s">
        <v>382</v>
      </c>
      <c r="W121" s="12" t="s">
        <v>382</v>
      </c>
      <c r="X121" s="12" t="s">
        <v>382</v>
      </c>
      <c r="Y121" s="12" t="s">
        <v>382</v>
      </c>
      <c r="Z121" s="12" t="s">
        <v>382</v>
      </c>
      <c r="AA121" s="12" t="s">
        <v>382</v>
      </c>
      <c r="AB121" s="12" t="s">
        <v>382</v>
      </c>
      <c r="AC121" s="12" t="s">
        <v>382</v>
      </c>
      <c r="AD121" s="12" t="s">
        <v>382</v>
      </c>
      <c r="AE121" s="12" t="s">
        <v>382</v>
      </c>
      <c r="AF121" s="12" t="s">
        <v>382</v>
      </c>
      <c r="AG121" s="12" t="s">
        <v>382</v>
      </c>
      <c r="AH121" s="277">
        <v>56220000</v>
      </c>
      <c r="AI121" s="12" t="s">
        <v>382</v>
      </c>
      <c r="AJ121" s="12" t="s">
        <v>382</v>
      </c>
      <c r="AK121" s="12" t="s">
        <v>382</v>
      </c>
      <c r="AL121" s="12" t="s">
        <v>382</v>
      </c>
      <c r="AM121" s="12" t="s">
        <v>382</v>
      </c>
    </row>
    <row r="122" spans="1:39">
      <c r="A122" s="6">
        <f t="shared" ref="A122:A123" si="14">A121+1</f>
        <v>117</v>
      </c>
      <c r="B122" s="259" t="s">
        <v>321</v>
      </c>
      <c r="C122" s="9">
        <v>2718243</v>
      </c>
      <c r="D122" s="108">
        <v>4.95</v>
      </c>
      <c r="E122" s="108" t="s">
        <v>382</v>
      </c>
      <c r="F122" s="108" t="s">
        <v>382</v>
      </c>
      <c r="G122" s="108" t="s">
        <v>382</v>
      </c>
      <c r="H122" s="108">
        <v>19.489999999999998</v>
      </c>
      <c r="I122" s="108">
        <v>19.489999999999998</v>
      </c>
      <c r="J122" s="108" t="s">
        <v>382</v>
      </c>
      <c r="K122" s="108" t="s">
        <v>382</v>
      </c>
      <c r="L122" s="108" t="s">
        <v>382</v>
      </c>
      <c r="M122" s="108">
        <v>8.7999999999999995E-2</v>
      </c>
      <c r="N122" s="108" t="s">
        <v>382</v>
      </c>
      <c r="O122" s="191">
        <v>10102170.539999999</v>
      </c>
      <c r="P122" s="108" t="s">
        <v>382</v>
      </c>
      <c r="Q122" s="108">
        <v>8.7999999999999995E-2</v>
      </c>
      <c r="R122" s="108" t="s">
        <v>382</v>
      </c>
      <c r="S122" s="191">
        <v>10102170.539999999</v>
      </c>
      <c r="T122" s="12" t="s">
        <v>382</v>
      </c>
      <c r="U122" s="12" t="s">
        <v>382</v>
      </c>
      <c r="V122" s="12" t="s">
        <v>382</v>
      </c>
      <c r="W122" s="12" t="s">
        <v>382</v>
      </c>
      <c r="X122" s="12" t="s">
        <v>382</v>
      </c>
      <c r="Y122" s="12" t="s">
        <v>382</v>
      </c>
      <c r="Z122" s="12" t="s">
        <v>382</v>
      </c>
      <c r="AA122" s="12" t="s">
        <v>382</v>
      </c>
      <c r="AB122" s="12" t="s">
        <v>382</v>
      </c>
      <c r="AC122" s="12" t="s">
        <v>382</v>
      </c>
      <c r="AD122" s="12" t="s">
        <v>382</v>
      </c>
      <c r="AE122" s="12" t="s">
        <v>382</v>
      </c>
      <c r="AF122" s="12" t="s">
        <v>382</v>
      </c>
      <c r="AG122" s="12" t="s">
        <v>382</v>
      </c>
      <c r="AH122" s="277">
        <v>71925000</v>
      </c>
      <c r="AI122" s="277">
        <v>71925000</v>
      </c>
      <c r="AJ122" s="12" t="s">
        <v>382</v>
      </c>
      <c r="AK122" s="12" t="s">
        <v>382</v>
      </c>
      <c r="AL122" s="12" t="s">
        <v>382</v>
      </c>
      <c r="AM122" s="12" t="s">
        <v>382</v>
      </c>
    </row>
    <row r="123" spans="1:39">
      <c r="A123" s="6">
        <f t="shared" si="14"/>
        <v>118</v>
      </c>
      <c r="B123" s="259" t="s">
        <v>322</v>
      </c>
      <c r="C123" s="9">
        <v>6896197</v>
      </c>
      <c r="D123" s="108" t="s">
        <v>382</v>
      </c>
      <c r="E123" s="108" t="s">
        <v>382</v>
      </c>
      <c r="F123" s="108" t="s">
        <v>382</v>
      </c>
      <c r="G123" s="108" t="s">
        <v>382</v>
      </c>
      <c r="H123" s="108" t="s">
        <v>382</v>
      </c>
      <c r="I123" s="108" t="s">
        <v>382</v>
      </c>
      <c r="J123" s="108" t="s">
        <v>382</v>
      </c>
      <c r="K123" s="108" t="s">
        <v>382</v>
      </c>
      <c r="L123" s="108" t="s">
        <v>382</v>
      </c>
      <c r="M123" s="108" t="s">
        <v>382</v>
      </c>
      <c r="N123" s="108" t="s">
        <v>382</v>
      </c>
      <c r="O123" s="108" t="s">
        <v>382</v>
      </c>
      <c r="P123" s="108" t="s">
        <v>382</v>
      </c>
      <c r="Q123" s="108">
        <v>1</v>
      </c>
      <c r="R123" s="277">
        <v>1000000</v>
      </c>
      <c r="S123" s="277">
        <v>1000000</v>
      </c>
      <c r="T123" s="12" t="s">
        <v>382</v>
      </c>
      <c r="U123" s="12" t="s">
        <v>382</v>
      </c>
      <c r="V123" s="12" t="s">
        <v>382</v>
      </c>
      <c r="W123" s="12" t="s">
        <v>382</v>
      </c>
      <c r="X123" s="12" t="s">
        <v>382</v>
      </c>
      <c r="Y123" s="12" t="s">
        <v>382</v>
      </c>
      <c r="Z123" s="12" t="s">
        <v>382</v>
      </c>
      <c r="AA123" s="12" t="s">
        <v>382</v>
      </c>
      <c r="AB123" s="12" t="s">
        <v>382</v>
      </c>
      <c r="AC123" s="12" t="s">
        <v>382</v>
      </c>
      <c r="AD123" s="12" t="s">
        <v>382</v>
      </c>
      <c r="AE123" s="12" t="s">
        <v>382</v>
      </c>
      <c r="AF123" s="12" t="s">
        <v>382</v>
      </c>
      <c r="AG123" s="12" t="s">
        <v>382</v>
      </c>
      <c r="AH123" s="12" t="s">
        <v>382</v>
      </c>
      <c r="AI123" s="277">
        <v>1450000</v>
      </c>
      <c r="AJ123" s="12" t="s">
        <v>382</v>
      </c>
      <c r="AK123" s="12" t="s">
        <v>382</v>
      </c>
      <c r="AL123" s="12" t="s">
        <v>382</v>
      </c>
      <c r="AM123" s="277">
        <v>1450000</v>
      </c>
    </row>
    <row r="124" spans="1:39">
      <c r="A124" s="6">
        <v>119</v>
      </c>
      <c r="B124" s="259" t="s">
        <v>323</v>
      </c>
      <c r="C124" s="9">
        <v>5435528</v>
      </c>
      <c r="D124" s="108"/>
      <c r="E124" s="191">
        <v>12092.8</v>
      </c>
      <c r="F124" s="191">
        <v>2734802279.5</v>
      </c>
      <c r="G124" s="191">
        <v>2681503705.5</v>
      </c>
      <c r="H124" s="108">
        <v>832.5</v>
      </c>
      <c r="I124" s="108">
        <v>90.72</v>
      </c>
      <c r="J124" s="108" t="s">
        <v>382</v>
      </c>
      <c r="K124" s="108" t="s">
        <v>382</v>
      </c>
      <c r="L124" s="108">
        <v>2</v>
      </c>
      <c r="M124" s="108">
        <v>5</v>
      </c>
      <c r="N124" s="277">
        <v>26000000</v>
      </c>
      <c r="O124" s="108" t="s">
        <v>382</v>
      </c>
      <c r="P124" s="108">
        <v>2</v>
      </c>
      <c r="Q124" s="108">
        <v>5</v>
      </c>
      <c r="R124" s="277">
        <v>26000000</v>
      </c>
      <c r="S124" s="108" t="s">
        <v>382</v>
      </c>
      <c r="T124" s="12" t="s">
        <v>382</v>
      </c>
      <c r="U124" s="12" t="s">
        <v>382</v>
      </c>
      <c r="V124" s="12" t="s">
        <v>382</v>
      </c>
      <c r="W124" s="12" t="s">
        <v>382</v>
      </c>
      <c r="X124" s="12" t="s">
        <v>382</v>
      </c>
      <c r="Y124" s="12" t="s">
        <v>382</v>
      </c>
      <c r="Z124" s="12" t="s">
        <v>382</v>
      </c>
      <c r="AA124" s="12" t="s">
        <v>382</v>
      </c>
      <c r="AB124" s="12" t="s">
        <v>382</v>
      </c>
      <c r="AC124" s="12" t="s">
        <v>382</v>
      </c>
      <c r="AD124" s="12" t="s">
        <v>382</v>
      </c>
      <c r="AE124" s="12" t="s">
        <v>382</v>
      </c>
      <c r="AF124" s="12" t="s">
        <v>382</v>
      </c>
      <c r="AG124" s="12" t="s">
        <v>382</v>
      </c>
      <c r="AH124" s="12" t="s">
        <v>382</v>
      </c>
      <c r="AI124" s="12" t="s">
        <v>382</v>
      </c>
      <c r="AJ124" s="12" t="s">
        <v>382</v>
      </c>
      <c r="AK124" s="12" t="s">
        <v>382</v>
      </c>
      <c r="AL124" s="12" t="s">
        <v>382</v>
      </c>
      <c r="AM124" s="12" t="s">
        <v>382</v>
      </c>
    </row>
    <row r="125" spans="1:39">
      <c r="A125" s="186">
        <v>120</v>
      </c>
      <c r="B125" s="260" t="s">
        <v>324</v>
      </c>
      <c r="C125" s="9">
        <v>5824826</v>
      </c>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row>
    <row r="126" spans="1:39">
      <c r="A126" s="6">
        <v>121</v>
      </c>
      <c r="B126" s="259" t="s">
        <v>325</v>
      </c>
      <c r="C126" s="9">
        <v>6141536</v>
      </c>
      <c r="D126" s="108" t="s">
        <v>382</v>
      </c>
      <c r="E126" s="108" t="s">
        <v>382</v>
      </c>
      <c r="F126" s="108" t="s">
        <v>382</v>
      </c>
      <c r="G126" s="108" t="s">
        <v>382</v>
      </c>
      <c r="H126" s="108" t="s">
        <v>382</v>
      </c>
      <c r="I126" s="108" t="s">
        <v>382</v>
      </c>
      <c r="J126" s="108" t="s">
        <v>382</v>
      </c>
      <c r="K126" s="108" t="s">
        <v>382</v>
      </c>
      <c r="L126" s="108" t="s">
        <v>382</v>
      </c>
      <c r="M126" s="108" t="s">
        <v>382</v>
      </c>
      <c r="N126" s="108" t="s">
        <v>382</v>
      </c>
      <c r="O126" s="108" t="s">
        <v>382</v>
      </c>
      <c r="P126" s="108" t="s">
        <v>382</v>
      </c>
      <c r="Q126" s="108" t="s">
        <v>382</v>
      </c>
      <c r="R126" s="108" t="s">
        <v>382</v>
      </c>
      <c r="S126" s="108" t="s">
        <v>382</v>
      </c>
      <c r="T126" s="12" t="s">
        <v>382</v>
      </c>
      <c r="U126" s="12" t="s">
        <v>382</v>
      </c>
      <c r="V126" s="12" t="s">
        <v>382</v>
      </c>
      <c r="W126" s="12" t="s">
        <v>382</v>
      </c>
      <c r="X126" s="12" t="s">
        <v>382</v>
      </c>
      <c r="Y126" s="12" t="s">
        <v>382</v>
      </c>
      <c r="Z126" s="12" t="s">
        <v>382</v>
      </c>
      <c r="AA126" s="12" t="s">
        <v>382</v>
      </c>
      <c r="AB126" s="12" t="s">
        <v>382</v>
      </c>
      <c r="AC126" s="12" t="s">
        <v>382</v>
      </c>
      <c r="AD126" s="12" t="s">
        <v>382</v>
      </c>
      <c r="AE126" s="12" t="s">
        <v>382</v>
      </c>
      <c r="AF126" s="12" t="s">
        <v>382</v>
      </c>
      <c r="AG126" s="12" t="s">
        <v>382</v>
      </c>
      <c r="AH126" s="12" t="s">
        <v>382</v>
      </c>
      <c r="AI126" s="12" t="s">
        <v>382</v>
      </c>
      <c r="AJ126" s="12" t="s">
        <v>382</v>
      </c>
      <c r="AK126" s="12" t="s">
        <v>382</v>
      </c>
      <c r="AL126" s="12" t="s">
        <v>382</v>
      </c>
      <c r="AM126" s="12" t="s">
        <v>382</v>
      </c>
    </row>
    <row r="127" spans="1:39">
      <c r="A127" s="6">
        <f t="shared" ref="A127:A128" si="15">A126+1</f>
        <v>122</v>
      </c>
      <c r="B127" s="279" t="s">
        <v>326</v>
      </c>
      <c r="C127" s="9">
        <v>5124913</v>
      </c>
      <c r="D127" s="108" t="s">
        <v>382</v>
      </c>
      <c r="E127" s="108" t="s">
        <v>382</v>
      </c>
      <c r="F127" s="108" t="s">
        <v>382</v>
      </c>
      <c r="G127" s="108" t="s">
        <v>382</v>
      </c>
      <c r="H127" s="108"/>
      <c r="I127" s="191">
        <v>1853.3</v>
      </c>
      <c r="J127" s="108" t="s">
        <v>382</v>
      </c>
      <c r="K127" s="108" t="s">
        <v>382</v>
      </c>
      <c r="L127" s="108" t="s">
        <v>382</v>
      </c>
      <c r="M127" s="108">
        <v>21</v>
      </c>
      <c r="N127" s="108" t="s">
        <v>382</v>
      </c>
      <c r="O127" s="108" t="s">
        <v>382</v>
      </c>
      <c r="P127" s="108" t="s">
        <v>382</v>
      </c>
      <c r="Q127" s="108">
        <v>18</v>
      </c>
      <c r="R127" s="108" t="s">
        <v>382</v>
      </c>
      <c r="S127" s="108" t="s">
        <v>382</v>
      </c>
      <c r="T127" s="12" t="s">
        <v>382</v>
      </c>
      <c r="U127" s="108">
        <v>3</v>
      </c>
      <c r="V127" s="12" t="s">
        <v>382</v>
      </c>
      <c r="W127" s="12" t="s">
        <v>382</v>
      </c>
      <c r="X127" s="277">
        <v>1716000</v>
      </c>
      <c r="Y127" s="277">
        <v>2606000</v>
      </c>
      <c r="Z127" s="12" t="s">
        <v>382</v>
      </c>
      <c r="AA127" s="12" t="s">
        <v>382</v>
      </c>
      <c r="AB127" s="108">
        <v>7.5</v>
      </c>
      <c r="AC127" s="108">
        <v>2.2999999999999998</v>
      </c>
      <c r="AD127" s="12" t="s">
        <v>382</v>
      </c>
      <c r="AE127" s="12" t="s">
        <v>382</v>
      </c>
      <c r="AF127" s="12" t="s">
        <v>382</v>
      </c>
      <c r="AG127" s="12" t="s">
        <v>382</v>
      </c>
      <c r="AH127" s="277">
        <v>97000000</v>
      </c>
      <c r="AI127" s="277">
        <v>72700000</v>
      </c>
      <c r="AJ127" s="12" t="s">
        <v>382</v>
      </c>
      <c r="AK127" s="12" t="s">
        <v>382</v>
      </c>
      <c r="AL127" s="12" t="s">
        <v>382</v>
      </c>
      <c r="AM127" s="12" t="s">
        <v>382</v>
      </c>
    </row>
    <row r="128" spans="1:39">
      <c r="A128" s="6">
        <f t="shared" si="15"/>
        <v>123</v>
      </c>
      <c r="B128" s="259" t="s">
        <v>327</v>
      </c>
      <c r="C128" s="9">
        <v>2074192</v>
      </c>
      <c r="D128" s="191">
        <v>2540.91</v>
      </c>
      <c r="E128" s="108" t="s">
        <v>382</v>
      </c>
      <c r="F128" s="108" t="s">
        <v>382</v>
      </c>
      <c r="G128" s="108" t="s">
        <v>382</v>
      </c>
      <c r="H128" s="191">
        <v>1955.7</v>
      </c>
      <c r="I128" s="108" t="s">
        <v>382</v>
      </c>
      <c r="J128" s="108" t="s">
        <v>382</v>
      </c>
      <c r="K128" s="108" t="s">
        <v>382</v>
      </c>
      <c r="L128" s="108">
        <v>3.9</v>
      </c>
      <c r="M128" s="108">
        <v>3.9</v>
      </c>
      <c r="N128" s="108" t="s">
        <v>382</v>
      </c>
      <c r="O128" s="108" t="s">
        <v>382</v>
      </c>
      <c r="P128" s="108" t="s">
        <v>382</v>
      </c>
      <c r="Q128" s="108" t="s">
        <v>382</v>
      </c>
      <c r="R128" s="108" t="s">
        <v>382</v>
      </c>
      <c r="S128" s="108" t="s">
        <v>382</v>
      </c>
      <c r="T128" s="108">
        <v>3.9</v>
      </c>
      <c r="U128" s="108">
        <v>3.9</v>
      </c>
      <c r="V128" s="277">
        <v>80000000</v>
      </c>
      <c r="W128" s="277">
        <v>79947900</v>
      </c>
      <c r="X128" s="12" t="s">
        <v>382</v>
      </c>
      <c r="Y128" s="12" t="s">
        <v>382</v>
      </c>
      <c r="Z128" s="12" t="s">
        <v>382</v>
      </c>
      <c r="AA128" s="12" t="s">
        <v>382</v>
      </c>
      <c r="AB128" s="277">
        <v>1230</v>
      </c>
      <c r="AC128" s="277">
        <v>1196</v>
      </c>
      <c r="AD128" s="277">
        <v>15000000000</v>
      </c>
      <c r="AE128" s="277">
        <v>13700337197</v>
      </c>
      <c r="AF128" s="12" t="s">
        <v>382</v>
      </c>
      <c r="AG128" s="12" t="s">
        <v>382</v>
      </c>
      <c r="AH128" s="277">
        <v>585000000</v>
      </c>
      <c r="AI128" s="277">
        <v>585000000</v>
      </c>
      <c r="AJ128" s="12" t="s">
        <v>382</v>
      </c>
      <c r="AK128" s="12" t="s">
        <v>382</v>
      </c>
      <c r="AL128" s="12" t="s">
        <v>382</v>
      </c>
      <c r="AM128" s="12" t="s">
        <v>382</v>
      </c>
    </row>
    <row r="129" spans="1:39">
      <c r="A129" s="186">
        <v>124</v>
      </c>
      <c r="B129" s="260" t="s">
        <v>331</v>
      </c>
      <c r="C129" s="9">
        <v>2861224</v>
      </c>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row>
    <row r="130" spans="1:39">
      <c r="A130" s="6">
        <f>A129+1</f>
        <v>125</v>
      </c>
      <c r="B130" s="259" t="s">
        <v>332</v>
      </c>
      <c r="C130" s="9">
        <v>5137977</v>
      </c>
      <c r="D130" s="108" t="s">
        <v>382</v>
      </c>
      <c r="E130" s="108" t="s">
        <v>382</v>
      </c>
      <c r="F130" s="108" t="s">
        <v>382</v>
      </c>
      <c r="G130" s="108" t="s">
        <v>382</v>
      </c>
      <c r="H130" s="108" t="s">
        <v>382</v>
      </c>
      <c r="I130" s="108" t="s">
        <v>382</v>
      </c>
      <c r="J130" s="108" t="s">
        <v>382</v>
      </c>
      <c r="K130" s="108" t="s">
        <v>382</v>
      </c>
      <c r="L130" s="108" t="s">
        <v>382</v>
      </c>
      <c r="M130" s="108" t="s">
        <v>382</v>
      </c>
      <c r="N130" s="108" t="s">
        <v>382</v>
      </c>
      <c r="O130" s="108" t="s">
        <v>382</v>
      </c>
      <c r="P130" s="108" t="s">
        <v>382</v>
      </c>
      <c r="Q130" s="108" t="s">
        <v>382</v>
      </c>
      <c r="R130" s="108" t="s">
        <v>382</v>
      </c>
      <c r="S130" s="108" t="s">
        <v>382</v>
      </c>
      <c r="T130" s="12" t="s">
        <v>382</v>
      </c>
      <c r="U130" s="12" t="s">
        <v>382</v>
      </c>
      <c r="V130" s="12" t="s">
        <v>382</v>
      </c>
      <c r="W130" s="12" t="s">
        <v>382</v>
      </c>
      <c r="X130" s="12" t="s">
        <v>382</v>
      </c>
      <c r="Y130" s="12" t="s">
        <v>382</v>
      </c>
      <c r="Z130" s="12" t="s">
        <v>382</v>
      </c>
      <c r="AA130" s="12" t="s">
        <v>382</v>
      </c>
      <c r="AB130" s="12" t="s">
        <v>382</v>
      </c>
      <c r="AC130" s="12" t="s">
        <v>382</v>
      </c>
      <c r="AD130" s="12" t="s">
        <v>382</v>
      </c>
      <c r="AE130" s="12" t="s">
        <v>382</v>
      </c>
      <c r="AF130" s="12" t="s">
        <v>382</v>
      </c>
      <c r="AG130" s="12" t="s">
        <v>382</v>
      </c>
      <c r="AH130" s="277">
        <v>1000000</v>
      </c>
      <c r="AI130" s="277">
        <v>1000000</v>
      </c>
      <c r="AJ130" s="12" t="s">
        <v>382</v>
      </c>
      <c r="AK130" s="12" t="s">
        <v>382</v>
      </c>
      <c r="AL130" s="12" t="s">
        <v>382</v>
      </c>
      <c r="AM130" s="12" t="s">
        <v>382</v>
      </c>
    </row>
    <row r="131" spans="1:39">
      <c r="AI131" s="406">
        <f>SUM(AI8:AI130)</f>
        <v>4315763981</v>
      </c>
    </row>
  </sheetData>
  <mergeCells count="14">
    <mergeCell ref="X3:AA4"/>
    <mergeCell ref="AB3:AE4"/>
    <mergeCell ref="AF3:AI4"/>
    <mergeCell ref="AJ3:AM4"/>
    <mergeCell ref="T4:W4"/>
    <mergeCell ref="A1:P1"/>
    <mergeCell ref="A3:A5"/>
    <mergeCell ref="C3:C5"/>
    <mergeCell ref="B3:B5"/>
    <mergeCell ref="P4:S4"/>
    <mergeCell ref="D3:G4"/>
    <mergeCell ref="H3:K4"/>
    <mergeCell ref="L4:O4"/>
    <mergeCell ref="L3:W3"/>
  </mergeCells>
  <conditionalFormatting sqref="B6">
    <cfRule type="duplicateValues" dxfId="365" priority="28"/>
  </conditionalFormatting>
  <conditionalFormatting sqref="B7:B21">
    <cfRule type="duplicateValues" dxfId="364" priority="17"/>
  </conditionalFormatting>
  <conditionalFormatting sqref="B22">
    <cfRule type="duplicateValues" dxfId="363" priority="19"/>
  </conditionalFormatting>
  <conditionalFormatting sqref="B23:B35">
    <cfRule type="duplicateValues" dxfId="362" priority="16"/>
  </conditionalFormatting>
  <conditionalFormatting sqref="B36:B55">
    <cfRule type="duplicateValues" dxfId="361" priority="15"/>
  </conditionalFormatting>
  <conditionalFormatting sqref="B56">
    <cfRule type="duplicateValues" dxfId="360" priority="18"/>
  </conditionalFormatting>
  <conditionalFormatting sqref="B57:B85">
    <cfRule type="duplicateValues" dxfId="359" priority="12"/>
  </conditionalFormatting>
  <conditionalFormatting sqref="B86">
    <cfRule type="duplicateValues" dxfId="358" priority="10"/>
  </conditionalFormatting>
  <conditionalFormatting sqref="B87:B90">
    <cfRule type="duplicateValues" dxfId="357" priority="11"/>
  </conditionalFormatting>
  <conditionalFormatting sqref="B91">
    <cfRule type="duplicateValues" dxfId="356" priority="13"/>
  </conditionalFormatting>
  <conditionalFormatting sqref="B92:B130">
    <cfRule type="duplicateValues" dxfId="355" priority="14"/>
  </conditionalFormatting>
  <conditionalFormatting sqref="C6">
    <cfRule type="duplicateValues" dxfId="354" priority="37"/>
  </conditionalFormatting>
  <conditionalFormatting sqref="C36:C85">
    <cfRule type="duplicateValues" dxfId="353" priority="8"/>
  </conditionalFormatting>
  <conditionalFormatting sqref="C86">
    <cfRule type="duplicateValues" dxfId="352" priority="7"/>
  </conditionalFormatting>
  <conditionalFormatting sqref="C87">
    <cfRule type="duplicateValues" dxfId="351" priority="6"/>
  </conditionalFormatting>
  <conditionalFormatting sqref="C88">
    <cfRule type="duplicateValues" dxfId="350" priority="5"/>
  </conditionalFormatting>
  <conditionalFormatting sqref="C89">
    <cfRule type="duplicateValues" dxfId="349" priority="4"/>
  </conditionalFormatting>
  <conditionalFormatting sqref="C90">
    <cfRule type="duplicateValues" dxfId="348" priority="3"/>
  </conditionalFormatting>
  <conditionalFormatting sqref="C91 C7:C35">
    <cfRule type="duplicateValues" dxfId="347" priority="9"/>
  </conditionalFormatting>
  <conditionalFormatting sqref="C92:C130">
    <cfRule type="duplicateValues" dxfId="346" priority="20"/>
  </conditionalFormatting>
  <pageMargins left="0.7" right="0.7" top="0.75" bottom="0.75" header="0.3" footer="0.3"/>
  <pageSetup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0DFB-EE12-4F1B-B070-7947776FAFF3}">
  <sheetPr>
    <tabColor rgb="FF006432"/>
  </sheetPr>
  <dimension ref="A1:L128"/>
  <sheetViews>
    <sheetView workbookViewId="0">
      <pane ySplit="3" topLeftCell="A4" activePane="bottomLeft" state="frozen"/>
      <selection pane="bottomLeft" activeCell="H26" sqref="H26"/>
    </sheetView>
  </sheetViews>
  <sheetFormatPr defaultRowHeight="15"/>
  <cols>
    <col min="1" max="1" width="4.42578125" customWidth="1"/>
    <col min="2" max="2" width="23.28515625" customWidth="1"/>
    <col min="3" max="3" width="14.7109375" customWidth="1"/>
    <col min="4" max="4" width="12.42578125" customWidth="1"/>
    <col min="5" max="5" width="11.28515625" customWidth="1"/>
    <col min="6" max="6" width="12" customWidth="1"/>
  </cols>
  <sheetData>
    <row r="1" spans="1:12" ht="16.5" thickBot="1">
      <c r="A1" s="26" t="s">
        <v>8973</v>
      </c>
      <c r="B1" s="26"/>
      <c r="C1" s="26"/>
      <c r="D1" s="26"/>
      <c r="E1" s="26"/>
      <c r="F1" s="26"/>
    </row>
    <row r="2" spans="1:12" ht="9" customHeight="1" thickTop="1"/>
    <row r="3" spans="1:12">
      <c r="A3" s="17" t="s">
        <v>114</v>
      </c>
      <c r="B3" s="19" t="s">
        <v>690</v>
      </c>
      <c r="C3" s="17" t="s">
        <v>116</v>
      </c>
      <c r="D3" s="18" t="s">
        <v>8974</v>
      </c>
      <c r="E3" s="18" t="s">
        <v>5830</v>
      </c>
      <c r="F3" s="18" t="s">
        <v>8975</v>
      </c>
    </row>
    <row r="4" spans="1:12">
      <c r="A4" s="10">
        <v>1</v>
      </c>
      <c r="B4" s="20" t="s">
        <v>121</v>
      </c>
      <c r="C4" s="9">
        <v>2011239</v>
      </c>
      <c r="D4" s="224" t="s">
        <v>640</v>
      </c>
      <c r="E4" s="6"/>
      <c r="F4" s="6"/>
    </row>
    <row r="5" spans="1:12">
      <c r="A5" s="10">
        <f>A4+1</f>
        <v>2</v>
      </c>
      <c r="B5" s="20" t="s">
        <v>126</v>
      </c>
      <c r="C5" s="9">
        <v>5097517</v>
      </c>
      <c r="D5" s="6"/>
      <c r="E5" s="6"/>
      <c r="F5" s="224" t="s">
        <v>640</v>
      </c>
    </row>
    <row r="6" spans="1:12" ht="15.75" thickBot="1">
      <c r="A6" s="10">
        <f t="shared" ref="A6:A69" si="0">A5+1</f>
        <v>3</v>
      </c>
      <c r="B6" s="20" t="s">
        <v>131</v>
      </c>
      <c r="C6" s="9">
        <v>5809797</v>
      </c>
      <c r="D6" s="357"/>
      <c r="E6" s="357"/>
      <c r="F6" s="357" t="s">
        <v>640</v>
      </c>
      <c r="H6" s="361">
        <v>6</v>
      </c>
      <c r="I6" s="564" t="s">
        <v>8976</v>
      </c>
      <c r="J6" s="564"/>
      <c r="K6" s="565"/>
    </row>
    <row r="7" spans="1:12" ht="15.75" thickTop="1">
      <c r="A7" s="10">
        <f t="shared" si="0"/>
        <v>4</v>
      </c>
      <c r="B7" s="20" t="s">
        <v>133</v>
      </c>
      <c r="C7" s="9">
        <v>5118344</v>
      </c>
      <c r="D7" s="224" t="s">
        <v>640</v>
      </c>
      <c r="E7" s="6"/>
      <c r="F7" s="6"/>
      <c r="H7" s="362">
        <v>18</v>
      </c>
      <c r="I7" s="566" t="s">
        <v>8977</v>
      </c>
      <c r="J7" s="566"/>
      <c r="K7" s="567"/>
      <c r="L7" s="107"/>
    </row>
    <row r="8" spans="1:12">
      <c r="A8" s="10">
        <f t="shared" si="0"/>
        <v>5</v>
      </c>
      <c r="B8" s="20" t="s">
        <v>136</v>
      </c>
      <c r="C8" s="9">
        <v>5095549</v>
      </c>
      <c r="D8" s="356"/>
      <c r="E8" s="356"/>
      <c r="F8" s="356" t="s">
        <v>640</v>
      </c>
      <c r="L8" s="107" t="s">
        <v>8978</v>
      </c>
    </row>
    <row r="9" spans="1:12">
      <c r="A9" s="10">
        <f t="shared" si="0"/>
        <v>6</v>
      </c>
      <c r="B9" s="20" t="s">
        <v>140</v>
      </c>
      <c r="C9" s="9">
        <v>2784165</v>
      </c>
      <c r="D9" s="224" t="s">
        <v>640</v>
      </c>
      <c r="E9" s="6"/>
      <c r="F9" s="6"/>
    </row>
    <row r="10" spans="1:12">
      <c r="A10" s="10">
        <f t="shared" si="0"/>
        <v>7</v>
      </c>
      <c r="B10" s="20" t="s">
        <v>143</v>
      </c>
      <c r="C10" s="9">
        <v>5133351</v>
      </c>
      <c r="D10" s="224" t="s">
        <v>640</v>
      </c>
      <c r="E10" s="6"/>
      <c r="F10" s="6"/>
    </row>
    <row r="11" spans="1:12">
      <c r="A11" s="10">
        <f t="shared" si="0"/>
        <v>8</v>
      </c>
      <c r="B11" s="20" t="s">
        <v>144</v>
      </c>
      <c r="C11" s="9">
        <v>6172768</v>
      </c>
      <c r="D11" s="6"/>
      <c r="E11" s="224" t="s">
        <v>640</v>
      </c>
      <c r="F11" s="6"/>
    </row>
    <row r="12" spans="1:12">
      <c r="A12" s="10">
        <f t="shared" si="0"/>
        <v>9</v>
      </c>
      <c r="B12" s="20" t="s">
        <v>146</v>
      </c>
      <c r="C12" s="9">
        <v>2788705</v>
      </c>
      <c r="D12" s="356"/>
      <c r="E12" s="356"/>
      <c r="F12" s="356" t="s">
        <v>640</v>
      </c>
    </row>
    <row r="13" spans="1:12">
      <c r="A13" s="10">
        <f t="shared" si="0"/>
        <v>10</v>
      </c>
      <c r="B13" s="20" t="s">
        <v>629</v>
      </c>
      <c r="C13" s="9">
        <v>5439183</v>
      </c>
      <c r="D13" s="224" t="s">
        <v>640</v>
      </c>
      <c r="E13" s="6"/>
      <c r="F13" s="6"/>
    </row>
    <row r="14" spans="1:12">
      <c r="A14" s="10">
        <f t="shared" si="0"/>
        <v>11</v>
      </c>
      <c r="B14" s="20" t="s">
        <v>152</v>
      </c>
      <c r="C14" s="9">
        <v>2008572</v>
      </c>
      <c r="D14" s="224" t="s">
        <v>640</v>
      </c>
      <c r="E14" s="6"/>
      <c r="F14" s="6"/>
    </row>
    <row r="15" spans="1:12">
      <c r="A15" s="10">
        <f t="shared" si="0"/>
        <v>12</v>
      </c>
      <c r="B15" s="20" t="s">
        <v>155</v>
      </c>
      <c r="C15" s="9">
        <v>5215919</v>
      </c>
      <c r="D15" s="357"/>
      <c r="E15" s="357"/>
      <c r="F15" s="357" t="s">
        <v>640</v>
      </c>
    </row>
    <row r="16" spans="1:12">
      <c r="A16" s="10">
        <f t="shared" si="0"/>
        <v>13</v>
      </c>
      <c r="B16" s="20" t="s">
        <v>157</v>
      </c>
      <c r="C16" s="9">
        <v>5502977</v>
      </c>
      <c r="D16" s="224" t="s">
        <v>640</v>
      </c>
      <c r="E16" s="6"/>
      <c r="F16" s="6"/>
    </row>
    <row r="17" spans="1:6">
      <c r="A17" s="10">
        <f t="shared" si="0"/>
        <v>14</v>
      </c>
      <c r="B17" s="20" t="s">
        <v>159</v>
      </c>
      <c r="C17" s="9">
        <v>2708701</v>
      </c>
      <c r="D17" s="224" t="s">
        <v>640</v>
      </c>
      <c r="E17" s="6"/>
      <c r="F17" s="6"/>
    </row>
    <row r="18" spans="1:6">
      <c r="A18" s="10">
        <f t="shared" si="0"/>
        <v>15</v>
      </c>
      <c r="B18" s="20" t="s">
        <v>161</v>
      </c>
      <c r="C18" s="9">
        <v>2014491</v>
      </c>
      <c r="D18" s="224" t="s">
        <v>640</v>
      </c>
      <c r="E18" s="6"/>
      <c r="F18" s="6"/>
    </row>
    <row r="19" spans="1:6">
      <c r="A19" s="10">
        <f t="shared" si="0"/>
        <v>16</v>
      </c>
      <c r="B19" s="20" t="s">
        <v>165</v>
      </c>
      <c r="C19" s="9">
        <v>6414877</v>
      </c>
      <c r="D19" s="221"/>
      <c r="E19" s="407" t="s">
        <v>640</v>
      </c>
      <c r="F19" s="407"/>
    </row>
    <row r="20" spans="1:6">
      <c r="A20" s="10">
        <f t="shared" si="0"/>
        <v>17</v>
      </c>
      <c r="B20" s="20" t="s">
        <v>168</v>
      </c>
      <c r="C20" s="9">
        <v>5369223</v>
      </c>
      <c r="D20" s="224" t="s">
        <v>640</v>
      </c>
      <c r="F20" s="6"/>
    </row>
    <row r="21" spans="1:6">
      <c r="A21" s="10">
        <f t="shared" si="0"/>
        <v>18</v>
      </c>
      <c r="B21" s="20" t="s">
        <v>169</v>
      </c>
      <c r="C21" s="9">
        <v>5294088</v>
      </c>
      <c r="D21" s="224" t="s">
        <v>640</v>
      </c>
      <c r="E21" s="6"/>
      <c r="F21" s="6"/>
    </row>
    <row r="22" spans="1:6">
      <c r="A22" s="10">
        <f t="shared" si="0"/>
        <v>19</v>
      </c>
      <c r="B22" s="20" t="s">
        <v>173</v>
      </c>
      <c r="C22" s="9">
        <v>2855119</v>
      </c>
      <c r="D22" s="224" t="s">
        <v>640</v>
      </c>
      <c r="E22" s="6"/>
      <c r="F22" s="6"/>
    </row>
    <row r="23" spans="1:6">
      <c r="A23" s="10">
        <f t="shared" si="0"/>
        <v>20</v>
      </c>
      <c r="B23" s="20" t="s">
        <v>174</v>
      </c>
      <c r="C23" s="9">
        <v>2094533</v>
      </c>
      <c r="D23" s="224" t="s">
        <v>640</v>
      </c>
      <c r="E23" s="6"/>
      <c r="F23" s="6"/>
    </row>
    <row r="24" spans="1:6">
      <c r="A24" s="10">
        <f t="shared" si="0"/>
        <v>21</v>
      </c>
      <c r="B24" s="20" t="s">
        <v>175</v>
      </c>
      <c r="C24" s="9">
        <v>5722942</v>
      </c>
      <c r="D24" s="224" t="s">
        <v>640</v>
      </c>
      <c r="E24" s="6"/>
      <c r="F24" s="6"/>
    </row>
    <row r="25" spans="1:6">
      <c r="A25" s="10">
        <f t="shared" si="0"/>
        <v>22</v>
      </c>
      <c r="B25" s="20" t="s">
        <v>176</v>
      </c>
      <c r="C25" s="9">
        <v>2867494</v>
      </c>
      <c r="D25" s="224" t="s">
        <v>640</v>
      </c>
      <c r="E25" s="6"/>
      <c r="F25" s="6"/>
    </row>
    <row r="26" spans="1:6">
      <c r="A26" s="10">
        <f t="shared" si="0"/>
        <v>23</v>
      </c>
      <c r="B26" s="20" t="s">
        <v>177</v>
      </c>
      <c r="C26" s="9">
        <v>6463932</v>
      </c>
      <c r="D26" s="224" t="s">
        <v>640</v>
      </c>
      <c r="E26" s="6"/>
      <c r="F26" s="6"/>
    </row>
    <row r="27" spans="1:6">
      <c r="A27" s="10">
        <f t="shared" si="0"/>
        <v>24</v>
      </c>
      <c r="B27" s="20" t="s">
        <v>178</v>
      </c>
      <c r="C27" s="9">
        <v>5260833</v>
      </c>
      <c r="D27" s="356"/>
      <c r="E27" s="356"/>
      <c r="F27" s="408" t="s">
        <v>640</v>
      </c>
    </row>
    <row r="28" spans="1:6">
      <c r="A28" s="10">
        <f t="shared" si="0"/>
        <v>25</v>
      </c>
      <c r="B28" s="20" t="s">
        <v>179</v>
      </c>
      <c r="C28" s="9">
        <v>2051303</v>
      </c>
      <c r="D28" s="6"/>
      <c r="E28" s="6" t="s">
        <v>640</v>
      </c>
      <c r="F28" s="6"/>
    </row>
    <row r="29" spans="1:6">
      <c r="A29" s="10">
        <f t="shared" si="0"/>
        <v>26</v>
      </c>
      <c r="B29" s="20" t="s">
        <v>183</v>
      </c>
      <c r="C29" s="9">
        <v>2061848</v>
      </c>
      <c r="D29" s="6" t="s">
        <v>640</v>
      </c>
      <c r="E29" s="6"/>
      <c r="F29" s="6"/>
    </row>
    <row r="30" spans="1:6">
      <c r="A30" s="10">
        <f t="shared" si="0"/>
        <v>27</v>
      </c>
      <c r="B30" s="20" t="s">
        <v>185</v>
      </c>
      <c r="C30" s="9">
        <v>2766337</v>
      </c>
      <c r="D30" s="357"/>
      <c r="E30" s="357"/>
      <c r="F30" s="357" t="s">
        <v>640</v>
      </c>
    </row>
    <row r="31" spans="1:6">
      <c r="A31" s="10">
        <f t="shared" si="0"/>
        <v>28</v>
      </c>
      <c r="B31" s="20" t="s">
        <v>187</v>
      </c>
      <c r="C31" s="9">
        <v>5810086</v>
      </c>
      <c r="D31" s="356"/>
      <c r="E31" s="356"/>
      <c r="F31" s="356" t="s">
        <v>640</v>
      </c>
    </row>
    <row r="32" spans="1:6">
      <c r="A32" s="10">
        <f t="shared" si="0"/>
        <v>29</v>
      </c>
      <c r="B32" s="20" t="s">
        <v>188</v>
      </c>
      <c r="C32" s="9">
        <v>5217652</v>
      </c>
      <c r="D32" s="6" t="s">
        <v>640</v>
      </c>
      <c r="E32" s="6"/>
      <c r="F32" s="6"/>
    </row>
    <row r="33" spans="1:6">
      <c r="A33" s="10">
        <f t="shared" si="0"/>
        <v>30</v>
      </c>
      <c r="B33" s="20" t="s">
        <v>189</v>
      </c>
      <c r="C33" s="9">
        <v>2780518</v>
      </c>
      <c r="D33" s="356"/>
      <c r="E33" s="356"/>
      <c r="F33" s="356" t="s">
        <v>640</v>
      </c>
    </row>
    <row r="34" spans="1:6">
      <c r="A34" s="10">
        <f t="shared" si="0"/>
        <v>31</v>
      </c>
      <c r="B34" s="20" t="s">
        <v>193</v>
      </c>
      <c r="C34" s="9">
        <v>5272378</v>
      </c>
      <c r="D34" s="356"/>
      <c r="E34" s="356"/>
      <c r="F34" s="356" t="s">
        <v>640</v>
      </c>
    </row>
    <row r="35" spans="1:6">
      <c r="A35" s="10">
        <f t="shared" si="0"/>
        <v>32</v>
      </c>
      <c r="B35" s="20" t="s">
        <v>194</v>
      </c>
      <c r="C35" s="9">
        <v>5467268</v>
      </c>
      <c r="D35" s="6" t="s">
        <v>640</v>
      </c>
      <c r="E35" s="6"/>
      <c r="F35" s="6"/>
    </row>
    <row r="36" spans="1:6">
      <c r="A36" s="10">
        <f t="shared" si="0"/>
        <v>33</v>
      </c>
      <c r="B36" s="20" t="s">
        <v>196</v>
      </c>
      <c r="C36" s="9">
        <v>5522935</v>
      </c>
      <c r="D36" s="6" t="s">
        <v>640</v>
      </c>
      <c r="E36" s="6"/>
      <c r="F36" s="6"/>
    </row>
    <row r="37" spans="1:6">
      <c r="A37" s="10">
        <f t="shared" si="0"/>
        <v>34</v>
      </c>
      <c r="B37" s="20" t="s">
        <v>197</v>
      </c>
      <c r="C37" s="9">
        <v>5528089</v>
      </c>
      <c r="D37" s="356"/>
      <c r="E37" s="356"/>
      <c r="F37" s="356" t="s">
        <v>640</v>
      </c>
    </row>
    <row r="38" spans="1:6">
      <c r="A38" s="10">
        <f t="shared" si="0"/>
        <v>35</v>
      </c>
      <c r="B38" s="20" t="s">
        <v>198</v>
      </c>
      <c r="C38" s="9">
        <v>5396662</v>
      </c>
      <c r="D38" s="6" t="s">
        <v>640</v>
      </c>
      <c r="E38" s="6"/>
      <c r="F38" s="6"/>
    </row>
    <row r="39" spans="1:6">
      <c r="A39" s="10">
        <f t="shared" si="0"/>
        <v>36</v>
      </c>
      <c r="B39" s="20" t="s">
        <v>199</v>
      </c>
      <c r="C39" s="9">
        <v>5830974</v>
      </c>
      <c r="D39" s="6"/>
      <c r="E39" s="6" t="s">
        <v>640</v>
      </c>
      <c r="F39" s="6"/>
    </row>
    <row r="40" spans="1:6">
      <c r="A40" s="10">
        <f t="shared" si="0"/>
        <v>37</v>
      </c>
      <c r="B40" s="20" t="s">
        <v>201</v>
      </c>
      <c r="C40" s="9">
        <v>2057573</v>
      </c>
      <c r="D40" s="359"/>
      <c r="E40" s="359"/>
      <c r="F40" s="356" t="s">
        <v>640</v>
      </c>
    </row>
    <row r="41" spans="1:6">
      <c r="A41" s="10">
        <f t="shared" si="0"/>
        <v>38</v>
      </c>
      <c r="B41" s="20" t="s">
        <v>202</v>
      </c>
      <c r="C41" s="9">
        <v>5699134</v>
      </c>
      <c r="D41" s="6" t="s">
        <v>640</v>
      </c>
      <c r="F41" s="12"/>
    </row>
    <row r="42" spans="1:6">
      <c r="A42" s="10">
        <f t="shared" si="0"/>
        <v>39</v>
      </c>
      <c r="B42" s="20" t="s">
        <v>203</v>
      </c>
      <c r="C42" s="9">
        <v>5412153</v>
      </c>
      <c r="D42" s="6" t="s">
        <v>640</v>
      </c>
      <c r="E42" s="12"/>
      <c r="F42" s="12"/>
    </row>
    <row r="43" spans="1:6">
      <c r="A43" s="10">
        <f t="shared" si="0"/>
        <v>40</v>
      </c>
      <c r="B43" s="20" t="s">
        <v>204</v>
      </c>
      <c r="C43" s="9">
        <v>2034859</v>
      </c>
      <c r="D43" s="356"/>
      <c r="E43" s="359"/>
      <c r="F43" s="356" t="s">
        <v>640</v>
      </c>
    </row>
    <row r="44" spans="1:6">
      <c r="A44" s="10">
        <f t="shared" si="0"/>
        <v>41</v>
      </c>
      <c r="B44" s="20" t="s">
        <v>208</v>
      </c>
      <c r="C44" s="9">
        <v>5253535</v>
      </c>
      <c r="D44" s="6" t="s">
        <v>640</v>
      </c>
      <c r="E44" s="6"/>
      <c r="F44" s="12"/>
    </row>
    <row r="45" spans="1:6">
      <c r="A45" s="10">
        <f t="shared" si="0"/>
        <v>42</v>
      </c>
      <c r="B45" s="20" t="s">
        <v>210</v>
      </c>
      <c r="C45" s="9">
        <v>5150884</v>
      </c>
      <c r="D45" s="359"/>
      <c r="E45" s="359"/>
      <c r="F45" s="356" t="s">
        <v>640</v>
      </c>
    </row>
    <row r="46" spans="1:6">
      <c r="A46" s="10">
        <f t="shared" si="0"/>
        <v>43</v>
      </c>
      <c r="B46" s="20" t="s">
        <v>211</v>
      </c>
      <c r="C46" s="9">
        <v>5051304</v>
      </c>
      <c r="D46" s="12"/>
      <c r="E46" s="6" t="s">
        <v>640</v>
      </c>
      <c r="F46" s="12"/>
    </row>
    <row r="47" spans="1:6">
      <c r="A47" s="10">
        <f t="shared" si="0"/>
        <v>44</v>
      </c>
      <c r="B47" s="20" t="s">
        <v>213</v>
      </c>
      <c r="C47" s="9">
        <v>5401801</v>
      </c>
      <c r="D47" s="359"/>
      <c r="E47" s="359"/>
      <c r="F47" s="356" t="s">
        <v>640</v>
      </c>
    </row>
    <row r="48" spans="1:6">
      <c r="A48" s="10">
        <f t="shared" si="0"/>
        <v>45</v>
      </c>
      <c r="B48" s="20" t="s">
        <v>214</v>
      </c>
      <c r="C48" s="9">
        <v>2550466</v>
      </c>
      <c r="D48" s="6" t="s">
        <v>640</v>
      </c>
      <c r="E48" s="12"/>
      <c r="F48" s="12"/>
    </row>
    <row r="49" spans="1:6">
      <c r="A49" s="10">
        <f t="shared" si="0"/>
        <v>46</v>
      </c>
      <c r="B49" s="20" t="s">
        <v>216</v>
      </c>
      <c r="C49" s="9">
        <v>5051134</v>
      </c>
      <c r="D49" s="6" t="s">
        <v>640</v>
      </c>
      <c r="E49" s="12"/>
      <c r="F49" s="12"/>
    </row>
    <row r="50" spans="1:6">
      <c r="A50" s="10">
        <f t="shared" si="0"/>
        <v>47</v>
      </c>
      <c r="B50" s="20" t="s">
        <v>217</v>
      </c>
      <c r="C50" s="9">
        <v>2095025</v>
      </c>
      <c r="D50" s="6" t="s">
        <v>640</v>
      </c>
      <c r="F50" s="12"/>
    </row>
    <row r="51" spans="1:6">
      <c r="A51" s="10">
        <f t="shared" si="0"/>
        <v>48</v>
      </c>
      <c r="B51" s="20" t="s">
        <v>218</v>
      </c>
      <c r="C51" s="9">
        <v>2045931</v>
      </c>
      <c r="D51" s="359"/>
      <c r="E51" s="359"/>
      <c r="F51" s="356" t="s">
        <v>640</v>
      </c>
    </row>
    <row r="52" spans="1:6">
      <c r="A52" s="10">
        <f t="shared" si="0"/>
        <v>49</v>
      </c>
      <c r="B52" s="20" t="s">
        <v>219</v>
      </c>
      <c r="C52" s="9">
        <v>2029278</v>
      </c>
      <c r="D52" s="12"/>
      <c r="E52" s="6" t="s">
        <v>640</v>
      </c>
      <c r="F52" s="12"/>
    </row>
    <row r="53" spans="1:6">
      <c r="A53" s="10">
        <f t="shared" si="0"/>
        <v>50</v>
      </c>
      <c r="B53" s="20" t="s">
        <v>220</v>
      </c>
      <c r="C53" s="9">
        <v>5106567</v>
      </c>
      <c r="D53" s="6" t="s">
        <v>640</v>
      </c>
      <c r="E53" s="12"/>
      <c r="F53" s="12"/>
    </row>
    <row r="54" spans="1:6">
      <c r="A54" s="10">
        <f t="shared" si="0"/>
        <v>51</v>
      </c>
      <c r="B54" s="20" t="s">
        <v>222</v>
      </c>
      <c r="C54" s="9">
        <v>5141583</v>
      </c>
      <c r="D54" s="6" t="s">
        <v>640</v>
      </c>
      <c r="E54" s="12"/>
      <c r="F54" s="12"/>
    </row>
    <row r="55" spans="1:6">
      <c r="A55" s="10">
        <f t="shared" si="0"/>
        <v>52</v>
      </c>
      <c r="B55" s="20" t="s">
        <v>223</v>
      </c>
      <c r="C55" s="9">
        <v>5118115</v>
      </c>
      <c r="D55" s="12"/>
      <c r="E55" s="6" t="s">
        <v>640</v>
      </c>
      <c r="F55" s="12"/>
    </row>
    <row r="56" spans="1:6">
      <c r="A56" s="10">
        <f t="shared" si="0"/>
        <v>53</v>
      </c>
      <c r="B56" s="20" t="s">
        <v>224</v>
      </c>
      <c r="C56" s="9">
        <v>5106656</v>
      </c>
      <c r="D56" s="358"/>
      <c r="E56" s="357" t="s">
        <v>640</v>
      </c>
      <c r="F56" s="358"/>
    </row>
    <row r="57" spans="1:6">
      <c r="A57" s="10">
        <f t="shared" si="0"/>
        <v>54</v>
      </c>
      <c r="B57" s="20" t="s">
        <v>225</v>
      </c>
      <c r="C57" s="9">
        <v>2010895</v>
      </c>
      <c r="D57" s="6" t="s">
        <v>640</v>
      </c>
      <c r="E57" s="12"/>
      <c r="F57" s="12"/>
    </row>
    <row r="58" spans="1:6">
      <c r="A58" s="10">
        <f t="shared" si="0"/>
        <v>55</v>
      </c>
      <c r="B58" s="20" t="s">
        <v>227</v>
      </c>
      <c r="C58" s="9">
        <v>5295858</v>
      </c>
      <c r="E58" s="6" t="s">
        <v>640</v>
      </c>
      <c r="F58" s="12"/>
    </row>
    <row r="59" spans="1:6">
      <c r="A59" s="10">
        <f t="shared" si="0"/>
        <v>56</v>
      </c>
      <c r="B59" s="20" t="s">
        <v>228</v>
      </c>
      <c r="C59" s="9">
        <v>6287727</v>
      </c>
      <c r="D59" s="6" t="s">
        <v>640</v>
      </c>
      <c r="E59" s="12"/>
      <c r="F59" s="12"/>
    </row>
    <row r="60" spans="1:6">
      <c r="A60" s="10">
        <f t="shared" si="0"/>
        <v>57</v>
      </c>
      <c r="B60" s="20" t="s">
        <v>229</v>
      </c>
      <c r="C60" s="9">
        <v>2659603</v>
      </c>
      <c r="E60" s="6" t="s">
        <v>640</v>
      </c>
      <c r="F60" s="12"/>
    </row>
    <row r="61" spans="1:6">
      <c r="A61" s="10">
        <f t="shared" si="0"/>
        <v>58</v>
      </c>
      <c r="B61" s="20" t="s">
        <v>230</v>
      </c>
      <c r="C61" s="9">
        <v>2678187</v>
      </c>
      <c r="D61" s="6" t="s">
        <v>640</v>
      </c>
      <c r="E61" s="12"/>
      <c r="F61" s="12"/>
    </row>
    <row r="62" spans="1:6">
      <c r="A62" s="10">
        <f t="shared" si="0"/>
        <v>59</v>
      </c>
      <c r="B62" s="20" t="s">
        <v>231</v>
      </c>
      <c r="C62" s="9">
        <v>2657457</v>
      </c>
      <c r="D62" s="6" t="s">
        <v>640</v>
      </c>
      <c r="E62" s="12"/>
      <c r="F62" s="12"/>
    </row>
    <row r="63" spans="1:6">
      <c r="A63" s="10">
        <f t="shared" si="0"/>
        <v>60</v>
      </c>
      <c r="B63" s="20" t="s">
        <v>232</v>
      </c>
      <c r="C63" s="9">
        <v>3615243</v>
      </c>
      <c r="D63" s="6" t="s">
        <v>640</v>
      </c>
      <c r="E63" s="12"/>
      <c r="F63" s="12"/>
    </row>
    <row r="64" spans="1:6">
      <c r="A64" s="10">
        <f t="shared" si="0"/>
        <v>61</v>
      </c>
      <c r="B64" s="20" t="s">
        <v>236</v>
      </c>
      <c r="C64" s="9">
        <v>3623955</v>
      </c>
      <c r="D64" s="6" t="s">
        <v>640</v>
      </c>
      <c r="E64" s="12"/>
      <c r="F64" s="12"/>
    </row>
    <row r="65" spans="1:6">
      <c r="A65" s="10">
        <f t="shared" si="0"/>
        <v>62</v>
      </c>
      <c r="B65" s="20" t="s">
        <v>239</v>
      </c>
      <c r="C65" s="9">
        <v>5199077</v>
      </c>
      <c r="D65" s="6" t="s">
        <v>640</v>
      </c>
      <c r="E65" s="12"/>
      <c r="F65" s="12"/>
    </row>
    <row r="66" spans="1:6">
      <c r="A66" s="10">
        <f t="shared" si="0"/>
        <v>63</v>
      </c>
      <c r="B66" s="20" t="s">
        <v>240</v>
      </c>
      <c r="C66" s="9">
        <v>2075385</v>
      </c>
      <c r="D66" s="22"/>
      <c r="E66" s="6" t="s">
        <v>640</v>
      </c>
      <c r="F66" s="12"/>
    </row>
    <row r="67" spans="1:6">
      <c r="A67" s="10">
        <f t="shared" si="0"/>
        <v>64</v>
      </c>
      <c r="B67" s="20" t="s">
        <v>241</v>
      </c>
      <c r="C67" s="9">
        <v>2867095</v>
      </c>
      <c r="D67" s="22"/>
      <c r="E67" s="6" t="s">
        <v>640</v>
      </c>
      <c r="F67" s="12"/>
    </row>
    <row r="68" spans="1:6">
      <c r="A68" s="10">
        <f t="shared" si="0"/>
        <v>65</v>
      </c>
      <c r="B68" s="20" t="s">
        <v>242</v>
      </c>
      <c r="C68" s="9">
        <v>5076285</v>
      </c>
      <c r="D68" s="6" t="s">
        <v>640</v>
      </c>
      <c r="E68" s="12"/>
      <c r="F68" s="12"/>
    </row>
    <row r="69" spans="1:6">
      <c r="A69" s="10">
        <f t="shared" si="0"/>
        <v>66</v>
      </c>
      <c r="B69" s="20" t="s">
        <v>243</v>
      </c>
      <c r="C69" s="9">
        <v>5084555</v>
      </c>
      <c r="D69" s="6" t="s">
        <v>640</v>
      </c>
      <c r="E69" s="12"/>
      <c r="F69" s="12"/>
    </row>
    <row r="70" spans="1:6">
      <c r="A70" s="10">
        <f t="shared" ref="A70:A128" si="1">A69+1</f>
        <v>67</v>
      </c>
      <c r="B70" s="20" t="s">
        <v>244</v>
      </c>
      <c r="C70" s="9">
        <v>5261198</v>
      </c>
      <c r="D70" s="6" t="s">
        <v>640</v>
      </c>
      <c r="E70" s="12"/>
      <c r="F70" s="12"/>
    </row>
    <row r="71" spans="1:6">
      <c r="A71" s="10">
        <f t="shared" si="1"/>
        <v>68</v>
      </c>
      <c r="B71" s="20" t="s">
        <v>246</v>
      </c>
      <c r="C71" s="9">
        <v>5288703</v>
      </c>
      <c r="D71" s="247"/>
      <c r="E71" s="221" t="s">
        <v>640</v>
      </c>
      <c r="F71" s="12"/>
    </row>
    <row r="72" spans="1:6">
      <c r="A72" s="10">
        <f t="shared" si="1"/>
        <v>69</v>
      </c>
      <c r="B72" s="20" t="s">
        <v>248</v>
      </c>
      <c r="C72" s="9">
        <v>6232485</v>
      </c>
      <c r="D72" s="6" t="s">
        <v>640</v>
      </c>
      <c r="E72" s="12"/>
      <c r="F72" s="12"/>
    </row>
    <row r="73" spans="1:6">
      <c r="A73" s="10">
        <f t="shared" si="1"/>
        <v>70</v>
      </c>
      <c r="B73" s="20" t="s">
        <v>249</v>
      </c>
      <c r="C73" s="9">
        <v>6101615</v>
      </c>
      <c r="D73" s="6" t="s">
        <v>640</v>
      </c>
      <c r="E73" s="12"/>
      <c r="F73" s="12"/>
    </row>
    <row r="74" spans="1:6">
      <c r="A74" s="10">
        <f t="shared" si="1"/>
        <v>71</v>
      </c>
      <c r="B74" s="20" t="s">
        <v>250</v>
      </c>
      <c r="C74" s="9">
        <v>5120365</v>
      </c>
      <c r="D74" s="359"/>
      <c r="E74" s="356" t="s">
        <v>640</v>
      </c>
      <c r="F74" s="360"/>
    </row>
    <row r="75" spans="1:6">
      <c r="A75" s="10">
        <f t="shared" si="1"/>
        <v>72</v>
      </c>
      <c r="B75" s="20" t="s">
        <v>251</v>
      </c>
      <c r="C75" s="9">
        <v>2016656</v>
      </c>
      <c r="D75" s="12"/>
      <c r="E75" s="6" t="s">
        <v>640</v>
      </c>
      <c r="F75" s="12"/>
    </row>
    <row r="76" spans="1:6">
      <c r="A76" s="10">
        <f t="shared" si="1"/>
        <v>73</v>
      </c>
      <c r="B76" s="20" t="s">
        <v>253</v>
      </c>
      <c r="C76" s="9">
        <v>5872006</v>
      </c>
      <c r="D76" s="6" t="s">
        <v>640</v>
      </c>
      <c r="E76" s="12"/>
      <c r="F76" s="12"/>
    </row>
    <row r="77" spans="1:6">
      <c r="A77" s="10">
        <f t="shared" si="1"/>
        <v>74</v>
      </c>
      <c r="B77" s="20" t="s">
        <v>254</v>
      </c>
      <c r="C77" s="9">
        <v>5774047</v>
      </c>
      <c r="D77" s="359"/>
      <c r="E77" s="359"/>
      <c r="F77" s="356" t="s">
        <v>640</v>
      </c>
    </row>
    <row r="78" spans="1:6">
      <c r="A78" s="10">
        <f t="shared" si="1"/>
        <v>75</v>
      </c>
      <c r="B78" s="20" t="s">
        <v>257</v>
      </c>
      <c r="C78" s="9">
        <v>5105439</v>
      </c>
      <c r="D78" s="6" t="s">
        <v>640</v>
      </c>
      <c r="E78" s="12"/>
      <c r="F78" s="12"/>
    </row>
    <row r="79" spans="1:6">
      <c r="A79" s="10">
        <f t="shared" si="1"/>
        <v>76</v>
      </c>
      <c r="B79" s="20" t="s">
        <v>258</v>
      </c>
      <c r="C79" s="9">
        <v>2663813</v>
      </c>
      <c r="D79" s="358"/>
      <c r="E79" s="358"/>
      <c r="F79" s="357" t="s">
        <v>640</v>
      </c>
    </row>
    <row r="80" spans="1:6">
      <c r="A80" s="10">
        <f t="shared" si="1"/>
        <v>77</v>
      </c>
      <c r="B80" s="20" t="s">
        <v>260</v>
      </c>
      <c r="C80" s="9">
        <v>2016931</v>
      </c>
      <c r="D80" s="6" t="s">
        <v>640</v>
      </c>
      <c r="E80" s="12"/>
      <c r="F80" s="12"/>
    </row>
    <row r="81" spans="1:6">
      <c r="A81" s="10">
        <f t="shared" si="1"/>
        <v>78</v>
      </c>
      <c r="B81" s="20" t="s">
        <v>263</v>
      </c>
      <c r="C81" s="9">
        <v>5513618</v>
      </c>
      <c r="D81" s="6" t="s">
        <v>640</v>
      </c>
      <c r="E81" s="12"/>
      <c r="F81" s="12"/>
    </row>
    <row r="82" spans="1:6">
      <c r="A82" s="10">
        <f t="shared" si="1"/>
        <v>79</v>
      </c>
      <c r="B82" s="20" t="s">
        <v>264</v>
      </c>
      <c r="C82" s="9">
        <v>2807459</v>
      </c>
      <c r="D82" s="6" t="s">
        <v>640</v>
      </c>
      <c r="E82" s="12"/>
      <c r="F82" s="12"/>
    </row>
    <row r="83" spans="1:6">
      <c r="A83" s="10">
        <f t="shared" si="1"/>
        <v>80</v>
      </c>
      <c r="B83" s="20" t="s">
        <v>265</v>
      </c>
      <c r="C83" s="9">
        <v>2872943</v>
      </c>
      <c r="D83" s="6" t="s">
        <v>640</v>
      </c>
      <c r="E83" s="12"/>
      <c r="F83" s="12"/>
    </row>
    <row r="84" spans="1:6">
      <c r="A84" s="10">
        <f t="shared" si="1"/>
        <v>81</v>
      </c>
      <c r="B84" s="20" t="s">
        <v>266</v>
      </c>
      <c r="C84" s="9">
        <v>6268048</v>
      </c>
      <c r="D84" s="6" t="s">
        <v>640</v>
      </c>
      <c r="E84" s="12"/>
      <c r="F84" s="12"/>
    </row>
    <row r="85" spans="1:6">
      <c r="A85" s="10">
        <f t="shared" si="1"/>
        <v>82</v>
      </c>
      <c r="B85" s="20" t="s">
        <v>268</v>
      </c>
      <c r="C85" s="9">
        <v>5874963</v>
      </c>
      <c r="D85" s="6" t="s">
        <v>640</v>
      </c>
      <c r="E85" s="12"/>
      <c r="F85" s="12"/>
    </row>
    <row r="86" spans="1:6">
      <c r="A86" s="10">
        <f t="shared" si="1"/>
        <v>83</v>
      </c>
      <c r="B86" s="20" t="s">
        <v>269</v>
      </c>
      <c r="C86" s="9">
        <v>6636624</v>
      </c>
      <c r="D86" s="6" t="s">
        <v>640</v>
      </c>
      <c r="E86" s="12"/>
      <c r="F86" s="12"/>
    </row>
    <row r="87" spans="1:6">
      <c r="A87" s="10">
        <f t="shared" si="1"/>
        <v>84</v>
      </c>
      <c r="B87" s="20" t="s">
        <v>270</v>
      </c>
      <c r="C87" s="9">
        <v>2839717</v>
      </c>
      <c r="D87" s="6" t="s">
        <v>640</v>
      </c>
      <c r="E87" s="12"/>
      <c r="F87" s="12"/>
    </row>
    <row r="88" spans="1:6">
      <c r="A88" s="10">
        <f t="shared" si="1"/>
        <v>85</v>
      </c>
      <c r="B88" s="20" t="s">
        <v>271</v>
      </c>
      <c r="C88" s="9">
        <v>2344343</v>
      </c>
      <c r="D88" s="6" t="s">
        <v>640</v>
      </c>
      <c r="E88" s="12"/>
      <c r="F88" s="12"/>
    </row>
    <row r="89" spans="1:6">
      <c r="A89" s="10">
        <f t="shared" si="1"/>
        <v>86</v>
      </c>
      <c r="B89" s="20" t="s">
        <v>273</v>
      </c>
      <c r="C89" s="9">
        <v>2819996</v>
      </c>
      <c r="D89" s="6" t="s">
        <v>640</v>
      </c>
      <c r="E89" s="12"/>
      <c r="F89" s="12"/>
    </row>
    <row r="90" spans="1:6">
      <c r="A90" s="10">
        <f t="shared" si="1"/>
        <v>87</v>
      </c>
      <c r="B90" s="20" t="s">
        <v>277</v>
      </c>
      <c r="C90" s="9">
        <v>2868687</v>
      </c>
      <c r="D90" s="6" t="s">
        <v>640</v>
      </c>
      <c r="E90" s="12"/>
      <c r="F90" s="12"/>
    </row>
    <row r="91" spans="1:6">
      <c r="A91" s="10">
        <f t="shared" si="1"/>
        <v>88</v>
      </c>
      <c r="B91" s="20" t="s">
        <v>279</v>
      </c>
      <c r="C91" s="9">
        <v>5877288</v>
      </c>
      <c r="D91" s="6" t="s">
        <v>640</v>
      </c>
      <c r="E91" s="12"/>
      <c r="F91" s="12"/>
    </row>
    <row r="92" spans="1:6">
      <c r="A92" s="10">
        <f t="shared" si="1"/>
        <v>89</v>
      </c>
      <c r="B92" s="20" t="s">
        <v>281</v>
      </c>
      <c r="C92" s="9">
        <v>6195598</v>
      </c>
      <c r="D92" s="6" t="s">
        <v>640</v>
      </c>
      <c r="E92" s="12"/>
      <c r="F92" s="12"/>
    </row>
    <row r="93" spans="1:6">
      <c r="A93" s="10">
        <f t="shared" si="1"/>
        <v>90</v>
      </c>
      <c r="B93" s="20" t="s">
        <v>282</v>
      </c>
      <c r="C93" s="9">
        <v>6413811</v>
      </c>
      <c r="D93" s="6" t="s">
        <v>640</v>
      </c>
      <c r="E93" s="12"/>
      <c r="F93" s="12"/>
    </row>
    <row r="94" spans="1:6">
      <c r="A94" s="10">
        <f t="shared" si="1"/>
        <v>91</v>
      </c>
      <c r="B94" s="20" t="s">
        <v>283</v>
      </c>
      <c r="C94" s="9">
        <v>2887134</v>
      </c>
      <c r="D94" s="6" t="s">
        <v>640</v>
      </c>
      <c r="E94" s="12"/>
      <c r="F94" s="12"/>
    </row>
    <row r="95" spans="1:6">
      <c r="A95" s="10">
        <f t="shared" si="1"/>
        <v>92</v>
      </c>
      <c r="B95" s="20" t="s">
        <v>284</v>
      </c>
      <c r="C95" s="9">
        <v>2618176</v>
      </c>
      <c r="D95" s="6" t="s">
        <v>640</v>
      </c>
      <c r="E95" s="12"/>
      <c r="F95" s="12"/>
    </row>
    <row r="96" spans="1:6">
      <c r="A96" s="10">
        <f t="shared" si="1"/>
        <v>93</v>
      </c>
      <c r="B96" s="20" t="s">
        <v>285</v>
      </c>
      <c r="C96" s="9">
        <v>5364884</v>
      </c>
      <c r="D96" s="359"/>
      <c r="E96" s="359"/>
      <c r="F96" s="356" t="s">
        <v>640</v>
      </c>
    </row>
    <row r="97" spans="1:6">
      <c r="A97" s="10">
        <f t="shared" si="1"/>
        <v>94</v>
      </c>
      <c r="B97" s="20" t="s">
        <v>286</v>
      </c>
      <c r="C97" s="9">
        <v>2100231</v>
      </c>
      <c r="D97" s="6" t="s">
        <v>640</v>
      </c>
      <c r="E97" s="12"/>
      <c r="F97" s="12"/>
    </row>
    <row r="98" spans="1:6">
      <c r="A98" s="10">
        <f t="shared" si="1"/>
        <v>95</v>
      </c>
      <c r="B98" s="20" t="s">
        <v>287</v>
      </c>
      <c r="C98" s="9">
        <v>2661128</v>
      </c>
      <c r="D98" s="6" t="s">
        <v>640</v>
      </c>
      <c r="E98" s="12"/>
      <c r="F98" s="12"/>
    </row>
    <row r="99" spans="1:6">
      <c r="A99" s="10">
        <f t="shared" si="1"/>
        <v>96</v>
      </c>
      <c r="B99" s="20" t="s">
        <v>290</v>
      </c>
      <c r="C99" s="9">
        <v>5878756</v>
      </c>
      <c r="D99" s="6" t="s">
        <v>640</v>
      </c>
      <c r="E99" s="12"/>
      <c r="F99" s="12"/>
    </row>
    <row r="100" spans="1:6">
      <c r="A100" s="10">
        <f t="shared" si="1"/>
        <v>97</v>
      </c>
      <c r="B100" s="20" t="s">
        <v>292</v>
      </c>
      <c r="C100" s="9">
        <v>2166631</v>
      </c>
      <c r="D100" s="6" t="s">
        <v>640</v>
      </c>
      <c r="E100" s="12"/>
      <c r="F100" s="12"/>
    </row>
    <row r="101" spans="1:6">
      <c r="A101" s="10">
        <f t="shared" si="1"/>
        <v>98</v>
      </c>
      <c r="B101" s="20" t="s">
        <v>296</v>
      </c>
      <c r="C101" s="9">
        <v>5671833</v>
      </c>
      <c r="D101" s="6" t="s">
        <v>640</v>
      </c>
      <c r="E101" s="12"/>
      <c r="F101" s="12"/>
    </row>
    <row r="102" spans="1:6">
      <c r="A102" s="10">
        <f t="shared" si="1"/>
        <v>99</v>
      </c>
      <c r="B102" s="20" t="s">
        <v>297</v>
      </c>
      <c r="C102" s="9">
        <v>5104424</v>
      </c>
      <c r="D102" s="356"/>
      <c r="E102" s="359"/>
      <c r="F102" s="356" t="s">
        <v>640</v>
      </c>
    </row>
    <row r="103" spans="1:6">
      <c r="A103" s="10">
        <f t="shared" si="1"/>
        <v>100</v>
      </c>
      <c r="B103" s="20" t="s">
        <v>298</v>
      </c>
      <c r="C103" s="9">
        <v>2668505</v>
      </c>
      <c r="D103" s="6" t="s">
        <v>640</v>
      </c>
      <c r="E103" s="12"/>
      <c r="F103" s="12"/>
    </row>
    <row r="104" spans="1:6">
      <c r="A104" s="10">
        <f t="shared" si="1"/>
        <v>101</v>
      </c>
      <c r="B104" s="20" t="s">
        <v>299</v>
      </c>
      <c r="C104" s="9">
        <v>2697947</v>
      </c>
      <c r="D104" s="6" t="s">
        <v>640</v>
      </c>
      <c r="E104" s="12"/>
      <c r="F104" s="12"/>
    </row>
    <row r="105" spans="1:6">
      <c r="A105" s="10">
        <f t="shared" si="1"/>
        <v>102</v>
      </c>
      <c r="B105" s="20" t="s">
        <v>300</v>
      </c>
      <c r="C105" s="9">
        <v>5352827</v>
      </c>
      <c r="D105" s="6" t="s">
        <v>640</v>
      </c>
      <c r="E105" s="12"/>
      <c r="F105" s="12"/>
    </row>
    <row r="106" spans="1:6">
      <c r="A106" s="10">
        <f t="shared" si="1"/>
        <v>103</v>
      </c>
      <c r="B106" s="20" t="s">
        <v>301</v>
      </c>
      <c r="C106" s="9">
        <v>2548747</v>
      </c>
      <c r="D106" s="6" t="s">
        <v>640</v>
      </c>
      <c r="E106" s="12"/>
      <c r="F106" s="12"/>
    </row>
    <row r="107" spans="1:6">
      <c r="A107" s="10">
        <f t="shared" si="1"/>
        <v>104</v>
      </c>
      <c r="B107" s="20" t="s">
        <v>303</v>
      </c>
      <c r="C107" s="9">
        <v>2641984</v>
      </c>
      <c r="D107" s="6"/>
      <c r="E107" s="6" t="s">
        <v>640</v>
      </c>
      <c r="F107" s="12"/>
    </row>
    <row r="108" spans="1:6">
      <c r="A108" s="10">
        <f t="shared" si="1"/>
        <v>105</v>
      </c>
      <c r="B108" s="20" t="s">
        <v>306</v>
      </c>
      <c r="C108" s="9">
        <v>6342485</v>
      </c>
      <c r="D108" s="6" t="s">
        <v>640</v>
      </c>
      <c r="E108" s="12"/>
      <c r="F108" s="12"/>
    </row>
    <row r="109" spans="1:6">
      <c r="A109" s="10">
        <f t="shared" si="1"/>
        <v>106</v>
      </c>
      <c r="B109" s="20" t="s">
        <v>307</v>
      </c>
      <c r="C109" s="9">
        <v>5166667</v>
      </c>
      <c r="D109" s="6" t="s">
        <v>640</v>
      </c>
      <c r="E109" s="12"/>
      <c r="F109" s="12"/>
    </row>
    <row r="110" spans="1:6">
      <c r="A110" s="10">
        <f t="shared" si="1"/>
        <v>107</v>
      </c>
      <c r="B110" s="20" t="s">
        <v>308</v>
      </c>
      <c r="C110" s="9">
        <v>5482046</v>
      </c>
      <c r="D110" s="6" t="s">
        <v>640</v>
      </c>
      <c r="E110" s="12"/>
      <c r="F110" s="12"/>
    </row>
    <row r="111" spans="1:6">
      <c r="A111" s="10">
        <f t="shared" si="1"/>
        <v>108</v>
      </c>
      <c r="B111" s="20" t="s">
        <v>309</v>
      </c>
      <c r="C111" s="9">
        <v>2050374</v>
      </c>
      <c r="D111" s="6" t="s">
        <v>640</v>
      </c>
      <c r="E111" s="12"/>
      <c r="F111" s="12"/>
    </row>
    <row r="112" spans="1:6">
      <c r="A112" s="10">
        <f t="shared" si="1"/>
        <v>109</v>
      </c>
      <c r="B112" s="20" t="s">
        <v>311</v>
      </c>
      <c r="C112" s="9">
        <v>2004879</v>
      </c>
      <c r="D112" s="6" t="s">
        <v>640</v>
      </c>
      <c r="E112" s="12"/>
      <c r="F112" s="12"/>
    </row>
    <row r="113" spans="1:6">
      <c r="A113" s="10">
        <f t="shared" si="1"/>
        <v>110</v>
      </c>
      <c r="B113" s="20" t="s">
        <v>314</v>
      </c>
      <c r="C113" s="9">
        <v>2830213</v>
      </c>
      <c r="E113" s="6" t="s">
        <v>640</v>
      </c>
      <c r="F113" s="12"/>
    </row>
    <row r="114" spans="1:6">
      <c r="A114" s="10">
        <f t="shared" si="1"/>
        <v>111</v>
      </c>
      <c r="B114" s="20" t="s">
        <v>315</v>
      </c>
      <c r="C114" s="9">
        <v>5320607</v>
      </c>
      <c r="D114" s="6" t="s">
        <v>640</v>
      </c>
      <c r="E114" s="12"/>
      <c r="F114" s="12"/>
    </row>
    <row r="115" spans="1:6">
      <c r="A115" s="10">
        <f t="shared" si="1"/>
        <v>112</v>
      </c>
      <c r="B115" s="20" t="s">
        <v>316</v>
      </c>
      <c r="C115" s="9">
        <v>5586119</v>
      </c>
      <c r="D115" s="6"/>
      <c r="E115" s="6" t="s">
        <v>640</v>
      </c>
      <c r="F115" s="12"/>
    </row>
    <row r="116" spans="1:6">
      <c r="A116" s="10">
        <f t="shared" si="1"/>
        <v>113</v>
      </c>
      <c r="B116" s="20" t="s">
        <v>317</v>
      </c>
      <c r="C116" s="9">
        <v>5015243</v>
      </c>
      <c r="D116" s="6" t="s">
        <v>640</v>
      </c>
      <c r="E116" s="12"/>
      <c r="F116" s="12"/>
    </row>
    <row r="117" spans="1:6">
      <c r="A117" s="10">
        <f t="shared" si="1"/>
        <v>114</v>
      </c>
      <c r="B117" s="20" t="s">
        <v>318</v>
      </c>
      <c r="C117" s="9">
        <v>5452503</v>
      </c>
      <c r="D117" s="6" t="s">
        <v>640</v>
      </c>
      <c r="E117" s="6"/>
      <c r="F117" s="12"/>
    </row>
    <row r="118" spans="1:6">
      <c r="A118" s="10">
        <f t="shared" si="1"/>
        <v>115</v>
      </c>
      <c r="B118" s="20" t="s">
        <v>319</v>
      </c>
      <c r="C118" s="9">
        <v>2887746</v>
      </c>
      <c r="D118" s="6" t="s">
        <v>640</v>
      </c>
      <c r="E118" s="12"/>
      <c r="F118" s="12"/>
    </row>
    <row r="119" spans="1:6">
      <c r="A119" s="10">
        <f t="shared" si="1"/>
        <v>116</v>
      </c>
      <c r="B119" s="20" t="s">
        <v>320</v>
      </c>
      <c r="C119" s="9">
        <v>5618339</v>
      </c>
      <c r="D119" s="357"/>
      <c r="E119" s="357" t="s">
        <v>640</v>
      </c>
      <c r="F119" s="358"/>
    </row>
    <row r="120" spans="1:6">
      <c r="A120" s="10">
        <f t="shared" si="1"/>
        <v>117</v>
      </c>
      <c r="B120" s="20" t="s">
        <v>321</v>
      </c>
      <c r="C120" s="9">
        <v>2718243</v>
      </c>
      <c r="D120" s="6" t="s">
        <v>640</v>
      </c>
      <c r="E120" s="12"/>
      <c r="F120" s="12"/>
    </row>
    <row r="121" spans="1:6">
      <c r="A121" s="10">
        <f t="shared" si="1"/>
        <v>118</v>
      </c>
      <c r="B121" s="20" t="s">
        <v>322</v>
      </c>
      <c r="C121" s="9">
        <v>6896197</v>
      </c>
      <c r="D121" s="6" t="s">
        <v>640</v>
      </c>
      <c r="E121" s="12"/>
      <c r="F121" s="12"/>
    </row>
    <row r="122" spans="1:6">
      <c r="A122" s="10">
        <f t="shared" si="1"/>
        <v>119</v>
      </c>
      <c r="B122" s="20" t="s">
        <v>323</v>
      </c>
      <c r="C122" s="9">
        <v>5435528</v>
      </c>
      <c r="D122" s="6" t="s">
        <v>640</v>
      </c>
      <c r="E122" s="12"/>
      <c r="F122" s="12"/>
    </row>
    <row r="123" spans="1:6">
      <c r="A123" s="10">
        <f t="shared" si="1"/>
        <v>120</v>
      </c>
      <c r="B123" s="20" t="s">
        <v>324</v>
      </c>
      <c r="C123" s="9">
        <v>5824826</v>
      </c>
      <c r="E123" s="6" t="s">
        <v>640</v>
      </c>
      <c r="F123" s="22"/>
    </row>
    <row r="124" spans="1:6">
      <c r="A124" s="10">
        <f t="shared" si="1"/>
        <v>121</v>
      </c>
      <c r="B124" s="20" t="s">
        <v>325</v>
      </c>
      <c r="C124" s="9">
        <v>6141536</v>
      </c>
      <c r="D124" s="359"/>
      <c r="E124" s="356" t="s">
        <v>640</v>
      </c>
      <c r="F124" s="360"/>
    </row>
    <row r="125" spans="1:6">
      <c r="A125" s="10">
        <f t="shared" si="1"/>
        <v>122</v>
      </c>
      <c r="B125" s="20" t="s">
        <v>326</v>
      </c>
      <c r="C125" s="9">
        <v>5124913</v>
      </c>
      <c r="D125" s="6" t="s">
        <v>640</v>
      </c>
      <c r="E125" s="12"/>
      <c r="F125" s="12"/>
    </row>
    <row r="126" spans="1:6">
      <c r="A126" s="10">
        <f t="shared" si="1"/>
        <v>123</v>
      </c>
      <c r="B126" s="20" t="s">
        <v>327</v>
      </c>
      <c r="C126" s="9">
        <v>2074192</v>
      </c>
      <c r="D126" s="6" t="s">
        <v>640</v>
      </c>
      <c r="E126" s="12"/>
      <c r="F126" s="12"/>
    </row>
    <row r="127" spans="1:6">
      <c r="A127" s="10">
        <f t="shared" si="1"/>
        <v>124</v>
      </c>
      <c r="B127" s="20" t="s">
        <v>331</v>
      </c>
      <c r="C127" s="9">
        <v>2861224</v>
      </c>
      <c r="D127" s="359"/>
      <c r="E127" s="359"/>
      <c r="F127" s="356" t="s">
        <v>640</v>
      </c>
    </row>
    <row r="128" spans="1:6">
      <c r="A128" s="10">
        <f t="shared" si="1"/>
        <v>125</v>
      </c>
      <c r="B128" s="20" t="s">
        <v>332</v>
      </c>
      <c r="C128" s="9">
        <v>5137977</v>
      </c>
      <c r="D128" s="6" t="s">
        <v>640</v>
      </c>
      <c r="E128" s="12"/>
      <c r="F128" s="12"/>
    </row>
  </sheetData>
  <mergeCells count="2">
    <mergeCell ref="I6:K6"/>
    <mergeCell ref="I7:K7"/>
  </mergeCells>
  <conditionalFormatting sqref="B4:B33 B89">
    <cfRule type="duplicateValues" dxfId="345" priority="4"/>
  </conditionalFormatting>
  <conditionalFormatting sqref="B34:B83">
    <cfRule type="duplicateValues" dxfId="344" priority="3"/>
  </conditionalFormatting>
  <conditionalFormatting sqref="B84">
    <cfRule type="duplicateValues" dxfId="343" priority="1"/>
  </conditionalFormatting>
  <conditionalFormatting sqref="B85:B88">
    <cfRule type="duplicateValues" dxfId="342" priority="2"/>
  </conditionalFormatting>
  <conditionalFormatting sqref="B90:B128">
    <cfRule type="duplicateValues" dxfId="341" priority="5"/>
  </conditionalFormatting>
  <conditionalFormatting sqref="C4:C33 C89">
    <cfRule type="duplicateValues" dxfId="340" priority="12"/>
  </conditionalFormatting>
  <conditionalFormatting sqref="C34:C83">
    <cfRule type="duplicateValues" dxfId="339" priority="11"/>
  </conditionalFormatting>
  <conditionalFormatting sqref="C84">
    <cfRule type="duplicateValues" dxfId="338" priority="10"/>
  </conditionalFormatting>
  <conditionalFormatting sqref="C85">
    <cfRule type="duplicateValues" dxfId="337" priority="9"/>
  </conditionalFormatting>
  <conditionalFormatting sqref="C86">
    <cfRule type="duplicateValues" dxfId="336" priority="8"/>
  </conditionalFormatting>
  <conditionalFormatting sqref="C87">
    <cfRule type="duplicateValues" dxfId="335" priority="7"/>
  </conditionalFormatting>
  <conditionalFormatting sqref="C88">
    <cfRule type="duplicateValues" dxfId="334" priority="6"/>
  </conditionalFormatting>
  <conditionalFormatting sqref="C90:C128">
    <cfRule type="duplicateValues" dxfId="333" priority="13"/>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D2BE3-DA29-493F-9BC3-61610FEB75C7}">
  <sheetPr>
    <tabColor rgb="FF006432"/>
  </sheetPr>
  <dimension ref="A1:G39"/>
  <sheetViews>
    <sheetView workbookViewId="0">
      <selection activeCell="C8" sqref="C8"/>
    </sheetView>
  </sheetViews>
  <sheetFormatPr defaultRowHeight="15"/>
  <cols>
    <col min="1" max="1" width="4.42578125" customWidth="1"/>
    <col min="2" max="2" width="32" style="211" customWidth="1"/>
    <col min="3" max="3" width="13.140625" customWidth="1"/>
    <col min="4" max="4" width="11.42578125" customWidth="1"/>
    <col min="5" max="5" width="12.85546875" customWidth="1"/>
    <col min="6" max="6" width="23.7109375" customWidth="1"/>
  </cols>
  <sheetData>
    <row r="1" spans="1:7" ht="16.5" thickBot="1">
      <c r="A1" s="641" t="s">
        <v>8979</v>
      </c>
      <c r="B1" s="641"/>
      <c r="C1" s="641"/>
      <c r="D1" s="641"/>
      <c r="E1" s="641"/>
      <c r="F1" s="641"/>
      <c r="G1" s="641"/>
    </row>
    <row r="2" spans="1:7" ht="7.5" customHeight="1" thickTop="1"/>
    <row r="3" spans="1:7" s="5" customFormat="1" ht="25.5">
      <c r="A3" s="17" t="s">
        <v>114</v>
      </c>
      <c r="B3" s="18" t="s">
        <v>8980</v>
      </c>
      <c r="C3" s="17" t="s">
        <v>8974</v>
      </c>
      <c r="D3" s="17" t="s">
        <v>5830</v>
      </c>
      <c r="E3" s="17" t="s">
        <v>8975</v>
      </c>
      <c r="F3" s="18" t="s">
        <v>8981</v>
      </c>
    </row>
    <row r="4" spans="1:7" ht="27.75" customHeight="1">
      <c r="A4" s="12">
        <v>1</v>
      </c>
      <c r="B4" s="218" t="s">
        <v>634</v>
      </c>
      <c r="C4" s="224" t="s">
        <v>640</v>
      </c>
      <c r="D4" s="6"/>
      <c r="E4" s="6"/>
      <c r="F4" s="6"/>
    </row>
    <row r="5" spans="1:7">
      <c r="A5" s="12">
        <v>2</v>
      </c>
      <c r="B5" s="218" t="s">
        <v>638</v>
      </c>
      <c r="C5" s="224"/>
      <c r="D5" s="224" t="s">
        <v>640</v>
      </c>
      <c r="F5" s="6"/>
    </row>
    <row r="6" spans="1:7" ht="25.5">
      <c r="A6" s="12">
        <v>3</v>
      </c>
      <c r="B6" s="218" t="s">
        <v>8982</v>
      </c>
      <c r="C6" s="224" t="s">
        <v>640</v>
      </c>
      <c r="E6" s="6"/>
      <c r="F6" s="6"/>
    </row>
    <row r="7" spans="1:7">
      <c r="A7" s="12">
        <v>4</v>
      </c>
      <c r="B7" s="218" t="s">
        <v>8983</v>
      </c>
      <c r="C7" s="224" t="s">
        <v>640</v>
      </c>
      <c r="D7" s="224"/>
      <c r="E7" s="6"/>
      <c r="F7" s="6"/>
    </row>
    <row r="8" spans="1:7" ht="25.5">
      <c r="A8" s="12">
        <v>5</v>
      </c>
      <c r="B8" s="218" t="s">
        <v>8984</v>
      </c>
      <c r="D8" s="224" t="s">
        <v>640</v>
      </c>
      <c r="E8" s="224"/>
      <c r="F8" s="1"/>
    </row>
    <row r="9" spans="1:7">
      <c r="A9" s="12">
        <v>6</v>
      </c>
      <c r="B9" s="218" t="s">
        <v>637</v>
      </c>
      <c r="C9" s="224"/>
      <c r="D9" s="224" t="s">
        <v>640</v>
      </c>
      <c r="E9" s="6"/>
      <c r="F9" s="6"/>
    </row>
    <row r="10" spans="1:7">
      <c r="A10" s="12">
        <v>7</v>
      </c>
      <c r="B10" s="218" t="s">
        <v>339</v>
      </c>
      <c r="D10" s="224" t="s">
        <v>640</v>
      </c>
      <c r="E10" s="6"/>
      <c r="F10" s="6"/>
    </row>
    <row r="11" spans="1:7">
      <c r="A11" s="12">
        <v>8</v>
      </c>
      <c r="B11" s="218" t="s">
        <v>8985</v>
      </c>
      <c r="C11" s="6" t="s">
        <v>640</v>
      </c>
      <c r="D11" s="224"/>
      <c r="E11" s="6"/>
      <c r="F11" s="6"/>
    </row>
    <row r="12" spans="1:7">
      <c r="B12"/>
    </row>
    <row r="13" spans="1:7">
      <c r="B13"/>
    </row>
    <row r="14" spans="1:7">
      <c r="B14"/>
    </row>
    <row r="15" spans="1:7">
      <c r="B15"/>
    </row>
    <row r="16" spans="1:7">
      <c r="B16"/>
    </row>
    <row r="17" spans="2:2">
      <c r="B17"/>
    </row>
    <row r="18" spans="2:2">
      <c r="B18"/>
    </row>
    <row r="19" spans="2:2">
      <c r="B19"/>
    </row>
    <row r="20" spans="2:2">
      <c r="B20"/>
    </row>
    <row r="21" spans="2:2">
      <c r="B21"/>
    </row>
    <row r="22" spans="2:2">
      <c r="B22"/>
    </row>
    <row r="23" spans="2:2">
      <c r="B23"/>
    </row>
    <row r="24" spans="2:2">
      <c r="B24"/>
    </row>
    <row r="25" spans="2:2">
      <c r="B25"/>
    </row>
    <row r="26" spans="2:2">
      <c r="B26"/>
    </row>
    <row r="27" spans="2:2">
      <c r="B27"/>
    </row>
    <row r="28" spans="2:2">
      <c r="B28"/>
    </row>
    <row r="29" spans="2:2">
      <c r="B29"/>
    </row>
    <row r="30" spans="2:2">
      <c r="B30"/>
    </row>
    <row r="31" spans="2:2">
      <c r="B31"/>
    </row>
    <row r="32" spans="2:2">
      <c r="B32"/>
    </row>
    <row r="33" spans="2:2">
      <c r="B33"/>
    </row>
    <row r="34" spans="2:2">
      <c r="B34"/>
    </row>
    <row r="35" spans="2:2">
      <c r="B35"/>
    </row>
    <row r="36" spans="2:2">
      <c r="B36"/>
    </row>
    <row r="37" spans="2:2">
      <c r="B37"/>
    </row>
    <row r="38" spans="2:2">
      <c r="B38"/>
    </row>
    <row r="39" spans="2:2">
      <c r="B39"/>
    </row>
  </sheetData>
  <mergeCells count="1">
    <mergeCell ref="A1:G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D5E2-B934-4311-B5CC-A2C6769A82A9}">
  <sheetPr>
    <tabColor rgb="FF006432"/>
  </sheetPr>
  <dimension ref="A1:P132"/>
  <sheetViews>
    <sheetView workbookViewId="0">
      <pane xSplit="2" ySplit="3" topLeftCell="C4" activePane="bottomRight" state="frozen"/>
      <selection pane="bottomRight" activeCell="B3" sqref="B3"/>
      <selection pane="bottomLeft" activeCell="A4" sqref="A4"/>
      <selection pane="topRight" activeCell="C1" sqref="C1"/>
    </sheetView>
  </sheetViews>
  <sheetFormatPr defaultRowHeight="15"/>
  <cols>
    <col min="1" max="1" width="4.42578125" style="5" customWidth="1"/>
    <col min="2" max="2" width="35.140625" bestFit="1" customWidth="1"/>
    <col min="3" max="3" width="11.7109375" customWidth="1"/>
    <col min="4" max="4" width="17.28515625" customWidth="1"/>
    <col min="5" max="5" width="16.28515625" style="76" customWidth="1"/>
    <col min="6" max="6" width="16.7109375" style="313" customWidth="1"/>
    <col min="7" max="7" width="15.7109375" style="313" customWidth="1"/>
    <col min="8" max="8" width="15.5703125" style="313" customWidth="1"/>
    <col min="9" max="9" width="17" style="313" customWidth="1"/>
    <col min="10" max="10" width="17.7109375" style="313" customWidth="1"/>
    <col min="11" max="11" width="21.5703125" style="313" customWidth="1"/>
    <col min="12" max="12" width="22.28515625" style="313" customWidth="1"/>
    <col min="13" max="13" width="15.42578125" style="320" customWidth="1"/>
    <col min="14" max="14" width="24.28515625" style="313" customWidth="1"/>
    <col min="15" max="15" width="19" style="320" customWidth="1"/>
  </cols>
  <sheetData>
    <row r="1" spans="1:16" ht="16.5" thickBot="1">
      <c r="A1" s="26" t="s">
        <v>8986</v>
      </c>
      <c r="B1" s="26"/>
      <c r="C1" s="26"/>
      <c r="D1" s="26"/>
      <c r="E1" s="26"/>
      <c r="F1" s="26"/>
      <c r="G1" s="26"/>
    </row>
    <row r="2" spans="1:16" ht="6" customHeight="1" thickTop="1"/>
    <row r="3" spans="1:16" s="11" customFormat="1" ht="63.75">
      <c r="A3" s="18" t="s">
        <v>114</v>
      </c>
      <c r="B3" s="18" t="s">
        <v>690</v>
      </c>
      <c r="C3" s="18" t="s">
        <v>116</v>
      </c>
      <c r="D3" s="18" t="s">
        <v>8554</v>
      </c>
      <c r="E3" s="18" t="s">
        <v>8987</v>
      </c>
      <c r="F3" s="187" t="s">
        <v>8988</v>
      </c>
      <c r="G3" s="187" t="s">
        <v>8989</v>
      </c>
      <c r="H3" s="187" t="s">
        <v>8990</v>
      </c>
      <c r="I3" s="187" t="s">
        <v>8991</v>
      </c>
      <c r="J3" s="187" t="s">
        <v>8992</v>
      </c>
      <c r="K3" s="187" t="s">
        <v>8993</v>
      </c>
      <c r="L3" s="187" t="s">
        <v>8994</v>
      </c>
      <c r="M3" s="187" t="s">
        <v>8995</v>
      </c>
      <c r="N3" s="187" t="s">
        <v>8996</v>
      </c>
      <c r="O3" s="187" t="s">
        <v>8997</v>
      </c>
      <c r="P3" s="5"/>
    </row>
    <row r="4" spans="1:16">
      <c r="A4" s="6">
        <v>1</v>
      </c>
      <c r="B4" s="20" t="s">
        <v>121</v>
      </c>
      <c r="C4" s="9">
        <v>2011239</v>
      </c>
      <c r="D4" s="20" t="s">
        <v>123</v>
      </c>
      <c r="E4" s="6"/>
      <c r="F4" s="189"/>
      <c r="G4" s="189"/>
      <c r="H4" s="189"/>
      <c r="I4" s="189"/>
      <c r="J4" s="189"/>
      <c r="K4" s="189"/>
      <c r="L4" s="189"/>
      <c r="M4" s="315"/>
      <c r="N4" s="189"/>
      <c r="O4" s="315"/>
    </row>
    <row r="5" spans="1:16">
      <c r="A5" s="186">
        <v>2</v>
      </c>
      <c r="B5" s="184" t="s">
        <v>126</v>
      </c>
      <c r="C5" s="185">
        <v>5097517</v>
      </c>
      <c r="D5" s="184" t="s">
        <v>128</v>
      </c>
      <c r="E5" s="186"/>
      <c r="F5" s="190"/>
      <c r="G5" s="190"/>
      <c r="H5" s="190"/>
      <c r="I5" s="190"/>
      <c r="J5" s="190"/>
      <c r="K5" s="190"/>
      <c r="L5" s="190"/>
      <c r="M5" s="316"/>
      <c r="N5" s="190"/>
      <c r="O5" s="316"/>
    </row>
    <row r="6" spans="1:16">
      <c r="A6" s="6">
        <v>3</v>
      </c>
      <c r="B6" s="20" t="s">
        <v>131</v>
      </c>
      <c r="C6" s="9">
        <v>5809797</v>
      </c>
      <c r="D6" s="20" t="s">
        <v>128</v>
      </c>
      <c r="E6" s="228">
        <v>45077</v>
      </c>
      <c r="F6" s="189">
        <v>134844</v>
      </c>
      <c r="G6" s="189">
        <v>134844</v>
      </c>
      <c r="H6" s="189">
        <v>134844</v>
      </c>
      <c r="I6" s="189">
        <v>0</v>
      </c>
      <c r="J6" s="189">
        <v>0</v>
      </c>
      <c r="K6" s="189">
        <v>76045000</v>
      </c>
      <c r="L6" s="189">
        <v>24672200</v>
      </c>
      <c r="M6" s="315" t="s">
        <v>8259</v>
      </c>
      <c r="N6" s="189" t="s">
        <v>8499</v>
      </c>
      <c r="O6" s="315" t="s">
        <v>8259</v>
      </c>
    </row>
    <row r="7" spans="1:16">
      <c r="A7" s="6">
        <v>4</v>
      </c>
      <c r="B7" s="20" t="s">
        <v>133</v>
      </c>
      <c r="C7" s="9">
        <v>5118344</v>
      </c>
      <c r="D7" s="20" t="s">
        <v>128</v>
      </c>
      <c r="E7" s="228">
        <v>45243</v>
      </c>
      <c r="F7" s="189">
        <v>18</v>
      </c>
      <c r="G7" s="189">
        <v>18</v>
      </c>
      <c r="H7" s="189">
        <v>18</v>
      </c>
      <c r="I7" s="189" t="s">
        <v>8499</v>
      </c>
      <c r="J7" s="189">
        <v>0</v>
      </c>
      <c r="K7" s="189">
        <v>15319</v>
      </c>
      <c r="L7" s="189">
        <v>0</v>
      </c>
      <c r="M7" s="315" t="s">
        <v>8259</v>
      </c>
      <c r="N7" s="189" t="s">
        <v>8499</v>
      </c>
      <c r="O7" s="315" t="s">
        <v>8259</v>
      </c>
    </row>
    <row r="8" spans="1:16">
      <c r="A8" s="6">
        <v>5</v>
      </c>
      <c r="B8" s="20" t="s">
        <v>136</v>
      </c>
      <c r="C8" s="9">
        <v>5095549</v>
      </c>
      <c r="D8" s="20" t="s">
        <v>128</v>
      </c>
      <c r="E8" s="6"/>
      <c r="F8" s="189"/>
      <c r="G8" s="189">
        <v>3</v>
      </c>
      <c r="H8" s="189" t="s">
        <v>8499</v>
      </c>
      <c r="I8" s="189">
        <v>3</v>
      </c>
      <c r="J8" s="189"/>
      <c r="K8" s="189">
        <v>502037</v>
      </c>
      <c r="L8" s="189"/>
      <c r="M8" s="315" t="s">
        <v>8250</v>
      </c>
      <c r="N8" s="189">
        <v>3</v>
      </c>
      <c r="O8" s="315" t="s">
        <v>8259</v>
      </c>
    </row>
    <row r="9" spans="1:16">
      <c r="A9" s="6">
        <v>6</v>
      </c>
      <c r="B9" s="20" t="s">
        <v>140</v>
      </c>
      <c r="C9" s="9">
        <v>2784165</v>
      </c>
      <c r="D9" s="20" t="s">
        <v>128</v>
      </c>
      <c r="E9" s="6"/>
      <c r="F9" s="189"/>
      <c r="G9" s="189"/>
      <c r="H9" s="189"/>
      <c r="I9" s="189"/>
      <c r="J9" s="189"/>
      <c r="K9" s="189"/>
      <c r="L9" s="189"/>
      <c r="M9" s="315"/>
      <c r="N9" s="189"/>
      <c r="O9" s="315"/>
    </row>
    <row r="10" spans="1:16">
      <c r="A10" s="6">
        <v>7</v>
      </c>
      <c r="B10" s="20" t="s">
        <v>143</v>
      </c>
      <c r="C10" s="9">
        <v>5133351</v>
      </c>
      <c r="D10" s="20" t="s">
        <v>128</v>
      </c>
      <c r="E10" s="228">
        <v>45083</v>
      </c>
      <c r="F10" s="189">
        <v>255</v>
      </c>
      <c r="G10" s="189"/>
      <c r="H10" s="189"/>
      <c r="I10" s="189"/>
      <c r="J10" s="189"/>
      <c r="K10" s="189">
        <v>256490</v>
      </c>
      <c r="L10" s="189"/>
      <c r="M10" s="315" t="s">
        <v>8259</v>
      </c>
      <c r="N10" s="189"/>
      <c r="O10" s="315" t="s">
        <v>8259</v>
      </c>
    </row>
    <row r="11" spans="1:16">
      <c r="A11" s="6">
        <v>8</v>
      </c>
      <c r="B11" s="20" t="s">
        <v>144</v>
      </c>
      <c r="C11" s="9">
        <v>6172768</v>
      </c>
      <c r="D11" s="20" t="s">
        <v>128</v>
      </c>
      <c r="E11" s="6"/>
      <c r="F11" s="189"/>
      <c r="G11" s="189"/>
      <c r="H11" s="189"/>
      <c r="I11" s="189"/>
      <c r="J11" s="189"/>
      <c r="K11" s="189"/>
      <c r="L11" s="189"/>
      <c r="M11" s="315"/>
      <c r="N11" s="189"/>
      <c r="O11" s="315"/>
    </row>
    <row r="12" spans="1:16" s="188" customFormat="1">
      <c r="A12" s="186">
        <v>9</v>
      </c>
      <c r="B12" s="184" t="s">
        <v>146</v>
      </c>
      <c r="C12" s="185">
        <v>2788705</v>
      </c>
      <c r="D12" s="184" t="s">
        <v>128</v>
      </c>
      <c r="E12" s="186"/>
      <c r="F12" s="190"/>
      <c r="G12" s="190"/>
      <c r="H12" s="190"/>
      <c r="I12" s="190"/>
      <c r="J12" s="190"/>
      <c r="K12" s="190"/>
      <c r="L12" s="190"/>
      <c r="M12" s="316"/>
      <c r="N12" s="190"/>
      <c r="O12" s="316"/>
    </row>
    <row r="13" spans="1:16">
      <c r="A13" s="6">
        <v>10</v>
      </c>
      <c r="B13" s="20" t="s">
        <v>629</v>
      </c>
      <c r="C13" s="9">
        <v>5439183</v>
      </c>
      <c r="D13" s="20" t="s">
        <v>128</v>
      </c>
      <c r="E13" s="228">
        <v>45062</v>
      </c>
      <c r="F13" s="189">
        <v>4182</v>
      </c>
      <c r="G13" s="189">
        <v>4182</v>
      </c>
      <c r="H13" s="189">
        <v>0</v>
      </c>
      <c r="I13" s="189">
        <v>1354</v>
      </c>
      <c r="J13" s="189">
        <v>2828</v>
      </c>
      <c r="K13" s="189">
        <v>423440</v>
      </c>
      <c r="L13" s="189">
        <v>89774</v>
      </c>
      <c r="M13" s="315" t="s">
        <v>8259</v>
      </c>
      <c r="N13" s="189"/>
      <c r="O13" s="315" t="s">
        <v>8250</v>
      </c>
    </row>
    <row r="14" spans="1:16">
      <c r="A14" s="6">
        <v>11</v>
      </c>
      <c r="B14" s="20" t="s">
        <v>152</v>
      </c>
      <c r="C14" s="9">
        <v>2008572</v>
      </c>
      <c r="D14" s="20" t="s">
        <v>128</v>
      </c>
      <c r="E14" s="228">
        <v>45110</v>
      </c>
      <c r="F14" s="189">
        <v>5</v>
      </c>
      <c r="G14" s="189">
        <v>5</v>
      </c>
      <c r="H14" s="189">
        <v>57</v>
      </c>
      <c r="I14" s="189">
        <v>5</v>
      </c>
      <c r="J14" s="189">
        <v>359</v>
      </c>
      <c r="K14" s="189">
        <v>814795000</v>
      </c>
      <c r="L14" s="189">
        <v>0</v>
      </c>
      <c r="M14" s="315" t="s">
        <v>8259</v>
      </c>
      <c r="N14" s="189"/>
      <c r="O14" s="315" t="s">
        <v>8259</v>
      </c>
    </row>
    <row r="15" spans="1:16">
      <c r="A15" s="6">
        <v>12</v>
      </c>
      <c r="B15" s="20" t="s">
        <v>155</v>
      </c>
      <c r="C15" s="9">
        <v>5215919</v>
      </c>
      <c r="D15" s="20" t="s">
        <v>128</v>
      </c>
      <c r="E15" s="6"/>
      <c r="F15" s="189"/>
      <c r="G15" s="189"/>
      <c r="H15" s="189"/>
      <c r="I15" s="189"/>
      <c r="J15" s="189"/>
      <c r="K15" s="189"/>
      <c r="L15" s="189"/>
      <c r="M15" s="315"/>
      <c r="N15" s="189"/>
      <c r="O15" s="315"/>
    </row>
    <row r="16" spans="1:16">
      <c r="A16" s="6">
        <v>13</v>
      </c>
      <c r="B16" s="20" t="s">
        <v>157</v>
      </c>
      <c r="C16" s="9">
        <v>5502977</v>
      </c>
      <c r="D16" s="20" t="s">
        <v>128</v>
      </c>
      <c r="E16" s="228">
        <v>45036</v>
      </c>
      <c r="F16" s="189">
        <v>34</v>
      </c>
      <c r="G16" s="189">
        <v>6</v>
      </c>
      <c r="H16" s="189">
        <v>0</v>
      </c>
      <c r="I16" s="189">
        <v>6</v>
      </c>
      <c r="J16" s="189">
        <v>27</v>
      </c>
      <c r="K16" s="189">
        <v>7183130</v>
      </c>
      <c r="L16" s="189">
        <v>643966</v>
      </c>
      <c r="M16" s="315" t="s">
        <v>8259</v>
      </c>
      <c r="N16" s="189"/>
      <c r="O16" s="315" t="s">
        <v>8259</v>
      </c>
    </row>
    <row r="17" spans="1:15">
      <c r="A17" s="6">
        <v>14</v>
      </c>
      <c r="B17" s="20" t="s">
        <v>159</v>
      </c>
      <c r="C17" s="9">
        <v>2708701</v>
      </c>
      <c r="D17" s="20" t="s">
        <v>128</v>
      </c>
      <c r="E17" s="6"/>
      <c r="F17" s="189"/>
      <c r="G17" s="189"/>
      <c r="H17" s="189"/>
      <c r="I17" s="189"/>
      <c r="J17" s="189"/>
      <c r="K17" s="189"/>
      <c r="L17" s="189"/>
      <c r="M17" s="315"/>
      <c r="N17" s="189"/>
      <c r="O17" s="315"/>
    </row>
    <row r="18" spans="1:15" s="188" customFormat="1">
      <c r="A18" s="186">
        <v>15</v>
      </c>
      <c r="B18" s="184" t="s">
        <v>161</v>
      </c>
      <c r="C18" s="185">
        <v>2014491</v>
      </c>
      <c r="D18" s="184" t="s">
        <v>163</v>
      </c>
      <c r="E18" s="186"/>
      <c r="F18" s="190"/>
      <c r="G18" s="190"/>
      <c r="H18" s="190"/>
      <c r="I18" s="190"/>
      <c r="J18" s="190"/>
      <c r="K18" s="190"/>
      <c r="L18" s="190"/>
      <c r="M18" s="316"/>
      <c r="N18" s="190"/>
      <c r="O18" s="316"/>
    </row>
    <row r="19" spans="1:15">
      <c r="A19" s="6">
        <v>16</v>
      </c>
      <c r="B19" s="20" t="s">
        <v>165</v>
      </c>
      <c r="C19" s="9">
        <v>6414877</v>
      </c>
      <c r="D19" s="20" t="s">
        <v>128</v>
      </c>
      <c r="E19" s="242">
        <v>44950</v>
      </c>
      <c r="F19" s="193">
        <v>62580</v>
      </c>
      <c r="G19" s="193">
        <v>62580</v>
      </c>
      <c r="H19" s="193">
        <v>60510</v>
      </c>
      <c r="I19" s="193">
        <v>2070</v>
      </c>
      <c r="J19" s="193">
        <v>0</v>
      </c>
      <c r="K19" s="193">
        <v>57409200</v>
      </c>
      <c r="L19" s="193">
        <v>676875</v>
      </c>
      <c r="M19" s="317" t="s">
        <v>8259</v>
      </c>
      <c r="N19" s="193"/>
      <c r="O19" s="315" t="s">
        <v>8259</v>
      </c>
    </row>
    <row r="20" spans="1:15">
      <c r="A20" s="517">
        <v>17</v>
      </c>
      <c r="B20" s="543" t="s">
        <v>168</v>
      </c>
      <c r="C20" s="9">
        <v>5369223</v>
      </c>
      <c r="D20" s="20" t="s">
        <v>128</v>
      </c>
      <c r="E20" s="228">
        <v>45093</v>
      </c>
      <c r="F20" s="189">
        <v>31104</v>
      </c>
      <c r="G20" s="189">
        <v>31104</v>
      </c>
      <c r="H20" s="189">
        <v>0</v>
      </c>
      <c r="I20" s="189">
        <v>31104</v>
      </c>
      <c r="J20" s="189">
        <v>0</v>
      </c>
      <c r="K20" s="189">
        <v>27620400</v>
      </c>
      <c r="L20" s="189">
        <v>0</v>
      </c>
      <c r="M20" s="315" t="s">
        <v>8259</v>
      </c>
      <c r="N20" s="189"/>
      <c r="O20" s="319" t="s">
        <v>8259</v>
      </c>
    </row>
    <row r="21" spans="1:15">
      <c r="A21" s="518"/>
      <c r="B21" s="544"/>
      <c r="C21" s="20"/>
      <c r="D21" s="20"/>
      <c r="E21" s="228">
        <v>45243</v>
      </c>
      <c r="F21" s="189">
        <v>10368</v>
      </c>
      <c r="G21" s="189">
        <v>10368</v>
      </c>
      <c r="H21" s="189">
        <v>0</v>
      </c>
      <c r="I21" s="189">
        <v>10368</v>
      </c>
      <c r="J21" s="189">
        <v>0</v>
      </c>
      <c r="K21" s="189">
        <v>9206780</v>
      </c>
      <c r="L21" s="189">
        <v>0</v>
      </c>
      <c r="M21" s="315" t="s">
        <v>8259</v>
      </c>
      <c r="N21" s="189"/>
      <c r="O21" s="319" t="s">
        <v>8259</v>
      </c>
    </row>
    <row r="22" spans="1:15">
      <c r="A22" s="6">
        <v>18</v>
      </c>
      <c r="B22" s="20" t="s">
        <v>169</v>
      </c>
      <c r="C22" s="9">
        <v>5294088</v>
      </c>
      <c r="D22" s="20" t="s">
        <v>170</v>
      </c>
      <c r="E22" s="243">
        <v>45048</v>
      </c>
      <c r="F22" s="194">
        <v>29030</v>
      </c>
      <c r="G22" s="194">
        <v>7400</v>
      </c>
      <c r="H22" s="194">
        <v>6200</v>
      </c>
      <c r="I22" s="194">
        <v>1200</v>
      </c>
      <c r="J22" s="194">
        <v>21630</v>
      </c>
      <c r="K22" s="194">
        <v>25779000</v>
      </c>
      <c r="L22" s="194">
        <v>273375</v>
      </c>
      <c r="M22" s="318" t="s">
        <v>8259</v>
      </c>
      <c r="N22" s="194"/>
      <c r="O22" s="315" t="s">
        <v>8259</v>
      </c>
    </row>
    <row r="23" spans="1:15">
      <c r="A23" s="6">
        <v>19</v>
      </c>
      <c r="B23" s="20" t="s">
        <v>173</v>
      </c>
      <c r="C23" s="9">
        <v>2855119</v>
      </c>
      <c r="D23" s="20" t="s">
        <v>128</v>
      </c>
      <c r="E23" s="228">
        <v>45071</v>
      </c>
      <c r="F23" s="189"/>
      <c r="G23" s="189"/>
      <c r="H23" s="189"/>
      <c r="I23" s="189"/>
      <c r="J23" s="189"/>
      <c r="K23" s="189">
        <v>45604000</v>
      </c>
      <c r="L23" s="189">
        <v>3342280</v>
      </c>
      <c r="M23" s="315" t="s">
        <v>8250</v>
      </c>
      <c r="N23" s="189"/>
      <c r="O23" s="315" t="s">
        <v>8259</v>
      </c>
    </row>
    <row r="24" spans="1:15">
      <c r="A24" s="6">
        <v>20</v>
      </c>
      <c r="B24" s="20" t="s">
        <v>174</v>
      </c>
      <c r="C24" s="9">
        <v>2094533</v>
      </c>
      <c r="D24" s="20" t="s">
        <v>128</v>
      </c>
      <c r="E24" s="228">
        <v>45267</v>
      </c>
      <c r="F24" s="189">
        <v>0</v>
      </c>
      <c r="G24" s="189">
        <v>1993350</v>
      </c>
      <c r="H24" s="189">
        <v>354900</v>
      </c>
      <c r="I24" s="189">
        <v>1321540</v>
      </c>
      <c r="J24" s="189"/>
      <c r="K24" s="189"/>
      <c r="L24" s="189"/>
      <c r="M24" s="315" t="s">
        <v>8250</v>
      </c>
      <c r="N24" s="189">
        <v>316917</v>
      </c>
      <c r="O24" s="315" t="s">
        <v>8250</v>
      </c>
    </row>
    <row r="25" spans="1:15">
      <c r="A25" s="6">
        <v>21</v>
      </c>
      <c r="B25" s="20" t="s">
        <v>175</v>
      </c>
      <c r="C25" s="9">
        <v>5722942</v>
      </c>
      <c r="D25" s="20" t="s">
        <v>128</v>
      </c>
      <c r="E25" s="6"/>
      <c r="F25" s="189"/>
      <c r="G25" s="189"/>
      <c r="H25" s="189"/>
      <c r="I25" s="189"/>
      <c r="J25" s="189"/>
      <c r="K25" s="189"/>
      <c r="L25" s="189"/>
      <c r="M25" s="315"/>
      <c r="N25" s="189"/>
      <c r="O25" s="315"/>
    </row>
    <row r="26" spans="1:15">
      <c r="A26" s="6">
        <v>22</v>
      </c>
      <c r="B26" s="20" t="s">
        <v>176</v>
      </c>
      <c r="C26" s="9">
        <v>2867494</v>
      </c>
      <c r="D26" s="20" t="s">
        <v>128</v>
      </c>
      <c r="E26" s="6"/>
      <c r="F26" s="189"/>
      <c r="G26" s="189"/>
      <c r="H26" s="189"/>
      <c r="I26" s="189"/>
      <c r="J26" s="189"/>
      <c r="K26" s="189"/>
      <c r="L26" s="189"/>
      <c r="M26" s="315"/>
      <c r="N26" s="189"/>
      <c r="O26" s="315"/>
    </row>
    <row r="27" spans="1:15">
      <c r="A27" s="6">
        <v>23</v>
      </c>
      <c r="B27" s="20" t="s">
        <v>177</v>
      </c>
      <c r="C27" s="9">
        <v>6463932</v>
      </c>
      <c r="D27" s="20" t="s">
        <v>128</v>
      </c>
      <c r="E27" s="6"/>
      <c r="F27" s="189"/>
      <c r="G27" s="189"/>
      <c r="H27" s="189"/>
      <c r="I27" s="189"/>
      <c r="J27" s="189"/>
      <c r="K27" s="189"/>
      <c r="L27" s="189"/>
      <c r="M27" s="315"/>
      <c r="N27" s="189"/>
      <c r="O27" s="315"/>
    </row>
    <row r="28" spans="1:15" s="188" customFormat="1">
      <c r="A28" s="186">
        <v>24</v>
      </c>
      <c r="B28" s="184" t="s">
        <v>178</v>
      </c>
      <c r="C28" s="185">
        <v>5260833</v>
      </c>
      <c r="D28" s="184" t="s">
        <v>128</v>
      </c>
      <c r="E28" s="186"/>
      <c r="F28" s="190"/>
      <c r="G28" s="190"/>
      <c r="H28" s="190"/>
      <c r="I28" s="190"/>
      <c r="J28" s="190"/>
      <c r="K28" s="190"/>
      <c r="L28" s="190"/>
      <c r="M28" s="316"/>
      <c r="N28" s="190"/>
      <c r="O28" s="316"/>
    </row>
    <row r="29" spans="1:15" s="188" customFormat="1">
      <c r="A29" s="186">
        <v>25</v>
      </c>
      <c r="B29" s="184" t="s">
        <v>179</v>
      </c>
      <c r="C29" s="185">
        <v>2051303</v>
      </c>
      <c r="D29" s="184" t="s">
        <v>180</v>
      </c>
      <c r="E29" s="186"/>
      <c r="F29" s="190"/>
      <c r="G29" s="190"/>
      <c r="H29" s="190"/>
      <c r="I29" s="190"/>
      <c r="J29" s="190"/>
      <c r="K29" s="190"/>
      <c r="L29" s="190"/>
      <c r="M29" s="316"/>
      <c r="N29" s="190"/>
      <c r="O29" s="316"/>
    </row>
    <row r="30" spans="1:15">
      <c r="A30" s="6">
        <v>26</v>
      </c>
      <c r="B30" s="20" t="s">
        <v>183</v>
      </c>
      <c r="C30" s="9">
        <v>2061848</v>
      </c>
      <c r="D30" s="20" t="s">
        <v>128</v>
      </c>
      <c r="E30" s="228">
        <v>45049</v>
      </c>
      <c r="F30" s="189">
        <v>69</v>
      </c>
      <c r="G30" s="189">
        <v>69</v>
      </c>
      <c r="H30" s="189">
        <v>0</v>
      </c>
      <c r="I30" s="189">
        <v>69</v>
      </c>
      <c r="J30" s="189"/>
      <c r="K30" s="189">
        <v>35060700</v>
      </c>
      <c r="L30" s="189">
        <v>6696410</v>
      </c>
      <c r="M30" s="315" t="s">
        <v>8259</v>
      </c>
      <c r="N30" s="189"/>
      <c r="O30" s="315" t="s">
        <v>8259</v>
      </c>
    </row>
    <row r="31" spans="1:15" s="188" customFormat="1">
      <c r="A31" s="186">
        <v>27</v>
      </c>
      <c r="B31" s="184" t="s">
        <v>185</v>
      </c>
      <c r="C31" s="185">
        <v>2766337</v>
      </c>
      <c r="D31" s="184" t="s">
        <v>128</v>
      </c>
      <c r="E31" s="186"/>
      <c r="F31" s="190"/>
      <c r="G31" s="190"/>
      <c r="H31" s="190"/>
      <c r="I31" s="190"/>
      <c r="J31" s="190"/>
      <c r="K31" s="190"/>
      <c r="L31" s="190"/>
      <c r="M31" s="316"/>
      <c r="N31" s="190"/>
      <c r="O31" s="316"/>
    </row>
    <row r="32" spans="1:15" s="188" customFormat="1">
      <c r="A32" s="186">
        <v>28</v>
      </c>
      <c r="B32" s="184" t="s">
        <v>187</v>
      </c>
      <c r="C32" s="185">
        <v>5810086</v>
      </c>
      <c r="D32" s="184" t="s">
        <v>128</v>
      </c>
      <c r="E32" s="186"/>
      <c r="F32" s="190"/>
      <c r="G32" s="190"/>
      <c r="H32" s="190"/>
      <c r="I32" s="190"/>
      <c r="J32" s="190"/>
      <c r="K32" s="190"/>
      <c r="L32" s="190"/>
      <c r="M32" s="316"/>
      <c r="N32" s="190"/>
      <c r="O32" s="316"/>
    </row>
    <row r="33" spans="1:15">
      <c r="A33" s="6">
        <v>29</v>
      </c>
      <c r="B33" s="20" t="s">
        <v>188</v>
      </c>
      <c r="C33" s="9">
        <v>5217652</v>
      </c>
      <c r="D33" s="20" t="s">
        <v>128</v>
      </c>
      <c r="E33" s="228">
        <v>45103</v>
      </c>
      <c r="F33" s="189">
        <v>145</v>
      </c>
      <c r="G33" s="189">
        <v>139</v>
      </c>
      <c r="H33" s="189">
        <v>29</v>
      </c>
      <c r="I33" s="189">
        <v>109</v>
      </c>
      <c r="J33" s="189">
        <v>5</v>
      </c>
      <c r="K33" s="189">
        <v>106218000</v>
      </c>
      <c r="L33" s="189">
        <v>2512600</v>
      </c>
      <c r="M33" s="315" t="s">
        <v>8259</v>
      </c>
      <c r="N33" s="189"/>
      <c r="O33" s="315" t="s">
        <v>8259</v>
      </c>
    </row>
    <row r="34" spans="1:15">
      <c r="A34" s="6">
        <v>30</v>
      </c>
      <c r="B34" s="20" t="s">
        <v>189</v>
      </c>
      <c r="C34" s="9">
        <v>2780518</v>
      </c>
      <c r="D34" s="20" t="s">
        <v>128</v>
      </c>
      <c r="E34" s="6"/>
      <c r="F34" s="189"/>
      <c r="G34" s="189"/>
      <c r="H34" s="189"/>
      <c r="I34" s="189"/>
      <c r="J34" s="189"/>
      <c r="K34" s="189"/>
      <c r="L34" s="189"/>
      <c r="M34" s="315"/>
      <c r="N34" s="189"/>
      <c r="O34" s="315"/>
    </row>
    <row r="35" spans="1:15" s="188" customFormat="1">
      <c r="A35" s="186">
        <v>31</v>
      </c>
      <c r="B35" s="184" t="s">
        <v>193</v>
      </c>
      <c r="C35" s="185">
        <v>5272378</v>
      </c>
      <c r="D35" s="184" t="s">
        <v>128</v>
      </c>
      <c r="E35" s="186"/>
      <c r="F35" s="190"/>
      <c r="G35" s="190"/>
      <c r="H35" s="190"/>
      <c r="I35" s="190"/>
      <c r="J35" s="190"/>
      <c r="K35" s="190"/>
      <c r="L35" s="190"/>
      <c r="M35" s="316"/>
      <c r="N35" s="190"/>
      <c r="O35" s="316"/>
    </row>
    <row r="36" spans="1:15">
      <c r="A36" s="6">
        <v>32</v>
      </c>
      <c r="B36" s="20" t="s">
        <v>194</v>
      </c>
      <c r="C36" s="9">
        <v>5467268</v>
      </c>
      <c r="D36" s="20" t="s">
        <v>128</v>
      </c>
      <c r="E36" s="228">
        <v>45056</v>
      </c>
      <c r="F36" s="189">
        <v>100</v>
      </c>
      <c r="G36" s="189">
        <v>100</v>
      </c>
      <c r="H36" s="189">
        <v>0</v>
      </c>
      <c r="I36" s="189">
        <v>100</v>
      </c>
      <c r="J36" s="189">
        <v>0</v>
      </c>
      <c r="K36" s="189">
        <v>5913400</v>
      </c>
      <c r="L36" s="189">
        <v>62306</v>
      </c>
      <c r="M36" s="315" t="s">
        <v>8259</v>
      </c>
      <c r="N36" s="189"/>
      <c r="O36" s="315" t="s">
        <v>8259</v>
      </c>
    </row>
    <row r="37" spans="1:15">
      <c r="A37" s="6">
        <v>33</v>
      </c>
      <c r="B37" s="20" t="s">
        <v>196</v>
      </c>
      <c r="C37" s="9">
        <v>5522935</v>
      </c>
      <c r="D37" s="20" t="s">
        <v>128</v>
      </c>
      <c r="E37" s="228">
        <v>42051</v>
      </c>
      <c r="F37" s="189">
        <v>28</v>
      </c>
      <c r="G37" s="189">
        <v>16</v>
      </c>
      <c r="H37" s="189">
        <v>0</v>
      </c>
      <c r="I37" s="189">
        <v>16</v>
      </c>
      <c r="J37" s="189">
        <v>12</v>
      </c>
      <c r="K37" s="189">
        <v>1866330</v>
      </c>
      <c r="L37" s="189">
        <v>0</v>
      </c>
      <c r="M37" s="315" t="s">
        <v>8259</v>
      </c>
      <c r="N37" s="189"/>
      <c r="O37" s="315" t="s">
        <v>8259</v>
      </c>
    </row>
    <row r="38" spans="1:15" s="188" customFormat="1">
      <c r="A38" s="186">
        <v>34</v>
      </c>
      <c r="B38" s="184" t="s">
        <v>197</v>
      </c>
      <c r="C38" s="185">
        <v>5528089</v>
      </c>
      <c r="D38" s="184" t="s">
        <v>128</v>
      </c>
      <c r="E38" s="186"/>
      <c r="F38" s="190"/>
      <c r="G38" s="190"/>
      <c r="H38" s="190"/>
      <c r="I38" s="190"/>
      <c r="J38" s="190"/>
      <c r="K38" s="190"/>
      <c r="L38" s="190"/>
      <c r="M38" s="316"/>
      <c r="N38" s="190"/>
      <c r="O38" s="316"/>
    </row>
    <row r="39" spans="1:15">
      <c r="A39" s="6">
        <v>35</v>
      </c>
      <c r="B39" s="20" t="s">
        <v>198</v>
      </c>
      <c r="C39" s="9">
        <v>5396662</v>
      </c>
      <c r="D39" s="20" t="s">
        <v>128</v>
      </c>
      <c r="E39" s="6"/>
      <c r="F39" s="189"/>
      <c r="G39" s="189"/>
      <c r="H39" s="189"/>
      <c r="I39" s="189"/>
      <c r="J39" s="189"/>
      <c r="K39" s="189"/>
      <c r="L39" s="189"/>
      <c r="M39" s="315"/>
      <c r="N39" s="189"/>
      <c r="O39" s="315"/>
    </row>
    <row r="40" spans="1:15">
      <c r="A40" s="6">
        <v>36</v>
      </c>
      <c r="B40" s="20" t="s">
        <v>199</v>
      </c>
      <c r="C40" s="9">
        <v>5830974</v>
      </c>
      <c r="D40" s="20" t="s">
        <v>128</v>
      </c>
      <c r="E40" s="6"/>
      <c r="F40" s="189"/>
      <c r="G40" s="189"/>
      <c r="H40" s="189"/>
      <c r="I40" s="189"/>
      <c r="J40" s="189"/>
      <c r="K40" s="189"/>
      <c r="L40" s="189"/>
      <c r="M40" s="315"/>
      <c r="N40" s="189"/>
      <c r="O40" s="315"/>
    </row>
    <row r="41" spans="1:15">
      <c r="A41" s="6">
        <v>37</v>
      </c>
      <c r="B41" s="20" t="s">
        <v>201</v>
      </c>
      <c r="C41" s="9">
        <v>2057573</v>
      </c>
      <c r="D41" s="20" t="s">
        <v>128</v>
      </c>
      <c r="E41" s="6"/>
      <c r="F41" s="189"/>
      <c r="G41" s="189"/>
      <c r="H41" s="189"/>
      <c r="I41" s="189"/>
      <c r="J41" s="189"/>
      <c r="K41" s="189"/>
      <c r="L41" s="189"/>
      <c r="M41" s="315"/>
      <c r="N41" s="189"/>
      <c r="O41" s="315"/>
    </row>
    <row r="42" spans="1:15">
      <c r="A42" s="6">
        <v>38</v>
      </c>
      <c r="B42" s="20" t="s">
        <v>202</v>
      </c>
      <c r="C42" s="9">
        <v>5699134</v>
      </c>
      <c r="D42" s="20" t="s">
        <v>128</v>
      </c>
      <c r="E42" s="228">
        <v>45135</v>
      </c>
      <c r="F42" s="189">
        <v>11808</v>
      </c>
      <c r="G42" s="189">
        <v>11808</v>
      </c>
      <c r="H42" s="189">
        <v>0</v>
      </c>
      <c r="I42" s="189">
        <v>11808</v>
      </c>
      <c r="J42" s="189"/>
      <c r="K42" s="189">
        <v>1151280</v>
      </c>
      <c r="L42" s="189">
        <v>0</v>
      </c>
      <c r="M42" s="315" t="s">
        <v>8259</v>
      </c>
      <c r="N42" s="189"/>
      <c r="O42" s="315" t="s">
        <v>8259</v>
      </c>
    </row>
    <row r="43" spans="1:15">
      <c r="A43" s="6">
        <v>39</v>
      </c>
      <c r="B43" s="20" t="s">
        <v>203</v>
      </c>
      <c r="C43" s="9">
        <v>5412153</v>
      </c>
      <c r="D43" s="20" t="s">
        <v>128</v>
      </c>
      <c r="E43" s="6"/>
      <c r="F43" s="189"/>
      <c r="G43" s="189"/>
      <c r="H43" s="189"/>
      <c r="I43" s="189"/>
      <c r="J43" s="189"/>
      <c r="K43" s="189"/>
      <c r="L43" s="189"/>
      <c r="M43" s="315"/>
      <c r="N43" s="189"/>
      <c r="O43" s="315"/>
    </row>
    <row r="44" spans="1:15">
      <c r="A44" s="6">
        <v>40</v>
      </c>
      <c r="B44" s="20" t="s">
        <v>204</v>
      </c>
      <c r="C44" s="9">
        <v>2034859</v>
      </c>
      <c r="D44" s="20" t="s">
        <v>205</v>
      </c>
      <c r="E44" s="228">
        <v>44804</v>
      </c>
      <c r="F44" s="189">
        <v>1</v>
      </c>
      <c r="G44" s="189">
        <v>1</v>
      </c>
      <c r="H44" s="189">
        <v>1</v>
      </c>
      <c r="I44" s="189">
        <v>0</v>
      </c>
      <c r="J44" s="189">
        <v>0</v>
      </c>
      <c r="K44" s="189">
        <v>1629170</v>
      </c>
      <c r="L44" s="189">
        <v>0</v>
      </c>
      <c r="M44" s="315" t="s">
        <v>8259</v>
      </c>
      <c r="N44" s="189"/>
      <c r="O44" s="315" t="s">
        <v>8259</v>
      </c>
    </row>
    <row r="45" spans="1:15">
      <c r="A45" s="6">
        <v>41</v>
      </c>
      <c r="B45" s="20" t="s">
        <v>208</v>
      </c>
      <c r="C45" s="9">
        <v>5253535</v>
      </c>
      <c r="D45" s="20" t="s">
        <v>128</v>
      </c>
      <c r="E45" s="228">
        <v>45252</v>
      </c>
      <c r="F45" s="189"/>
      <c r="G45" s="189"/>
      <c r="H45" s="189"/>
      <c r="I45" s="189"/>
      <c r="J45" s="189"/>
      <c r="K45" s="189"/>
      <c r="L45" s="189"/>
      <c r="M45" s="315"/>
      <c r="N45" s="189"/>
      <c r="O45" s="315"/>
    </row>
    <row r="46" spans="1:15">
      <c r="A46" s="6">
        <v>42</v>
      </c>
      <c r="B46" s="20" t="s">
        <v>210</v>
      </c>
      <c r="C46" s="9">
        <v>5150884</v>
      </c>
      <c r="D46" s="20" t="s">
        <v>128</v>
      </c>
      <c r="E46" s="228">
        <v>45252</v>
      </c>
      <c r="F46" s="189">
        <v>200</v>
      </c>
      <c r="G46" s="189">
        <v>200</v>
      </c>
      <c r="H46" s="189">
        <v>0</v>
      </c>
      <c r="I46" s="189">
        <v>200</v>
      </c>
      <c r="J46" s="189">
        <v>0</v>
      </c>
      <c r="K46" s="189">
        <v>222000</v>
      </c>
      <c r="L46" s="189">
        <v>0</v>
      </c>
      <c r="M46" s="315" t="s">
        <v>8259</v>
      </c>
      <c r="N46" s="189"/>
      <c r="O46" s="315" t="s">
        <v>8259</v>
      </c>
    </row>
    <row r="47" spans="1:15">
      <c r="A47" s="6">
        <v>43</v>
      </c>
      <c r="B47" s="20" t="s">
        <v>211</v>
      </c>
      <c r="C47" s="9">
        <v>5051304</v>
      </c>
      <c r="D47" s="20" t="s">
        <v>128</v>
      </c>
      <c r="E47" s="6"/>
      <c r="F47" s="189"/>
      <c r="G47" s="189"/>
      <c r="H47" s="189"/>
      <c r="I47" s="189"/>
      <c r="J47" s="189"/>
      <c r="K47" s="189"/>
      <c r="L47" s="189"/>
      <c r="M47" s="315"/>
      <c r="N47" s="189"/>
      <c r="O47" s="315"/>
    </row>
    <row r="48" spans="1:15" s="188" customFormat="1">
      <c r="A48" s="186">
        <v>44</v>
      </c>
      <c r="B48" s="184" t="s">
        <v>213</v>
      </c>
      <c r="C48" s="185">
        <v>5401801</v>
      </c>
      <c r="D48" s="184" t="s">
        <v>128</v>
      </c>
      <c r="E48" s="186"/>
      <c r="F48" s="190"/>
      <c r="G48" s="190"/>
      <c r="H48" s="190"/>
      <c r="I48" s="190"/>
      <c r="J48" s="190"/>
      <c r="K48" s="190"/>
      <c r="L48" s="190"/>
      <c r="M48" s="316"/>
      <c r="N48" s="190"/>
      <c r="O48" s="316"/>
    </row>
    <row r="49" spans="1:15">
      <c r="A49" s="6">
        <v>45</v>
      </c>
      <c r="B49" s="20" t="s">
        <v>214</v>
      </c>
      <c r="C49" s="9">
        <v>2550466</v>
      </c>
      <c r="D49" s="20" t="s">
        <v>128</v>
      </c>
      <c r="E49" s="6"/>
      <c r="F49" s="189"/>
      <c r="G49" s="189"/>
      <c r="H49" s="189"/>
      <c r="I49" s="189"/>
      <c r="J49" s="189"/>
      <c r="K49" s="189"/>
      <c r="L49" s="189"/>
      <c r="M49" s="315"/>
      <c r="N49" s="189"/>
      <c r="O49" s="315"/>
    </row>
    <row r="50" spans="1:15">
      <c r="A50" s="6">
        <v>46</v>
      </c>
      <c r="B50" s="20" t="s">
        <v>216</v>
      </c>
      <c r="C50" s="9">
        <v>5051134</v>
      </c>
      <c r="D50" s="20" t="s">
        <v>128</v>
      </c>
      <c r="E50" s="228">
        <v>45229</v>
      </c>
      <c r="F50" s="189">
        <v>22</v>
      </c>
      <c r="G50" s="189">
        <v>7</v>
      </c>
      <c r="H50" s="189">
        <v>0</v>
      </c>
      <c r="I50" s="189">
        <v>7</v>
      </c>
      <c r="J50" s="189">
        <v>15</v>
      </c>
      <c r="K50" s="189">
        <v>18387700</v>
      </c>
      <c r="L50" s="189">
        <v>0</v>
      </c>
      <c r="M50" s="315" t="s">
        <v>8259</v>
      </c>
      <c r="N50" s="189"/>
      <c r="O50" s="315" t="s">
        <v>8259</v>
      </c>
    </row>
    <row r="51" spans="1:15">
      <c r="A51" s="6">
        <v>47</v>
      </c>
      <c r="B51" s="20" t="s">
        <v>217</v>
      </c>
      <c r="C51" s="9">
        <v>2095025</v>
      </c>
      <c r="D51" s="20" t="s">
        <v>128</v>
      </c>
      <c r="E51" s="6"/>
      <c r="F51" s="189"/>
      <c r="G51" s="189"/>
      <c r="H51" s="189"/>
      <c r="I51" s="189"/>
      <c r="J51" s="189"/>
      <c r="K51" s="189"/>
      <c r="L51" s="189"/>
      <c r="M51" s="315"/>
      <c r="N51" s="189"/>
      <c r="O51" s="315"/>
    </row>
    <row r="52" spans="1:15">
      <c r="A52" s="6">
        <v>48</v>
      </c>
      <c r="B52" s="20" t="s">
        <v>218</v>
      </c>
      <c r="C52" s="9">
        <v>2045931</v>
      </c>
      <c r="D52" s="20" t="s">
        <v>128</v>
      </c>
      <c r="E52" s="6"/>
      <c r="F52" s="189"/>
      <c r="G52" s="189"/>
      <c r="H52" s="189"/>
      <c r="I52" s="189"/>
      <c r="J52" s="189"/>
      <c r="K52" s="189"/>
      <c r="L52" s="189"/>
      <c r="M52" s="315"/>
      <c r="N52" s="189"/>
      <c r="O52" s="315"/>
    </row>
    <row r="53" spans="1:15">
      <c r="A53" s="6">
        <v>49</v>
      </c>
      <c r="B53" s="20" t="s">
        <v>219</v>
      </c>
      <c r="C53" s="9">
        <v>2029278</v>
      </c>
      <c r="D53" s="20" t="s">
        <v>128</v>
      </c>
      <c r="E53" s="6"/>
      <c r="F53" s="189"/>
      <c r="G53" s="189"/>
      <c r="H53" s="189"/>
      <c r="I53" s="189"/>
      <c r="J53" s="189"/>
      <c r="K53" s="189"/>
      <c r="L53" s="189"/>
      <c r="M53" s="315"/>
      <c r="N53" s="189"/>
      <c r="O53" s="315"/>
    </row>
    <row r="54" spans="1:15">
      <c r="A54" s="6">
        <v>50</v>
      </c>
      <c r="B54" s="20" t="s">
        <v>220</v>
      </c>
      <c r="C54" s="9">
        <v>5106567</v>
      </c>
      <c r="D54" s="20" t="s">
        <v>128</v>
      </c>
      <c r="E54" s="228">
        <v>44927</v>
      </c>
      <c r="F54" s="189">
        <v>43172</v>
      </c>
      <c r="G54" s="189">
        <v>43172</v>
      </c>
      <c r="H54" s="189">
        <v>0</v>
      </c>
      <c r="I54" s="189">
        <v>0</v>
      </c>
      <c r="J54" s="189">
        <v>0</v>
      </c>
      <c r="K54" s="189">
        <v>7804260</v>
      </c>
      <c r="L54" s="189">
        <v>0</v>
      </c>
      <c r="M54" s="315" t="s">
        <v>8259</v>
      </c>
      <c r="N54" s="189"/>
      <c r="O54" s="315" t="s">
        <v>8259</v>
      </c>
    </row>
    <row r="55" spans="1:15">
      <c r="A55" s="570">
        <v>51</v>
      </c>
      <c r="B55" s="543" t="s">
        <v>222</v>
      </c>
      <c r="C55" s="168">
        <v>5141583</v>
      </c>
      <c r="D55" s="20" t="s">
        <v>128</v>
      </c>
      <c r="E55" s="228">
        <v>45147</v>
      </c>
      <c r="F55" s="189">
        <v>222725</v>
      </c>
      <c r="G55" s="189">
        <v>196881</v>
      </c>
      <c r="H55" s="189">
        <v>0</v>
      </c>
      <c r="I55" s="189">
        <v>196881</v>
      </c>
      <c r="J55" s="189">
        <v>25844</v>
      </c>
      <c r="K55" s="189">
        <v>51496200</v>
      </c>
      <c r="L55" s="189">
        <v>1213500</v>
      </c>
      <c r="M55" s="315" t="s">
        <v>8259</v>
      </c>
      <c r="N55" s="189">
        <v>0</v>
      </c>
      <c r="O55" s="315" t="s">
        <v>8259</v>
      </c>
    </row>
    <row r="56" spans="1:15">
      <c r="A56" s="571"/>
      <c r="B56" s="544"/>
      <c r="C56" s="219"/>
      <c r="D56" s="20" t="s">
        <v>128</v>
      </c>
      <c r="E56" s="228">
        <v>44931</v>
      </c>
      <c r="F56" s="189">
        <v>8379</v>
      </c>
      <c r="G56" s="189">
        <v>696</v>
      </c>
      <c r="H56" s="189">
        <v>0</v>
      </c>
      <c r="I56" s="189">
        <v>696</v>
      </c>
      <c r="J56" s="189">
        <v>7683</v>
      </c>
      <c r="K56" s="189">
        <v>166009</v>
      </c>
      <c r="L56" s="189">
        <v>185625</v>
      </c>
      <c r="M56" s="315" t="s">
        <v>8259</v>
      </c>
      <c r="N56" s="189">
        <v>0</v>
      </c>
      <c r="O56" s="315" t="s">
        <v>8259</v>
      </c>
    </row>
    <row r="57" spans="1:15">
      <c r="A57" s="6">
        <v>52</v>
      </c>
      <c r="B57" s="20" t="s">
        <v>223</v>
      </c>
      <c r="C57" s="9">
        <v>5118115</v>
      </c>
      <c r="D57" s="20" t="s">
        <v>128</v>
      </c>
      <c r="E57" s="6"/>
      <c r="F57" s="189"/>
      <c r="G57" s="189"/>
      <c r="H57" s="189"/>
      <c r="I57" s="189"/>
      <c r="J57" s="189"/>
      <c r="K57" s="189"/>
      <c r="L57" s="189"/>
      <c r="M57" s="315"/>
      <c r="N57" s="189"/>
      <c r="O57" s="315"/>
    </row>
    <row r="58" spans="1:15">
      <c r="A58" s="6">
        <v>53</v>
      </c>
      <c r="B58" s="20" t="s">
        <v>224</v>
      </c>
      <c r="C58" s="9">
        <v>5106656</v>
      </c>
      <c r="D58" s="20" t="s">
        <v>123</v>
      </c>
      <c r="E58" s="6"/>
      <c r="F58" s="189"/>
      <c r="G58" s="189"/>
      <c r="H58" s="189"/>
      <c r="I58" s="189"/>
      <c r="J58" s="189"/>
      <c r="K58" s="189"/>
      <c r="L58" s="189"/>
      <c r="M58" s="315"/>
      <c r="N58" s="189"/>
      <c r="O58" s="315"/>
    </row>
    <row r="59" spans="1:15">
      <c r="A59" s="6">
        <v>54</v>
      </c>
      <c r="B59" s="20" t="s">
        <v>225</v>
      </c>
      <c r="C59" s="9">
        <v>2010895</v>
      </c>
      <c r="D59" s="20" t="s">
        <v>128</v>
      </c>
      <c r="E59" s="228">
        <v>45062</v>
      </c>
      <c r="F59" s="189">
        <v>1785290</v>
      </c>
      <c r="G59" s="189">
        <v>56290</v>
      </c>
      <c r="H59" s="189">
        <v>0</v>
      </c>
      <c r="I59" s="189">
        <v>56290</v>
      </c>
      <c r="J59" s="189">
        <v>1729000</v>
      </c>
      <c r="K59" s="189">
        <v>7181480</v>
      </c>
      <c r="L59" s="189">
        <v>0</v>
      </c>
      <c r="M59" s="315" t="s">
        <v>8259</v>
      </c>
      <c r="N59" s="189"/>
      <c r="O59" s="315" t="s">
        <v>8259</v>
      </c>
    </row>
    <row r="60" spans="1:15">
      <c r="A60" s="6">
        <v>55</v>
      </c>
      <c r="B60" s="20" t="s">
        <v>227</v>
      </c>
      <c r="C60" s="9">
        <v>5295858</v>
      </c>
      <c r="D60" s="20" t="s">
        <v>768</v>
      </c>
      <c r="E60" s="228">
        <v>45396</v>
      </c>
      <c r="F60" s="189">
        <v>0</v>
      </c>
      <c r="G60" s="380">
        <v>110137</v>
      </c>
      <c r="H60" s="189">
        <v>0</v>
      </c>
      <c r="I60" s="380">
        <v>110137</v>
      </c>
      <c r="J60" s="189">
        <v>0</v>
      </c>
      <c r="K60" s="380">
        <v>202813.15</v>
      </c>
      <c r="L60" s="189">
        <v>0</v>
      </c>
      <c r="M60" s="189">
        <v>0</v>
      </c>
      <c r="N60" s="189">
        <v>0</v>
      </c>
      <c r="O60" s="189">
        <v>0</v>
      </c>
    </row>
    <row r="61" spans="1:15">
      <c r="A61" s="6">
        <v>56</v>
      </c>
      <c r="B61" s="20" t="s">
        <v>228</v>
      </c>
      <c r="C61" s="9">
        <v>6287727</v>
      </c>
      <c r="D61" s="20" t="s">
        <v>128</v>
      </c>
      <c r="E61" s="228">
        <v>45097</v>
      </c>
      <c r="F61" s="189">
        <v>266</v>
      </c>
      <c r="G61" s="189">
        <v>1</v>
      </c>
      <c r="H61" s="189">
        <v>0</v>
      </c>
      <c r="I61" s="189">
        <v>0</v>
      </c>
      <c r="J61" s="189">
        <v>0</v>
      </c>
      <c r="K61" s="189">
        <v>355216000</v>
      </c>
      <c r="L61" s="189">
        <v>14055700</v>
      </c>
      <c r="M61" s="315" t="s">
        <v>8259</v>
      </c>
      <c r="N61" s="189"/>
      <c r="O61" s="315" t="s">
        <v>8259</v>
      </c>
    </row>
    <row r="62" spans="1:15" s="188" customFormat="1">
      <c r="A62" s="186">
        <v>57</v>
      </c>
      <c r="B62" s="184" t="s">
        <v>229</v>
      </c>
      <c r="C62" s="185">
        <v>2659603</v>
      </c>
      <c r="D62" s="184" t="s">
        <v>128</v>
      </c>
      <c r="E62" s="186"/>
      <c r="F62" s="190"/>
      <c r="G62" s="190"/>
      <c r="H62" s="190"/>
      <c r="I62" s="190"/>
      <c r="J62" s="190"/>
      <c r="K62" s="190"/>
      <c r="L62" s="190"/>
      <c r="M62" s="316"/>
      <c r="N62" s="190"/>
      <c r="O62" s="316"/>
    </row>
    <row r="63" spans="1:15">
      <c r="A63" s="6">
        <v>58</v>
      </c>
      <c r="B63" s="20" t="s">
        <v>230</v>
      </c>
      <c r="C63" s="9">
        <v>2678187</v>
      </c>
      <c r="D63" s="20" t="s">
        <v>128</v>
      </c>
      <c r="E63" s="6"/>
      <c r="F63" s="189"/>
      <c r="G63" s="189"/>
      <c r="H63" s="189"/>
      <c r="I63" s="189"/>
      <c r="J63" s="189"/>
      <c r="K63" s="189"/>
      <c r="L63" s="189"/>
      <c r="M63" s="315"/>
      <c r="N63" s="189"/>
      <c r="O63" s="315"/>
    </row>
    <row r="64" spans="1:15">
      <c r="A64" s="6">
        <v>59</v>
      </c>
      <c r="B64" s="20" t="s">
        <v>231</v>
      </c>
      <c r="C64" s="9">
        <v>2657457</v>
      </c>
      <c r="D64" s="20" t="s">
        <v>233</v>
      </c>
      <c r="E64" s="228">
        <v>45001</v>
      </c>
      <c r="F64" s="189">
        <v>25145200</v>
      </c>
      <c r="G64" s="189">
        <v>17000500</v>
      </c>
      <c r="H64" s="189">
        <v>0</v>
      </c>
      <c r="I64" s="189">
        <v>17000500</v>
      </c>
      <c r="J64" s="189">
        <v>8144700</v>
      </c>
      <c r="K64" s="189">
        <v>27453800000</v>
      </c>
      <c r="L64" s="189">
        <v>0</v>
      </c>
      <c r="M64" s="315" t="s">
        <v>8250</v>
      </c>
      <c r="N64" s="189">
        <v>100771046</v>
      </c>
      <c r="O64" s="315" t="s">
        <v>8259</v>
      </c>
    </row>
    <row r="65" spans="1:15">
      <c r="A65" s="6">
        <v>60</v>
      </c>
      <c r="B65" s="20" t="s">
        <v>232</v>
      </c>
      <c r="C65" s="9">
        <v>3615243</v>
      </c>
      <c r="D65" s="20" t="s">
        <v>233</v>
      </c>
      <c r="E65" s="6"/>
      <c r="F65" s="189"/>
      <c r="G65" s="189"/>
      <c r="H65" s="189"/>
      <c r="I65" s="189"/>
      <c r="J65" s="189"/>
      <c r="K65" s="189"/>
      <c r="L65" s="189"/>
      <c r="M65" s="315"/>
      <c r="N65" s="189"/>
      <c r="O65" s="315"/>
    </row>
    <row r="66" spans="1:15">
      <c r="A66" s="6">
        <v>61</v>
      </c>
      <c r="B66" s="20" t="s">
        <v>236</v>
      </c>
      <c r="C66" s="9">
        <v>3623955</v>
      </c>
      <c r="D66" s="20" t="s">
        <v>128</v>
      </c>
      <c r="E66" s="6"/>
      <c r="F66" s="189"/>
      <c r="G66" s="189"/>
      <c r="H66" s="189"/>
      <c r="I66" s="189"/>
      <c r="J66" s="189"/>
      <c r="K66" s="189"/>
      <c r="L66" s="189"/>
      <c r="M66" s="315"/>
      <c r="N66" s="189"/>
      <c r="O66" s="315"/>
    </row>
    <row r="67" spans="1:15">
      <c r="A67" s="6">
        <v>62</v>
      </c>
      <c r="B67" s="20" t="s">
        <v>239</v>
      </c>
      <c r="C67" s="9">
        <v>5199077</v>
      </c>
      <c r="D67" s="20" t="s">
        <v>128</v>
      </c>
      <c r="E67" s="228">
        <v>45026</v>
      </c>
      <c r="F67" s="189">
        <v>98</v>
      </c>
      <c r="G67" s="189">
        <v>29</v>
      </c>
      <c r="H67" s="189">
        <v>0</v>
      </c>
      <c r="I67" s="189">
        <v>29</v>
      </c>
      <c r="J67" s="189">
        <v>68</v>
      </c>
      <c r="K67" s="189">
        <v>170719000</v>
      </c>
      <c r="L67" s="189">
        <v>205478</v>
      </c>
      <c r="M67" s="315" t="s">
        <v>8259</v>
      </c>
      <c r="N67" s="189"/>
      <c r="O67" s="315" t="s">
        <v>8259</v>
      </c>
    </row>
    <row r="68" spans="1:15" s="188" customFormat="1">
      <c r="A68" s="186">
        <v>63</v>
      </c>
      <c r="B68" s="184" t="s">
        <v>240</v>
      </c>
      <c r="C68" s="185">
        <v>2075385</v>
      </c>
      <c r="D68" s="184" t="s">
        <v>128</v>
      </c>
      <c r="E68" s="186"/>
      <c r="F68" s="190"/>
      <c r="G68" s="190"/>
      <c r="H68" s="190"/>
      <c r="I68" s="190"/>
      <c r="J68" s="190"/>
      <c r="K68" s="190"/>
      <c r="L68" s="190"/>
      <c r="M68" s="316"/>
      <c r="N68" s="190"/>
      <c r="O68" s="316"/>
    </row>
    <row r="69" spans="1:15" s="188" customFormat="1">
      <c r="A69" s="186">
        <v>64</v>
      </c>
      <c r="B69" s="184" t="s">
        <v>241</v>
      </c>
      <c r="C69" s="185">
        <v>2867095</v>
      </c>
      <c r="D69" s="184" t="s">
        <v>128</v>
      </c>
      <c r="E69" s="186"/>
      <c r="F69" s="190"/>
      <c r="G69" s="190"/>
      <c r="H69" s="190"/>
      <c r="I69" s="190"/>
      <c r="J69" s="190"/>
      <c r="K69" s="190"/>
      <c r="L69" s="190"/>
      <c r="M69" s="316"/>
      <c r="N69" s="190"/>
      <c r="O69" s="316"/>
    </row>
    <row r="70" spans="1:15">
      <c r="A70" s="6">
        <v>65</v>
      </c>
      <c r="B70" s="20" t="s">
        <v>242</v>
      </c>
      <c r="C70" s="9">
        <v>5076285</v>
      </c>
      <c r="D70" s="20" t="s">
        <v>128</v>
      </c>
      <c r="E70" s="228">
        <v>45043</v>
      </c>
      <c r="F70" s="189">
        <v>95</v>
      </c>
      <c r="G70" s="189">
        <v>95</v>
      </c>
      <c r="H70" s="189">
        <v>49</v>
      </c>
      <c r="I70" s="189">
        <v>36</v>
      </c>
      <c r="J70" s="189">
        <v>0</v>
      </c>
      <c r="K70" s="189">
        <v>71135400</v>
      </c>
      <c r="L70" s="189">
        <v>11786400</v>
      </c>
      <c r="M70" s="315" t="s">
        <v>8259</v>
      </c>
      <c r="N70" s="189"/>
      <c r="O70" s="315" t="s">
        <v>8250</v>
      </c>
    </row>
    <row r="71" spans="1:15">
      <c r="A71" s="6">
        <v>66</v>
      </c>
      <c r="B71" s="20" t="s">
        <v>243</v>
      </c>
      <c r="C71" s="9">
        <v>5084555</v>
      </c>
      <c r="D71" s="20" t="s">
        <v>128</v>
      </c>
      <c r="E71" s="228">
        <v>45061</v>
      </c>
      <c r="F71" s="189">
        <v>1</v>
      </c>
      <c r="G71" s="189">
        <v>307</v>
      </c>
      <c r="H71" s="189">
        <v>155</v>
      </c>
      <c r="I71" s="189">
        <v>151</v>
      </c>
      <c r="J71" s="189">
        <v>777</v>
      </c>
      <c r="K71" s="189">
        <v>337555000</v>
      </c>
      <c r="L71" s="189">
        <v>2641800</v>
      </c>
      <c r="M71" s="315" t="s">
        <v>8250</v>
      </c>
      <c r="N71" s="189">
        <v>7</v>
      </c>
      <c r="O71" s="315" t="s">
        <v>8259</v>
      </c>
    </row>
    <row r="72" spans="1:15">
      <c r="A72" s="6">
        <v>67</v>
      </c>
      <c r="B72" s="20" t="s">
        <v>244</v>
      </c>
      <c r="C72" s="9">
        <v>5261198</v>
      </c>
      <c r="D72" s="20" t="s">
        <v>128</v>
      </c>
      <c r="E72" s="6"/>
      <c r="F72" s="189"/>
      <c r="G72" s="189"/>
      <c r="H72" s="189"/>
      <c r="I72" s="189"/>
      <c r="J72" s="189"/>
      <c r="K72" s="189"/>
      <c r="L72" s="189"/>
      <c r="M72" s="315"/>
      <c r="N72" s="189"/>
      <c r="O72" s="315"/>
    </row>
    <row r="73" spans="1:15">
      <c r="A73" s="6">
        <v>68</v>
      </c>
      <c r="B73" s="20" t="s">
        <v>246</v>
      </c>
      <c r="C73" s="9">
        <v>5288703</v>
      </c>
      <c r="D73" s="20" t="s">
        <v>128</v>
      </c>
      <c r="E73" s="228">
        <v>44742</v>
      </c>
      <c r="F73" s="189">
        <v>31879</v>
      </c>
      <c r="G73" s="189">
        <v>31879</v>
      </c>
      <c r="H73" s="189">
        <v>0</v>
      </c>
      <c r="I73" s="189">
        <v>31879</v>
      </c>
      <c r="J73" s="189">
        <v>0</v>
      </c>
      <c r="K73" s="189">
        <v>126818000</v>
      </c>
      <c r="L73" s="189">
        <v>0</v>
      </c>
      <c r="M73" s="315" t="s">
        <v>8250</v>
      </c>
      <c r="N73" s="189">
        <v>15000</v>
      </c>
      <c r="O73" s="315" t="s">
        <v>8259</v>
      </c>
    </row>
    <row r="74" spans="1:15">
      <c r="A74" s="6">
        <v>69</v>
      </c>
      <c r="B74" s="20" t="s">
        <v>248</v>
      </c>
      <c r="C74" s="9">
        <v>6232485</v>
      </c>
      <c r="D74" s="20" t="s">
        <v>128</v>
      </c>
      <c r="E74" s="228">
        <v>45070</v>
      </c>
      <c r="F74" s="189">
        <v>53648</v>
      </c>
      <c r="G74" s="189">
        <v>45009</v>
      </c>
      <c r="H74" s="189">
        <v>0</v>
      </c>
      <c r="I74" s="189">
        <v>45009</v>
      </c>
      <c r="J74" s="189">
        <v>7138</v>
      </c>
      <c r="K74" s="189">
        <v>8864730</v>
      </c>
      <c r="L74" s="189">
        <v>4327060</v>
      </c>
      <c r="M74" s="315" t="s">
        <v>8259</v>
      </c>
      <c r="N74" s="189"/>
      <c r="O74" s="315" t="s">
        <v>8250</v>
      </c>
    </row>
    <row r="75" spans="1:15">
      <c r="A75" s="6">
        <v>70</v>
      </c>
      <c r="B75" s="20" t="s">
        <v>249</v>
      </c>
      <c r="C75" s="9">
        <v>6101615</v>
      </c>
      <c r="D75" s="20" t="s">
        <v>128</v>
      </c>
      <c r="E75" s="228">
        <v>44927</v>
      </c>
      <c r="F75" s="189">
        <v>76</v>
      </c>
      <c r="G75" s="189">
        <v>76</v>
      </c>
      <c r="H75" s="189">
        <v>0</v>
      </c>
      <c r="I75" s="189">
        <v>76</v>
      </c>
      <c r="J75" s="189">
        <v>0</v>
      </c>
      <c r="K75" s="189">
        <v>93922700</v>
      </c>
      <c r="L75" s="189">
        <v>3406570</v>
      </c>
      <c r="M75" s="315" t="s">
        <v>8259</v>
      </c>
      <c r="N75" s="189"/>
      <c r="O75" s="315" t="s">
        <v>8259</v>
      </c>
    </row>
    <row r="76" spans="1:15" s="188" customFormat="1">
      <c r="A76" s="186">
        <v>71</v>
      </c>
      <c r="B76" s="184" t="s">
        <v>250</v>
      </c>
      <c r="C76" s="185">
        <v>5120365</v>
      </c>
      <c r="D76" s="184" t="s">
        <v>233</v>
      </c>
      <c r="E76" s="186"/>
      <c r="F76" s="190"/>
      <c r="G76" s="190"/>
      <c r="H76" s="190"/>
      <c r="I76" s="190"/>
      <c r="J76" s="190"/>
      <c r="K76" s="190"/>
      <c r="L76" s="190"/>
      <c r="M76" s="316"/>
      <c r="N76" s="190"/>
      <c r="O76" s="316"/>
    </row>
    <row r="77" spans="1:15" s="188" customFormat="1">
      <c r="A77" s="186">
        <v>72</v>
      </c>
      <c r="B77" s="184" t="s">
        <v>251</v>
      </c>
      <c r="C77" s="185">
        <v>2016656</v>
      </c>
      <c r="D77" s="184" t="s">
        <v>128</v>
      </c>
      <c r="E77" s="186"/>
      <c r="F77" s="190"/>
      <c r="G77" s="190"/>
      <c r="H77" s="190"/>
      <c r="I77" s="190"/>
      <c r="J77" s="190"/>
      <c r="K77" s="190"/>
      <c r="L77" s="190"/>
      <c r="M77" s="316"/>
      <c r="N77" s="190"/>
      <c r="O77" s="316"/>
    </row>
    <row r="78" spans="1:15">
      <c r="A78" s="6">
        <v>73</v>
      </c>
      <c r="B78" s="20" t="s">
        <v>253</v>
      </c>
      <c r="C78" s="9">
        <v>5872006</v>
      </c>
      <c r="D78" s="20" t="s">
        <v>128</v>
      </c>
      <c r="E78" s="6"/>
      <c r="F78" s="189"/>
      <c r="G78" s="189"/>
      <c r="H78" s="189"/>
      <c r="I78" s="189"/>
      <c r="J78" s="189"/>
      <c r="K78" s="189"/>
      <c r="L78" s="189"/>
      <c r="M78" s="315"/>
      <c r="N78" s="189"/>
      <c r="O78" s="315"/>
    </row>
    <row r="79" spans="1:15" s="188" customFormat="1">
      <c r="A79" s="186">
        <v>74</v>
      </c>
      <c r="B79" s="184" t="s">
        <v>254</v>
      </c>
      <c r="C79" s="185">
        <v>5774047</v>
      </c>
      <c r="D79" s="184" t="s">
        <v>170</v>
      </c>
      <c r="E79" s="186"/>
      <c r="F79" s="190"/>
      <c r="G79" s="190"/>
      <c r="H79" s="190"/>
      <c r="I79" s="190"/>
      <c r="J79" s="190"/>
      <c r="K79" s="190"/>
      <c r="L79" s="190"/>
      <c r="M79" s="316"/>
      <c r="N79" s="190"/>
      <c r="O79" s="316"/>
    </row>
    <row r="80" spans="1:15" s="188" customFormat="1">
      <c r="A80" s="186">
        <v>75</v>
      </c>
      <c r="B80" s="184" t="s">
        <v>257</v>
      </c>
      <c r="C80" s="185">
        <v>5105439</v>
      </c>
      <c r="D80" s="184" t="s">
        <v>128</v>
      </c>
      <c r="E80" s="186"/>
      <c r="F80" s="190"/>
      <c r="G80" s="190"/>
      <c r="H80" s="190"/>
      <c r="I80" s="190"/>
      <c r="J80" s="190"/>
      <c r="K80" s="190"/>
      <c r="L80" s="190"/>
      <c r="M80" s="316"/>
      <c r="N80" s="190"/>
      <c r="O80" s="316"/>
    </row>
    <row r="81" spans="1:15">
      <c r="A81" s="6">
        <v>76</v>
      </c>
      <c r="B81" s="20" t="s">
        <v>258</v>
      </c>
      <c r="C81" s="9">
        <v>2663813</v>
      </c>
      <c r="D81" s="20" t="s">
        <v>138</v>
      </c>
      <c r="E81" s="6"/>
      <c r="F81" s="189"/>
      <c r="G81" s="189"/>
      <c r="H81" s="189"/>
      <c r="I81" s="189"/>
      <c r="J81" s="189"/>
      <c r="K81" s="189"/>
      <c r="L81" s="189"/>
      <c r="M81" s="315"/>
      <c r="N81" s="189"/>
      <c r="O81" s="315"/>
    </row>
    <row r="82" spans="1:15">
      <c r="A82" s="6">
        <v>77</v>
      </c>
      <c r="B82" s="20" t="s">
        <v>260</v>
      </c>
      <c r="C82" s="9">
        <v>2016931</v>
      </c>
      <c r="D82" s="20" t="s">
        <v>128</v>
      </c>
      <c r="E82" s="6"/>
      <c r="F82" s="189"/>
      <c r="G82" s="189"/>
      <c r="H82" s="189"/>
      <c r="I82" s="189"/>
      <c r="J82" s="189"/>
      <c r="K82" s="189"/>
      <c r="L82" s="189"/>
      <c r="M82" s="315"/>
      <c r="N82" s="189"/>
      <c r="O82" s="315"/>
    </row>
    <row r="83" spans="1:15">
      <c r="A83" s="6">
        <v>78</v>
      </c>
      <c r="B83" s="20" t="s">
        <v>263</v>
      </c>
      <c r="C83" s="9">
        <v>5513618</v>
      </c>
      <c r="D83" s="20" t="s">
        <v>128</v>
      </c>
      <c r="E83" s="6"/>
      <c r="F83" s="189"/>
      <c r="G83" s="189"/>
      <c r="H83" s="189"/>
      <c r="I83" s="189"/>
      <c r="J83" s="189"/>
      <c r="K83" s="189"/>
      <c r="L83" s="189"/>
      <c r="M83" s="315"/>
      <c r="N83" s="189"/>
      <c r="O83" s="315"/>
    </row>
    <row r="84" spans="1:15">
      <c r="A84" s="6">
        <v>79</v>
      </c>
      <c r="B84" s="20" t="s">
        <v>264</v>
      </c>
      <c r="C84" s="9">
        <v>2807459</v>
      </c>
      <c r="D84" s="20" t="s">
        <v>128</v>
      </c>
      <c r="E84" s="228">
        <v>45273</v>
      </c>
      <c r="F84" s="189">
        <v>109631</v>
      </c>
      <c r="G84" s="189">
        <v>1682</v>
      </c>
      <c r="H84" s="189">
        <v>744</v>
      </c>
      <c r="I84" s="189">
        <v>938</v>
      </c>
      <c r="J84" s="189">
        <v>107949</v>
      </c>
      <c r="K84" s="189">
        <v>7642510</v>
      </c>
      <c r="L84" s="189">
        <v>0</v>
      </c>
      <c r="M84" s="315" t="s">
        <v>8259</v>
      </c>
      <c r="N84" s="189"/>
      <c r="O84" s="315" t="s">
        <v>8259</v>
      </c>
    </row>
    <row r="85" spans="1:15">
      <c r="A85" s="177">
        <v>80</v>
      </c>
      <c r="B85" s="192" t="s">
        <v>265</v>
      </c>
      <c r="C85" s="167">
        <v>2872943</v>
      </c>
      <c r="D85" s="167" t="s">
        <v>128</v>
      </c>
      <c r="E85" s="228">
        <v>45140</v>
      </c>
      <c r="F85" s="189">
        <v>145596</v>
      </c>
      <c r="G85" s="189">
        <v>145596</v>
      </c>
      <c r="H85" s="189">
        <v>0</v>
      </c>
      <c r="I85" s="189">
        <v>145596</v>
      </c>
      <c r="J85" s="189">
        <v>0</v>
      </c>
      <c r="K85" s="189">
        <v>132630000</v>
      </c>
      <c r="L85" s="189">
        <v>3675970</v>
      </c>
      <c r="M85" s="315" t="s">
        <v>8259</v>
      </c>
      <c r="N85" s="189"/>
      <c r="O85" s="315" t="s">
        <v>8259</v>
      </c>
    </row>
    <row r="86" spans="1:15">
      <c r="A86" s="6">
        <v>81</v>
      </c>
      <c r="B86" s="20" t="s">
        <v>266</v>
      </c>
      <c r="C86" s="9">
        <v>6268048</v>
      </c>
      <c r="D86" s="20" t="s">
        <v>128</v>
      </c>
      <c r="E86" s="228">
        <v>44995</v>
      </c>
      <c r="F86" s="189">
        <v>170</v>
      </c>
      <c r="G86" s="189">
        <v>170</v>
      </c>
      <c r="H86" s="189">
        <v>170</v>
      </c>
      <c r="I86" s="189">
        <v>0</v>
      </c>
      <c r="J86" s="189">
        <v>0</v>
      </c>
      <c r="K86" s="189">
        <v>116128000</v>
      </c>
      <c r="L86" s="189">
        <v>3912750</v>
      </c>
      <c r="M86" s="315" t="s">
        <v>8250</v>
      </c>
      <c r="N86" s="189">
        <v>93</v>
      </c>
      <c r="O86" s="315" t="s">
        <v>8259</v>
      </c>
    </row>
    <row r="87" spans="1:15">
      <c r="A87" s="6">
        <v>82</v>
      </c>
      <c r="B87" s="20" t="s">
        <v>268</v>
      </c>
      <c r="C87" s="9">
        <v>5874963</v>
      </c>
      <c r="D87" s="20" t="s">
        <v>128</v>
      </c>
      <c r="E87" s="228">
        <v>45156</v>
      </c>
      <c r="F87" s="189">
        <v>449280</v>
      </c>
      <c r="G87" s="189">
        <v>81669</v>
      </c>
      <c r="H87" s="189">
        <v>0</v>
      </c>
      <c r="I87" s="189">
        <v>81669</v>
      </c>
      <c r="J87" s="189">
        <v>367611</v>
      </c>
      <c r="K87" s="189">
        <v>58742900</v>
      </c>
      <c r="L87" s="189">
        <v>43200</v>
      </c>
      <c r="M87" s="315" t="s">
        <v>8259</v>
      </c>
      <c r="N87" s="189"/>
      <c r="O87" s="315" t="s">
        <v>8259</v>
      </c>
    </row>
    <row r="88" spans="1:15">
      <c r="A88" s="6">
        <v>83</v>
      </c>
      <c r="B88" s="20" t="s">
        <v>269</v>
      </c>
      <c r="C88" s="9">
        <v>6636624</v>
      </c>
      <c r="D88" s="20" t="s">
        <v>128</v>
      </c>
      <c r="E88" s="6"/>
      <c r="F88" s="189"/>
      <c r="G88" s="189"/>
      <c r="H88" s="189"/>
      <c r="I88" s="189"/>
      <c r="J88" s="189"/>
      <c r="K88" s="189"/>
      <c r="L88" s="189"/>
      <c r="M88" s="315"/>
      <c r="N88" s="189"/>
      <c r="O88" s="315"/>
    </row>
    <row r="89" spans="1:15">
      <c r="A89" s="6">
        <v>84</v>
      </c>
      <c r="B89" s="20" t="s">
        <v>270</v>
      </c>
      <c r="C89" s="9">
        <v>2839717</v>
      </c>
      <c r="D89" s="20" t="s">
        <v>123</v>
      </c>
      <c r="E89" s="228">
        <v>45090</v>
      </c>
      <c r="F89" s="189">
        <v>61511</v>
      </c>
      <c r="G89" s="189">
        <v>78932</v>
      </c>
      <c r="H89" s="189">
        <v>0</v>
      </c>
      <c r="I89" s="189">
        <v>78932</v>
      </c>
      <c r="J89" s="189">
        <v>0</v>
      </c>
      <c r="K89" s="189">
        <v>48434800</v>
      </c>
      <c r="L89" s="189">
        <v>25842400</v>
      </c>
      <c r="M89" s="315" t="s">
        <v>8259</v>
      </c>
      <c r="N89" s="189"/>
      <c r="O89" s="315" t="s">
        <v>8250</v>
      </c>
    </row>
    <row r="90" spans="1:15">
      <c r="A90" s="6">
        <v>85</v>
      </c>
      <c r="B90" s="20" t="s">
        <v>271</v>
      </c>
      <c r="C90" s="9">
        <v>2344343</v>
      </c>
      <c r="D90" s="20" t="s">
        <v>274</v>
      </c>
      <c r="E90" s="6"/>
      <c r="F90" s="189"/>
      <c r="G90" s="189"/>
      <c r="H90" s="189"/>
      <c r="I90" s="189"/>
      <c r="J90" s="189"/>
      <c r="K90" s="189"/>
      <c r="L90" s="189"/>
      <c r="M90" s="315"/>
      <c r="N90" s="189"/>
      <c r="O90" s="315"/>
    </row>
    <row r="91" spans="1:15">
      <c r="A91" s="6">
        <v>86</v>
      </c>
      <c r="B91" s="20" t="s">
        <v>273</v>
      </c>
      <c r="C91" s="9">
        <v>2819996</v>
      </c>
      <c r="D91" s="20" t="s">
        <v>180</v>
      </c>
      <c r="E91" s="6"/>
      <c r="F91" s="189"/>
      <c r="G91" s="189"/>
      <c r="H91" s="189"/>
      <c r="I91" s="189"/>
      <c r="J91" s="189"/>
      <c r="K91" s="189"/>
      <c r="L91" s="189"/>
      <c r="M91" s="315"/>
      <c r="N91" s="189"/>
      <c r="O91" s="315"/>
    </row>
    <row r="92" spans="1:15">
      <c r="A92" s="6">
        <v>87</v>
      </c>
      <c r="B92" s="20" t="s">
        <v>277</v>
      </c>
      <c r="C92" s="9">
        <v>2868687</v>
      </c>
      <c r="D92" s="20" t="s">
        <v>170</v>
      </c>
      <c r="E92" s="6"/>
      <c r="F92" s="189"/>
      <c r="G92" s="189"/>
      <c r="H92" s="189"/>
      <c r="I92" s="189"/>
      <c r="J92" s="189"/>
      <c r="K92" s="189"/>
      <c r="L92" s="189"/>
      <c r="M92" s="315"/>
      <c r="N92" s="189"/>
      <c r="O92" s="315"/>
    </row>
    <row r="93" spans="1:15">
      <c r="A93" s="6">
        <v>88</v>
      </c>
      <c r="B93" s="20" t="s">
        <v>279</v>
      </c>
      <c r="C93" s="9">
        <v>5877288</v>
      </c>
      <c r="D93" s="20" t="s">
        <v>128</v>
      </c>
      <c r="E93" s="6"/>
      <c r="F93" s="189"/>
      <c r="G93" s="189"/>
      <c r="H93" s="189"/>
      <c r="I93" s="189"/>
      <c r="J93" s="189"/>
      <c r="K93" s="189"/>
      <c r="L93" s="189"/>
      <c r="M93" s="315"/>
      <c r="N93" s="189"/>
      <c r="O93" s="315"/>
    </row>
    <row r="94" spans="1:15">
      <c r="A94" s="6">
        <v>89</v>
      </c>
      <c r="B94" s="20" t="s">
        <v>281</v>
      </c>
      <c r="C94" s="9">
        <v>6195598</v>
      </c>
      <c r="D94" s="20" t="s">
        <v>128</v>
      </c>
      <c r="E94" s="6"/>
      <c r="F94" s="189"/>
      <c r="G94" s="189"/>
      <c r="H94" s="189"/>
      <c r="I94" s="189"/>
      <c r="J94" s="189"/>
      <c r="K94" s="189"/>
      <c r="L94" s="189"/>
      <c r="M94" s="315"/>
      <c r="N94" s="189"/>
      <c r="O94" s="315"/>
    </row>
    <row r="95" spans="1:15">
      <c r="A95" s="6">
        <v>90</v>
      </c>
      <c r="B95" s="20" t="s">
        <v>282</v>
      </c>
      <c r="C95" s="9">
        <v>6413811</v>
      </c>
      <c r="D95" s="20" t="s">
        <v>128</v>
      </c>
      <c r="E95" s="6"/>
      <c r="F95" s="189"/>
      <c r="G95" s="189"/>
      <c r="H95" s="189"/>
      <c r="I95" s="189"/>
      <c r="J95" s="189"/>
      <c r="K95" s="189"/>
      <c r="L95" s="189"/>
      <c r="M95" s="315"/>
      <c r="N95" s="189"/>
      <c r="O95" s="315"/>
    </row>
    <row r="96" spans="1:15">
      <c r="A96" s="6">
        <v>91</v>
      </c>
      <c r="B96" s="20" t="s">
        <v>283</v>
      </c>
      <c r="C96" s="9">
        <v>2887134</v>
      </c>
      <c r="D96" s="20" t="s">
        <v>128</v>
      </c>
      <c r="E96" s="228">
        <v>44950</v>
      </c>
      <c r="F96" s="189">
        <v>707805</v>
      </c>
      <c r="G96" s="189">
        <v>104234</v>
      </c>
      <c r="H96" s="189">
        <v>0</v>
      </c>
      <c r="I96" s="189">
        <v>104234</v>
      </c>
      <c r="J96" s="189">
        <v>603883</v>
      </c>
      <c r="K96" s="189">
        <v>62519600</v>
      </c>
      <c r="L96" s="189">
        <v>3058940</v>
      </c>
      <c r="M96" s="315" t="s">
        <v>8259</v>
      </c>
      <c r="N96" s="189"/>
      <c r="O96" s="315" t="s">
        <v>8250</v>
      </c>
    </row>
    <row r="97" spans="1:15">
      <c r="A97" s="6">
        <v>92</v>
      </c>
      <c r="B97" s="20" t="s">
        <v>284</v>
      </c>
      <c r="C97" s="9">
        <v>2618176</v>
      </c>
      <c r="D97" s="20" t="s">
        <v>128</v>
      </c>
      <c r="E97" s="228">
        <v>44958</v>
      </c>
      <c r="F97" s="189"/>
      <c r="G97" s="189"/>
      <c r="H97" s="189"/>
      <c r="I97" s="189"/>
      <c r="J97" s="189"/>
      <c r="K97" s="189">
        <v>8000000</v>
      </c>
      <c r="L97" s="189"/>
      <c r="M97" s="315" t="s">
        <v>8259</v>
      </c>
      <c r="N97" s="189"/>
      <c r="O97" s="315" t="s">
        <v>8259</v>
      </c>
    </row>
    <row r="98" spans="1:15" s="188" customFormat="1">
      <c r="A98" s="186">
        <v>93</v>
      </c>
      <c r="B98" s="184" t="s">
        <v>285</v>
      </c>
      <c r="C98" s="185">
        <v>5364884</v>
      </c>
      <c r="D98" s="184" t="s">
        <v>128</v>
      </c>
      <c r="E98" s="186"/>
      <c r="F98" s="190"/>
      <c r="G98" s="190"/>
      <c r="H98" s="190"/>
      <c r="I98" s="190"/>
      <c r="J98" s="190"/>
      <c r="K98" s="190"/>
      <c r="L98" s="190"/>
      <c r="M98" s="316"/>
      <c r="N98" s="190"/>
      <c r="O98" s="316"/>
    </row>
    <row r="99" spans="1:15">
      <c r="A99" s="6">
        <v>94</v>
      </c>
      <c r="B99" s="20" t="s">
        <v>286</v>
      </c>
      <c r="C99" s="9">
        <v>2100231</v>
      </c>
      <c r="D99" s="20" t="s">
        <v>288</v>
      </c>
      <c r="E99" s="228">
        <v>45180</v>
      </c>
      <c r="F99" s="189">
        <v>388</v>
      </c>
      <c r="G99" s="189">
        <v>253</v>
      </c>
      <c r="H99" s="189">
        <v>253</v>
      </c>
      <c r="I99" s="189">
        <v>0</v>
      </c>
      <c r="J99" s="189">
        <v>135</v>
      </c>
      <c r="K99" s="189">
        <v>226963000</v>
      </c>
      <c r="L99" s="189" t="s">
        <v>8499</v>
      </c>
      <c r="M99" s="315" t="s">
        <v>8259</v>
      </c>
      <c r="N99" s="189"/>
      <c r="O99" s="315" t="s">
        <v>8259</v>
      </c>
    </row>
    <row r="100" spans="1:15">
      <c r="A100" s="6">
        <v>95</v>
      </c>
      <c r="B100" s="20" t="s">
        <v>287</v>
      </c>
      <c r="C100" s="9">
        <v>2661128</v>
      </c>
      <c r="D100" s="20" t="s">
        <v>128</v>
      </c>
      <c r="E100" s="6"/>
      <c r="F100" s="189"/>
      <c r="G100" s="189"/>
      <c r="H100" s="189"/>
      <c r="I100" s="189"/>
      <c r="J100" s="189"/>
      <c r="K100" s="189"/>
      <c r="L100" s="189"/>
      <c r="M100" s="315"/>
      <c r="N100" s="189"/>
      <c r="O100" s="315"/>
    </row>
    <row r="101" spans="1:15">
      <c r="A101" s="6">
        <v>96</v>
      </c>
      <c r="B101" s="20" t="s">
        <v>290</v>
      </c>
      <c r="C101" s="9">
        <v>5878756</v>
      </c>
      <c r="D101" s="20" t="s">
        <v>293</v>
      </c>
      <c r="E101" s="6"/>
      <c r="F101" s="189"/>
      <c r="G101" s="189"/>
      <c r="H101" s="189"/>
      <c r="I101" s="189"/>
      <c r="J101" s="189"/>
      <c r="K101" s="189"/>
      <c r="L101" s="189"/>
      <c r="M101" s="315"/>
      <c r="N101" s="189"/>
      <c r="O101" s="315"/>
    </row>
    <row r="102" spans="1:15">
      <c r="A102" s="6">
        <v>97</v>
      </c>
      <c r="B102" s="20" t="s">
        <v>292</v>
      </c>
      <c r="C102" s="9">
        <v>2166631</v>
      </c>
      <c r="D102" s="20" t="s">
        <v>128</v>
      </c>
      <c r="E102" s="6"/>
      <c r="F102" s="189"/>
      <c r="G102" s="189"/>
      <c r="H102" s="189"/>
      <c r="I102" s="189"/>
      <c r="J102" s="189"/>
      <c r="K102" s="189"/>
      <c r="L102" s="189"/>
      <c r="M102" s="315"/>
      <c r="N102" s="189"/>
      <c r="O102" s="315"/>
    </row>
    <row r="103" spans="1:15">
      <c r="A103" s="6">
        <v>98</v>
      </c>
      <c r="B103" s="20" t="s">
        <v>296</v>
      </c>
      <c r="C103" s="9">
        <v>5671833</v>
      </c>
      <c r="D103" s="20" t="s">
        <v>128</v>
      </c>
      <c r="E103" s="228">
        <v>45036</v>
      </c>
      <c r="F103" s="189">
        <v>14345</v>
      </c>
      <c r="G103" s="189">
        <v>26978</v>
      </c>
      <c r="H103" s="189">
        <v>0</v>
      </c>
      <c r="I103" s="189">
        <v>0</v>
      </c>
      <c r="J103" s="189">
        <v>0</v>
      </c>
      <c r="K103" s="189">
        <v>13254300</v>
      </c>
      <c r="L103" s="189">
        <v>531360</v>
      </c>
      <c r="M103" s="315" t="s">
        <v>8259</v>
      </c>
      <c r="N103" s="189"/>
      <c r="O103" s="315" t="s">
        <v>8250</v>
      </c>
    </row>
    <row r="104" spans="1:15" s="188" customFormat="1">
      <c r="A104" s="186">
        <v>99</v>
      </c>
      <c r="B104" s="184" t="s">
        <v>297</v>
      </c>
      <c r="C104" s="185">
        <v>5104424</v>
      </c>
      <c r="D104" s="184" t="s">
        <v>128</v>
      </c>
      <c r="E104" s="186"/>
      <c r="F104" s="190"/>
      <c r="G104" s="190"/>
      <c r="H104" s="190"/>
      <c r="I104" s="190"/>
      <c r="J104" s="190"/>
      <c r="K104" s="190"/>
      <c r="L104" s="190"/>
      <c r="M104" s="316"/>
      <c r="N104" s="190"/>
      <c r="O104" s="316"/>
    </row>
    <row r="105" spans="1:15">
      <c r="A105" s="6">
        <v>100</v>
      </c>
      <c r="B105" s="20" t="s">
        <v>298</v>
      </c>
      <c r="C105" s="9">
        <v>2668505</v>
      </c>
      <c r="D105" s="20" t="s">
        <v>128</v>
      </c>
      <c r="E105" s="228">
        <v>45050</v>
      </c>
      <c r="F105" s="189">
        <v>3</v>
      </c>
      <c r="G105" s="189">
        <v>2</v>
      </c>
      <c r="H105" s="189">
        <v>2</v>
      </c>
      <c r="I105" s="189">
        <v>0</v>
      </c>
      <c r="J105" s="189">
        <v>1</v>
      </c>
      <c r="K105" s="189">
        <v>2027760</v>
      </c>
      <c r="L105" s="189">
        <v>288000</v>
      </c>
      <c r="M105" s="315" t="s">
        <v>8259</v>
      </c>
      <c r="N105" s="189"/>
      <c r="O105" s="315" t="s">
        <v>8250</v>
      </c>
    </row>
    <row r="106" spans="1:15" s="188" customFormat="1">
      <c r="A106" s="186">
        <v>101</v>
      </c>
      <c r="B106" s="184" t="s">
        <v>299</v>
      </c>
      <c r="C106" s="185">
        <v>2697947</v>
      </c>
      <c r="D106" s="184" t="s">
        <v>128</v>
      </c>
      <c r="E106" s="186"/>
      <c r="F106" s="190"/>
      <c r="G106" s="190"/>
      <c r="H106" s="190"/>
      <c r="I106" s="190"/>
      <c r="J106" s="190"/>
      <c r="K106" s="190"/>
      <c r="L106" s="190"/>
      <c r="M106" s="316"/>
      <c r="N106" s="190"/>
      <c r="O106" s="316"/>
    </row>
    <row r="107" spans="1:15">
      <c r="A107" s="6">
        <v>102</v>
      </c>
      <c r="B107" s="20" t="s">
        <v>300</v>
      </c>
      <c r="C107" s="9">
        <v>5352827</v>
      </c>
      <c r="D107" s="20" t="s">
        <v>138</v>
      </c>
      <c r="E107" s="228">
        <v>44988</v>
      </c>
      <c r="F107" s="189">
        <v>160698</v>
      </c>
      <c r="G107" s="189">
        <v>150791</v>
      </c>
      <c r="H107" s="189">
        <v>0</v>
      </c>
      <c r="I107" s="189">
        <v>150791</v>
      </c>
      <c r="J107" s="189">
        <v>9907</v>
      </c>
      <c r="K107" s="189">
        <v>128227000</v>
      </c>
      <c r="L107" s="189">
        <v>889185</v>
      </c>
      <c r="M107" s="315" t="s">
        <v>8259</v>
      </c>
      <c r="N107" s="189"/>
      <c r="O107" s="315" t="s">
        <v>8259</v>
      </c>
    </row>
    <row r="108" spans="1:15">
      <c r="A108" s="6">
        <v>103</v>
      </c>
      <c r="B108" s="20" t="s">
        <v>301</v>
      </c>
      <c r="C108" s="9">
        <v>2548747</v>
      </c>
      <c r="D108" s="20" t="s">
        <v>304</v>
      </c>
      <c r="E108" s="228">
        <v>45028</v>
      </c>
      <c r="F108" s="189">
        <v>546426</v>
      </c>
      <c r="G108" s="189">
        <v>345860</v>
      </c>
      <c r="H108" s="189">
        <v>0</v>
      </c>
      <c r="I108" s="189">
        <v>345860</v>
      </c>
      <c r="J108" s="189">
        <v>200566</v>
      </c>
      <c r="K108" s="189">
        <v>634568000</v>
      </c>
      <c r="L108" s="189">
        <v>2363050</v>
      </c>
      <c r="M108" s="315" t="s">
        <v>8250</v>
      </c>
      <c r="N108" s="189">
        <v>1093205</v>
      </c>
      <c r="O108" s="315" t="s">
        <v>8250</v>
      </c>
    </row>
    <row r="109" spans="1:15" s="188" customFormat="1">
      <c r="A109" s="186">
        <v>104</v>
      </c>
      <c r="B109" s="184" t="s">
        <v>303</v>
      </c>
      <c r="C109" s="185">
        <v>2641984</v>
      </c>
      <c r="D109" s="184" t="s">
        <v>128</v>
      </c>
      <c r="E109" s="186"/>
      <c r="F109" s="190"/>
      <c r="G109" s="190"/>
      <c r="H109" s="190"/>
      <c r="I109" s="190"/>
      <c r="J109" s="190"/>
      <c r="K109" s="190"/>
      <c r="L109" s="190"/>
      <c r="M109" s="316"/>
      <c r="N109" s="190"/>
      <c r="O109" s="316"/>
    </row>
    <row r="110" spans="1:15">
      <c r="A110" s="6">
        <v>105</v>
      </c>
      <c r="B110" s="20" t="s">
        <v>306</v>
      </c>
      <c r="C110" s="9">
        <v>6342485</v>
      </c>
      <c r="D110" s="20" t="s">
        <v>128</v>
      </c>
      <c r="E110" s="228">
        <v>45061</v>
      </c>
      <c r="F110" s="189">
        <v>1</v>
      </c>
      <c r="G110" s="189">
        <v>1</v>
      </c>
      <c r="H110" s="189">
        <v>1</v>
      </c>
      <c r="I110" s="189">
        <v>0</v>
      </c>
      <c r="J110" s="189">
        <v>0</v>
      </c>
      <c r="K110" s="189">
        <v>287000</v>
      </c>
      <c r="L110" s="189">
        <v>0</v>
      </c>
      <c r="M110" s="315" t="s">
        <v>8259</v>
      </c>
      <c r="N110" s="189"/>
      <c r="O110" s="315" t="s">
        <v>8259</v>
      </c>
    </row>
    <row r="111" spans="1:15">
      <c r="A111" s="6">
        <v>106</v>
      </c>
      <c r="B111" s="20" t="s">
        <v>307</v>
      </c>
      <c r="C111" s="9">
        <v>5166667</v>
      </c>
      <c r="D111" s="20" t="s">
        <v>128</v>
      </c>
      <c r="E111" s="6"/>
      <c r="F111" s="189"/>
      <c r="G111" s="189"/>
      <c r="H111" s="189"/>
      <c r="I111" s="189"/>
      <c r="J111" s="189"/>
      <c r="K111" s="189"/>
      <c r="L111" s="189"/>
      <c r="M111" s="315"/>
      <c r="N111" s="189"/>
      <c r="O111" s="315"/>
    </row>
    <row r="112" spans="1:15">
      <c r="A112" s="6">
        <v>107</v>
      </c>
      <c r="B112" s="20" t="s">
        <v>308</v>
      </c>
      <c r="C112" s="9">
        <v>5482046</v>
      </c>
      <c r="D112" s="20" t="s">
        <v>180</v>
      </c>
      <c r="E112" s="6"/>
      <c r="F112" s="189"/>
      <c r="G112" s="189"/>
      <c r="H112" s="189"/>
      <c r="I112" s="189"/>
      <c r="J112" s="189"/>
      <c r="K112" s="189"/>
      <c r="L112" s="189"/>
      <c r="M112" s="315"/>
      <c r="N112" s="189"/>
      <c r="O112" s="315"/>
    </row>
    <row r="113" spans="1:15">
      <c r="A113" s="6">
        <v>108</v>
      </c>
      <c r="B113" s="20" t="s">
        <v>309</v>
      </c>
      <c r="C113" s="9">
        <v>2050374</v>
      </c>
      <c r="D113" s="20" t="s">
        <v>312</v>
      </c>
      <c r="E113" s="228">
        <v>45274</v>
      </c>
      <c r="F113" s="189">
        <v>2</v>
      </c>
      <c r="G113" s="189">
        <v>2</v>
      </c>
      <c r="H113" s="189">
        <v>0</v>
      </c>
      <c r="I113" s="189">
        <v>2</v>
      </c>
      <c r="J113" s="189">
        <v>30</v>
      </c>
      <c r="K113" s="189">
        <v>525000</v>
      </c>
      <c r="L113" s="189">
        <v>0</v>
      </c>
      <c r="M113" s="315" t="s">
        <v>8259</v>
      </c>
      <c r="N113" s="189"/>
      <c r="O113" s="315" t="s">
        <v>8259</v>
      </c>
    </row>
    <row r="114" spans="1:15">
      <c r="A114" s="6">
        <v>109</v>
      </c>
      <c r="B114" s="20" t="s">
        <v>311</v>
      </c>
      <c r="C114" s="9">
        <v>2004879</v>
      </c>
      <c r="D114" s="20" t="s">
        <v>123</v>
      </c>
      <c r="E114" s="6"/>
      <c r="F114" s="189"/>
      <c r="G114" s="189"/>
      <c r="H114" s="189"/>
      <c r="I114" s="189"/>
      <c r="J114" s="189"/>
      <c r="K114" s="189"/>
      <c r="L114" s="189"/>
      <c r="M114" s="315"/>
      <c r="N114" s="189"/>
      <c r="O114" s="315"/>
    </row>
    <row r="115" spans="1:15" s="188" customFormat="1">
      <c r="A115" s="186">
        <v>110</v>
      </c>
      <c r="B115" s="184" t="s">
        <v>314</v>
      </c>
      <c r="C115" s="185">
        <v>2830213</v>
      </c>
      <c r="D115" s="184" t="s">
        <v>128</v>
      </c>
      <c r="E115" s="186"/>
      <c r="F115" s="190"/>
      <c r="G115" s="190"/>
      <c r="H115" s="190"/>
      <c r="I115" s="190"/>
      <c r="J115" s="190"/>
      <c r="K115" s="190"/>
      <c r="L115" s="190"/>
      <c r="M115" s="316"/>
      <c r="N115" s="190"/>
      <c r="O115" s="316"/>
    </row>
    <row r="116" spans="1:15">
      <c r="A116" s="6">
        <v>111</v>
      </c>
      <c r="B116" s="20" t="s">
        <v>315</v>
      </c>
      <c r="C116" s="9">
        <v>5320607</v>
      </c>
      <c r="D116" s="20" t="s">
        <v>128</v>
      </c>
      <c r="E116" s="228">
        <v>45000</v>
      </c>
      <c r="F116" s="189">
        <v>72</v>
      </c>
      <c r="G116" s="189">
        <v>15</v>
      </c>
      <c r="H116" s="189">
        <v>0</v>
      </c>
      <c r="I116" s="189">
        <v>15</v>
      </c>
      <c r="J116" s="189">
        <v>56</v>
      </c>
      <c r="K116" s="189">
        <v>27397800</v>
      </c>
      <c r="L116" s="189">
        <v>2282000</v>
      </c>
      <c r="M116" s="315" t="s">
        <v>8259</v>
      </c>
      <c r="N116" s="189"/>
      <c r="O116" s="315" t="s">
        <v>8250</v>
      </c>
    </row>
    <row r="117" spans="1:15" s="188" customFormat="1">
      <c r="A117" s="186">
        <v>112</v>
      </c>
      <c r="B117" s="184" t="s">
        <v>316</v>
      </c>
      <c r="C117" s="185">
        <v>5586119</v>
      </c>
      <c r="D117" s="184" t="s">
        <v>128</v>
      </c>
      <c r="E117" s="186"/>
      <c r="F117" s="190"/>
      <c r="G117" s="190"/>
      <c r="H117" s="190"/>
      <c r="I117" s="190"/>
      <c r="J117" s="190"/>
      <c r="K117" s="190"/>
      <c r="L117" s="190"/>
      <c r="M117" s="316"/>
      <c r="N117" s="190"/>
      <c r="O117" s="316"/>
    </row>
    <row r="118" spans="1:15">
      <c r="A118" s="6">
        <v>113</v>
      </c>
      <c r="B118" s="20" t="s">
        <v>317</v>
      </c>
      <c r="C118" s="9">
        <v>5015243</v>
      </c>
      <c r="D118" s="20" t="s">
        <v>128</v>
      </c>
      <c r="E118" s="6"/>
      <c r="F118" s="189"/>
      <c r="G118" s="189"/>
      <c r="H118" s="189"/>
      <c r="I118" s="189"/>
      <c r="J118" s="189"/>
      <c r="K118" s="189"/>
      <c r="L118" s="189"/>
      <c r="M118" s="315"/>
      <c r="N118" s="189"/>
      <c r="O118" s="315"/>
    </row>
    <row r="119" spans="1:15">
      <c r="A119" s="6">
        <v>114</v>
      </c>
      <c r="B119" s="20" t="s">
        <v>318</v>
      </c>
      <c r="C119" s="9">
        <v>5452503</v>
      </c>
      <c r="D119" s="20" t="s">
        <v>128</v>
      </c>
      <c r="E119" s="6"/>
      <c r="F119" s="189"/>
      <c r="G119" s="189"/>
      <c r="H119" s="189"/>
      <c r="I119" s="189"/>
      <c r="J119" s="189"/>
      <c r="K119" s="189"/>
      <c r="L119" s="189"/>
      <c r="M119" s="315"/>
      <c r="N119" s="189"/>
      <c r="O119" s="315"/>
    </row>
    <row r="120" spans="1:15">
      <c r="A120" s="6">
        <v>115</v>
      </c>
      <c r="B120" s="20" t="s">
        <v>319</v>
      </c>
      <c r="C120" s="9">
        <v>2887746</v>
      </c>
      <c r="D120" s="20" t="s">
        <v>128</v>
      </c>
      <c r="E120" s="228">
        <v>44959</v>
      </c>
      <c r="F120" s="189">
        <v>2735030</v>
      </c>
      <c r="G120" s="189">
        <v>2626300</v>
      </c>
      <c r="H120" s="189">
        <v>0</v>
      </c>
      <c r="I120" s="189">
        <v>2626300</v>
      </c>
      <c r="J120" s="189">
        <v>108721</v>
      </c>
      <c r="K120" s="189">
        <v>4058850000</v>
      </c>
      <c r="L120" s="189">
        <v>70342500</v>
      </c>
      <c r="M120" s="315" t="s">
        <v>8259</v>
      </c>
      <c r="N120" s="189"/>
      <c r="O120" s="315" t="s">
        <v>8250</v>
      </c>
    </row>
    <row r="121" spans="1:15">
      <c r="A121" s="6">
        <v>116</v>
      </c>
      <c r="B121" s="20" t="s">
        <v>320</v>
      </c>
      <c r="C121" s="9">
        <v>5618339</v>
      </c>
      <c r="D121" s="20" t="s">
        <v>128</v>
      </c>
      <c r="E121" s="228">
        <v>44988</v>
      </c>
      <c r="F121" s="189">
        <v>68</v>
      </c>
      <c r="G121" s="189">
        <v>64</v>
      </c>
      <c r="H121" s="189">
        <v>0</v>
      </c>
      <c r="I121" s="189">
        <v>64</v>
      </c>
      <c r="J121" s="189">
        <v>4</v>
      </c>
      <c r="K121" s="189">
        <v>54768200</v>
      </c>
      <c r="L121" s="189">
        <v>0</v>
      </c>
      <c r="M121" s="315" t="s">
        <v>8259</v>
      </c>
      <c r="N121" s="189"/>
      <c r="O121" s="315" t="s">
        <v>8259</v>
      </c>
    </row>
    <row r="122" spans="1:15">
      <c r="A122" s="6">
        <v>117</v>
      </c>
      <c r="B122" s="20" t="s">
        <v>321</v>
      </c>
      <c r="C122" s="9">
        <v>2718243</v>
      </c>
      <c r="D122" s="20" t="s">
        <v>128</v>
      </c>
      <c r="E122" s="228">
        <v>45001</v>
      </c>
      <c r="F122" s="189">
        <v>26461</v>
      </c>
      <c r="G122" s="189">
        <v>18134</v>
      </c>
      <c r="H122" s="189">
        <v>0</v>
      </c>
      <c r="I122" s="189">
        <v>18134</v>
      </c>
      <c r="J122" s="189">
        <v>8328</v>
      </c>
      <c r="K122" s="189">
        <v>3784290</v>
      </c>
      <c r="L122" s="189">
        <v>182920</v>
      </c>
      <c r="M122" s="315" t="s">
        <v>8259</v>
      </c>
      <c r="N122" s="189"/>
      <c r="O122" s="315" t="s">
        <v>8259</v>
      </c>
    </row>
    <row r="123" spans="1:15">
      <c r="A123" s="6">
        <v>118</v>
      </c>
      <c r="B123" s="20" t="s">
        <v>322</v>
      </c>
      <c r="C123" s="9">
        <v>6896197</v>
      </c>
      <c r="D123" s="20" t="s">
        <v>128</v>
      </c>
      <c r="E123" s="6"/>
      <c r="F123" s="189">
        <v>49</v>
      </c>
      <c r="G123" s="189">
        <v>49</v>
      </c>
      <c r="H123" s="189">
        <v>0</v>
      </c>
      <c r="I123" s="189">
        <v>49</v>
      </c>
      <c r="J123" s="189">
        <v>0</v>
      </c>
      <c r="K123" s="189">
        <v>1358640</v>
      </c>
      <c r="L123" s="189">
        <v>0</v>
      </c>
      <c r="M123" s="315" t="s">
        <v>8259</v>
      </c>
      <c r="N123" s="189"/>
      <c r="O123" s="315" t="s">
        <v>8259</v>
      </c>
    </row>
    <row r="124" spans="1:15">
      <c r="A124" s="6">
        <v>119</v>
      </c>
      <c r="B124" s="20" t="s">
        <v>323</v>
      </c>
      <c r="C124" s="9">
        <v>5435528</v>
      </c>
      <c r="D124" s="20" t="s">
        <v>128</v>
      </c>
      <c r="E124" s="228">
        <v>45291</v>
      </c>
      <c r="F124" s="189">
        <v>1</v>
      </c>
      <c r="G124" s="189">
        <v>389</v>
      </c>
      <c r="H124" s="189">
        <v>0</v>
      </c>
      <c r="I124" s="189">
        <v>389</v>
      </c>
      <c r="J124" s="189">
        <v>920</v>
      </c>
      <c r="K124" s="189">
        <v>104164000</v>
      </c>
      <c r="L124" s="189">
        <v>1625400</v>
      </c>
      <c r="M124" s="315" t="s">
        <v>8259</v>
      </c>
      <c r="N124" s="189"/>
      <c r="O124" s="315" t="s">
        <v>8259</v>
      </c>
    </row>
    <row r="125" spans="1:15" s="188" customFormat="1">
      <c r="A125" s="186">
        <v>120</v>
      </c>
      <c r="B125" s="184" t="s">
        <v>324</v>
      </c>
      <c r="C125" s="185">
        <v>5824826</v>
      </c>
      <c r="D125" s="184" t="s">
        <v>128</v>
      </c>
      <c r="E125" s="186"/>
      <c r="F125" s="190"/>
      <c r="G125" s="190"/>
      <c r="H125" s="190"/>
      <c r="I125" s="190"/>
      <c r="J125" s="190"/>
      <c r="K125" s="190"/>
      <c r="L125" s="190"/>
      <c r="M125" s="316"/>
      <c r="N125" s="190"/>
      <c r="O125" s="316"/>
    </row>
    <row r="126" spans="1:15">
      <c r="A126" s="6">
        <v>121</v>
      </c>
      <c r="B126" s="20" t="s">
        <v>325</v>
      </c>
      <c r="C126" s="9">
        <v>6141536</v>
      </c>
      <c r="D126" s="20" t="s">
        <v>128</v>
      </c>
      <c r="E126" s="6"/>
      <c r="F126" s="189"/>
      <c r="G126" s="189"/>
      <c r="H126" s="189"/>
      <c r="I126" s="189"/>
      <c r="J126" s="189"/>
      <c r="K126" s="189"/>
      <c r="L126" s="189"/>
      <c r="M126" s="315"/>
      <c r="N126" s="189"/>
      <c r="O126" s="315"/>
    </row>
    <row r="127" spans="1:15">
      <c r="A127" s="517">
        <v>122</v>
      </c>
      <c r="B127" s="543" t="s">
        <v>326</v>
      </c>
      <c r="C127" s="168">
        <v>5124913</v>
      </c>
      <c r="D127" s="168" t="s">
        <v>329</v>
      </c>
      <c r="E127" s="228">
        <v>45028</v>
      </c>
      <c r="F127" s="189">
        <v>5510000</v>
      </c>
      <c r="G127" s="189">
        <v>1310450</v>
      </c>
      <c r="H127" s="189">
        <v>0</v>
      </c>
      <c r="I127" s="189">
        <v>1310450</v>
      </c>
      <c r="J127" s="189">
        <v>4199550</v>
      </c>
      <c r="K127" s="189">
        <v>219507000</v>
      </c>
      <c r="L127" s="189">
        <v>0</v>
      </c>
      <c r="M127" s="315" t="s">
        <v>8259</v>
      </c>
      <c r="N127" s="189"/>
      <c r="O127" s="315" t="s">
        <v>8259</v>
      </c>
    </row>
    <row r="128" spans="1:15">
      <c r="A128" s="518"/>
      <c r="B128" s="544"/>
      <c r="C128" s="219"/>
      <c r="D128" s="219"/>
      <c r="E128" s="228">
        <v>45110</v>
      </c>
      <c r="F128" s="189">
        <v>5789670</v>
      </c>
      <c r="G128" s="189">
        <v>5435190</v>
      </c>
      <c r="H128" s="189">
        <v>5435190</v>
      </c>
      <c r="I128" s="189">
        <v>0</v>
      </c>
      <c r="J128" s="189">
        <v>359479</v>
      </c>
      <c r="K128" s="189">
        <v>814795000</v>
      </c>
      <c r="L128" s="189">
        <v>0</v>
      </c>
      <c r="M128" s="315" t="s">
        <v>8259</v>
      </c>
      <c r="N128" s="189"/>
      <c r="O128" s="315" t="s">
        <v>8259</v>
      </c>
    </row>
    <row r="129" spans="1:15">
      <c r="A129" s="6">
        <v>123</v>
      </c>
      <c r="B129" s="20" t="s">
        <v>327</v>
      </c>
      <c r="C129" s="9">
        <v>2074192</v>
      </c>
      <c r="D129" s="20" t="s">
        <v>128</v>
      </c>
      <c r="E129" s="228">
        <v>44973</v>
      </c>
      <c r="F129" s="189">
        <v>22</v>
      </c>
      <c r="G129" s="189">
        <v>21</v>
      </c>
      <c r="H129" s="189">
        <v>0</v>
      </c>
      <c r="I129" s="189">
        <v>21</v>
      </c>
      <c r="J129" s="189">
        <v>1</v>
      </c>
      <c r="K129" s="189">
        <v>29242500000</v>
      </c>
      <c r="L129" s="189">
        <v>829565000</v>
      </c>
      <c r="M129" s="315" t="s">
        <v>8250</v>
      </c>
      <c r="N129" s="189">
        <v>89</v>
      </c>
      <c r="O129" s="315" t="s">
        <v>8250</v>
      </c>
    </row>
    <row r="130" spans="1:15" s="188" customFormat="1">
      <c r="A130" s="186">
        <v>124</v>
      </c>
      <c r="B130" s="184" t="s">
        <v>331</v>
      </c>
      <c r="C130" s="185">
        <v>2861224</v>
      </c>
      <c r="D130" s="184" t="s">
        <v>128</v>
      </c>
      <c r="E130" s="186"/>
      <c r="F130" s="190"/>
      <c r="G130" s="190"/>
      <c r="H130" s="190"/>
      <c r="I130" s="190"/>
      <c r="J130" s="190"/>
      <c r="K130" s="190"/>
      <c r="L130" s="190"/>
      <c r="M130" s="316"/>
      <c r="N130" s="190"/>
      <c r="O130" s="316"/>
    </row>
    <row r="131" spans="1:15">
      <c r="A131" s="6">
        <v>125</v>
      </c>
      <c r="B131" s="20" t="s">
        <v>332</v>
      </c>
      <c r="C131" s="9">
        <v>5137977</v>
      </c>
      <c r="D131" s="12" t="s">
        <v>1014</v>
      </c>
      <c r="E131" s="6"/>
      <c r="F131" s="189"/>
      <c r="G131" s="189"/>
      <c r="H131" s="189"/>
      <c r="I131" s="189">
        <v>6</v>
      </c>
      <c r="J131" s="189">
        <v>0</v>
      </c>
      <c r="K131" s="189">
        <v>7228400</v>
      </c>
      <c r="L131" s="189">
        <v>0</v>
      </c>
      <c r="M131" s="315" t="s">
        <v>8259</v>
      </c>
      <c r="N131" s="189"/>
      <c r="O131" s="315" t="s">
        <v>8259</v>
      </c>
    </row>
    <row r="132" spans="1:15">
      <c r="A132" s="568" t="s">
        <v>628</v>
      </c>
      <c r="B132" s="569"/>
      <c r="C132" s="372"/>
      <c r="D132" s="372"/>
      <c r="E132" s="373"/>
      <c r="F132" s="374">
        <f>SUM(F4:F131)</f>
        <v>43832851</v>
      </c>
      <c r="G132" s="374">
        <f t="shared" ref="G132:L132" si="0">SUM(G4:G131)</f>
        <v>30068054</v>
      </c>
      <c r="H132" s="374">
        <f t="shared" si="0"/>
        <v>5993123</v>
      </c>
      <c r="I132" s="374">
        <f t="shared" si="0"/>
        <v>23685093</v>
      </c>
      <c r="J132" s="374">
        <f t="shared" si="0"/>
        <v>15907227</v>
      </c>
      <c r="K132" s="374">
        <f t="shared" si="0"/>
        <v>65894473168.150002</v>
      </c>
      <c r="L132" s="374">
        <f t="shared" si="0"/>
        <v>1021394594</v>
      </c>
      <c r="M132" s="374"/>
      <c r="N132" s="374">
        <f>SUM(N4:N131)</f>
        <v>102196360</v>
      </c>
      <c r="O132" s="374"/>
    </row>
  </sheetData>
  <mergeCells count="7">
    <mergeCell ref="A20:A21"/>
    <mergeCell ref="B20:B21"/>
    <mergeCell ref="A132:B132"/>
    <mergeCell ref="B127:B128"/>
    <mergeCell ref="A127:A128"/>
    <mergeCell ref="B55:B56"/>
    <mergeCell ref="A55:A56"/>
  </mergeCells>
  <conditionalFormatting sqref="B35:B55 B57:B85">
    <cfRule type="duplicateValues" dxfId="332" priority="11"/>
  </conditionalFormatting>
  <conditionalFormatting sqref="B86">
    <cfRule type="duplicateValues" dxfId="331" priority="9"/>
  </conditionalFormatting>
  <conditionalFormatting sqref="B87:B90">
    <cfRule type="duplicateValues" dxfId="330" priority="10"/>
  </conditionalFormatting>
  <conditionalFormatting sqref="B91 B4:B20 B22:B34">
    <cfRule type="duplicateValues" dxfId="329" priority="12"/>
  </conditionalFormatting>
  <conditionalFormatting sqref="B92:B127 B129:B131 A132">
    <cfRule type="duplicateValues" dxfId="328" priority="13"/>
  </conditionalFormatting>
  <conditionalFormatting sqref="C35:C55 C57:C85">
    <cfRule type="duplicateValues" dxfId="327" priority="6"/>
  </conditionalFormatting>
  <conditionalFormatting sqref="C86">
    <cfRule type="duplicateValues" dxfId="326" priority="5"/>
  </conditionalFormatting>
  <conditionalFormatting sqref="C87">
    <cfRule type="duplicateValues" dxfId="325" priority="4"/>
  </conditionalFormatting>
  <conditionalFormatting sqref="C88">
    <cfRule type="duplicateValues" dxfId="324" priority="3"/>
  </conditionalFormatting>
  <conditionalFormatting sqref="C89">
    <cfRule type="duplicateValues" dxfId="323" priority="2"/>
  </conditionalFormatting>
  <conditionalFormatting sqref="C90">
    <cfRule type="duplicateValues" dxfId="322" priority="1"/>
  </conditionalFormatting>
  <conditionalFormatting sqref="C91 C4:C20 C22:C34">
    <cfRule type="duplicateValues" dxfId="321" priority="7"/>
  </conditionalFormatting>
  <conditionalFormatting sqref="C92:C127 C129:C131">
    <cfRule type="duplicateValues" dxfId="320" priority="8"/>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6935-1C22-4DDF-A9EF-84AB0D719D98}">
  <sheetPr>
    <tabColor rgb="FF006432"/>
  </sheetPr>
  <dimension ref="A1:F128"/>
  <sheetViews>
    <sheetView workbookViewId="0">
      <selection activeCell="A128" sqref="A128"/>
    </sheetView>
  </sheetViews>
  <sheetFormatPr defaultRowHeight="15"/>
  <cols>
    <col min="1" max="1" width="4.42578125" customWidth="1"/>
    <col min="2" max="2" width="12.5703125" customWidth="1"/>
    <col min="3" max="3" width="21.5703125" customWidth="1"/>
    <col min="4" max="4" width="24.7109375" customWidth="1"/>
  </cols>
  <sheetData>
    <row r="1" spans="1:6" ht="16.5" thickBot="1">
      <c r="A1" s="26" t="s">
        <v>8998</v>
      </c>
      <c r="B1" s="26"/>
      <c r="C1" s="26"/>
      <c r="D1" s="26"/>
      <c r="E1" s="26"/>
      <c r="F1" s="26"/>
    </row>
    <row r="2" spans="1:6" ht="7.5" customHeight="1" thickTop="1"/>
    <row r="3" spans="1:6" ht="25.5">
      <c r="A3" s="57" t="s">
        <v>114</v>
      </c>
      <c r="B3" s="57" t="s">
        <v>621</v>
      </c>
      <c r="C3" s="57" t="s">
        <v>115</v>
      </c>
      <c r="D3" s="57" t="s">
        <v>720</v>
      </c>
    </row>
    <row r="4" spans="1:6">
      <c r="A4" s="12">
        <v>1</v>
      </c>
      <c r="B4" s="9">
        <v>2011239</v>
      </c>
      <c r="C4" s="20" t="s">
        <v>121</v>
      </c>
      <c r="D4" s="429">
        <f>SUMIF([1]Нэгтгэл!B:B,'[1]24Б'!B:B,[1]Нэгтгэл!CN:CN)</f>
        <v>29242452350</v>
      </c>
    </row>
    <row r="5" spans="1:6">
      <c r="A5" s="12">
        <f>A4+1</f>
        <v>2</v>
      </c>
      <c r="B5" s="9">
        <v>5097517</v>
      </c>
      <c r="C5" s="20" t="s">
        <v>126</v>
      </c>
      <c r="D5" s="429">
        <f>SUMIF([1]Нэгтгэл!B:B,'[1]24Б'!B:B,[1]Нэгтгэл!CN:CN)</f>
        <v>27507682763</v>
      </c>
    </row>
    <row r="6" spans="1:6">
      <c r="A6" s="12">
        <f t="shared" ref="A6:A69" si="0">A5+1</f>
        <v>3</v>
      </c>
      <c r="B6" s="9">
        <v>5809797</v>
      </c>
      <c r="C6" s="20" t="s">
        <v>131</v>
      </c>
      <c r="D6" s="429">
        <f>SUMIF([1]Нэгтгэл!B:B,'[1]24Б'!B:B,[1]Нэгтгэл!CN:CN)</f>
        <v>4180561715</v>
      </c>
    </row>
    <row r="7" spans="1:6">
      <c r="A7" s="12">
        <f t="shared" si="0"/>
        <v>4</v>
      </c>
      <c r="B7" s="9">
        <v>5118344</v>
      </c>
      <c r="C7" s="20" t="s">
        <v>133</v>
      </c>
      <c r="D7" s="429">
        <f>SUMIF([1]Нэгтгэл!B:B,'[1]24Б'!B:B,[1]Нэгтгэл!CN:CN)</f>
        <v>1589956420</v>
      </c>
    </row>
    <row r="8" spans="1:6">
      <c r="A8" s="12">
        <f t="shared" si="0"/>
        <v>5</v>
      </c>
      <c r="B8" s="9">
        <v>5095549</v>
      </c>
      <c r="C8" s="20" t="s">
        <v>136</v>
      </c>
      <c r="D8" s="429">
        <f>SUMIF([1]Нэгтгэл!B:B,'[1]24Б'!B:B,[1]Нэгтгэл!CN:CN)</f>
        <v>896395084</v>
      </c>
    </row>
    <row r="9" spans="1:6">
      <c r="A9" s="12">
        <f t="shared" si="0"/>
        <v>6</v>
      </c>
      <c r="B9" s="9">
        <v>2784165</v>
      </c>
      <c r="C9" s="20" t="s">
        <v>140</v>
      </c>
      <c r="D9" s="429">
        <f>SUMIF([1]Нэгтгэл!B:B,'[1]24Б'!B:B,[1]Нэгтгэл!CN:CN)</f>
        <v>670051167</v>
      </c>
    </row>
    <row r="10" spans="1:6">
      <c r="A10" s="12">
        <f t="shared" si="0"/>
        <v>7</v>
      </c>
      <c r="B10" s="9">
        <v>5133351</v>
      </c>
      <c r="C10" s="20" t="s">
        <v>143</v>
      </c>
      <c r="D10" s="429">
        <f>SUMIF([1]Нэгтгэл!B:B,'[1]24Б'!B:B,[1]Нэгтгэл!CN:CN)</f>
        <v>605608897</v>
      </c>
    </row>
    <row r="11" spans="1:6">
      <c r="A11" s="12">
        <f t="shared" si="0"/>
        <v>8</v>
      </c>
      <c r="B11" s="9">
        <v>6172768</v>
      </c>
      <c r="C11" s="20" t="s">
        <v>144</v>
      </c>
      <c r="D11" s="429">
        <f>SUMIF([1]Нэгтгэл!B:B,'[1]24Б'!B:B,[1]Нэгтгэл!CN:CN)</f>
        <v>583645388</v>
      </c>
    </row>
    <row r="12" spans="1:6">
      <c r="A12" s="12">
        <f t="shared" si="0"/>
        <v>9</v>
      </c>
      <c r="B12" s="9">
        <v>2788705</v>
      </c>
      <c r="C12" s="20" t="s">
        <v>146</v>
      </c>
      <c r="D12" s="429">
        <f>SUMIF([1]Нэгтгэл!B:B,'[1]24Б'!B:B,[1]Нэгтгэл!CN:CN)</f>
        <v>560317449</v>
      </c>
    </row>
    <row r="13" spans="1:6">
      <c r="A13" s="12">
        <f t="shared" si="0"/>
        <v>10</v>
      </c>
      <c r="B13" s="9">
        <v>5439183</v>
      </c>
      <c r="C13" s="20" t="s">
        <v>629</v>
      </c>
      <c r="D13" s="429">
        <f>SUMIF([1]Нэгтгэл!B:B,'[1]24Б'!B:B,[1]Нэгтгэл!CN:CN)</f>
        <v>366164537</v>
      </c>
    </row>
    <row r="14" spans="1:6">
      <c r="A14" s="12">
        <f t="shared" si="0"/>
        <v>11</v>
      </c>
      <c r="B14" s="9">
        <v>2008572</v>
      </c>
      <c r="C14" s="20" t="s">
        <v>152</v>
      </c>
      <c r="D14" s="429">
        <f>SUMIF([1]Нэгтгэл!B:B,'[1]24Б'!B:B,[1]Нэгтгэл!CN:CN)</f>
        <v>355215799</v>
      </c>
    </row>
    <row r="15" spans="1:6">
      <c r="A15" s="12">
        <f t="shared" si="0"/>
        <v>12</v>
      </c>
      <c r="B15" s="9">
        <v>5215919</v>
      </c>
      <c r="C15" s="20" t="s">
        <v>155</v>
      </c>
      <c r="D15" s="429">
        <f>SUMIF([1]Нэгтгэл!B:B,'[1]24Б'!B:B,[1]Нэгтгэл!CN:CN)</f>
        <v>337873287</v>
      </c>
    </row>
    <row r="16" spans="1:6">
      <c r="A16" s="12">
        <f t="shared" si="0"/>
        <v>13</v>
      </c>
      <c r="B16" s="9">
        <v>5502977</v>
      </c>
      <c r="C16" s="20" t="s">
        <v>157</v>
      </c>
      <c r="D16" s="429">
        <f>SUMIF([1]Нэгтгэл!B:B,'[1]24Б'!B:B,[1]Нэгтгэл!CN:CN)</f>
        <v>226963231</v>
      </c>
    </row>
    <row r="17" spans="1:4">
      <c r="A17" s="12">
        <f t="shared" si="0"/>
        <v>14</v>
      </c>
      <c r="B17" s="9">
        <v>2708701</v>
      </c>
      <c r="C17" s="20" t="s">
        <v>159</v>
      </c>
      <c r="D17" s="429">
        <f>SUMIF([1]Нэгтгэл!B:B,'[1]24Б'!B:B,[1]Нэгтгэл!CN:CN)</f>
        <v>218667974</v>
      </c>
    </row>
    <row r="18" spans="1:4">
      <c r="A18" s="12">
        <f t="shared" si="0"/>
        <v>15</v>
      </c>
      <c r="B18" s="9">
        <v>2014491</v>
      </c>
      <c r="C18" s="20" t="s">
        <v>161</v>
      </c>
      <c r="D18" s="429">
        <f>SUMIF([1]Нэгтгэл!B:B,'[1]24Б'!B:B,[1]Нэгтгэл!CN:CN)</f>
        <v>199768747</v>
      </c>
    </row>
    <row r="19" spans="1:4">
      <c r="A19" s="12">
        <f t="shared" si="0"/>
        <v>16</v>
      </c>
      <c r="B19" s="9">
        <v>6414877</v>
      </c>
      <c r="C19" s="20" t="s">
        <v>165</v>
      </c>
      <c r="D19" s="429">
        <f>SUMIF([1]Нэгтгэл!B:B,'[1]24Б'!B:B,[1]Нэгтгэл!CN:CN)</f>
        <v>169812005</v>
      </c>
    </row>
    <row r="20" spans="1:4">
      <c r="A20" s="12">
        <f t="shared" si="0"/>
        <v>17</v>
      </c>
      <c r="B20" s="9">
        <v>5369223</v>
      </c>
      <c r="C20" s="20" t="s">
        <v>168</v>
      </c>
      <c r="D20" s="429">
        <f>SUMIF([1]Нэгтгэл!B:B,'[1]24Б'!B:B,[1]Нэгтгэл!CN:CN)</f>
        <v>169491870</v>
      </c>
    </row>
    <row r="21" spans="1:4">
      <c r="A21" s="12">
        <f t="shared" si="0"/>
        <v>18</v>
      </c>
      <c r="B21" s="9">
        <v>5294088</v>
      </c>
      <c r="C21" s="20" t="s">
        <v>169</v>
      </c>
      <c r="D21" s="429">
        <f>SUMIF([1]Нэгтгэл!B:B,'[1]24Б'!B:B,[1]Нэгтгэл!CN:CN)</f>
        <v>161911199</v>
      </c>
    </row>
    <row r="22" spans="1:4">
      <c r="A22" s="12">
        <f t="shared" si="0"/>
        <v>19</v>
      </c>
      <c r="B22" s="9">
        <v>2855119</v>
      </c>
      <c r="C22" s="20" t="s">
        <v>173</v>
      </c>
      <c r="D22" s="429">
        <f>SUMIF([1]Нэгтгэл!B:B,'[1]24Б'!B:B,[1]Нэгтгэл!CN:CN)</f>
        <v>152568403</v>
      </c>
    </row>
    <row r="23" spans="1:4">
      <c r="A23" s="12">
        <f t="shared" si="0"/>
        <v>20</v>
      </c>
      <c r="B23" s="9">
        <v>2094533</v>
      </c>
      <c r="C23" s="20" t="s">
        <v>174</v>
      </c>
      <c r="D23" s="429">
        <f>SUMIF([1]Нэгтгэл!B:B,'[1]24Б'!B:B,[1]Нэгтгэл!CN:CN)</f>
        <v>136305973</v>
      </c>
    </row>
    <row r="24" spans="1:4">
      <c r="A24" s="12">
        <f t="shared" si="0"/>
        <v>21</v>
      </c>
      <c r="B24" s="9">
        <v>5722942</v>
      </c>
      <c r="C24" s="20" t="s">
        <v>175</v>
      </c>
      <c r="D24" s="429">
        <f>SUMIF([1]Нэгтгэл!B:B,'[1]24Б'!B:B,[1]Нэгтгэл!CN:CN)</f>
        <v>116127516</v>
      </c>
    </row>
    <row r="25" spans="1:4">
      <c r="A25" s="12">
        <f t="shared" si="0"/>
        <v>22</v>
      </c>
      <c r="B25" s="9">
        <v>2867494</v>
      </c>
      <c r="C25" s="20" t="s">
        <v>176</v>
      </c>
      <c r="D25" s="429">
        <f>SUMIF([1]Нэгтгэл!B:B,'[1]24Б'!B:B,[1]Нэгтгэл!CN:CN)</f>
        <v>104917386</v>
      </c>
    </row>
    <row r="26" spans="1:4">
      <c r="A26" s="12">
        <f t="shared" si="0"/>
        <v>23</v>
      </c>
      <c r="B26" s="9">
        <v>6463932</v>
      </c>
      <c r="C26" s="20" t="s">
        <v>177</v>
      </c>
      <c r="D26" s="429">
        <f>SUMIF([1]Нэгтгэл!B:B,'[1]24Б'!B:B,[1]Нэгтгэл!CN:CN)</f>
        <v>98310205</v>
      </c>
    </row>
    <row r="27" spans="1:4">
      <c r="A27" s="12">
        <f t="shared" si="0"/>
        <v>24</v>
      </c>
      <c r="B27" s="9">
        <v>5260833</v>
      </c>
      <c r="C27" s="20" t="s">
        <v>178</v>
      </c>
      <c r="D27" s="429">
        <f>SUMIF([1]Нэгтгэл!B:B,'[1]24Б'!B:B,[1]Нэгтгэл!CN:CN)</f>
        <v>86190011</v>
      </c>
    </row>
    <row r="28" spans="1:4">
      <c r="A28" s="12">
        <f t="shared" si="0"/>
        <v>25</v>
      </c>
      <c r="B28" s="9">
        <v>2051303</v>
      </c>
      <c r="C28" s="20" t="s">
        <v>179</v>
      </c>
      <c r="D28" s="429">
        <f>SUMIF([1]Нэгтгэл!B:B,'[1]24Б'!B:B,[1]Нэгтгэл!CN:CN)</f>
        <v>80056464</v>
      </c>
    </row>
    <row r="29" spans="1:4">
      <c r="A29" s="12">
        <f t="shared" si="0"/>
        <v>26</v>
      </c>
      <c r="B29" s="9">
        <v>2061848</v>
      </c>
      <c r="C29" s="20" t="s">
        <v>183</v>
      </c>
      <c r="D29" s="429">
        <f>SUMIF([1]Нэгтгэл!B:B,'[1]24Б'!B:B,[1]Нэгтгэл!CN:CN)</f>
        <v>71135378</v>
      </c>
    </row>
    <row r="30" spans="1:4">
      <c r="A30" s="12">
        <f t="shared" si="0"/>
        <v>27</v>
      </c>
      <c r="B30" s="9">
        <v>2766337</v>
      </c>
      <c r="C30" s="20" t="s">
        <v>185</v>
      </c>
      <c r="D30" s="429">
        <f>SUMIF([1]Нэгтгэл!B:B,'[1]24Б'!B:B,[1]Нэгтгэл!CN:CN)</f>
        <v>64727441</v>
      </c>
    </row>
    <row r="31" spans="1:4">
      <c r="A31" s="12">
        <f t="shared" si="0"/>
        <v>28</v>
      </c>
      <c r="B31" s="9">
        <v>5810086</v>
      </c>
      <c r="C31" s="20" t="s">
        <v>187</v>
      </c>
      <c r="D31" s="429">
        <f>SUMIF([1]Нэгтгэл!B:B,'[1]24Б'!B:B,[1]Нэгтгэл!CN:CN)</f>
        <v>51662232</v>
      </c>
    </row>
    <row r="32" spans="1:4">
      <c r="A32" s="12">
        <f t="shared" si="0"/>
        <v>29</v>
      </c>
      <c r="B32" s="9">
        <v>5217652</v>
      </c>
      <c r="C32" s="20" t="s">
        <v>188</v>
      </c>
      <c r="D32" s="429">
        <f>SUMIF([1]Нэгтгэл!B:B,'[1]24Б'!B:B,[1]Нэгтгэл!CN:CN)</f>
        <v>48434816</v>
      </c>
    </row>
    <row r="33" spans="1:4">
      <c r="A33" s="12">
        <f t="shared" si="0"/>
        <v>30</v>
      </c>
      <c r="B33" s="9">
        <v>2780518</v>
      </c>
      <c r="C33" s="20" t="s">
        <v>189</v>
      </c>
      <c r="D33" s="429">
        <f>SUMIF([1]Нэгтгэл!B:B,'[1]24Б'!B:B,[1]Нэгтгэл!CN:CN)</f>
        <v>45604010</v>
      </c>
    </row>
    <row r="34" spans="1:4">
      <c r="A34" s="12">
        <f t="shared" si="0"/>
        <v>31</v>
      </c>
      <c r="B34" s="9">
        <v>5272378</v>
      </c>
      <c r="C34" s="20" t="s">
        <v>193</v>
      </c>
      <c r="D34" s="429">
        <f>SUMIF([1]Нэгтгэл!B:B,'[1]24Б'!B:B,[1]Нэгтгэл!CN:CN)</f>
        <v>35060672</v>
      </c>
    </row>
    <row r="35" spans="1:4">
      <c r="A35" s="12">
        <f t="shared" si="0"/>
        <v>32</v>
      </c>
      <c r="B35" s="9">
        <v>5467268</v>
      </c>
      <c r="C35" s="20" t="s">
        <v>194</v>
      </c>
      <c r="D35" s="429">
        <f>SUMIF([1]Нэгтгэл!B:B,'[1]24Б'!B:B,[1]Нэгтгэл!CN:CN)</f>
        <v>34242022</v>
      </c>
    </row>
    <row r="36" spans="1:4">
      <c r="A36" s="12">
        <f t="shared" si="0"/>
        <v>33</v>
      </c>
      <c r="B36" s="9">
        <v>5522935</v>
      </c>
      <c r="C36" s="20" t="s">
        <v>196</v>
      </c>
      <c r="D36" s="429">
        <f>SUMIF([1]Нэгтгэл!B:B,'[1]24Б'!B:B,[1]Нэгтгэл!CN:CN)</f>
        <v>27397808</v>
      </c>
    </row>
    <row r="37" spans="1:4">
      <c r="A37" s="12">
        <f t="shared" si="0"/>
        <v>34</v>
      </c>
      <c r="B37" s="9">
        <v>5528089</v>
      </c>
      <c r="C37" s="20" t="s">
        <v>197</v>
      </c>
      <c r="D37" s="429">
        <f>SUMIF([1]Нэгтгэл!B:B,'[1]24Б'!B:B,[1]Нэгтгэл!CN:CN)</f>
        <v>25778995</v>
      </c>
    </row>
    <row r="38" spans="1:4">
      <c r="A38" s="12">
        <f t="shared" si="0"/>
        <v>35</v>
      </c>
      <c r="B38" s="9">
        <v>5396662</v>
      </c>
      <c r="C38" s="20" t="s">
        <v>198</v>
      </c>
      <c r="D38" s="429">
        <f>SUMIF([1]Нэгтгэл!B:B,'[1]24Б'!B:B,[1]Нэгтгэл!CN:CN)</f>
        <v>22432643</v>
      </c>
    </row>
    <row r="39" spans="1:4">
      <c r="A39" s="12">
        <f t="shared" si="0"/>
        <v>36</v>
      </c>
      <c r="B39" s="9">
        <v>5830974</v>
      </c>
      <c r="C39" s="20" t="s">
        <v>199</v>
      </c>
      <c r="D39" s="429">
        <f>SUMIF([1]Нэгтгэл!B:B,'[1]24Б'!B:B,[1]Нэгтгэл!CN:CN)</f>
        <v>21615104</v>
      </c>
    </row>
    <row r="40" spans="1:4">
      <c r="A40" s="12">
        <f t="shared" si="0"/>
        <v>37</v>
      </c>
      <c r="B40" s="9">
        <v>2057573</v>
      </c>
      <c r="C40" s="20" t="s">
        <v>201</v>
      </c>
      <c r="D40" s="429">
        <f>SUMIF([1]Нэгтгэл!B:B,'[1]24Б'!B:B,[1]Нэгтгэл!CN:CN)</f>
        <v>18387668</v>
      </c>
    </row>
    <row r="41" spans="1:4">
      <c r="A41" s="12">
        <f t="shared" si="0"/>
        <v>38</v>
      </c>
      <c r="B41" s="9">
        <v>5699134</v>
      </c>
      <c r="C41" s="20" t="s">
        <v>202</v>
      </c>
      <c r="D41" s="429">
        <f>SUMIF([1]Нэгтгэл!B:B,'[1]24Б'!B:B,[1]Нэгтгэл!CN:CN)</f>
        <v>15569038</v>
      </c>
    </row>
    <row r="42" spans="1:4">
      <c r="A42" s="12">
        <f t="shared" si="0"/>
        <v>39</v>
      </c>
      <c r="B42" s="9">
        <v>5412153</v>
      </c>
      <c r="C42" s="20" t="s">
        <v>203</v>
      </c>
      <c r="D42" s="429">
        <f>SUMIF([1]Нэгтгэл!B:B,'[1]24Б'!B:B,[1]Нэгтгэл!CN:CN)</f>
        <v>15460000</v>
      </c>
    </row>
    <row r="43" spans="1:4">
      <c r="A43" s="12">
        <f t="shared" si="0"/>
        <v>40</v>
      </c>
      <c r="B43" s="9">
        <v>2034859</v>
      </c>
      <c r="C43" s="20" t="s">
        <v>204</v>
      </c>
      <c r="D43" s="429">
        <f>SUMIF([1]Нэгтгэл!B:B,'[1]24Б'!B:B,[1]Нэгтгэл!CN:CN)</f>
        <v>12248291</v>
      </c>
    </row>
    <row r="44" spans="1:4">
      <c r="A44" s="12">
        <f t="shared" si="0"/>
        <v>41</v>
      </c>
      <c r="B44" s="9">
        <v>5253535</v>
      </c>
      <c r="C44" s="20" t="s">
        <v>208</v>
      </c>
      <c r="D44" s="429">
        <f>SUMIF([1]Нэгтгэл!B:B,'[1]24Б'!B:B,[1]Нэгтгэл!CN:CN)</f>
        <v>11465263</v>
      </c>
    </row>
    <row r="45" spans="1:4">
      <c r="A45" s="12">
        <f t="shared" si="0"/>
        <v>42</v>
      </c>
      <c r="B45" s="9">
        <v>5150884</v>
      </c>
      <c r="C45" s="20" t="s">
        <v>210</v>
      </c>
      <c r="D45" s="429">
        <f>SUMIF([1]Нэгтгэл!B:B,'[1]24Б'!B:B,[1]Нэгтгэл!CN:CN)</f>
        <v>10357632</v>
      </c>
    </row>
    <row r="46" spans="1:4">
      <c r="A46" s="12">
        <f t="shared" si="0"/>
        <v>43</v>
      </c>
      <c r="B46" s="9">
        <v>5051304</v>
      </c>
      <c r="C46" s="20" t="s">
        <v>211</v>
      </c>
      <c r="D46" s="429">
        <f>SUMIF([1]Нэгтгэл!B:B,'[1]24Б'!B:B,[1]Нэгтгэл!CN:CN)</f>
        <v>10000000</v>
      </c>
    </row>
    <row r="47" spans="1:4">
      <c r="A47" s="12">
        <f t="shared" si="0"/>
        <v>44</v>
      </c>
      <c r="B47" s="9">
        <v>5401801</v>
      </c>
      <c r="C47" s="20" t="s">
        <v>213</v>
      </c>
      <c r="D47" s="429">
        <f>SUMIF([1]Нэгтгэл!B:B,'[1]24Б'!B:B,[1]Нэгтгэл!CN:CN)</f>
        <v>9650439</v>
      </c>
    </row>
    <row r="48" spans="1:4">
      <c r="A48" s="12">
        <f t="shared" si="0"/>
        <v>45</v>
      </c>
      <c r="B48" s="9">
        <v>2550466</v>
      </c>
      <c r="C48" s="20" t="s">
        <v>214</v>
      </c>
      <c r="D48" s="429">
        <f>SUMIF([1]Нэгтгэл!B:B,'[1]24Б'!B:B,[1]Нэгтгэл!CN:CN)</f>
        <v>7748404</v>
      </c>
    </row>
    <row r="49" spans="1:4">
      <c r="A49" s="12">
        <f t="shared" si="0"/>
        <v>46</v>
      </c>
      <c r="B49" s="9">
        <v>5051134</v>
      </c>
      <c r="C49" s="20" t="s">
        <v>216</v>
      </c>
      <c r="D49" s="429">
        <f>SUMIF([1]Нэгтгэл!B:B,'[1]24Б'!B:B,[1]Нэгтгэл!CN:CN)</f>
        <v>7183131</v>
      </c>
    </row>
    <row r="50" spans="1:4">
      <c r="A50" s="12">
        <f t="shared" si="0"/>
        <v>47</v>
      </c>
      <c r="B50" s="9">
        <v>2095025</v>
      </c>
      <c r="C50" s="20" t="s">
        <v>217</v>
      </c>
      <c r="D50" s="429">
        <f>SUMIF([1]Нэгтгэл!B:B,'[1]24Б'!B:B,[1]Нэгтгэл!CN:CN)</f>
        <v>7181478</v>
      </c>
    </row>
    <row r="51" spans="1:4">
      <c r="A51" s="12">
        <f t="shared" si="0"/>
        <v>48</v>
      </c>
      <c r="B51" s="9">
        <v>2045931</v>
      </c>
      <c r="C51" s="20" t="s">
        <v>218</v>
      </c>
      <c r="D51" s="429">
        <f>SUMIF([1]Нэгтгэл!B:B,'[1]24Б'!B:B,[1]Нэгтгэл!CN:CN)</f>
        <v>5913400</v>
      </c>
    </row>
    <row r="52" spans="1:4">
      <c r="A52" s="12">
        <f t="shared" si="0"/>
        <v>49</v>
      </c>
      <c r="B52" s="9">
        <v>2029278</v>
      </c>
      <c r="C52" s="20" t="s">
        <v>219</v>
      </c>
      <c r="D52" s="429">
        <f>SUMIF([1]Нэгтгэл!B:B,'[1]24Б'!B:B,[1]Нэгтгэл!CN:CN)</f>
        <v>5710485</v>
      </c>
    </row>
    <row r="53" spans="1:4">
      <c r="A53" s="12">
        <f t="shared" si="0"/>
        <v>50</v>
      </c>
      <c r="B53" s="9">
        <v>5106567</v>
      </c>
      <c r="C53" s="20" t="s">
        <v>220</v>
      </c>
      <c r="D53" s="429">
        <f>SUMIF([1]Нэгтгэл!B:B,'[1]24Б'!B:B,[1]Нэгтгэл!CN:CN)</f>
        <v>3427713</v>
      </c>
    </row>
    <row r="54" spans="1:4">
      <c r="A54" s="12">
        <f t="shared" si="0"/>
        <v>51</v>
      </c>
      <c r="B54" s="9">
        <v>5141583</v>
      </c>
      <c r="C54" s="20" t="s">
        <v>222</v>
      </c>
      <c r="D54" s="429">
        <f>SUMIF([1]Нэгтгэл!B:B,'[1]24Б'!B:B,[1]Нэгтгэл!CN:CN)</f>
        <v>3341331</v>
      </c>
    </row>
    <row r="55" spans="1:4">
      <c r="A55" s="12">
        <f t="shared" si="0"/>
        <v>52</v>
      </c>
      <c r="B55" s="9">
        <v>5118115</v>
      </c>
      <c r="C55" s="20" t="s">
        <v>223</v>
      </c>
      <c r="D55" s="429">
        <f>SUMIF([1]Нэгтгэл!B:B,'[1]24Б'!B:B,[1]Нэгтгэл!CN:CN)</f>
        <v>3037011.55</v>
      </c>
    </row>
    <row r="56" spans="1:4">
      <c r="A56" s="12">
        <f t="shared" si="0"/>
        <v>53</v>
      </c>
      <c r="B56" s="9">
        <v>5106656</v>
      </c>
      <c r="C56" s="20" t="s">
        <v>224</v>
      </c>
      <c r="D56" s="429">
        <f>SUMIF([1]Нэгтгэл!B:B,'[1]24Б'!B:B,[1]Нэгтгэл!CN:CN)</f>
        <v>2720640</v>
      </c>
    </row>
    <row r="57" spans="1:4">
      <c r="A57" s="12">
        <f t="shared" si="0"/>
        <v>54</v>
      </c>
      <c r="B57" s="9">
        <v>2010895</v>
      </c>
      <c r="C57" s="20" t="s">
        <v>225</v>
      </c>
      <c r="D57" s="429">
        <f>SUMIF([1]Нэгтгэл!B:B,'[1]24Б'!B:B,[1]Нэгтгэл!CN:CN)</f>
        <v>2512595</v>
      </c>
    </row>
    <row r="58" spans="1:4">
      <c r="A58" s="12">
        <f t="shared" si="0"/>
        <v>55</v>
      </c>
      <c r="B58" s="9">
        <v>5295858</v>
      </c>
      <c r="C58" s="20" t="s">
        <v>227</v>
      </c>
      <c r="D58" s="429">
        <f>SUMIF([1]Нэгтгэл!B:B,'[1]24Б'!B:B,[1]Нэгтгэл!CN:CN)</f>
        <v>2415273</v>
      </c>
    </row>
    <row r="59" spans="1:4">
      <c r="A59" s="12">
        <f t="shared" si="0"/>
        <v>56</v>
      </c>
      <c r="B59" s="9">
        <v>6287727</v>
      </c>
      <c r="C59" s="20" t="s">
        <v>228</v>
      </c>
      <c r="D59" s="429">
        <f>SUMIF([1]Нэгтгэл!B:B,'[1]24Б'!B:B,[1]Нэгтгэл!CN:CN)</f>
        <v>1358640</v>
      </c>
    </row>
    <row r="60" spans="1:4">
      <c r="A60" s="12">
        <f t="shared" si="0"/>
        <v>57</v>
      </c>
      <c r="B60" s="9">
        <v>2659603</v>
      </c>
      <c r="C60" s="20" t="s">
        <v>229</v>
      </c>
      <c r="D60" s="429">
        <f>SUMIF([1]Нэгтгэл!B:B,'[1]24Б'!B:B,[1]Нэгтгэл!CN:CN)</f>
        <v>666000</v>
      </c>
    </row>
    <row r="61" spans="1:4">
      <c r="A61" s="12">
        <f t="shared" si="0"/>
        <v>58</v>
      </c>
      <c r="B61" s="9">
        <v>2678187</v>
      </c>
      <c r="C61" s="20" t="s">
        <v>230</v>
      </c>
      <c r="D61" s="429">
        <f>SUMIF([1]Нэгтгэл!B:B,'[1]24Б'!B:B,[1]Нэгтгэл!CN:CN)</f>
        <v>437000</v>
      </c>
    </row>
    <row r="62" spans="1:4">
      <c r="A62" s="12">
        <f t="shared" si="0"/>
        <v>59</v>
      </c>
      <c r="B62" s="9">
        <v>2657457</v>
      </c>
      <c r="C62" s="20" t="s">
        <v>231</v>
      </c>
      <c r="D62" s="429">
        <f>SUMIF([1]Нэгтгэл!B:B,'[1]24Б'!B:B,[1]Нэгтгэл!CN:CN)</f>
        <v>287000</v>
      </c>
    </row>
    <row r="63" spans="1:4">
      <c r="A63" s="12">
        <f t="shared" si="0"/>
        <v>60</v>
      </c>
      <c r="B63" s="9">
        <v>3615243</v>
      </c>
      <c r="C63" s="20" t="s">
        <v>232</v>
      </c>
      <c r="D63" s="429">
        <f>SUMIF([1]Нэгтгэл!B:B,'[1]24Б'!B:B,[1]Нэгтгэл!CN:CN)</f>
        <v>273968</v>
      </c>
    </row>
    <row r="64" spans="1:4">
      <c r="A64" s="12">
        <f t="shared" si="0"/>
        <v>61</v>
      </c>
      <c r="B64" s="9">
        <v>3623955</v>
      </c>
      <c r="C64" s="20" t="s">
        <v>236</v>
      </c>
      <c r="D64" s="429">
        <f>SUMIF([1]Нэгтгэл!B:B,'[1]24Б'!B:B,[1]Нэгтгэл!CN:CN)</f>
        <v>256490</v>
      </c>
    </row>
    <row r="65" spans="1:4">
      <c r="A65" s="12">
        <f t="shared" si="0"/>
        <v>62</v>
      </c>
      <c r="B65" s="9">
        <v>5199077</v>
      </c>
      <c r="C65" s="20" t="s">
        <v>239</v>
      </c>
      <c r="D65" s="429">
        <f>SUMIF([1]Нэгтгэл!B:B,'[1]24Б'!B:B,[1]Нэгтгэл!CN:CN)</f>
        <v>50000</v>
      </c>
    </row>
    <row r="66" spans="1:4">
      <c r="A66" s="12">
        <f t="shared" si="0"/>
        <v>63</v>
      </c>
      <c r="B66" s="9">
        <v>2075385</v>
      </c>
      <c r="C66" s="20" t="s">
        <v>240</v>
      </c>
      <c r="D66" s="429">
        <f>SUMIF([1]Нэгтгэл!B:B,'[1]24Б'!B:B,[1]Нэгтгэл!CN:CN)</f>
        <v>17.04</v>
      </c>
    </row>
    <row r="67" spans="1:4">
      <c r="A67" s="12">
        <f t="shared" si="0"/>
        <v>64</v>
      </c>
      <c r="B67" s="9">
        <v>2867095</v>
      </c>
      <c r="C67" s="20" t="s">
        <v>241</v>
      </c>
      <c r="D67" s="429">
        <f>SUMIF([1]Нэгтгэл!B:B,'[1]24Б'!B:B,[1]Нэгтгэл!CN:CN)</f>
        <v>0</v>
      </c>
    </row>
    <row r="68" spans="1:4">
      <c r="A68" s="12">
        <f t="shared" si="0"/>
        <v>65</v>
      </c>
      <c r="B68" s="9">
        <v>5076285</v>
      </c>
      <c r="C68" s="20" t="s">
        <v>242</v>
      </c>
      <c r="D68" s="429">
        <f>SUMIF([1]Нэгтгэл!B:B,'[1]24Б'!B:B,[1]Нэгтгэл!CN:CN)</f>
        <v>0</v>
      </c>
    </row>
    <row r="69" spans="1:4">
      <c r="A69" s="12">
        <f t="shared" si="0"/>
        <v>66</v>
      </c>
      <c r="B69" s="9">
        <v>5084555</v>
      </c>
      <c r="C69" s="20" t="s">
        <v>243</v>
      </c>
      <c r="D69" s="429">
        <f>SUMIF([1]Нэгтгэл!B:B,'[1]24Б'!B:B,[1]Нэгтгэл!CN:CN)</f>
        <v>0</v>
      </c>
    </row>
    <row r="70" spans="1:4">
      <c r="A70" s="12">
        <f t="shared" ref="A70:A128" si="1">A69+1</f>
        <v>67</v>
      </c>
      <c r="B70" s="9">
        <v>5261198</v>
      </c>
      <c r="C70" s="20" t="s">
        <v>244</v>
      </c>
      <c r="D70" s="429">
        <f>SUMIF([1]Нэгтгэл!B:B,'[1]24Б'!B:B,[1]Нэгтгэл!CN:CN)</f>
        <v>0</v>
      </c>
    </row>
    <row r="71" spans="1:4">
      <c r="A71" s="12">
        <f t="shared" si="1"/>
        <v>68</v>
      </c>
      <c r="B71" s="9">
        <v>5288703</v>
      </c>
      <c r="C71" s="20" t="s">
        <v>246</v>
      </c>
      <c r="D71" s="429">
        <f>SUMIF([1]Нэгтгэл!B:B,'[1]24Б'!B:B,[1]Нэгтгэл!CN:CN)</f>
        <v>0</v>
      </c>
    </row>
    <row r="72" spans="1:4">
      <c r="A72" s="12">
        <f t="shared" si="1"/>
        <v>69</v>
      </c>
      <c r="B72" s="9">
        <v>6232485</v>
      </c>
      <c r="C72" s="20" t="s">
        <v>248</v>
      </c>
      <c r="D72" s="429">
        <f>SUMIF([1]Нэгтгэл!B:B,'[1]24Б'!B:B,[1]Нэгтгэл!CN:CN)</f>
        <v>0</v>
      </c>
    </row>
    <row r="73" spans="1:4">
      <c r="A73" s="12">
        <f t="shared" si="1"/>
        <v>70</v>
      </c>
      <c r="B73" s="9">
        <v>6101615</v>
      </c>
      <c r="C73" s="20" t="s">
        <v>249</v>
      </c>
      <c r="D73" s="429">
        <f>SUMIF([1]Нэгтгэл!B:B,'[1]24Б'!B:B,[1]Нэгтгэл!CN:CN)</f>
        <v>0</v>
      </c>
    </row>
    <row r="74" spans="1:4">
      <c r="A74" s="12">
        <f t="shared" si="1"/>
        <v>71</v>
      </c>
      <c r="B74" s="9">
        <v>5120365</v>
      </c>
      <c r="C74" s="20" t="s">
        <v>250</v>
      </c>
      <c r="D74" s="429">
        <f>SUMIF([1]Нэгтгэл!B:B,'[1]24Б'!B:B,[1]Нэгтгэл!CN:CN)</f>
        <v>0</v>
      </c>
    </row>
    <row r="75" spans="1:4">
      <c r="A75" s="12">
        <f t="shared" si="1"/>
        <v>72</v>
      </c>
      <c r="B75" s="9">
        <v>2016656</v>
      </c>
      <c r="C75" s="20" t="s">
        <v>251</v>
      </c>
      <c r="D75" s="429">
        <f>SUMIF([1]Нэгтгэл!B:B,'[1]24Б'!B:B,[1]Нэгтгэл!CN:CN)</f>
        <v>0</v>
      </c>
    </row>
    <row r="76" spans="1:4">
      <c r="A76" s="12">
        <f t="shared" si="1"/>
        <v>73</v>
      </c>
      <c r="B76" s="9">
        <v>5872006</v>
      </c>
      <c r="C76" s="20" t="s">
        <v>253</v>
      </c>
      <c r="D76" s="429">
        <f>SUMIF([1]Нэгтгэл!B:B,'[1]24Б'!B:B,[1]Нэгтгэл!CN:CN)</f>
        <v>0</v>
      </c>
    </row>
    <row r="77" spans="1:4">
      <c r="A77" s="12">
        <f t="shared" si="1"/>
        <v>74</v>
      </c>
      <c r="B77" s="9">
        <v>5774047</v>
      </c>
      <c r="C77" s="20" t="s">
        <v>254</v>
      </c>
      <c r="D77" s="429">
        <f>SUMIF([1]Нэгтгэл!B:B,'[1]24Б'!B:B,[1]Нэгтгэл!CN:CN)</f>
        <v>0</v>
      </c>
    </row>
    <row r="78" spans="1:4">
      <c r="A78" s="12">
        <f t="shared" si="1"/>
        <v>75</v>
      </c>
      <c r="B78" s="9">
        <v>5105439</v>
      </c>
      <c r="C78" s="20" t="s">
        <v>257</v>
      </c>
      <c r="D78" s="429">
        <f>SUMIF([1]Нэгтгэл!B:B,'[1]24Б'!B:B,[1]Нэгтгэл!CN:CN)</f>
        <v>0</v>
      </c>
    </row>
    <row r="79" spans="1:4">
      <c r="A79" s="12">
        <f t="shared" si="1"/>
        <v>76</v>
      </c>
      <c r="B79" s="9">
        <v>2663813</v>
      </c>
      <c r="C79" s="20" t="s">
        <v>258</v>
      </c>
      <c r="D79" s="429">
        <f>SUMIF([1]Нэгтгэл!B:B,'[1]24Б'!B:B,[1]Нэгтгэл!CN:CN)</f>
        <v>0</v>
      </c>
    </row>
    <row r="80" spans="1:4">
      <c r="A80" s="12">
        <f t="shared" si="1"/>
        <v>77</v>
      </c>
      <c r="B80" s="9">
        <v>2016931</v>
      </c>
      <c r="C80" s="20" t="s">
        <v>260</v>
      </c>
      <c r="D80" s="429">
        <f>SUMIF([1]Нэгтгэл!B:B,'[1]24Б'!B:B,[1]Нэгтгэл!CN:CN)</f>
        <v>0</v>
      </c>
    </row>
    <row r="81" spans="1:4">
      <c r="A81" s="12">
        <f t="shared" si="1"/>
        <v>78</v>
      </c>
      <c r="B81" s="9">
        <v>5513618</v>
      </c>
      <c r="C81" s="20" t="s">
        <v>263</v>
      </c>
      <c r="D81" s="429">
        <f>SUMIF([1]Нэгтгэл!B:B,'[1]24Б'!B:B,[1]Нэгтгэл!CN:CN)</f>
        <v>0</v>
      </c>
    </row>
    <row r="82" spans="1:4">
      <c r="A82" s="12">
        <f t="shared" si="1"/>
        <v>79</v>
      </c>
      <c r="B82" s="9">
        <v>2807459</v>
      </c>
      <c r="C82" s="20" t="s">
        <v>264</v>
      </c>
      <c r="D82" s="429">
        <f>SUMIF([1]Нэгтгэл!B:B,'[1]24Б'!B:B,[1]Нэгтгэл!CN:CN)</f>
        <v>0</v>
      </c>
    </row>
    <row r="83" spans="1:4">
      <c r="A83" s="12">
        <f t="shared" si="1"/>
        <v>80</v>
      </c>
      <c r="B83" s="9">
        <v>2872943</v>
      </c>
      <c r="C83" s="20" t="s">
        <v>265</v>
      </c>
      <c r="D83" s="429">
        <f>SUMIF([1]Нэгтгэл!B:B,'[1]24Б'!B:B,[1]Нэгтгэл!CN:CN)</f>
        <v>0</v>
      </c>
    </row>
    <row r="84" spans="1:4">
      <c r="A84" s="12">
        <f t="shared" si="1"/>
        <v>81</v>
      </c>
      <c r="B84" s="9">
        <v>6268048</v>
      </c>
      <c r="C84" s="20" t="s">
        <v>266</v>
      </c>
      <c r="D84" s="429">
        <f>SUMIF([1]Нэгтгэл!B:B,'[1]24Б'!B:B,[1]Нэгтгэл!CN:CN)</f>
        <v>0</v>
      </c>
    </row>
    <row r="85" spans="1:4">
      <c r="A85" s="12">
        <f t="shared" si="1"/>
        <v>82</v>
      </c>
      <c r="B85" s="9">
        <v>5874963</v>
      </c>
      <c r="C85" s="20" t="s">
        <v>268</v>
      </c>
      <c r="D85" s="429">
        <f>SUMIF([1]Нэгтгэл!B:B,'[1]24Б'!B:B,[1]Нэгтгэл!CN:CN)</f>
        <v>0</v>
      </c>
    </row>
    <row r="86" spans="1:4">
      <c r="A86" s="12">
        <f t="shared" si="1"/>
        <v>83</v>
      </c>
      <c r="B86" s="9">
        <v>6636624</v>
      </c>
      <c r="C86" s="20" t="s">
        <v>269</v>
      </c>
      <c r="D86" s="429">
        <f>SUMIF([1]Нэгтгэл!B:B,'[1]24Б'!B:B,[1]Нэгтгэл!CN:CN)</f>
        <v>0</v>
      </c>
    </row>
    <row r="87" spans="1:4">
      <c r="A87" s="12">
        <f t="shared" si="1"/>
        <v>84</v>
      </c>
      <c r="B87" s="9">
        <v>2839717</v>
      </c>
      <c r="C87" s="20" t="s">
        <v>270</v>
      </c>
      <c r="D87" s="429">
        <f>SUMIF([1]Нэгтгэл!B:B,'[1]24Б'!B:B,[1]Нэгтгэл!CN:CN)</f>
        <v>0</v>
      </c>
    </row>
    <row r="88" spans="1:4">
      <c r="A88" s="12">
        <f t="shared" si="1"/>
        <v>85</v>
      </c>
      <c r="B88" s="9">
        <v>2344343</v>
      </c>
      <c r="C88" s="20" t="s">
        <v>271</v>
      </c>
      <c r="D88" s="429">
        <f>SUMIF([1]Нэгтгэл!B:B,'[1]24Б'!B:B,[1]Нэгтгэл!CN:CN)</f>
        <v>0</v>
      </c>
    </row>
    <row r="89" spans="1:4">
      <c r="A89" s="12">
        <f t="shared" si="1"/>
        <v>86</v>
      </c>
      <c r="B89" s="9">
        <v>2819996</v>
      </c>
      <c r="C89" s="20" t="s">
        <v>273</v>
      </c>
      <c r="D89" s="429">
        <f>SUMIF([1]Нэгтгэл!B:B,'[1]24Б'!B:B,[1]Нэгтгэл!CN:CN)</f>
        <v>0</v>
      </c>
    </row>
    <row r="90" spans="1:4">
      <c r="A90" s="12">
        <f t="shared" si="1"/>
        <v>87</v>
      </c>
      <c r="B90" s="9">
        <v>2868687</v>
      </c>
      <c r="C90" s="20" t="s">
        <v>277</v>
      </c>
      <c r="D90" s="429">
        <f>SUMIF([1]Нэгтгэл!B:B,'[1]24Б'!B:B,[1]Нэгтгэл!CN:CN)</f>
        <v>0</v>
      </c>
    </row>
    <row r="91" spans="1:4">
      <c r="A91" s="12">
        <f t="shared" si="1"/>
        <v>88</v>
      </c>
      <c r="B91" s="9">
        <v>5877288</v>
      </c>
      <c r="C91" s="20" t="s">
        <v>279</v>
      </c>
      <c r="D91" s="429">
        <f>SUMIF([1]Нэгтгэл!B:B,'[1]24Б'!B:B,[1]Нэгтгэл!CN:CN)</f>
        <v>0</v>
      </c>
    </row>
    <row r="92" spans="1:4">
      <c r="A92" s="12">
        <f t="shared" si="1"/>
        <v>89</v>
      </c>
      <c r="B92" s="9">
        <v>6195598</v>
      </c>
      <c r="C92" s="20" t="s">
        <v>281</v>
      </c>
      <c r="D92" s="429">
        <f>SUMIF([1]Нэгтгэл!B:B,'[1]24Б'!B:B,[1]Нэгтгэл!CN:CN)</f>
        <v>0</v>
      </c>
    </row>
    <row r="93" spans="1:4">
      <c r="A93" s="12">
        <f t="shared" si="1"/>
        <v>90</v>
      </c>
      <c r="B93" s="9">
        <v>6413811</v>
      </c>
      <c r="C93" s="20" t="s">
        <v>282</v>
      </c>
      <c r="D93" s="429">
        <f>SUMIF([1]Нэгтгэл!B:B,'[1]24Б'!B:B,[1]Нэгтгэл!CN:CN)</f>
        <v>0</v>
      </c>
    </row>
    <row r="94" spans="1:4">
      <c r="A94" s="12">
        <f t="shared" si="1"/>
        <v>91</v>
      </c>
      <c r="B94" s="9">
        <v>2887134</v>
      </c>
      <c r="C94" s="20" t="s">
        <v>283</v>
      </c>
      <c r="D94" s="429">
        <f>SUMIF([1]Нэгтгэл!B:B,'[1]24Б'!B:B,[1]Нэгтгэл!CN:CN)</f>
        <v>0</v>
      </c>
    </row>
    <row r="95" spans="1:4">
      <c r="A95" s="12">
        <f t="shared" si="1"/>
        <v>92</v>
      </c>
      <c r="B95" s="9">
        <v>2618176</v>
      </c>
      <c r="C95" s="20" t="s">
        <v>284</v>
      </c>
      <c r="D95" s="429">
        <f>SUMIF([1]Нэгтгэл!B:B,'[1]24Б'!B:B,[1]Нэгтгэл!CN:CN)</f>
        <v>0</v>
      </c>
    </row>
    <row r="96" spans="1:4">
      <c r="A96" s="12">
        <f t="shared" si="1"/>
        <v>93</v>
      </c>
      <c r="B96" s="9">
        <v>5364884</v>
      </c>
      <c r="C96" s="20" t="s">
        <v>285</v>
      </c>
      <c r="D96" s="429">
        <f>SUMIF([1]Нэгтгэл!B:B,'[1]24Б'!B:B,[1]Нэгтгэл!CN:CN)</f>
        <v>0</v>
      </c>
    </row>
    <row r="97" spans="1:4">
      <c r="A97" s="12">
        <f t="shared" si="1"/>
        <v>94</v>
      </c>
      <c r="B97" s="9">
        <v>2100231</v>
      </c>
      <c r="C97" s="20" t="s">
        <v>286</v>
      </c>
      <c r="D97" s="429">
        <f>SUMIF([1]Нэгтгэл!B:B,'[1]24Б'!B:B,[1]Нэгтгэл!CN:CN)</f>
        <v>0</v>
      </c>
    </row>
    <row r="98" spans="1:4">
      <c r="A98" s="12">
        <f t="shared" si="1"/>
        <v>95</v>
      </c>
      <c r="B98" s="9">
        <v>2661128</v>
      </c>
      <c r="C98" s="20" t="s">
        <v>287</v>
      </c>
      <c r="D98" s="429">
        <f>SUMIF([1]Нэгтгэл!B:B,'[1]24Б'!B:B,[1]Нэгтгэл!CN:CN)</f>
        <v>0</v>
      </c>
    </row>
    <row r="99" spans="1:4">
      <c r="A99" s="12">
        <f t="shared" si="1"/>
        <v>96</v>
      </c>
      <c r="B99" s="9">
        <v>5878756</v>
      </c>
      <c r="C99" s="20" t="s">
        <v>290</v>
      </c>
      <c r="D99" s="429">
        <f>SUMIF([1]Нэгтгэл!B:B,'[1]24Б'!B:B,[1]Нэгтгэл!CN:CN)</f>
        <v>0</v>
      </c>
    </row>
    <row r="100" spans="1:4">
      <c r="A100" s="12">
        <f t="shared" si="1"/>
        <v>97</v>
      </c>
      <c r="B100" s="9">
        <v>2166631</v>
      </c>
      <c r="C100" s="20" t="s">
        <v>292</v>
      </c>
      <c r="D100" s="429">
        <f>SUMIF([1]Нэгтгэл!B:B,'[1]24Б'!B:B,[1]Нэгтгэл!CN:CN)</f>
        <v>0</v>
      </c>
    </row>
    <row r="101" spans="1:4">
      <c r="A101" s="12">
        <f t="shared" si="1"/>
        <v>98</v>
      </c>
      <c r="B101" s="9">
        <v>5671833</v>
      </c>
      <c r="C101" s="20" t="s">
        <v>296</v>
      </c>
      <c r="D101" s="429">
        <f>SUMIF([1]Нэгтгэл!B:B,'[1]24Б'!B:B,[1]Нэгтгэл!CN:CN)</f>
        <v>0</v>
      </c>
    </row>
    <row r="102" spans="1:4">
      <c r="A102" s="12">
        <f t="shared" si="1"/>
        <v>99</v>
      </c>
      <c r="B102" s="9">
        <v>5104424</v>
      </c>
      <c r="C102" s="20" t="s">
        <v>297</v>
      </c>
      <c r="D102" s="429">
        <f>SUMIF([1]Нэгтгэл!B:B,'[1]24Б'!B:B,[1]Нэгтгэл!CN:CN)</f>
        <v>0</v>
      </c>
    </row>
    <row r="103" spans="1:4">
      <c r="A103" s="12">
        <f t="shared" si="1"/>
        <v>100</v>
      </c>
      <c r="B103" s="9">
        <v>2668505</v>
      </c>
      <c r="C103" s="20" t="s">
        <v>298</v>
      </c>
      <c r="D103" s="429">
        <f>SUMIF([1]Нэгтгэл!B:B,'[1]24Б'!B:B,[1]Нэгтгэл!CN:CN)</f>
        <v>0</v>
      </c>
    </row>
    <row r="104" spans="1:4">
      <c r="A104" s="12">
        <f t="shared" si="1"/>
        <v>101</v>
      </c>
      <c r="B104" s="9">
        <v>2697947</v>
      </c>
      <c r="C104" s="20" t="s">
        <v>299</v>
      </c>
      <c r="D104" s="429">
        <f>SUMIF([1]Нэгтгэл!B:B,'[1]24Б'!B:B,[1]Нэгтгэл!CN:CN)</f>
        <v>0</v>
      </c>
    </row>
    <row r="105" spans="1:4">
      <c r="A105" s="12">
        <f t="shared" si="1"/>
        <v>102</v>
      </c>
      <c r="B105" s="9">
        <v>5352827</v>
      </c>
      <c r="C105" s="20" t="s">
        <v>300</v>
      </c>
      <c r="D105" s="429">
        <f>SUMIF([1]Нэгтгэл!B:B,'[1]24Б'!B:B,[1]Нэгтгэл!CN:CN)</f>
        <v>0</v>
      </c>
    </row>
    <row r="106" spans="1:4">
      <c r="A106" s="12">
        <f t="shared" si="1"/>
        <v>103</v>
      </c>
      <c r="B106" s="9">
        <v>2548747</v>
      </c>
      <c r="C106" s="20" t="s">
        <v>301</v>
      </c>
      <c r="D106" s="429">
        <f>SUMIF([1]Нэгтгэл!B:B,'[1]24Б'!B:B,[1]Нэгтгэл!CN:CN)</f>
        <v>0</v>
      </c>
    </row>
    <row r="107" spans="1:4">
      <c r="A107" s="12">
        <f t="shared" si="1"/>
        <v>104</v>
      </c>
      <c r="B107" s="9">
        <v>2641984</v>
      </c>
      <c r="C107" s="20" t="s">
        <v>303</v>
      </c>
      <c r="D107" s="429">
        <f>SUMIF([1]Нэгтгэл!B:B,'[1]24Б'!B:B,[1]Нэгтгэл!CN:CN)</f>
        <v>0</v>
      </c>
    </row>
    <row r="108" spans="1:4">
      <c r="A108" s="12">
        <f t="shared" si="1"/>
        <v>105</v>
      </c>
      <c r="B108" s="9">
        <v>6342485</v>
      </c>
      <c r="C108" s="20" t="s">
        <v>306</v>
      </c>
      <c r="D108" s="429">
        <f>SUMIF([1]Нэгтгэл!B:B,'[1]24Б'!B:B,[1]Нэгтгэл!CN:CN)</f>
        <v>0</v>
      </c>
    </row>
    <row r="109" spans="1:4">
      <c r="A109" s="12">
        <f t="shared" si="1"/>
        <v>106</v>
      </c>
      <c r="B109" s="9">
        <v>5166667</v>
      </c>
      <c r="C109" s="20" t="s">
        <v>307</v>
      </c>
      <c r="D109" s="429">
        <f>SUMIF([1]Нэгтгэл!B:B,'[1]24Б'!B:B,[1]Нэгтгэл!CN:CN)</f>
        <v>0</v>
      </c>
    </row>
    <row r="110" spans="1:4">
      <c r="A110" s="12">
        <f t="shared" si="1"/>
        <v>107</v>
      </c>
      <c r="B110" s="9">
        <v>5482046</v>
      </c>
      <c r="C110" s="20" t="s">
        <v>308</v>
      </c>
      <c r="D110" s="429">
        <f>SUMIF([1]Нэгтгэл!B:B,'[1]24Б'!B:B,[1]Нэгтгэл!CN:CN)</f>
        <v>0</v>
      </c>
    </row>
    <row r="111" spans="1:4">
      <c r="A111" s="12">
        <f t="shared" si="1"/>
        <v>108</v>
      </c>
      <c r="B111" s="9">
        <v>2050374</v>
      </c>
      <c r="C111" s="20" t="s">
        <v>309</v>
      </c>
      <c r="D111" s="429">
        <f>SUMIF([1]Нэгтгэл!B:B,'[1]24Б'!B:B,[1]Нэгтгэл!CN:CN)</f>
        <v>0</v>
      </c>
    </row>
    <row r="112" spans="1:4">
      <c r="A112" s="12">
        <f t="shared" si="1"/>
        <v>109</v>
      </c>
      <c r="B112" s="9">
        <v>2004879</v>
      </c>
      <c r="C112" s="20" t="s">
        <v>311</v>
      </c>
      <c r="D112" s="429">
        <f>SUMIF([1]Нэгтгэл!B:B,'[1]24Б'!B:B,[1]Нэгтгэл!CN:CN)</f>
        <v>0</v>
      </c>
    </row>
    <row r="113" spans="1:4">
      <c r="A113" s="12">
        <f t="shared" si="1"/>
        <v>110</v>
      </c>
      <c r="B113" s="9">
        <v>2830213</v>
      </c>
      <c r="C113" s="20" t="s">
        <v>314</v>
      </c>
      <c r="D113" s="429">
        <f>SUMIF([1]Нэгтгэл!B:B,'[1]24Б'!B:B,[1]Нэгтгэл!CN:CN)</f>
        <v>0</v>
      </c>
    </row>
    <row r="114" spans="1:4">
      <c r="A114" s="12">
        <f t="shared" si="1"/>
        <v>111</v>
      </c>
      <c r="B114" s="9">
        <v>5320607</v>
      </c>
      <c r="C114" s="20" t="s">
        <v>315</v>
      </c>
      <c r="D114" s="429">
        <f>SUMIF([1]Нэгтгэл!B:B,'[1]24Б'!B:B,[1]Нэгтгэл!CN:CN)</f>
        <v>0</v>
      </c>
    </row>
    <row r="115" spans="1:4">
      <c r="A115" s="12">
        <f t="shared" si="1"/>
        <v>112</v>
      </c>
      <c r="B115" s="9">
        <v>5586119</v>
      </c>
      <c r="C115" s="20" t="s">
        <v>316</v>
      </c>
      <c r="D115" s="429">
        <f>SUMIF([1]Нэгтгэл!B:B,'[1]24Б'!B:B,[1]Нэгтгэл!CN:CN)</f>
        <v>0</v>
      </c>
    </row>
    <row r="116" spans="1:4">
      <c r="A116" s="12">
        <f t="shared" si="1"/>
        <v>113</v>
      </c>
      <c r="B116" s="9">
        <v>5015243</v>
      </c>
      <c r="C116" s="20" t="s">
        <v>317</v>
      </c>
      <c r="D116" s="429">
        <f>SUMIF([1]Нэгтгэл!B:B,'[1]24Б'!B:B,[1]Нэгтгэл!CN:CN)</f>
        <v>0</v>
      </c>
    </row>
    <row r="117" spans="1:4">
      <c r="A117" s="12">
        <f t="shared" si="1"/>
        <v>114</v>
      </c>
      <c r="B117" s="9">
        <v>5452503</v>
      </c>
      <c r="C117" s="20" t="s">
        <v>318</v>
      </c>
      <c r="D117" s="429">
        <f>SUMIF([1]Нэгтгэл!B:B,'[1]24Б'!B:B,[1]Нэгтгэл!CN:CN)</f>
        <v>0</v>
      </c>
    </row>
    <row r="118" spans="1:4">
      <c r="A118" s="12">
        <f t="shared" si="1"/>
        <v>115</v>
      </c>
      <c r="B118" s="9">
        <v>2887746</v>
      </c>
      <c r="C118" s="20" t="s">
        <v>319</v>
      </c>
      <c r="D118" s="429">
        <f>SUMIF([1]Нэгтгэл!B:B,'[1]24Б'!B:B,[1]Нэгтгэл!CN:CN)</f>
        <v>0</v>
      </c>
    </row>
    <row r="119" spans="1:4">
      <c r="A119" s="12">
        <f t="shared" si="1"/>
        <v>116</v>
      </c>
      <c r="B119" s="9">
        <v>5618339</v>
      </c>
      <c r="C119" s="20" t="s">
        <v>320</v>
      </c>
      <c r="D119" s="429">
        <f>SUMIF([1]Нэгтгэл!B:B,'[1]24Б'!B:B,[1]Нэгтгэл!CN:CN)</f>
        <v>0</v>
      </c>
    </row>
    <row r="120" spans="1:4">
      <c r="A120" s="12">
        <f t="shared" si="1"/>
        <v>117</v>
      </c>
      <c r="B120" s="9">
        <v>2718243</v>
      </c>
      <c r="C120" s="20" t="s">
        <v>321</v>
      </c>
      <c r="D120" s="429">
        <f>SUMIF([1]Нэгтгэл!B:B,'[1]24Б'!B:B,[1]Нэгтгэл!CN:CN)</f>
        <v>0</v>
      </c>
    </row>
    <row r="121" spans="1:4">
      <c r="A121" s="12">
        <f t="shared" si="1"/>
        <v>118</v>
      </c>
      <c r="B121" s="9">
        <v>6896197</v>
      </c>
      <c r="C121" s="20" t="s">
        <v>322</v>
      </c>
      <c r="D121" s="429">
        <f>SUMIF([1]Нэгтгэл!B:B,'[1]24Б'!B:B,[1]Нэгтгэл!CN:CN)</f>
        <v>0</v>
      </c>
    </row>
    <row r="122" spans="1:4">
      <c r="A122" s="12">
        <f t="shared" si="1"/>
        <v>119</v>
      </c>
      <c r="B122" s="9">
        <v>5435528</v>
      </c>
      <c r="C122" s="20" t="s">
        <v>323</v>
      </c>
      <c r="D122" s="429">
        <f>SUMIF([1]Нэгтгэл!B:B,'[1]24Б'!B:B,[1]Нэгтгэл!CN:CN)</f>
        <v>0</v>
      </c>
    </row>
    <row r="123" spans="1:4">
      <c r="A123" s="12">
        <f t="shared" si="1"/>
        <v>120</v>
      </c>
      <c r="B123" s="9">
        <v>5824826</v>
      </c>
      <c r="C123" s="20" t="s">
        <v>324</v>
      </c>
      <c r="D123" s="429">
        <f>SUMIF([1]Нэгтгэл!B:B,'[1]24Б'!B:B,[1]Нэгтгэл!CN:CN)</f>
        <v>0</v>
      </c>
    </row>
    <row r="124" spans="1:4">
      <c r="A124" s="12">
        <f t="shared" si="1"/>
        <v>121</v>
      </c>
      <c r="B124" s="9">
        <v>6141536</v>
      </c>
      <c r="C124" s="20" t="s">
        <v>325</v>
      </c>
      <c r="D124" s="429">
        <f>SUMIF([1]Нэгтгэл!B:B,'[1]24Б'!B:B,[1]Нэгтгэл!CN:CN)</f>
        <v>0</v>
      </c>
    </row>
    <row r="125" spans="1:4">
      <c r="A125" s="12">
        <f t="shared" si="1"/>
        <v>122</v>
      </c>
      <c r="B125" s="9">
        <v>5124913</v>
      </c>
      <c r="C125" s="20" t="s">
        <v>326</v>
      </c>
      <c r="D125" s="429">
        <f>SUMIF([1]Нэгтгэл!B:B,'[1]24Б'!B:B,[1]Нэгтгэл!CN:CN)</f>
        <v>0</v>
      </c>
    </row>
    <row r="126" spans="1:4">
      <c r="A126" s="12">
        <f t="shared" si="1"/>
        <v>123</v>
      </c>
      <c r="B126" s="9">
        <v>2074192</v>
      </c>
      <c r="C126" s="20" t="s">
        <v>327</v>
      </c>
      <c r="D126" s="429">
        <f>SUMIF([1]Нэгтгэл!B:B,'[1]24Б'!B:B,[1]Нэгтгэл!CN:CN)</f>
        <v>0</v>
      </c>
    </row>
    <row r="127" spans="1:4">
      <c r="A127" s="12">
        <f t="shared" si="1"/>
        <v>124</v>
      </c>
      <c r="B127" s="9">
        <v>2861224</v>
      </c>
      <c r="C127" s="20" t="s">
        <v>331</v>
      </c>
      <c r="D127" s="429">
        <f>SUMIF([1]Нэгтгэл!B:B,'[1]24Б'!B:B,[1]Нэгтгэл!CN:CN)</f>
        <v>0</v>
      </c>
    </row>
    <row r="128" spans="1:4">
      <c r="A128" s="12">
        <f t="shared" si="1"/>
        <v>125</v>
      </c>
      <c r="B128" s="9">
        <v>5137977</v>
      </c>
      <c r="C128" s="20" t="s">
        <v>332</v>
      </c>
      <c r="D128" s="429">
        <f>SUMIF([1]Нэгтгэл!B:B,'[1]24Б'!B:B,[1]Нэгтгэл!CN:CN)</f>
        <v>0</v>
      </c>
    </row>
  </sheetData>
  <conditionalFormatting sqref="A3:C3">
    <cfRule type="dataBar" priority="14">
      <dataBar>
        <cfvo type="min"/>
        <cfvo type="max"/>
        <color rgb="FF638EC6"/>
      </dataBar>
      <extLst>
        <ext xmlns:x14="http://schemas.microsoft.com/office/spreadsheetml/2009/9/main" uri="{B025F937-C7B1-47D3-B67F-A62EFF666E3E}">
          <x14:id>{9A7B8998-7027-4DDD-BB06-C207000D9A1F}</x14:id>
        </ext>
      </extLst>
    </cfRule>
  </conditionalFormatting>
  <conditionalFormatting sqref="B4:B33 B89">
    <cfRule type="duplicateValues" dxfId="319" priority="12"/>
  </conditionalFormatting>
  <conditionalFormatting sqref="B34:B83">
    <cfRule type="duplicateValues" dxfId="318" priority="11"/>
  </conditionalFormatting>
  <conditionalFormatting sqref="B84">
    <cfRule type="duplicateValues" dxfId="317" priority="10"/>
  </conditionalFormatting>
  <conditionalFormatting sqref="B85">
    <cfRule type="duplicateValues" dxfId="316" priority="9"/>
  </conditionalFormatting>
  <conditionalFormatting sqref="B86">
    <cfRule type="duplicateValues" dxfId="315" priority="8"/>
  </conditionalFormatting>
  <conditionalFormatting sqref="B87">
    <cfRule type="duplicateValues" dxfId="314" priority="7"/>
  </conditionalFormatting>
  <conditionalFormatting sqref="B88">
    <cfRule type="duplicateValues" dxfId="313" priority="6"/>
  </conditionalFormatting>
  <conditionalFormatting sqref="B90:B128">
    <cfRule type="duplicateValues" dxfId="312" priority="13"/>
  </conditionalFormatting>
  <conditionalFormatting sqref="C4:C33 C89">
    <cfRule type="duplicateValues" dxfId="311" priority="4"/>
  </conditionalFormatting>
  <conditionalFormatting sqref="C34:C83">
    <cfRule type="duplicateValues" dxfId="310" priority="3"/>
  </conditionalFormatting>
  <conditionalFormatting sqref="C84">
    <cfRule type="duplicateValues" dxfId="309" priority="1"/>
  </conditionalFormatting>
  <conditionalFormatting sqref="C85:C88">
    <cfRule type="duplicateValues" dxfId="308" priority="2"/>
  </conditionalFormatting>
  <conditionalFormatting sqref="C90:C128">
    <cfRule type="duplicateValues" dxfId="307" priority="5"/>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A7B8998-7027-4DDD-BB06-C207000D9A1F}">
            <x14:dataBar minLength="0" maxLength="100" border="1" negativeBarColorSameAsPositive="1" negativeBarBorderColorSameAsPositive="0" axisPosition="none">
              <x14:cfvo type="autoMin"/>
              <x14:cfvo type="autoMax"/>
              <x14:borderColor rgb="FF638EC6"/>
              <x14:negativeBorderColor rgb="FF638EC6"/>
            </x14:dataBar>
          </x14:cfRule>
          <xm:sqref>A3:C3</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5E598-1BE4-4ED9-955A-5F9E1BB8AE4D}">
  <sheetPr>
    <tabColor rgb="FF006432"/>
  </sheetPr>
  <dimension ref="A1:Q137"/>
  <sheetViews>
    <sheetView workbookViewId="0">
      <pane xSplit="3" ySplit="4" topLeftCell="D87" activePane="bottomRight" state="frozen"/>
      <selection pane="bottomRight" activeCell="D89" sqref="D89"/>
      <selection pane="bottomLeft" activeCell="A5" sqref="A5"/>
      <selection pane="topRight" activeCell="D1" sqref="D1"/>
    </sheetView>
  </sheetViews>
  <sheetFormatPr defaultRowHeight="15"/>
  <cols>
    <col min="1" max="1" width="4.7109375" customWidth="1"/>
    <col min="2" max="2" width="30.5703125" bestFit="1" customWidth="1"/>
    <col min="3" max="3" width="9.5703125" style="21" customWidth="1"/>
    <col min="4" max="4" width="13.7109375" style="13" customWidth="1"/>
    <col min="5" max="5" width="13.28515625" style="13" bestFit="1" customWidth="1"/>
    <col min="6" max="6" width="15.42578125" style="313" customWidth="1"/>
    <col min="7" max="8" width="8.7109375" style="75" bestFit="1" customWidth="1"/>
    <col min="9" max="9" width="9.140625" style="75" customWidth="1"/>
    <col min="10" max="10" width="8.28515625" style="75" customWidth="1"/>
    <col min="11" max="11" width="11.28515625" style="75" customWidth="1"/>
    <col min="12" max="12" width="10.28515625" style="75" customWidth="1"/>
    <col min="13" max="13" width="15.5703125" style="75" bestFit="1" customWidth="1"/>
    <col min="14" max="14" width="9.7109375" style="75" customWidth="1"/>
    <col min="15" max="15" width="10.7109375" style="75" customWidth="1"/>
    <col min="16" max="16" width="9.28515625" style="75" customWidth="1"/>
    <col min="17" max="17" width="11" style="75" customWidth="1"/>
  </cols>
  <sheetData>
    <row r="1" spans="1:17" ht="16.5" thickBot="1">
      <c r="A1" s="641" t="s">
        <v>8999</v>
      </c>
      <c r="B1" s="641"/>
      <c r="C1" s="641"/>
      <c r="D1" s="641"/>
      <c r="E1" s="641"/>
      <c r="F1" s="641"/>
    </row>
    <row r="2" spans="1:17" ht="6.75" customHeight="1" thickTop="1">
      <c r="C2" s="5"/>
      <c r="D2" s="11"/>
      <c r="E2" s="11"/>
    </row>
    <row r="3" spans="1:17" ht="42.75" customHeight="1">
      <c r="A3" s="573" t="s">
        <v>114</v>
      </c>
      <c r="B3" s="572" t="s">
        <v>690</v>
      </c>
      <c r="C3" s="575" t="s">
        <v>116</v>
      </c>
      <c r="D3" s="575" t="s">
        <v>118</v>
      </c>
      <c r="E3" s="575" t="s">
        <v>119</v>
      </c>
      <c r="F3" s="579" t="s">
        <v>9000</v>
      </c>
      <c r="G3" s="577" t="s">
        <v>9001</v>
      </c>
      <c r="H3" s="577"/>
      <c r="I3" s="577"/>
      <c r="J3" s="576" t="s">
        <v>9002</v>
      </c>
      <c r="K3" s="577"/>
      <c r="L3" s="577"/>
      <c r="M3" s="577"/>
      <c r="N3" s="578"/>
      <c r="O3" s="576" t="s">
        <v>9003</v>
      </c>
      <c r="P3" s="577"/>
      <c r="Q3" s="577"/>
    </row>
    <row r="4" spans="1:17" ht="41.25" customHeight="1">
      <c r="A4" s="574"/>
      <c r="B4" s="572"/>
      <c r="C4" s="575"/>
      <c r="D4" s="575"/>
      <c r="E4" s="575"/>
      <c r="F4" s="579"/>
      <c r="G4" s="274" t="s">
        <v>8964</v>
      </c>
      <c r="H4" s="57" t="s">
        <v>9004</v>
      </c>
      <c r="I4" s="57" t="s">
        <v>9005</v>
      </c>
      <c r="J4" s="57" t="s">
        <v>9006</v>
      </c>
      <c r="K4" s="57" t="s">
        <v>9007</v>
      </c>
      <c r="L4" s="57" t="s">
        <v>9008</v>
      </c>
      <c r="M4" s="57" t="s">
        <v>9009</v>
      </c>
      <c r="N4" s="57" t="s">
        <v>127</v>
      </c>
      <c r="O4" s="57" t="s">
        <v>8964</v>
      </c>
      <c r="P4" s="57" t="s">
        <v>9004</v>
      </c>
      <c r="Q4" s="57" t="s">
        <v>9005</v>
      </c>
    </row>
    <row r="5" spans="1:17">
      <c r="A5" s="6">
        <v>1</v>
      </c>
      <c r="B5" s="219" t="s">
        <v>121</v>
      </c>
      <c r="C5" s="197">
        <v>2011239</v>
      </c>
      <c r="D5" s="219" t="s">
        <v>123</v>
      </c>
      <c r="E5" s="219" t="s">
        <v>124</v>
      </c>
      <c r="F5" s="194"/>
      <c r="G5" s="12"/>
      <c r="H5" s="12"/>
      <c r="I5" s="12"/>
      <c r="J5" s="12"/>
      <c r="K5" s="12"/>
      <c r="L5" s="12"/>
      <c r="M5" s="12"/>
      <c r="N5" s="12"/>
      <c r="O5" s="12"/>
      <c r="P5" s="12"/>
      <c r="Q5" s="12"/>
    </row>
    <row r="6" spans="1:17">
      <c r="A6" s="186">
        <v>2</v>
      </c>
      <c r="B6" s="184" t="s">
        <v>126</v>
      </c>
      <c r="C6" s="9">
        <v>5097517</v>
      </c>
      <c r="D6" s="20" t="s">
        <v>128</v>
      </c>
      <c r="E6" s="20" t="s">
        <v>129</v>
      </c>
      <c r="F6" s="189"/>
      <c r="G6" s="12"/>
      <c r="H6" s="12"/>
      <c r="I6" s="12"/>
      <c r="J6" s="12"/>
      <c r="K6" s="12"/>
      <c r="L6" s="12"/>
      <c r="M6" s="12"/>
      <c r="N6" s="12"/>
      <c r="O6" s="12"/>
      <c r="P6" s="12"/>
      <c r="Q6" s="12"/>
    </row>
    <row r="7" spans="1:17">
      <c r="A7" s="6">
        <v>3</v>
      </c>
      <c r="B7" s="20" t="s">
        <v>131</v>
      </c>
      <c r="C7" s="9">
        <v>5809797</v>
      </c>
      <c r="D7" s="20" t="s">
        <v>128</v>
      </c>
      <c r="E7" s="20" t="s">
        <v>129</v>
      </c>
      <c r="F7" s="189"/>
      <c r="G7" s="12"/>
      <c r="H7" s="12"/>
      <c r="I7" s="12"/>
      <c r="J7" s="12"/>
      <c r="K7" s="12"/>
      <c r="L7" s="12"/>
      <c r="M7" s="12"/>
      <c r="N7" s="12"/>
      <c r="O7" s="12"/>
      <c r="P7" s="12"/>
      <c r="Q7" s="12"/>
    </row>
    <row r="8" spans="1:17">
      <c r="A8" s="6">
        <v>4</v>
      </c>
      <c r="B8" s="20" t="s">
        <v>133</v>
      </c>
      <c r="C8" s="9">
        <v>5118344</v>
      </c>
      <c r="D8" s="20" t="s">
        <v>128</v>
      </c>
      <c r="E8" s="20" t="s">
        <v>134</v>
      </c>
      <c r="F8" s="189">
        <v>120000</v>
      </c>
      <c r="G8" s="12">
        <v>0</v>
      </c>
      <c r="H8" s="12">
        <v>0</v>
      </c>
      <c r="I8" s="12">
        <v>0</v>
      </c>
      <c r="J8" s="12">
        <v>0</v>
      </c>
      <c r="K8" s="12">
        <v>0</v>
      </c>
      <c r="L8" s="12">
        <v>0</v>
      </c>
      <c r="M8" s="12">
        <v>0</v>
      </c>
      <c r="N8" s="12">
        <v>0</v>
      </c>
      <c r="O8" s="12">
        <v>0</v>
      </c>
      <c r="P8" s="12">
        <v>0</v>
      </c>
      <c r="Q8" s="12">
        <v>0</v>
      </c>
    </row>
    <row r="9" spans="1:17">
      <c r="A9" s="6">
        <v>5</v>
      </c>
      <c r="B9" s="20" t="s">
        <v>136</v>
      </c>
      <c r="C9" s="9">
        <v>5095549</v>
      </c>
      <c r="D9" s="20" t="s">
        <v>128</v>
      </c>
      <c r="E9" s="20" t="s">
        <v>138</v>
      </c>
      <c r="F9" s="189">
        <v>400000</v>
      </c>
      <c r="G9" s="12">
        <v>0</v>
      </c>
      <c r="H9" s="12">
        <v>0</v>
      </c>
      <c r="I9" s="12">
        <v>0</v>
      </c>
      <c r="J9" s="12">
        <v>0</v>
      </c>
      <c r="K9" s="12">
        <v>0</v>
      </c>
      <c r="L9" s="12">
        <v>0</v>
      </c>
      <c r="M9" s="12">
        <v>0</v>
      </c>
      <c r="N9" s="12">
        <v>0</v>
      </c>
      <c r="O9" s="12">
        <v>0</v>
      </c>
      <c r="P9" s="12">
        <v>0</v>
      </c>
      <c r="Q9" s="12">
        <v>0</v>
      </c>
    </row>
    <row r="10" spans="1:17">
      <c r="A10" s="6">
        <v>6</v>
      </c>
      <c r="B10" s="20" t="s">
        <v>140</v>
      </c>
      <c r="C10" s="9">
        <v>2784165</v>
      </c>
      <c r="D10" s="20" t="s">
        <v>128</v>
      </c>
      <c r="E10" s="20" t="s">
        <v>141</v>
      </c>
      <c r="F10" s="189"/>
      <c r="G10" s="12"/>
      <c r="H10" s="12"/>
      <c r="I10" s="12"/>
      <c r="J10" s="12"/>
      <c r="K10" s="12"/>
      <c r="L10" s="12"/>
      <c r="M10" s="12"/>
      <c r="N10" s="12"/>
      <c r="O10" s="12"/>
      <c r="P10" s="12"/>
      <c r="Q10" s="12"/>
    </row>
    <row r="11" spans="1:17">
      <c r="A11" s="6">
        <v>7</v>
      </c>
      <c r="B11" s="20" t="s">
        <v>143</v>
      </c>
      <c r="C11" s="9">
        <v>5133351</v>
      </c>
      <c r="D11" s="20" t="s">
        <v>128</v>
      </c>
      <c r="E11" s="20" t="s">
        <v>129</v>
      </c>
      <c r="F11" s="189"/>
      <c r="G11" s="12"/>
      <c r="H11" s="12"/>
      <c r="I11" s="12"/>
      <c r="J11" s="12"/>
      <c r="K11" s="12"/>
      <c r="L11" s="12"/>
      <c r="M11" s="12"/>
      <c r="N11" s="12"/>
      <c r="O11" s="12"/>
      <c r="P11" s="12"/>
      <c r="Q11" s="12"/>
    </row>
    <row r="12" spans="1:17">
      <c r="A12" s="6">
        <v>8</v>
      </c>
      <c r="B12" s="20" t="s">
        <v>144</v>
      </c>
      <c r="C12" s="9">
        <v>6172768</v>
      </c>
      <c r="D12" s="20" t="s">
        <v>128</v>
      </c>
      <c r="E12" s="20" t="s">
        <v>138</v>
      </c>
      <c r="F12" s="189"/>
      <c r="G12" s="12"/>
      <c r="H12" s="12"/>
      <c r="I12" s="12"/>
      <c r="J12" s="12"/>
      <c r="K12" s="12"/>
      <c r="L12" s="12"/>
      <c r="M12" s="12"/>
      <c r="N12" s="12"/>
      <c r="O12" s="12"/>
      <c r="P12" s="12"/>
      <c r="Q12" s="12"/>
    </row>
    <row r="13" spans="1:17">
      <c r="A13" s="186">
        <v>9</v>
      </c>
      <c r="B13" s="184" t="s">
        <v>146</v>
      </c>
      <c r="C13" s="9">
        <v>2788705</v>
      </c>
      <c r="D13" s="20" t="s">
        <v>128</v>
      </c>
      <c r="E13" s="20" t="s">
        <v>129</v>
      </c>
      <c r="F13" s="189"/>
      <c r="G13" s="12"/>
      <c r="H13" s="12"/>
      <c r="I13" s="12"/>
      <c r="J13" s="12"/>
      <c r="K13" s="12"/>
      <c r="L13" s="12"/>
      <c r="M13" s="12"/>
      <c r="N13" s="12"/>
      <c r="O13" s="12"/>
      <c r="P13" s="12"/>
      <c r="Q13" s="12"/>
    </row>
    <row r="14" spans="1:17">
      <c r="A14" s="6">
        <v>10</v>
      </c>
      <c r="B14" s="20" t="s">
        <v>629</v>
      </c>
      <c r="C14" s="9">
        <v>5439183</v>
      </c>
      <c r="D14" s="20" t="s">
        <v>128</v>
      </c>
      <c r="E14" s="20" t="s">
        <v>134</v>
      </c>
      <c r="F14" s="189"/>
      <c r="G14" s="12"/>
      <c r="H14" s="12"/>
      <c r="I14" s="12"/>
      <c r="J14" s="12"/>
      <c r="K14" s="12"/>
      <c r="L14" s="12"/>
      <c r="M14" s="12"/>
      <c r="N14" s="12"/>
      <c r="O14" s="12"/>
      <c r="P14" s="12"/>
      <c r="Q14" s="12"/>
    </row>
    <row r="15" spans="1:17">
      <c r="A15" s="6">
        <v>11</v>
      </c>
      <c r="B15" s="20" t="s">
        <v>152</v>
      </c>
      <c r="C15" s="9">
        <v>2008572</v>
      </c>
      <c r="D15" s="20" t="s">
        <v>128</v>
      </c>
      <c r="E15" s="20" t="s">
        <v>154</v>
      </c>
      <c r="F15" s="189">
        <v>1230000</v>
      </c>
      <c r="G15" s="12">
        <v>228</v>
      </c>
      <c r="H15" s="12">
        <v>0</v>
      </c>
      <c r="I15" s="12">
        <v>228</v>
      </c>
      <c r="J15" s="12">
        <v>173</v>
      </c>
      <c r="K15" s="12">
        <v>173</v>
      </c>
      <c r="L15" s="12">
        <v>0</v>
      </c>
      <c r="M15" s="12">
        <v>0</v>
      </c>
      <c r="N15" s="12">
        <v>0</v>
      </c>
      <c r="O15" s="12">
        <v>228</v>
      </c>
      <c r="P15" s="12">
        <v>0</v>
      </c>
      <c r="Q15" s="12">
        <v>228</v>
      </c>
    </row>
    <row r="16" spans="1:17">
      <c r="A16" s="6">
        <v>12</v>
      </c>
      <c r="B16" s="20" t="s">
        <v>155</v>
      </c>
      <c r="C16" s="9">
        <v>5215919</v>
      </c>
      <c r="D16" s="20" t="s">
        <v>128</v>
      </c>
      <c r="E16" s="20" t="s">
        <v>141</v>
      </c>
      <c r="F16" s="189"/>
      <c r="G16" s="12"/>
      <c r="H16" s="12"/>
      <c r="I16" s="12"/>
      <c r="J16" s="12"/>
      <c r="K16" s="12"/>
      <c r="L16" s="12"/>
      <c r="M16" s="12"/>
      <c r="N16" s="12"/>
      <c r="O16" s="12"/>
      <c r="P16" s="12"/>
      <c r="Q16" s="12"/>
    </row>
    <row r="17" spans="1:17">
      <c r="A17" s="6">
        <v>13</v>
      </c>
      <c r="B17" s="20" t="s">
        <v>157</v>
      </c>
      <c r="C17" s="9">
        <v>5502977</v>
      </c>
      <c r="D17" s="20" t="s">
        <v>128</v>
      </c>
      <c r="E17" s="20" t="s">
        <v>138</v>
      </c>
      <c r="F17" s="189">
        <v>2880000</v>
      </c>
      <c r="G17" s="12">
        <v>18</v>
      </c>
      <c r="H17" s="12">
        <v>15</v>
      </c>
      <c r="I17" s="12">
        <v>3</v>
      </c>
      <c r="J17" s="12">
        <v>0</v>
      </c>
      <c r="K17" s="12">
        <v>0</v>
      </c>
      <c r="L17" s="12">
        <v>0</v>
      </c>
      <c r="M17" s="12">
        <v>0</v>
      </c>
      <c r="N17" s="12">
        <v>0</v>
      </c>
      <c r="O17" s="12">
        <v>18</v>
      </c>
      <c r="P17" s="12">
        <v>15</v>
      </c>
      <c r="Q17" s="12">
        <v>3</v>
      </c>
    </row>
    <row r="18" spans="1:17">
      <c r="A18" s="6">
        <v>14</v>
      </c>
      <c r="B18" s="20" t="s">
        <v>159</v>
      </c>
      <c r="C18" s="9">
        <v>2708701</v>
      </c>
      <c r="D18" s="20" t="s">
        <v>128</v>
      </c>
      <c r="E18" s="20" t="s">
        <v>138</v>
      </c>
      <c r="F18" s="189"/>
      <c r="G18" s="12"/>
      <c r="H18" s="12"/>
      <c r="I18" s="12"/>
      <c r="J18" s="12"/>
      <c r="K18" s="12"/>
      <c r="L18" s="12"/>
      <c r="M18" s="12"/>
      <c r="N18" s="12"/>
      <c r="O18" s="12"/>
      <c r="P18" s="12"/>
      <c r="Q18" s="12"/>
    </row>
    <row r="19" spans="1:17">
      <c r="A19" s="186">
        <v>15</v>
      </c>
      <c r="B19" s="184" t="s">
        <v>161</v>
      </c>
      <c r="C19" s="9">
        <v>2014491</v>
      </c>
      <c r="D19" s="20" t="s">
        <v>163</v>
      </c>
      <c r="E19" s="20" t="s">
        <v>164</v>
      </c>
      <c r="F19" s="189"/>
      <c r="G19" s="12"/>
      <c r="H19" s="12"/>
      <c r="I19" s="12"/>
      <c r="J19" s="12"/>
      <c r="K19" s="12"/>
      <c r="L19" s="12"/>
      <c r="M19" s="12"/>
      <c r="N19" s="12"/>
      <c r="O19" s="12"/>
      <c r="P19" s="12"/>
      <c r="Q19" s="12"/>
    </row>
    <row r="20" spans="1:17">
      <c r="A20" s="6">
        <v>16</v>
      </c>
      <c r="B20" s="20" t="s">
        <v>165</v>
      </c>
      <c r="C20" s="9">
        <v>6414877</v>
      </c>
      <c r="D20" s="20" t="s">
        <v>128</v>
      </c>
      <c r="E20" s="20" t="s">
        <v>138</v>
      </c>
      <c r="F20" s="189">
        <v>1200000</v>
      </c>
      <c r="G20" s="12">
        <v>0</v>
      </c>
      <c r="H20" s="12">
        <v>0</v>
      </c>
      <c r="I20" s="12">
        <v>0</v>
      </c>
      <c r="J20" s="12">
        <v>0</v>
      </c>
      <c r="K20" s="12">
        <v>0</v>
      </c>
      <c r="L20" s="12">
        <v>0</v>
      </c>
      <c r="M20" s="12">
        <v>0</v>
      </c>
      <c r="N20" s="12">
        <v>0</v>
      </c>
      <c r="O20" s="12">
        <v>0</v>
      </c>
      <c r="P20" s="12">
        <v>0</v>
      </c>
      <c r="Q20" s="12">
        <v>0</v>
      </c>
    </row>
    <row r="21" spans="1:17">
      <c r="A21" s="6">
        <v>17</v>
      </c>
      <c r="B21" s="20" t="s">
        <v>168</v>
      </c>
      <c r="C21" s="9">
        <v>5369223</v>
      </c>
      <c r="D21" s="20" t="s">
        <v>639</v>
      </c>
      <c r="E21" s="20" t="s">
        <v>944</v>
      </c>
      <c r="F21" s="189">
        <v>960000</v>
      </c>
      <c r="G21" s="12">
        <v>0</v>
      </c>
      <c r="H21" s="12">
        <v>0</v>
      </c>
      <c r="I21" s="12">
        <v>0</v>
      </c>
      <c r="J21" s="12">
        <v>0</v>
      </c>
      <c r="K21" s="12">
        <v>0</v>
      </c>
      <c r="L21" s="12">
        <v>0</v>
      </c>
      <c r="M21" s="12">
        <v>0</v>
      </c>
      <c r="N21" s="12">
        <v>0</v>
      </c>
      <c r="O21" s="12">
        <v>0</v>
      </c>
      <c r="P21" s="12">
        <v>0</v>
      </c>
      <c r="Q21" s="12">
        <v>0</v>
      </c>
    </row>
    <row r="22" spans="1:17">
      <c r="A22" s="6">
        <v>18</v>
      </c>
      <c r="B22" s="20" t="s">
        <v>169</v>
      </c>
      <c r="C22" s="9">
        <v>5294088</v>
      </c>
      <c r="D22" s="20" t="s">
        <v>170</v>
      </c>
      <c r="E22" s="20" t="s">
        <v>171</v>
      </c>
      <c r="F22" s="189">
        <v>2400000</v>
      </c>
      <c r="G22" s="12">
        <v>8</v>
      </c>
      <c r="H22" s="12">
        <v>6</v>
      </c>
      <c r="I22" s="12">
        <v>2</v>
      </c>
      <c r="J22" s="12">
        <v>0</v>
      </c>
      <c r="K22" s="12">
        <v>0</v>
      </c>
      <c r="L22" s="12">
        <v>0</v>
      </c>
      <c r="M22" s="12">
        <v>0</v>
      </c>
      <c r="N22" s="12">
        <v>0</v>
      </c>
      <c r="O22" s="12">
        <v>0</v>
      </c>
      <c r="P22" s="12">
        <v>0</v>
      </c>
      <c r="Q22" s="12">
        <v>0</v>
      </c>
    </row>
    <row r="23" spans="1:17">
      <c r="A23" s="6">
        <v>19</v>
      </c>
      <c r="B23" s="20" t="s">
        <v>173</v>
      </c>
      <c r="C23" s="9">
        <v>2855119</v>
      </c>
      <c r="D23" s="20" t="s">
        <v>128</v>
      </c>
      <c r="E23" s="20" t="s">
        <v>134</v>
      </c>
      <c r="F23" s="189"/>
      <c r="G23" s="12"/>
      <c r="H23" s="12"/>
      <c r="I23" s="12"/>
      <c r="J23" s="12"/>
      <c r="K23" s="12"/>
      <c r="L23" s="12"/>
      <c r="M23" s="12"/>
      <c r="N23" s="12"/>
      <c r="O23" s="12"/>
      <c r="P23" s="12"/>
      <c r="Q23" s="12"/>
    </row>
    <row r="24" spans="1:17">
      <c r="A24" s="517">
        <v>20</v>
      </c>
      <c r="B24" s="543" t="s">
        <v>174</v>
      </c>
      <c r="C24" s="545">
        <v>2094533</v>
      </c>
      <c r="D24" s="543" t="s">
        <v>304</v>
      </c>
      <c r="E24" s="543" t="s">
        <v>141</v>
      </c>
      <c r="F24" s="189">
        <v>11367264</v>
      </c>
      <c r="G24" s="12">
        <v>28</v>
      </c>
      <c r="H24" s="12">
        <v>3</v>
      </c>
      <c r="I24" s="12">
        <v>25</v>
      </c>
      <c r="J24" s="12">
        <v>0</v>
      </c>
      <c r="K24" s="12">
        <v>0</v>
      </c>
      <c r="L24" s="12">
        <v>0</v>
      </c>
      <c r="M24" s="12">
        <v>0</v>
      </c>
      <c r="N24" s="12">
        <v>0</v>
      </c>
      <c r="O24" s="12">
        <v>94</v>
      </c>
      <c r="P24" s="12">
        <v>3</v>
      </c>
      <c r="Q24" s="12">
        <v>91</v>
      </c>
    </row>
    <row r="25" spans="1:17">
      <c r="A25" s="518"/>
      <c r="B25" s="544"/>
      <c r="C25" s="546"/>
      <c r="D25" s="544"/>
      <c r="E25" s="544"/>
      <c r="F25" s="189">
        <v>7578176</v>
      </c>
      <c r="G25" s="12">
        <v>2</v>
      </c>
      <c r="H25" s="12">
        <v>2</v>
      </c>
      <c r="I25" s="12">
        <v>0</v>
      </c>
      <c r="J25" s="12">
        <v>0</v>
      </c>
      <c r="K25" s="12">
        <v>0</v>
      </c>
      <c r="L25" s="12">
        <v>0</v>
      </c>
      <c r="M25" s="12">
        <v>0</v>
      </c>
      <c r="N25" s="12">
        <v>0</v>
      </c>
      <c r="O25" s="12">
        <v>2</v>
      </c>
      <c r="P25" s="12">
        <v>2</v>
      </c>
      <c r="Q25" s="12">
        <v>0</v>
      </c>
    </row>
    <row r="26" spans="1:17">
      <c r="A26" s="6">
        <v>21</v>
      </c>
      <c r="B26" s="20" t="s">
        <v>175</v>
      </c>
      <c r="C26" s="9">
        <v>5722942</v>
      </c>
      <c r="D26" s="20" t="s">
        <v>128</v>
      </c>
      <c r="E26" s="20" t="s">
        <v>138</v>
      </c>
      <c r="F26" s="189"/>
      <c r="G26" s="12"/>
      <c r="H26" s="12"/>
      <c r="I26" s="12"/>
      <c r="J26" s="12"/>
      <c r="K26" s="12"/>
      <c r="L26" s="12"/>
      <c r="M26" s="12"/>
      <c r="N26" s="12"/>
      <c r="O26" s="12"/>
      <c r="P26" s="12"/>
      <c r="Q26" s="12"/>
    </row>
    <row r="27" spans="1:17">
      <c r="A27" s="6">
        <v>22</v>
      </c>
      <c r="B27" s="20" t="s">
        <v>176</v>
      </c>
      <c r="C27" s="9">
        <v>2867494</v>
      </c>
      <c r="D27" s="20" t="s">
        <v>128</v>
      </c>
      <c r="E27" s="20" t="s">
        <v>138</v>
      </c>
      <c r="F27" s="189"/>
      <c r="G27" s="12"/>
      <c r="H27" s="12"/>
      <c r="I27" s="12"/>
      <c r="J27" s="12"/>
      <c r="K27" s="12"/>
      <c r="L27" s="12"/>
      <c r="M27" s="12"/>
      <c r="N27" s="12"/>
      <c r="O27" s="12"/>
      <c r="P27" s="12"/>
      <c r="Q27" s="12"/>
    </row>
    <row r="28" spans="1:17">
      <c r="A28" s="6">
        <v>23</v>
      </c>
      <c r="B28" s="20" t="s">
        <v>177</v>
      </c>
      <c r="C28" s="9">
        <v>6463932</v>
      </c>
      <c r="D28" s="20" t="s">
        <v>128</v>
      </c>
      <c r="E28" s="20" t="s">
        <v>129</v>
      </c>
      <c r="F28" s="189"/>
      <c r="G28" s="12"/>
      <c r="H28" s="12"/>
      <c r="I28" s="12"/>
      <c r="J28" s="12"/>
      <c r="K28" s="12"/>
      <c r="L28" s="12"/>
      <c r="M28" s="12"/>
      <c r="N28" s="12"/>
      <c r="O28" s="12"/>
      <c r="P28" s="12"/>
      <c r="Q28" s="12"/>
    </row>
    <row r="29" spans="1:17">
      <c r="A29" s="186">
        <v>24</v>
      </c>
      <c r="B29" s="184" t="s">
        <v>178</v>
      </c>
      <c r="C29" s="9">
        <v>5260833</v>
      </c>
      <c r="D29" s="20" t="s">
        <v>128</v>
      </c>
      <c r="E29" s="20" t="s">
        <v>141</v>
      </c>
      <c r="F29" s="189"/>
      <c r="G29" s="12"/>
      <c r="H29" s="12"/>
      <c r="I29" s="12"/>
      <c r="J29" s="12"/>
      <c r="K29" s="12"/>
      <c r="L29" s="12"/>
      <c r="M29" s="12"/>
      <c r="N29" s="12"/>
      <c r="O29" s="12"/>
      <c r="P29" s="12"/>
      <c r="Q29" s="12"/>
    </row>
    <row r="30" spans="1:17" ht="25.5">
      <c r="A30" s="186">
        <v>25</v>
      </c>
      <c r="B30" s="310" t="s">
        <v>179</v>
      </c>
      <c r="C30" s="9">
        <v>2051303</v>
      </c>
      <c r="D30" s="20" t="s">
        <v>180</v>
      </c>
      <c r="E30" s="20" t="s">
        <v>181</v>
      </c>
      <c r="F30" s="189"/>
      <c r="G30" s="12"/>
      <c r="H30" s="12"/>
      <c r="I30" s="12"/>
      <c r="J30" s="12"/>
      <c r="K30" s="12"/>
      <c r="L30" s="12"/>
      <c r="M30" s="12"/>
      <c r="N30" s="12"/>
      <c r="O30" s="12"/>
      <c r="P30" s="12"/>
      <c r="Q30" s="12"/>
    </row>
    <row r="31" spans="1:17">
      <c r="A31" s="6">
        <v>26</v>
      </c>
      <c r="B31" s="20" t="s">
        <v>183</v>
      </c>
      <c r="C31" s="9">
        <v>2061848</v>
      </c>
      <c r="D31" s="20" t="s">
        <v>293</v>
      </c>
      <c r="E31" s="20" t="s">
        <v>794</v>
      </c>
      <c r="F31" s="189">
        <v>1362000</v>
      </c>
      <c r="G31" s="12">
        <v>2</v>
      </c>
      <c r="H31" s="12">
        <v>2</v>
      </c>
      <c r="I31" s="12">
        <v>0</v>
      </c>
      <c r="J31" s="12">
        <v>2</v>
      </c>
      <c r="K31" s="12">
        <v>2</v>
      </c>
      <c r="L31" s="12">
        <v>0</v>
      </c>
      <c r="M31" s="12">
        <v>0</v>
      </c>
      <c r="N31" s="12">
        <v>0</v>
      </c>
      <c r="O31" s="12">
        <v>0</v>
      </c>
      <c r="P31" s="12">
        <v>0</v>
      </c>
      <c r="Q31" s="12">
        <v>0</v>
      </c>
    </row>
    <row r="32" spans="1:17">
      <c r="A32" s="186">
        <v>27</v>
      </c>
      <c r="B32" s="310" t="s">
        <v>185</v>
      </c>
      <c r="C32" s="9">
        <v>2766337</v>
      </c>
      <c r="D32" s="20" t="s">
        <v>128</v>
      </c>
      <c r="E32" s="20" t="s">
        <v>138</v>
      </c>
      <c r="F32" s="189"/>
      <c r="G32" s="12"/>
      <c r="H32" s="12"/>
      <c r="I32" s="12"/>
      <c r="J32" s="12"/>
      <c r="K32" s="12"/>
      <c r="L32" s="12"/>
      <c r="M32" s="12"/>
      <c r="N32" s="12"/>
      <c r="O32" s="12"/>
      <c r="P32" s="12"/>
      <c r="Q32" s="12"/>
    </row>
    <row r="33" spans="1:17" ht="25.5">
      <c r="A33" s="186">
        <v>28</v>
      </c>
      <c r="B33" s="310" t="s">
        <v>187</v>
      </c>
      <c r="C33" s="9">
        <v>5810086</v>
      </c>
      <c r="D33" s="20" t="s">
        <v>128</v>
      </c>
      <c r="E33" s="20" t="s">
        <v>129</v>
      </c>
      <c r="F33" s="189"/>
      <c r="G33" s="12"/>
      <c r="H33" s="12"/>
      <c r="I33" s="12"/>
      <c r="J33" s="12"/>
      <c r="K33" s="12"/>
      <c r="L33" s="12"/>
      <c r="M33" s="12"/>
      <c r="N33" s="12"/>
      <c r="O33" s="12"/>
      <c r="P33" s="12"/>
      <c r="Q33" s="12"/>
    </row>
    <row r="34" spans="1:17">
      <c r="A34" s="6">
        <v>29</v>
      </c>
      <c r="B34" s="20" t="s">
        <v>188</v>
      </c>
      <c r="C34" s="9">
        <v>5217652</v>
      </c>
      <c r="D34" s="20" t="s">
        <v>233</v>
      </c>
      <c r="E34" s="20" t="s">
        <v>237</v>
      </c>
      <c r="F34" s="189"/>
      <c r="G34" s="12">
        <v>110</v>
      </c>
      <c r="H34" s="12">
        <v>100</v>
      </c>
      <c r="I34" s="12">
        <v>10</v>
      </c>
      <c r="J34" s="12">
        <v>100</v>
      </c>
      <c r="K34" s="12">
        <v>100</v>
      </c>
      <c r="L34" s="12">
        <v>0</v>
      </c>
      <c r="M34" s="12">
        <v>0</v>
      </c>
      <c r="N34" s="12">
        <v>0</v>
      </c>
      <c r="O34" s="12">
        <v>10</v>
      </c>
      <c r="P34" s="12">
        <v>0</v>
      </c>
      <c r="Q34" s="12">
        <v>10</v>
      </c>
    </row>
    <row r="35" spans="1:17">
      <c r="A35" s="6">
        <v>30</v>
      </c>
      <c r="B35" s="20" t="s">
        <v>189</v>
      </c>
      <c r="C35" s="9">
        <v>2780518</v>
      </c>
      <c r="D35" s="20" t="s">
        <v>128</v>
      </c>
      <c r="E35" s="20" t="s">
        <v>191</v>
      </c>
      <c r="F35" s="189"/>
      <c r="G35" s="12"/>
      <c r="H35" s="12"/>
      <c r="I35" s="12"/>
      <c r="J35" s="12"/>
      <c r="K35" s="12"/>
      <c r="L35" s="12"/>
      <c r="M35" s="12"/>
      <c r="N35" s="12"/>
      <c r="O35" s="12"/>
      <c r="P35" s="12"/>
      <c r="Q35" s="12"/>
    </row>
    <row r="36" spans="1:17">
      <c r="A36" s="186">
        <v>31</v>
      </c>
      <c r="B36" s="184" t="s">
        <v>193</v>
      </c>
      <c r="C36" s="9">
        <v>5272378</v>
      </c>
      <c r="D36" s="20" t="s">
        <v>128</v>
      </c>
      <c r="E36" s="20" t="s">
        <v>138</v>
      </c>
      <c r="F36" s="189"/>
      <c r="G36" s="12"/>
      <c r="H36" s="12"/>
      <c r="I36" s="12"/>
      <c r="J36" s="12"/>
      <c r="K36" s="12"/>
      <c r="L36" s="12"/>
      <c r="M36" s="12"/>
      <c r="N36" s="12"/>
      <c r="O36" s="12"/>
      <c r="P36" s="12"/>
      <c r="Q36" s="12"/>
    </row>
    <row r="37" spans="1:17">
      <c r="A37" s="6">
        <v>32</v>
      </c>
      <c r="B37" s="20" t="s">
        <v>194</v>
      </c>
      <c r="C37" s="9">
        <v>5467268</v>
      </c>
      <c r="D37" s="20" t="s">
        <v>128</v>
      </c>
      <c r="E37" s="20" t="s">
        <v>138</v>
      </c>
      <c r="F37" s="189"/>
      <c r="G37" s="12"/>
      <c r="H37" s="12"/>
      <c r="I37" s="12"/>
      <c r="J37" s="12"/>
      <c r="K37" s="12"/>
      <c r="L37" s="12"/>
      <c r="M37" s="12"/>
      <c r="N37" s="12"/>
      <c r="O37" s="12"/>
      <c r="P37" s="12"/>
      <c r="Q37" s="12"/>
    </row>
    <row r="38" spans="1:17">
      <c r="A38" s="6">
        <v>33</v>
      </c>
      <c r="B38" s="20" t="s">
        <v>196</v>
      </c>
      <c r="C38" s="9">
        <v>5522935</v>
      </c>
      <c r="D38" s="20" t="s">
        <v>170</v>
      </c>
      <c r="E38" s="20" t="s">
        <v>1738</v>
      </c>
      <c r="F38" s="189">
        <v>1800000</v>
      </c>
      <c r="G38" s="12">
        <v>0</v>
      </c>
      <c r="H38" s="12">
        <v>0</v>
      </c>
      <c r="I38" s="12">
        <v>0</v>
      </c>
      <c r="J38" s="12">
        <v>0</v>
      </c>
      <c r="K38" s="12">
        <v>0</v>
      </c>
      <c r="L38" s="12">
        <v>0</v>
      </c>
      <c r="M38" s="12">
        <v>0</v>
      </c>
      <c r="N38" s="12">
        <v>0</v>
      </c>
      <c r="O38" s="12">
        <v>0</v>
      </c>
      <c r="P38" s="12">
        <v>0</v>
      </c>
      <c r="Q38" s="12">
        <v>0</v>
      </c>
    </row>
    <row r="39" spans="1:17">
      <c r="A39" s="186">
        <v>34</v>
      </c>
      <c r="B39" s="184" t="s">
        <v>197</v>
      </c>
      <c r="C39" s="9">
        <v>5528089</v>
      </c>
      <c r="D39" s="20" t="s">
        <v>128</v>
      </c>
      <c r="E39" s="20" t="s">
        <v>129</v>
      </c>
      <c r="F39" s="189"/>
      <c r="G39" s="12"/>
      <c r="H39" s="12"/>
      <c r="I39" s="12"/>
      <c r="J39" s="12"/>
      <c r="K39" s="12"/>
      <c r="L39" s="12"/>
      <c r="M39" s="12"/>
      <c r="N39" s="12"/>
      <c r="O39" s="12"/>
      <c r="P39" s="12"/>
      <c r="Q39" s="12"/>
    </row>
    <row r="40" spans="1:17">
      <c r="A40" s="6">
        <v>35</v>
      </c>
      <c r="B40" s="20" t="s">
        <v>198</v>
      </c>
      <c r="C40" s="9">
        <v>5396662</v>
      </c>
      <c r="D40" s="20" t="s">
        <v>128</v>
      </c>
      <c r="E40" s="20" t="s">
        <v>129</v>
      </c>
      <c r="F40" s="189"/>
      <c r="G40" s="12"/>
      <c r="H40" s="12"/>
      <c r="I40" s="12"/>
      <c r="J40" s="12"/>
      <c r="K40" s="12"/>
      <c r="L40" s="12"/>
      <c r="M40" s="12"/>
      <c r="N40" s="12"/>
      <c r="O40" s="12"/>
      <c r="P40" s="12"/>
      <c r="Q40" s="12"/>
    </row>
    <row r="41" spans="1:17">
      <c r="A41" s="6">
        <v>36</v>
      </c>
      <c r="B41" s="20" t="s">
        <v>199</v>
      </c>
      <c r="C41" s="9">
        <v>5830974</v>
      </c>
      <c r="D41" s="20" t="s">
        <v>128</v>
      </c>
      <c r="E41" s="20" t="s">
        <v>129</v>
      </c>
      <c r="F41" s="189"/>
      <c r="G41" s="12"/>
      <c r="H41" s="12"/>
      <c r="I41" s="12"/>
      <c r="J41" s="12"/>
      <c r="K41" s="12"/>
      <c r="L41" s="12"/>
      <c r="M41" s="12"/>
      <c r="N41" s="12"/>
      <c r="O41" s="12"/>
      <c r="P41" s="12"/>
      <c r="Q41" s="12"/>
    </row>
    <row r="42" spans="1:17">
      <c r="A42" s="6">
        <v>37</v>
      </c>
      <c r="B42" s="20" t="s">
        <v>201</v>
      </c>
      <c r="C42" s="9">
        <v>2057573</v>
      </c>
      <c r="D42" s="20" t="s">
        <v>128</v>
      </c>
      <c r="E42" s="20" t="s">
        <v>134</v>
      </c>
      <c r="F42" s="189"/>
      <c r="G42" s="12"/>
      <c r="H42" s="12"/>
      <c r="I42" s="12"/>
      <c r="J42" s="12"/>
      <c r="K42" s="12"/>
      <c r="L42" s="12"/>
      <c r="M42" s="12"/>
      <c r="N42" s="12"/>
      <c r="O42" s="12"/>
      <c r="P42" s="12"/>
      <c r="Q42" s="12"/>
    </row>
    <row r="43" spans="1:17">
      <c r="A43" s="6">
        <v>38</v>
      </c>
      <c r="B43" s="20" t="s">
        <v>202</v>
      </c>
      <c r="C43" s="9">
        <v>5699134</v>
      </c>
      <c r="D43" s="20" t="s">
        <v>233</v>
      </c>
      <c r="E43" s="20" t="s">
        <v>2563</v>
      </c>
      <c r="F43" s="189">
        <v>1200000</v>
      </c>
      <c r="G43" s="12">
        <v>0</v>
      </c>
      <c r="H43" s="12">
        <v>0</v>
      </c>
      <c r="I43" s="12">
        <v>0</v>
      </c>
      <c r="J43" s="12">
        <v>0</v>
      </c>
      <c r="K43" s="12">
        <v>0</v>
      </c>
      <c r="L43" s="12">
        <v>0</v>
      </c>
      <c r="M43" s="12">
        <v>0</v>
      </c>
      <c r="N43" s="12">
        <v>0</v>
      </c>
      <c r="O43" s="12">
        <v>0</v>
      </c>
      <c r="P43" s="12">
        <v>0</v>
      </c>
      <c r="Q43" s="12">
        <v>0</v>
      </c>
    </row>
    <row r="44" spans="1:17">
      <c r="A44" s="6">
        <v>39</v>
      </c>
      <c r="B44" s="20" t="s">
        <v>203</v>
      </c>
      <c r="C44" s="9">
        <v>5412153</v>
      </c>
      <c r="D44" s="20" t="s">
        <v>128</v>
      </c>
      <c r="E44" s="20" t="s">
        <v>141</v>
      </c>
      <c r="F44" s="189"/>
      <c r="G44" s="12"/>
      <c r="H44" s="12"/>
      <c r="I44" s="12"/>
      <c r="J44" s="12"/>
      <c r="K44" s="12"/>
      <c r="L44" s="12"/>
      <c r="M44" s="12"/>
      <c r="N44" s="12"/>
      <c r="O44" s="12"/>
      <c r="P44" s="12"/>
      <c r="Q44" s="12"/>
    </row>
    <row r="45" spans="1:17">
      <c r="A45" s="6">
        <v>40</v>
      </c>
      <c r="B45" s="20" t="s">
        <v>204</v>
      </c>
      <c r="C45" s="9">
        <v>2034859</v>
      </c>
      <c r="D45" s="20" t="s">
        <v>205</v>
      </c>
      <c r="E45" s="20" t="s">
        <v>206</v>
      </c>
      <c r="F45" s="189"/>
      <c r="G45" s="12">
        <v>0</v>
      </c>
      <c r="H45" s="12">
        <v>0</v>
      </c>
      <c r="I45" s="12">
        <v>0</v>
      </c>
      <c r="J45" s="12">
        <v>0</v>
      </c>
      <c r="K45" s="12">
        <v>0</v>
      </c>
      <c r="L45" s="12">
        <v>0</v>
      </c>
      <c r="M45" s="12">
        <v>0</v>
      </c>
      <c r="N45" s="12">
        <v>0</v>
      </c>
      <c r="O45" s="12">
        <v>0</v>
      </c>
      <c r="P45" s="12">
        <v>0</v>
      </c>
      <c r="Q45" s="12">
        <v>0</v>
      </c>
    </row>
    <row r="46" spans="1:17">
      <c r="A46" s="6">
        <v>41</v>
      </c>
      <c r="B46" s="20" t="s">
        <v>208</v>
      </c>
      <c r="C46" s="9">
        <v>5253535</v>
      </c>
      <c r="D46" s="20" t="s">
        <v>128</v>
      </c>
      <c r="E46" s="20" t="s">
        <v>191</v>
      </c>
      <c r="F46" s="189"/>
      <c r="G46" s="12"/>
      <c r="H46" s="12"/>
      <c r="I46" s="12"/>
      <c r="J46" s="12"/>
      <c r="K46" s="12"/>
      <c r="L46" s="12"/>
      <c r="M46" s="12"/>
      <c r="N46" s="12"/>
      <c r="O46" s="12"/>
      <c r="P46" s="12"/>
      <c r="Q46" s="12"/>
    </row>
    <row r="47" spans="1:17">
      <c r="A47" s="6">
        <v>42</v>
      </c>
      <c r="B47" s="20" t="s">
        <v>210</v>
      </c>
      <c r="C47" s="9">
        <v>5150884</v>
      </c>
      <c r="D47" s="20" t="s">
        <v>128</v>
      </c>
      <c r="E47" s="20" t="s">
        <v>138</v>
      </c>
      <c r="F47" s="189"/>
      <c r="G47" s="12"/>
      <c r="H47" s="12"/>
      <c r="I47" s="12"/>
      <c r="J47" s="12"/>
      <c r="K47" s="12"/>
      <c r="L47" s="12"/>
      <c r="M47" s="12"/>
      <c r="N47" s="12"/>
      <c r="O47" s="12"/>
      <c r="P47" s="12"/>
      <c r="Q47" s="12"/>
    </row>
    <row r="48" spans="1:17">
      <c r="A48" s="6">
        <v>43</v>
      </c>
      <c r="B48" s="20" t="s">
        <v>211</v>
      </c>
      <c r="C48" s="9">
        <v>5051304</v>
      </c>
      <c r="D48" s="20" t="s">
        <v>128</v>
      </c>
      <c r="E48" s="20" t="s">
        <v>141</v>
      </c>
      <c r="F48" s="189"/>
      <c r="G48" s="12"/>
      <c r="H48" s="12"/>
      <c r="I48" s="12"/>
      <c r="J48" s="12"/>
      <c r="K48" s="12"/>
      <c r="L48" s="12"/>
      <c r="M48" s="12"/>
      <c r="N48" s="12"/>
      <c r="O48" s="12"/>
      <c r="P48" s="12"/>
      <c r="Q48" s="12"/>
    </row>
    <row r="49" spans="1:17">
      <c r="A49" s="186">
        <v>44</v>
      </c>
      <c r="B49" s="184" t="s">
        <v>213</v>
      </c>
      <c r="C49" s="9">
        <v>5401801</v>
      </c>
      <c r="D49" s="20" t="s">
        <v>128</v>
      </c>
      <c r="E49" s="20" t="s">
        <v>138</v>
      </c>
      <c r="F49" s="189"/>
      <c r="G49" s="12"/>
      <c r="H49" s="12"/>
      <c r="I49" s="12"/>
      <c r="J49" s="12"/>
      <c r="K49" s="12"/>
      <c r="L49" s="12"/>
      <c r="M49" s="12"/>
      <c r="N49" s="12"/>
      <c r="O49" s="12"/>
      <c r="P49" s="12"/>
      <c r="Q49" s="12"/>
    </row>
    <row r="50" spans="1:17">
      <c r="A50" s="517">
        <v>45</v>
      </c>
      <c r="B50" s="543" t="s">
        <v>214</v>
      </c>
      <c r="C50" s="545">
        <v>2550466</v>
      </c>
      <c r="D50" s="543" t="s">
        <v>128</v>
      </c>
      <c r="E50" s="543" t="s">
        <v>191</v>
      </c>
      <c r="F50" s="189">
        <v>1000000</v>
      </c>
      <c r="G50" s="12">
        <v>1</v>
      </c>
      <c r="H50" s="12">
        <v>1</v>
      </c>
      <c r="I50" s="12">
        <v>0</v>
      </c>
      <c r="J50" s="12">
        <v>0</v>
      </c>
      <c r="K50" s="12">
        <v>0</v>
      </c>
      <c r="L50" s="12">
        <v>0</v>
      </c>
      <c r="M50" s="12">
        <v>0</v>
      </c>
      <c r="N50" s="12">
        <v>0</v>
      </c>
      <c r="O50" s="12">
        <v>0</v>
      </c>
      <c r="P50" s="12">
        <v>0</v>
      </c>
      <c r="Q50" s="12">
        <v>0</v>
      </c>
    </row>
    <row r="51" spans="1:17">
      <c r="A51" s="518"/>
      <c r="B51" s="544"/>
      <c r="C51" s="546"/>
      <c r="D51" s="544"/>
      <c r="E51" s="544"/>
      <c r="F51" s="189">
        <v>3444000</v>
      </c>
      <c r="G51" s="12">
        <v>0</v>
      </c>
      <c r="H51" s="12">
        <v>0</v>
      </c>
      <c r="I51" s="12">
        <v>0</v>
      </c>
      <c r="J51" s="12">
        <v>0</v>
      </c>
      <c r="K51" s="12">
        <v>0</v>
      </c>
      <c r="L51" s="12">
        <v>0</v>
      </c>
      <c r="M51" s="12">
        <v>0</v>
      </c>
      <c r="N51" s="12">
        <v>0</v>
      </c>
      <c r="O51" s="12">
        <v>0</v>
      </c>
      <c r="P51" s="12">
        <v>0</v>
      </c>
      <c r="Q51" s="12">
        <v>0</v>
      </c>
    </row>
    <row r="52" spans="1:17">
      <c r="A52" s="6">
        <v>46</v>
      </c>
      <c r="B52" s="20" t="s">
        <v>216</v>
      </c>
      <c r="C52" s="9">
        <v>5051134</v>
      </c>
      <c r="D52" s="20" t="s">
        <v>128</v>
      </c>
      <c r="E52" s="20" t="s">
        <v>129</v>
      </c>
      <c r="F52" s="189">
        <v>2400000</v>
      </c>
      <c r="G52" s="12">
        <v>1</v>
      </c>
      <c r="H52" s="12">
        <v>0</v>
      </c>
      <c r="I52" s="12">
        <v>1</v>
      </c>
      <c r="J52" s="12">
        <v>1</v>
      </c>
      <c r="K52" s="12">
        <v>0</v>
      </c>
      <c r="L52" s="12">
        <v>0</v>
      </c>
      <c r="M52" s="12">
        <v>1</v>
      </c>
      <c r="N52" s="12">
        <v>0</v>
      </c>
      <c r="O52" s="12">
        <v>1</v>
      </c>
      <c r="P52" s="12">
        <v>0</v>
      </c>
      <c r="Q52" s="12">
        <v>1</v>
      </c>
    </row>
    <row r="53" spans="1:17">
      <c r="A53" s="6">
        <v>47</v>
      </c>
      <c r="B53" s="20" t="s">
        <v>217</v>
      </c>
      <c r="C53" s="9">
        <v>2095025</v>
      </c>
      <c r="D53" s="20" t="s">
        <v>128</v>
      </c>
      <c r="E53" s="20" t="s">
        <v>129</v>
      </c>
      <c r="F53" s="189"/>
      <c r="G53" s="12"/>
      <c r="H53" s="12"/>
      <c r="I53" s="12"/>
      <c r="J53" s="12"/>
      <c r="K53" s="12"/>
      <c r="L53" s="12"/>
      <c r="M53" s="12"/>
      <c r="N53" s="12"/>
      <c r="O53" s="12"/>
      <c r="P53" s="12"/>
      <c r="Q53" s="12"/>
    </row>
    <row r="54" spans="1:17">
      <c r="A54" s="6">
        <v>48</v>
      </c>
      <c r="B54" s="20" t="s">
        <v>218</v>
      </c>
      <c r="C54" s="9">
        <v>2045931</v>
      </c>
      <c r="D54" s="20" t="s">
        <v>128</v>
      </c>
      <c r="E54" s="20" t="s">
        <v>138</v>
      </c>
      <c r="F54" s="189"/>
      <c r="G54" s="12"/>
      <c r="H54" s="12"/>
      <c r="I54" s="12"/>
      <c r="J54" s="12"/>
      <c r="K54" s="12"/>
      <c r="L54" s="12"/>
      <c r="M54" s="12"/>
      <c r="N54" s="12"/>
      <c r="O54" s="12"/>
      <c r="P54" s="12"/>
      <c r="Q54" s="12"/>
    </row>
    <row r="55" spans="1:17">
      <c r="A55" s="517">
        <v>49</v>
      </c>
      <c r="B55" s="543" t="s">
        <v>219</v>
      </c>
      <c r="C55" s="545">
        <v>2029278</v>
      </c>
      <c r="D55" s="543" t="s">
        <v>128</v>
      </c>
      <c r="E55" s="543" t="s">
        <v>138</v>
      </c>
      <c r="F55" s="189">
        <v>1500000</v>
      </c>
      <c r="G55" s="12">
        <v>0</v>
      </c>
      <c r="H55" s="12">
        <v>0</v>
      </c>
      <c r="I55" s="12">
        <v>0</v>
      </c>
      <c r="J55" s="12">
        <v>0</v>
      </c>
      <c r="K55" s="12">
        <v>0</v>
      </c>
      <c r="L55" s="12">
        <v>0</v>
      </c>
      <c r="M55" s="12">
        <v>0</v>
      </c>
      <c r="N55" s="12">
        <v>0</v>
      </c>
      <c r="O55" s="12">
        <v>0</v>
      </c>
      <c r="P55" s="12">
        <v>0</v>
      </c>
      <c r="Q55" s="12">
        <v>0</v>
      </c>
    </row>
    <row r="56" spans="1:17">
      <c r="A56" s="518"/>
      <c r="B56" s="544"/>
      <c r="C56" s="546"/>
      <c r="D56" s="544"/>
      <c r="E56" s="544"/>
      <c r="F56" s="189">
        <v>2000000</v>
      </c>
      <c r="G56" s="12">
        <v>0</v>
      </c>
      <c r="H56" s="12">
        <v>0</v>
      </c>
      <c r="I56" s="12">
        <v>0</v>
      </c>
      <c r="J56" s="12">
        <v>0</v>
      </c>
      <c r="K56" s="12">
        <v>0</v>
      </c>
      <c r="L56" s="12">
        <v>0</v>
      </c>
      <c r="M56" s="12">
        <v>0</v>
      </c>
      <c r="N56" s="12">
        <v>0</v>
      </c>
      <c r="O56" s="12">
        <v>0</v>
      </c>
      <c r="P56" s="12">
        <v>0</v>
      </c>
      <c r="Q56" s="12">
        <v>0</v>
      </c>
    </row>
    <row r="57" spans="1:17">
      <c r="A57" s="6">
        <v>50</v>
      </c>
      <c r="B57" s="20" t="s">
        <v>220</v>
      </c>
      <c r="C57" s="9">
        <v>5106567</v>
      </c>
      <c r="D57" s="20" t="s">
        <v>170</v>
      </c>
      <c r="E57" s="20" t="s">
        <v>811</v>
      </c>
      <c r="F57" s="189">
        <v>2076000</v>
      </c>
      <c r="G57" s="12">
        <v>9</v>
      </c>
      <c r="H57" s="12">
        <v>9</v>
      </c>
      <c r="I57" s="12">
        <v>0</v>
      </c>
      <c r="J57" s="12">
        <v>0</v>
      </c>
      <c r="K57" s="12">
        <v>0</v>
      </c>
      <c r="L57" s="12">
        <v>0</v>
      </c>
      <c r="M57" s="12">
        <v>0</v>
      </c>
      <c r="N57" s="12">
        <v>0</v>
      </c>
      <c r="O57" s="12">
        <v>3</v>
      </c>
      <c r="P57" s="12">
        <v>3</v>
      </c>
      <c r="Q57" s="12">
        <v>0</v>
      </c>
    </row>
    <row r="58" spans="1:17">
      <c r="A58" s="6">
        <v>51</v>
      </c>
      <c r="B58" s="20" t="s">
        <v>222</v>
      </c>
      <c r="C58" s="9">
        <v>5141583</v>
      </c>
      <c r="D58" s="20" t="s">
        <v>128</v>
      </c>
      <c r="E58" s="20" t="s">
        <v>138</v>
      </c>
      <c r="F58" s="189"/>
      <c r="G58" s="12"/>
      <c r="H58" s="12"/>
      <c r="I58" s="12"/>
      <c r="J58" s="12"/>
      <c r="K58" s="12"/>
      <c r="L58" s="12"/>
      <c r="M58" s="12"/>
      <c r="N58" s="12"/>
      <c r="O58" s="12"/>
      <c r="P58" s="12"/>
      <c r="Q58" s="12"/>
    </row>
    <row r="59" spans="1:17">
      <c r="A59" s="517">
        <v>52</v>
      </c>
      <c r="B59" s="543" t="s">
        <v>223</v>
      </c>
      <c r="C59" s="545">
        <v>5118115</v>
      </c>
      <c r="D59" s="543" t="s">
        <v>128</v>
      </c>
      <c r="E59" s="543" t="s">
        <v>138</v>
      </c>
      <c r="F59" s="189">
        <v>1800000</v>
      </c>
      <c r="G59" s="12">
        <v>71</v>
      </c>
      <c r="H59" s="12">
        <v>65</v>
      </c>
      <c r="I59" s="12">
        <v>6</v>
      </c>
      <c r="J59" s="12">
        <v>0</v>
      </c>
      <c r="K59" s="12">
        <v>0</v>
      </c>
      <c r="L59" s="12">
        <v>0</v>
      </c>
      <c r="M59" s="12">
        <v>0</v>
      </c>
      <c r="N59" s="12">
        <v>0</v>
      </c>
      <c r="O59" s="12">
        <v>25</v>
      </c>
      <c r="P59" s="12">
        <v>5</v>
      </c>
      <c r="Q59" s="12">
        <v>20</v>
      </c>
    </row>
    <row r="60" spans="1:17">
      <c r="A60" s="523"/>
      <c r="B60" s="547"/>
      <c r="C60" s="548"/>
      <c r="D60" s="547"/>
      <c r="E60" s="547"/>
      <c r="F60" s="189">
        <v>585000</v>
      </c>
      <c r="G60" s="12">
        <v>0</v>
      </c>
      <c r="H60" s="12">
        <v>0</v>
      </c>
      <c r="I60" s="12">
        <v>0</v>
      </c>
      <c r="J60" s="12">
        <v>0</v>
      </c>
      <c r="K60" s="12">
        <v>0</v>
      </c>
      <c r="L60" s="12">
        <v>0</v>
      </c>
      <c r="M60" s="12">
        <v>0</v>
      </c>
      <c r="N60" s="12">
        <v>0</v>
      </c>
      <c r="O60" s="12">
        <v>0</v>
      </c>
      <c r="P60" s="12">
        <v>0</v>
      </c>
      <c r="Q60" s="12">
        <v>0</v>
      </c>
    </row>
    <row r="61" spans="1:17">
      <c r="A61" s="518"/>
      <c r="B61" s="544"/>
      <c r="C61" s="546"/>
      <c r="D61" s="544"/>
      <c r="E61" s="544"/>
      <c r="F61" s="189">
        <v>585000</v>
      </c>
      <c r="G61" s="12">
        <v>0</v>
      </c>
      <c r="H61" s="12">
        <v>0</v>
      </c>
      <c r="I61" s="12">
        <v>0</v>
      </c>
      <c r="J61" s="12">
        <v>0</v>
      </c>
      <c r="K61" s="12">
        <v>0</v>
      </c>
      <c r="L61" s="12">
        <v>0</v>
      </c>
      <c r="M61" s="12">
        <v>0</v>
      </c>
      <c r="N61" s="12">
        <v>0</v>
      </c>
      <c r="O61" s="12">
        <v>0</v>
      </c>
      <c r="P61" s="12">
        <v>0</v>
      </c>
      <c r="Q61" s="12">
        <v>0</v>
      </c>
    </row>
    <row r="62" spans="1:17">
      <c r="A62" s="6">
        <v>53</v>
      </c>
      <c r="B62" s="20" t="s">
        <v>224</v>
      </c>
      <c r="C62" s="9">
        <v>5106656</v>
      </c>
      <c r="D62" s="20" t="s">
        <v>128</v>
      </c>
      <c r="E62" s="20" t="s">
        <v>138</v>
      </c>
      <c r="F62" s="189"/>
      <c r="G62" s="12"/>
      <c r="H62" s="12"/>
      <c r="I62" s="12"/>
      <c r="J62" s="12"/>
      <c r="K62" s="12"/>
      <c r="L62" s="12"/>
      <c r="M62" s="12"/>
      <c r="N62" s="12"/>
      <c r="O62" s="12"/>
      <c r="P62" s="12"/>
      <c r="Q62" s="12"/>
    </row>
    <row r="63" spans="1:17">
      <c r="A63" s="6">
        <v>54</v>
      </c>
      <c r="B63" s="20" t="s">
        <v>225</v>
      </c>
      <c r="C63" s="9">
        <v>2010895</v>
      </c>
      <c r="D63" s="20" t="s">
        <v>123</v>
      </c>
      <c r="E63" s="20" t="s">
        <v>124</v>
      </c>
      <c r="F63" s="189">
        <v>200000</v>
      </c>
      <c r="G63" s="12">
        <v>5</v>
      </c>
      <c r="H63" s="12">
        <v>5</v>
      </c>
      <c r="I63" s="12">
        <v>0</v>
      </c>
      <c r="J63" s="12">
        <v>0</v>
      </c>
      <c r="K63" s="12">
        <v>0</v>
      </c>
      <c r="L63" s="12">
        <v>0</v>
      </c>
      <c r="M63" s="12">
        <v>0</v>
      </c>
      <c r="N63" s="12">
        <v>0</v>
      </c>
      <c r="O63" s="12">
        <v>5</v>
      </c>
      <c r="P63" s="12">
        <v>5</v>
      </c>
      <c r="Q63" s="12">
        <v>0</v>
      </c>
    </row>
    <row r="64" spans="1:17">
      <c r="A64" s="221">
        <v>55</v>
      </c>
      <c r="B64" s="327" t="s">
        <v>227</v>
      </c>
      <c r="C64" s="9">
        <v>5295858</v>
      </c>
      <c r="D64" s="20" t="s">
        <v>768</v>
      </c>
      <c r="E64" s="20" t="s">
        <v>933</v>
      </c>
      <c r="F64" s="189">
        <v>1400000</v>
      </c>
      <c r="G64" s="371">
        <v>5954</v>
      </c>
      <c r="H64" s="371">
        <v>3042</v>
      </c>
      <c r="I64" s="371">
        <v>2912</v>
      </c>
      <c r="J64" s="392">
        <v>11.55</v>
      </c>
      <c r="K64" s="12">
        <v>0</v>
      </c>
      <c r="L64" s="12">
        <v>0</v>
      </c>
      <c r="M64" s="12">
        <v>0</v>
      </c>
      <c r="N64" s="392">
        <v>11.55</v>
      </c>
      <c r="O64" s="392">
        <v>24.85</v>
      </c>
      <c r="P64" s="392">
        <v>24.85</v>
      </c>
      <c r="Q64" s="12">
        <v>0</v>
      </c>
    </row>
    <row r="65" spans="1:17">
      <c r="A65" s="6">
        <v>56</v>
      </c>
      <c r="B65" s="20" t="s">
        <v>228</v>
      </c>
      <c r="C65" s="9">
        <v>6287727</v>
      </c>
      <c r="D65" s="20" t="s">
        <v>170</v>
      </c>
      <c r="E65" s="20" t="s">
        <v>171</v>
      </c>
      <c r="F65" s="189">
        <v>6000000</v>
      </c>
      <c r="G65" s="12">
        <v>0</v>
      </c>
      <c r="H65" s="12">
        <v>0</v>
      </c>
      <c r="I65" s="12">
        <v>0</v>
      </c>
      <c r="J65" s="12">
        <v>0</v>
      </c>
      <c r="K65" s="12">
        <v>0</v>
      </c>
      <c r="L65" s="12">
        <v>0</v>
      </c>
      <c r="M65" s="12">
        <v>0</v>
      </c>
      <c r="N65" s="12">
        <v>0</v>
      </c>
      <c r="O65" s="12">
        <v>0</v>
      </c>
      <c r="P65" s="12">
        <v>0</v>
      </c>
      <c r="Q65" s="12">
        <v>0</v>
      </c>
    </row>
    <row r="66" spans="1:17">
      <c r="A66" s="186">
        <v>57</v>
      </c>
      <c r="B66" s="184" t="s">
        <v>229</v>
      </c>
      <c r="C66" s="9">
        <v>2659603</v>
      </c>
      <c r="D66" s="20" t="s">
        <v>128</v>
      </c>
      <c r="E66" s="20" t="s">
        <v>138</v>
      </c>
      <c r="F66" s="189"/>
      <c r="G66" s="12"/>
      <c r="H66" s="12"/>
      <c r="I66" s="12"/>
      <c r="J66" s="12"/>
      <c r="K66" s="12"/>
      <c r="L66" s="12"/>
      <c r="M66" s="12"/>
      <c r="N66" s="12"/>
      <c r="O66" s="12"/>
      <c r="P66" s="12"/>
      <c r="Q66" s="12"/>
    </row>
    <row r="67" spans="1:17">
      <c r="A67" s="6">
        <v>58</v>
      </c>
      <c r="B67" s="20" t="s">
        <v>230</v>
      </c>
      <c r="C67" s="9">
        <v>2678187</v>
      </c>
      <c r="D67" s="20" t="s">
        <v>128</v>
      </c>
      <c r="E67" s="20" t="s">
        <v>138</v>
      </c>
      <c r="F67" s="189"/>
      <c r="G67" s="12"/>
      <c r="H67" s="12"/>
      <c r="I67" s="12"/>
      <c r="J67" s="12"/>
      <c r="K67" s="12"/>
      <c r="L67" s="12"/>
      <c r="M67" s="12"/>
      <c r="N67" s="12"/>
      <c r="O67" s="12"/>
      <c r="P67" s="12"/>
      <c r="Q67" s="12"/>
    </row>
    <row r="68" spans="1:17">
      <c r="A68" s="6">
        <v>59</v>
      </c>
      <c r="B68" s="20" t="s">
        <v>231</v>
      </c>
      <c r="C68" s="9">
        <v>2657457</v>
      </c>
      <c r="D68" s="20" t="s">
        <v>233</v>
      </c>
      <c r="E68" s="20" t="s">
        <v>234</v>
      </c>
      <c r="F68" s="189"/>
      <c r="G68" s="314">
        <v>22021</v>
      </c>
      <c r="H68" s="314">
        <v>20606</v>
      </c>
      <c r="I68" s="314">
        <v>1415</v>
      </c>
      <c r="J68" s="314">
        <v>9647</v>
      </c>
      <c r="K68" s="314">
        <v>9631</v>
      </c>
      <c r="L68" s="314">
        <v>16</v>
      </c>
      <c r="M68" s="314">
        <v>0</v>
      </c>
      <c r="N68" s="314">
        <v>0</v>
      </c>
      <c r="O68" s="314">
        <v>8094</v>
      </c>
      <c r="P68" s="314">
        <v>6708</v>
      </c>
      <c r="Q68" s="314">
        <v>1386</v>
      </c>
    </row>
    <row r="69" spans="1:17">
      <c r="A69" s="6">
        <v>60</v>
      </c>
      <c r="B69" s="20" t="s">
        <v>232</v>
      </c>
      <c r="C69" s="9">
        <v>3615243</v>
      </c>
      <c r="D69" s="20" t="s">
        <v>233</v>
      </c>
      <c r="E69" s="20" t="s">
        <v>234</v>
      </c>
      <c r="F69" s="189"/>
      <c r="G69" s="12">
        <v>4</v>
      </c>
      <c r="H69" s="12">
        <v>4</v>
      </c>
      <c r="I69" s="12">
        <v>0</v>
      </c>
      <c r="J69" s="12">
        <v>4</v>
      </c>
      <c r="K69" s="12">
        <v>4</v>
      </c>
      <c r="L69" s="12">
        <v>0</v>
      </c>
      <c r="M69" s="12">
        <v>0</v>
      </c>
      <c r="N69" s="12">
        <v>0</v>
      </c>
      <c r="O69" s="314">
        <v>50000</v>
      </c>
      <c r="P69" s="314">
        <v>50000</v>
      </c>
      <c r="Q69" s="12">
        <v>0</v>
      </c>
    </row>
    <row r="70" spans="1:17">
      <c r="A70" s="6">
        <v>61</v>
      </c>
      <c r="B70" s="20" t="s">
        <v>236</v>
      </c>
      <c r="C70" s="9">
        <v>3623955</v>
      </c>
      <c r="D70" s="20" t="s">
        <v>233</v>
      </c>
      <c r="E70" s="20" t="s">
        <v>237</v>
      </c>
      <c r="F70" s="189"/>
      <c r="G70" s="12"/>
      <c r="H70" s="12"/>
      <c r="I70" s="12"/>
      <c r="J70" s="12"/>
      <c r="K70" s="12"/>
      <c r="L70" s="12"/>
      <c r="M70" s="12"/>
      <c r="N70" s="12"/>
      <c r="O70" s="12"/>
      <c r="P70" s="12"/>
      <c r="Q70" s="12"/>
    </row>
    <row r="71" spans="1:17">
      <c r="A71" s="6">
        <v>62</v>
      </c>
      <c r="B71" s="20" t="s">
        <v>239</v>
      </c>
      <c r="C71" s="9">
        <v>5199077</v>
      </c>
      <c r="D71" s="20" t="s">
        <v>233</v>
      </c>
      <c r="E71" s="20" t="s">
        <v>237</v>
      </c>
      <c r="F71" s="189">
        <v>2688000</v>
      </c>
      <c r="G71" s="12">
        <v>414</v>
      </c>
      <c r="H71" s="12">
        <v>414</v>
      </c>
      <c r="I71" s="12">
        <v>0</v>
      </c>
      <c r="J71" s="12">
        <v>5</v>
      </c>
      <c r="K71" s="12">
        <v>0</v>
      </c>
      <c r="L71" s="12">
        <v>5</v>
      </c>
      <c r="M71" s="12">
        <v>0</v>
      </c>
      <c r="N71" s="12">
        <v>0</v>
      </c>
      <c r="O71" s="12">
        <v>23</v>
      </c>
      <c r="P71" s="12">
        <v>23</v>
      </c>
      <c r="Q71" s="12">
        <v>0</v>
      </c>
    </row>
    <row r="72" spans="1:17">
      <c r="A72" s="186">
        <v>63</v>
      </c>
      <c r="B72" s="184" t="s">
        <v>240</v>
      </c>
      <c r="C72" s="9">
        <v>2075385</v>
      </c>
      <c r="D72" s="20" t="s">
        <v>128</v>
      </c>
      <c r="E72" s="20" t="s">
        <v>191</v>
      </c>
      <c r="F72" s="189"/>
      <c r="G72" s="12"/>
      <c r="H72" s="12"/>
      <c r="I72" s="12"/>
      <c r="J72" s="12"/>
      <c r="K72" s="12"/>
      <c r="L72" s="12"/>
      <c r="M72" s="12"/>
      <c r="N72" s="12"/>
      <c r="O72" s="12"/>
      <c r="P72" s="12"/>
      <c r="Q72" s="12"/>
    </row>
    <row r="73" spans="1:17">
      <c r="A73" s="186">
        <v>64</v>
      </c>
      <c r="B73" s="184" t="s">
        <v>241</v>
      </c>
      <c r="C73" s="9">
        <v>2867095</v>
      </c>
      <c r="D73" s="20" t="s">
        <v>128</v>
      </c>
      <c r="E73" s="20" t="s">
        <v>138</v>
      </c>
      <c r="F73" s="189"/>
      <c r="G73" s="12"/>
      <c r="H73" s="12"/>
      <c r="I73" s="12"/>
      <c r="J73" s="12"/>
      <c r="K73" s="12"/>
      <c r="L73" s="12"/>
      <c r="M73" s="12"/>
      <c r="N73" s="12"/>
      <c r="O73" s="12"/>
      <c r="P73" s="12"/>
      <c r="Q73" s="12"/>
    </row>
    <row r="74" spans="1:17">
      <c r="A74" s="6">
        <v>65</v>
      </c>
      <c r="B74" s="20" t="s">
        <v>242</v>
      </c>
      <c r="C74" s="9">
        <v>5076285</v>
      </c>
      <c r="D74" s="20" t="s">
        <v>836</v>
      </c>
      <c r="E74" s="20" t="s">
        <v>837</v>
      </c>
      <c r="F74" s="189">
        <v>3550000</v>
      </c>
      <c r="G74" s="12">
        <v>0</v>
      </c>
      <c r="H74" s="12">
        <v>0</v>
      </c>
      <c r="I74" s="12">
        <v>0</v>
      </c>
      <c r="J74" s="12">
        <v>0</v>
      </c>
      <c r="K74" s="12">
        <v>0</v>
      </c>
      <c r="L74" s="12">
        <v>0</v>
      </c>
      <c r="M74" s="12">
        <v>0</v>
      </c>
      <c r="N74" s="12">
        <v>0</v>
      </c>
      <c r="O74" s="12">
        <v>0</v>
      </c>
      <c r="P74" s="12">
        <v>0</v>
      </c>
      <c r="Q74" s="12">
        <v>0</v>
      </c>
    </row>
    <row r="75" spans="1:17">
      <c r="A75" s="6">
        <v>66</v>
      </c>
      <c r="B75" s="20" t="s">
        <v>243</v>
      </c>
      <c r="C75" s="9">
        <v>5084555</v>
      </c>
      <c r="D75" s="20" t="s">
        <v>233</v>
      </c>
      <c r="E75" s="20" t="s">
        <v>237</v>
      </c>
      <c r="F75" s="189">
        <v>2826000</v>
      </c>
      <c r="G75" s="12">
        <v>121</v>
      </c>
      <c r="H75" s="12">
        <v>121</v>
      </c>
      <c r="I75" s="12">
        <v>0</v>
      </c>
      <c r="J75" s="12">
        <v>11</v>
      </c>
      <c r="K75" s="12">
        <v>11</v>
      </c>
      <c r="L75" s="12">
        <v>0</v>
      </c>
      <c r="M75" s="12">
        <v>0</v>
      </c>
      <c r="N75" s="12">
        <v>0</v>
      </c>
      <c r="O75" s="12">
        <v>42</v>
      </c>
      <c r="P75" s="12">
        <v>0</v>
      </c>
      <c r="Q75" s="12">
        <v>42</v>
      </c>
    </row>
    <row r="76" spans="1:17">
      <c r="A76" s="6">
        <v>67</v>
      </c>
      <c r="B76" s="20" t="s">
        <v>244</v>
      </c>
      <c r="C76" s="9">
        <v>5261198</v>
      </c>
      <c r="D76" s="20" t="s">
        <v>170</v>
      </c>
      <c r="E76" s="20" t="s">
        <v>205</v>
      </c>
      <c r="F76" s="189">
        <v>6000000</v>
      </c>
      <c r="G76" s="12">
        <v>0</v>
      </c>
      <c r="H76" s="12">
        <v>0</v>
      </c>
      <c r="I76" s="12">
        <v>0</v>
      </c>
      <c r="J76" s="12">
        <v>0</v>
      </c>
      <c r="K76" s="12">
        <v>0</v>
      </c>
      <c r="L76" s="12">
        <v>0</v>
      </c>
      <c r="M76" s="12">
        <v>0</v>
      </c>
      <c r="N76" s="12">
        <v>0</v>
      </c>
      <c r="O76" s="12">
        <v>0</v>
      </c>
      <c r="P76" s="12">
        <v>0</v>
      </c>
      <c r="Q76" s="12">
        <v>0</v>
      </c>
    </row>
    <row r="77" spans="1:17">
      <c r="A77" s="6">
        <v>68</v>
      </c>
      <c r="B77" s="20" t="s">
        <v>246</v>
      </c>
      <c r="C77" s="9">
        <v>5288703</v>
      </c>
      <c r="D77" s="20" t="s">
        <v>293</v>
      </c>
      <c r="E77" s="20" t="s">
        <v>294</v>
      </c>
      <c r="F77" s="189">
        <v>2676000</v>
      </c>
      <c r="G77" s="12">
        <v>0</v>
      </c>
      <c r="H77" s="12">
        <v>0</v>
      </c>
      <c r="I77" s="12">
        <v>0</v>
      </c>
      <c r="J77" s="12">
        <v>0</v>
      </c>
      <c r="K77" s="12">
        <v>0</v>
      </c>
      <c r="L77" s="12">
        <v>0</v>
      </c>
      <c r="M77" s="12">
        <v>0</v>
      </c>
      <c r="N77" s="12">
        <v>0</v>
      </c>
      <c r="O77" s="12">
        <v>0</v>
      </c>
      <c r="P77" s="12">
        <v>0</v>
      </c>
      <c r="Q77" s="12">
        <v>0</v>
      </c>
    </row>
    <row r="78" spans="1:17">
      <c r="A78" s="6">
        <v>69</v>
      </c>
      <c r="B78" s="20" t="s">
        <v>248</v>
      </c>
      <c r="C78" s="9">
        <v>6232485</v>
      </c>
      <c r="D78" s="20" t="s">
        <v>170</v>
      </c>
      <c r="E78" s="20" t="s">
        <v>205</v>
      </c>
      <c r="F78" s="189">
        <v>6000000</v>
      </c>
      <c r="G78" s="12">
        <v>58</v>
      </c>
      <c r="H78" s="12">
        <v>58</v>
      </c>
      <c r="I78" s="12">
        <v>0</v>
      </c>
      <c r="J78" s="12">
        <v>57</v>
      </c>
      <c r="K78" s="12">
        <v>57</v>
      </c>
      <c r="L78" s="12">
        <v>0</v>
      </c>
      <c r="M78" s="12">
        <v>0</v>
      </c>
      <c r="N78" s="12">
        <v>0</v>
      </c>
      <c r="O78" s="12">
        <v>0</v>
      </c>
      <c r="P78" s="12">
        <v>0</v>
      </c>
      <c r="Q78" s="12">
        <v>0</v>
      </c>
    </row>
    <row r="79" spans="1:17">
      <c r="A79" s="6">
        <v>70</v>
      </c>
      <c r="B79" s="20" t="s">
        <v>249</v>
      </c>
      <c r="C79" s="9">
        <v>6101615</v>
      </c>
      <c r="D79" s="20" t="s">
        <v>123</v>
      </c>
      <c r="E79" s="20" t="s">
        <v>998</v>
      </c>
      <c r="F79" s="189">
        <v>38050000</v>
      </c>
      <c r="G79" s="12">
        <v>316</v>
      </c>
      <c r="H79" s="12">
        <v>269</v>
      </c>
      <c r="I79" s="12">
        <v>48</v>
      </c>
      <c r="J79" s="12">
        <v>257</v>
      </c>
      <c r="K79" s="12">
        <v>0</v>
      </c>
      <c r="L79" s="12">
        <v>0</v>
      </c>
      <c r="M79" s="12">
        <v>0</v>
      </c>
      <c r="N79" s="12">
        <v>0</v>
      </c>
      <c r="O79" s="12">
        <v>59</v>
      </c>
      <c r="P79" s="12">
        <v>11</v>
      </c>
      <c r="Q79" s="12">
        <v>48</v>
      </c>
    </row>
    <row r="80" spans="1:17">
      <c r="A80" s="186">
        <v>71</v>
      </c>
      <c r="B80" s="184" t="s">
        <v>250</v>
      </c>
      <c r="C80" s="9">
        <v>5120365</v>
      </c>
      <c r="D80" s="20" t="s">
        <v>128</v>
      </c>
      <c r="E80" s="20" t="s">
        <v>138</v>
      </c>
      <c r="F80" s="189"/>
      <c r="G80" s="12"/>
      <c r="H80" s="12"/>
      <c r="I80" s="12"/>
      <c r="J80" s="12"/>
      <c r="K80" s="12"/>
      <c r="L80" s="12"/>
      <c r="M80" s="12"/>
      <c r="N80" s="12"/>
      <c r="O80" s="12"/>
      <c r="P80" s="12"/>
      <c r="Q80" s="12"/>
    </row>
    <row r="81" spans="1:17">
      <c r="A81" s="186">
        <v>72</v>
      </c>
      <c r="B81" s="184" t="s">
        <v>251</v>
      </c>
      <c r="C81" s="9">
        <v>2016656</v>
      </c>
      <c r="D81" s="20" t="s">
        <v>233</v>
      </c>
      <c r="E81" s="20" t="s">
        <v>252</v>
      </c>
      <c r="F81" s="189"/>
      <c r="G81" s="12"/>
      <c r="H81" s="12"/>
      <c r="I81" s="12"/>
      <c r="J81" s="12"/>
      <c r="K81" s="12"/>
      <c r="L81" s="12"/>
      <c r="M81" s="12"/>
      <c r="N81" s="12"/>
      <c r="O81" s="12"/>
      <c r="P81" s="12"/>
      <c r="Q81" s="12"/>
    </row>
    <row r="82" spans="1:17">
      <c r="A82" s="6">
        <v>73</v>
      </c>
      <c r="B82" s="20" t="s">
        <v>253</v>
      </c>
      <c r="C82" s="9">
        <v>5872006</v>
      </c>
      <c r="D82" s="20" t="s">
        <v>128</v>
      </c>
      <c r="E82" s="20" t="s">
        <v>129</v>
      </c>
      <c r="F82" s="189"/>
      <c r="G82" s="12"/>
      <c r="H82" s="12"/>
      <c r="I82" s="12"/>
      <c r="J82" s="12"/>
      <c r="K82" s="12"/>
      <c r="L82" s="12"/>
      <c r="M82" s="12"/>
      <c r="N82" s="12"/>
      <c r="O82" s="12"/>
      <c r="P82" s="12"/>
      <c r="Q82" s="12"/>
    </row>
    <row r="83" spans="1:17">
      <c r="A83" s="186">
        <v>74</v>
      </c>
      <c r="B83" s="184" t="s">
        <v>254</v>
      </c>
      <c r="C83" s="9">
        <v>5774047</v>
      </c>
      <c r="D83" s="20" t="s">
        <v>128</v>
      </c>
      <c r="E83" s="20" t="s">
        <v>191</v>
      </c>
      <c r="F83" s="189"/>
      <c r="G83" s="12"/>
      <c r="H83" s="12"/>
      <c r="I83" s="12"/>
      <c r="J83" s="12"/>
      <c r="K83" s="12"/>
      <c r="L83" s="12"/>
      <c r="M83" s="12"/>
      <c r="N83" s="12"/>
      <c r="O83" s="12"/>
      <c r="P83" s="12"/>
      <c r="Q83" s="12"/>
    </row>
    <row r="84" spans="1:17">
      <c r="A84" s="186">
        <v>75</v>
      </c>
      <c r="B84" s="184" t="s">
        <v>257</v>
      </c>
      <c r="C84" s="9">
        <v>5105439</v>
      </c>
      <c r="D84" s="20" t="s">
        <v>170</v>
      </c>
      <c r="E84" s="20" t="s">
        <v>171</v>
      </c>
      <c r="F84" s="189"/>
      <c r="G84" s="12"/>
      <c r="H84" s="12"/>
      <c r="I84" s="12"/>
      <c r="J84" s="12"/>
      <c r="K84" s="12"/>
      <c r="L84" s="12"/>
      <c r="M84" s="12"/>
      <c r="N84" s="12"/>
      <c r="O84" s="12"/>
      <c r="P84" s="12"/>
      <c r="Q84" s="12"/>
    </row>
    <row r="85" spans="1:17">
      <c r="A85" s="6">
        <v>76</v>
      </c>
      <c r="B85" s="20" t="s">
        <v>258</v>
      </c>
      <c r="C85" s="9">
        <v>2663813</v>
      </c>
      <c r="D85" s="20" t="s">
        <v>128</v>
      </c>
      <c r="E85" s="20" t="s">
        <v>134</v>
      </c>
      <c r="F85" s="189"/>
      <c r="G85" s="12"/>
      <c r="H85" s="12"/>
      <c r="I85" s="12"/>
      <c r="J85" s="12"/>
      <c r="K85" s="12"/>
      <c r="L85" s="12"/>
      <c r="M85" s="12"/>
      <c r="N85" s="12"/>
      <c r="O85" s="12"/>
      <c r="P85" s="12"/>
      <c r="Q85" s="12"/>
    </row>
    <row r="86" spans="1:17">
      <c r="A86" s="6">
        <v>77</v>
      </c>
      <c r="B86" s="20" t="s">
        <v>260</v>
      </c>
      <c r="C86" s="9">
        <v>2016931</v>
      </c>
      <c r="D86" s="20" t="s">
        <v>138</v>
      </c>
      <c r="E86" s="20" t="s">
        <v>261</v>
      </c>
      <c r="F86" s="189"/>
      <c r="G86" s="12"/>
      <c r="H86" s="12"/>
      <c r="I86" s="12"/>
      <c r="J86" s="12"/>
      <c r="K86" s="12"/>
      <c r="L86" s="12"/>
      <c r="M86" s="12"/>
      <c r="N86" s="12"/>
      <c r="O86" s="12"/>
      <c r="P86" s="12"/>
      <c r="Q86" s="12"/>
    </row>
    <row r="87" spans="1:17">
      <c r="A87" s="6">
        <v>78</v>
      </c>
      <c r="B87" s="20" t="s">
        <v>263</v>
      </c>
      <c r="C87" s="9">
        <v>5513618</v>
      </c>
      <c r="D87" s="20" t="s">
        <v>128</v>
      </c>
      <c r="E87" s="20" t="s">
        <v>138</v>
      </c>
      <c r="F87" s="189"/>
      <c r="G87" s="12"/>
      <c r="H87" s="12"/>
      <c r="I87" s="12"/>
      <c r="J87" s="12"/>
      <c r="K87" s="12"/>
      <c r="L87" s="12"/>
      <c r="M87" s="12"/>
      <c r="N87" s="12"/>
      <c r="O87" s="12"/>
      <c r="P87" s="12"/>
      <c r="Q87" s="12"/>
    </row>
    <row r="88" spans="1:17">
      <c r="A88" s="6">
        <v>79</v>
      </c>
      <c r="B88" s="20" t="s">
        <v>264</v>
      </c>
      <c r="C88" s="9">
        <v>2807459</v>
      </c>
      <c r="D88" s="20" t="s">
        <v>1102</v>
      </c>
      <c r="E88" s="20" t="s">
        <v>1103</v>
      </c>
      <c r="F88" s="189">
        <v>1800000</v>
      </c>
      <c r="G88" s="12">
        <v>0</v>
      </c>
      <c r="H88" s="12">
        <v>0</v>
      </c>
      <c r="I88" s="12">
        <v>0</v>
      </c>
      <c r="J88" s="12">
        <v>0</v>
      </c>
      <c r="K88" s="12">
        <v>0</v>
      </c>
      <c r="L88" s="12">
        <v>0</v>
      </c>
      <c r="M88" s="12">
        <v>0</v>
      </c>
      <c r="N88" s="12">
        <v>0</v>
      </c>
      <c r="O88" s="12">
        <v>0</v>
      </c>
      <c r="P88" s="12">
        <v>0</v>
      </c>
      <c r="Q88" s="12">
        <v>0</v>
      </c>
    </row>
    <row r="89" spans="1:17">
      <c r="A89" s="177">
        <v>80</v>
      </c>
      <c r="B89" s="192" t="s">
        <v>265</v>
      </c>
      <c r="C89" s="9">
        <v>2872943</v>
      </c>
      <c r="D89" s="20" t="s">
        <v>304</v>
      </c>
      <c r="E89" s="20" t="s">
        <v>141</v>
      </c>
      <c r="F89" s="189">
        <v>4668900</v>
      </c>
      <c r="G89" s="12">
        <v>10</v>
      </c>
      <c r="H89" s="12">
        <v>10</v>
      </c>
      <c r="I89" s="12">
        <v>0</v>
      </c>
      <c r="J89" s="12">
        <v>0</v>
      </c>
      <c r="K89" s="12">
        <v>0</v>
      </c>
      <c r="L89" s="12">
        <v>0</v>
      </c>
      <c r="M89" s="12">
        <v>0</v>
      </c>
      <c r="N89" s="12">
        <v>0</v>
      </c>
      <c r="O89" s="12">
        <v>0</v>
      </c>
      <c r="P89" s="12">
        <v>0</v>
      </c>
      <c r="Q89" s="12">
        <v>0</v>
      </c>
    </row>
    <row r="90" spans="1:17">
      <c r="A90" s="6">
        <v>81</v>
      </c>
      <c r="B90" s="20" t="s">
        <v>266</v>
      </c>
      <c r="C90" s="9">
        <v>6268048</v>
      </c>
      <c r="D90" s="20" t="s">
        <v>128</v>
      </c>
      <c r="E90" s="20" t="s">
        <v>191</v>
      </c>
      <c r="F90" s="189"/>
      <c r="G90" s="12"/>
      <c r="H90" s="12"/>
      <c r="I90" s="12"/>
      <c r="J90" s="12"/>
      <c r="K90" s="12"/>
      <c r="L90" s="12"/>
      <c r="M90" s="12"/>
      <c r="N90" s="12"/>
      <c r="O90" s="12"/>
      <c r="P90" s="12"/>
      <c r="Q90" s="12"/>
    </row>
    <row r="91" spans="1:17">
      <c r="A91" s="6">
        <v>82</v>
      </c>
      <c r="B91" s="20" t="s">
        <v>268</v>
      </c>
      <c r="C91" s="9">
        <v>5874963</v>
      </c>
      <c r="D91" s="20" t="s">
        <v>170</v>
      </c>
      <c r="E91" s="20" t="s">
        <v>1738</v>
      </c>
      <c r="F91" s="189">
        <v>1950000</v>
      </c>
      <c r="G91" s="12">
        <v>0</v>
      </c>
      <c r="H91" s="12">
        <v>0</v>
      </c>
      <c r="I91" s="12">
        <v>0</v>
      </c>
      <c r="J91" s="12">
        <v>0</v>
      </c>
      <c r="K91" s="12">
        <v>0</v>
      </c>
      <c r="L91" s="12">
        <v>0</v>
      </c>
      <c r="M91" s="12">
        <v>0</v>
      </c>
      <c r="N91" s="12">
        <v>0</v>
      </c>
      <c r="O91" s="12">
        <v>13</v>
      </c>
      <c r="P91" s="12">
        <v>13</v>
      </c>
      <c r="Q91" s="12">
        <v>0</v>
      </c>
    </row>
    <row r="92" spans="1:17">
      <c r="A92" s="6">
        <v>83</v>
      </c>
      <c r="B92" s="20" t="s">
        <v>269</v>
      </c>
      <c r="C92" s="9">
        <v>6636624</v>
      </c>
      <c r="D92" s="20" t="s">
        <v>128</v>
      </c>
      <c r="E92" s="20" t="s">
        <v>141</v>
      </c>
      <c r="F92" s="189"/>
      <c r="G92" s="12"/>
      <c r="H92" s="12"/>
      <c r="I92" s="12"/>
      <c r="J92" s="12"/>
      <c r="K92" s="12"/>
      <c r="L92" s="12"/>
      <c r="M92" s="12"/>
      <c r="N92" s="12"/>
      <c r="O92" s="12"/>
      <c r="P92" s="12"/>
      <c r="Q92" s="12"/>
    </row>
    <row r="93" spans="1:17">
      <c r="A93" s="6">
        <v>84</v>
      </c>
      <c r="B93" s="20" t="s">
        <v>270</v>
      </c>
      <c r="C93" s="9">
        <v>2839717</v>
      </c>
      <c r="D93" s="20" t="s">
        <v>274</v>
      </c>
      <c r="E93" s="20" t="s">
        <v>982</v>
      </c>
      <c r="F93" s="189">
        <v>59926760</v>
      </c>
      <c r="G93" s="12">
        <v>8</v>
      </c>
      <c r="H93" s="12">
        <v>2</v>
      </c>
      <c r="I93" s="12">
        <v>6</v>
      </c>
      <c r="J93" s="12">
        <v>4</v>
      </c>
      <c r="K93" s="12">
        <v>3</v>
      </c>
      <c r="L93" s="12">
        <v>1</v>
      </c>
      <c r="M93" s="12">
        <v>0</v>
      </c>
      <c r="N93" s="12">
        <v>0</v>
      </c>
      <c r="O93" s="12">
        <v>6</v>
      </c>
      <c r="P93" s="12">
        <v>0</v>
      </c>
      <c r="Q93" s="12">
        <v>6</v>
      </c>
    </row>
    <row r="94" spans="1:17">
      <c r="A94" s="6">
        <v>85</v>
      </c>
      <c r="B94" s="20" t="s">
        <v>271</v>
      </c>
      <c r="C94" s="9">
        <v>2344343</v>
      </c>
      <c r="D94" s="20" t="s">
        <v>123</v>
      </c>
      <c r="E94" s="20" t="s">
        <v>272</v>
      </c>
      <c r="F94" s="189"/>
      <c r="G94" s="12"/>
      <c r="H94" s="12"/>
      <c r="I94" s="12"/>
      <c r="J94" s="12"/>
      <c r="K94" s="12"/>
      <c r="L94" s="12"/>
      <c r="M94" s="12"/>
      <c r="N94" s="12"/>
      <c r="O94" s="12"/>
      <c r="P94" s="12"/>
      <c r="Q94" s="12"/>
    </row>
    <row r="95" spans="1:17">
      <c r="A95" s="6">
        <v>86</v>
      </c>
      <c r="B95" s="20" t="s">
        <v>273</v>
      </c>
      <c r="C95" s="9">
        <v>2819996</v>
      </c>
      <c r="D95" s="20" t="s">
        <v>274</v>
      </c>
      <c r="E95" s="20" t="s">
        <v>275</v>
      </c>
      <c r="F95" s="189"/>
      <c r="G95" s="12"/>
      <c r="H95" s="12"/>
      <c r="I95" s="12"/>
      <c r="J95" s="12"/>
      <c r="K95" s="12"/>
      <c r="L95" s="12"/>
      <c r="M95" s="12"/>
      <c r="N95" s="12"/>
      <c r="O95" s="12"/>
      <c r="P95" s="12"/>
      <c r="Q95" s="12"/>
    </row>
    <row r="96" spans="1:17">
      <c r="A96" s="6">
        <v>87</v>
      </c>
      <c r="B96" s="20" t="s">
        <v>277</v>
      </c>
      <c r="C96" s="9">
        <v>2868687</v>
      </c>
      <c r="D96" s="20" t="s">
        <v>180</v>
      </c>
      <c r="E96" s="20" t="s">
        <v>181</v>
      </c>
      <c r="F96" s="189"/>
      <c r="G96" s="12"/>
      <c r="H96" s="12"/>
      <c r="I96" s="12"/>
      <c r="J96" s="12"/>
      <c r="K96" s="12"/>
      <c r="L96" s="12"/>
      <c r="M96" s="12"/>
      <c r="N96" s="12"/>
      <c r="O96" s="12"/>
      <c r="P96" s="12"/>
      <c r="Q96" s="12"/>
    </row>
    <row r="97" spans="1:17">
      <c r="A97" s="6">
        <v>88</v>
      </c>
      <c r="B97" s="20" t="s">
        <v>279</v>
      </c>
      <c r="C97" s="9">
        <v>5877288</v>
      </c>
      <c r="D97" s="20" t="s">
        <v>170</v>
      </c>
      <c r="E97" s="20" t="s">
        <v>171</v>
      </c>
      <c r="F97" s="189">
        <v>2400000</v>
      </c>
      <c r="G97" s="12">
        <v>0</v>
      </c>
      <c r="H97" s="12">
        <v>0</v>
      </c>
      <c r="I97" s="12">
        <v>0</v>
      </c>
      <c r="J97" s="12">
        <v>0</v>
      </c>
      <c r="K97" s="12">
        <v>0</v>
      </c>
      <c r="L97" s="12">
        <v>0</v>
      </c>
      <c r="M97" s="12">
        <v>0</v>
      </c>
      <c r="N97" s="12">
        <v>0</v>
      </c>
      <c r="O97" s="12">
        <v>0</v>
      </c>
      <c r="P97" s="12">
        <v>0</v>
      </c>
      <c r="Q97" s="12">
        <v>0</v>
      </c>
    </row>
    <row r="98" spans="1:17">
      <c r="A98" s="6">
        <v>89</v>
      </c>
      <c r="B98" s="20" t="s">
        <v>281</v>
      </c>
      <c r="C98" s="9">
        <v>6195598</v>
      </c>
      <c r="D98" s="20" t="s">
        <v>128</v>
      </c>
      <c r="E98" s="20" t="s">
        <v>129</v>
      </c>
      <c r="F98" s="189"/>
      <c r="G98" s="12"/>
      <c r="H98" s="12"/>
      <c r="I98" s="12"/>
      <c r="J98" s="12"/>
      <c r="K98" s="12"/>
      <c r="L98" s="12"/>
      <c r="M98" s="12"/>
      <c r="N98" s="12"/>
      <c r="O98" s="12"/>
      <c r="P98" s="12"/>
      <c r="Q98" s="12"/>
    </row>
    <row r="99" spans="1:17">
      <c r="A99" s="6">
        <v>90</v>
      </c>
      <c r="B99" s="20" t="s">
        <v>282</v>
      </c>
      <c r="C99" s="9">
        <v>6413811</v>
      </c>
      <c r="D99" s="20" t="s">
        <v>128</v>
      </c>
      <c r="E99" s="20" t="s">
        <v>134</v>
      </c>
      <c r="F99" s="189"/>
      <c r="G99" s="12"/>
      <c r="H99" s="12"/>
      <c r="I99" s="12"/>
      <c r="J99" s="12"/>
      <c r="K99" s="12"/>
      <c r="L99" s="12"/>
      <c r="M99" s="12"/>
      <c r="N99" s="12"/>
      <c r="O99" s="12"/>
      <c r="P99" s="12"/>
      <c r="Q99" s="12"/>
    </row>
    <row r="100" spans="1:17">
      <c r="A100" s="6">
        <v>91</v>
      </c>
      <c r="B100" s="20" t="s">
        <v>283</v>
      </c>
      <c r="C100" s="9">
        <v>2887134</v>
      </c>
      <c r="D100" s="20" t="s">
        <v>128</v>
      </c>
      <c r="E100" s="20" t="s">
        <v>138</v>
      </c>
      <c r="F100" s="189"/>
      <c r="G100" s="12"/>
      <c r="H100" s="12"/>
      <c r="I100" s="12"/>
      <c r="J100" s="12"/>
      <c r="K100" s="12"/>
      <c r="L100" s="12"/>
      <c r="M100" s="12"/>
      <c r="N100" s="12"/>
      <c r="O100" s="12"/>
      <c r="P100" s="12"/>
      <c r="Q100" s="12"/>
    </row>
    <row r="101" spans="1:17">
      <c r="A101" s="6">
        <v>92</v>
      </c>
      <c r="B101" s="20" t="s">
        <v>284</v>
      </c>
      <c r="C101" s="9">
        <v>2618176</v>
      </c>
      <c r="D101" s="20" t="s">
        <v>128</v>
      </c>
      <c r="E101" s="20" t="s">
        <v>129</v>
      </c>
      <c r="F101" s="189"/>
      <c r="G101" s="12"/>
      <c r="H101" s="12"/>
      <c r="I101" s="12"/>
      <c r="J101" s="12"/>
      <c r="K101" s="12"/>
      <c r="L101" s="12"/>
      <c r="M101" s="12"/>
      <c r="N101" s="12"/>
      <c r="O101" s="12"/>
      <c r="P101" s="12"/>
      <c r="Q101" s="12"/>
    </row>
    <row r="102" spans="1:17">
      <c r="A102" s="186">
        <v>93</v>
      </c>
      <c r="B102" s="184" t="s">
        <v>285</v>
      </c>
      <c r="C102" s="9">
        <v>5364884</v>
      </c>
      <c r="D102" s="20" t="s">
        <v>128</v>
      </c>
      <c r="E102" s="20" t="s">
        <v>191</v>
      </c>
      <c r="F102" s="189"/>
      <c r="G102" s="12"/>
      <c r="H102" s="12"/>
      <c r="I102" s="12"/>
      <c r="J102" s="12"/>
      <c r="K102" s="12"/>
      <c r="L102" s="12"/>
      <c r="M102" s="12"/>
      <c r="N102" s="12"/>
      <c r="O102" s="12"/>
      <c r="P102" s="12"/>
      <c r="Q102" s="12"/>
    </row>
    <row r="103" spans="1:17">
      <c r="A103" s="6">
        <v>94</v>
      </c>
      <c r="B103" s="20" t="s">
        <v>286</v>
      </c>
      <c r="C103" s="9">
        <v>2100231</v>
      </c>
      <c r="D103" s="20" t="s">
        <v>836</v>
      </c>
      <c r="E103" s="20" t="s">
        <v>837</v>
      </c>
      <c r="F103" s="189">
        <v>4000000</v>
      </c>
      <c r="G103" s="12">
        <v>0</v>
      </c>
      <c r="H103" s="12">
        <v>0</v>
      </c>
      <c r="I103" s="12">
        <v>0</v>
      </c>
      <c r="J103" s="12">
        <v>0</v>
      </c>
      <c r="K103" s="12">
        <v>0</v>
      </c>
      <c r="L103" s="12">
        <v>0</v>
      </c>
      <c r="M103" s="12">
        <v>0</v>
      </c>
      <c r="N103" s="12">
        <v>0</v>
      </c>
      <c r="O103" s="12">
        <v>10</v>
      </c>
      <c r="P103" s="12">
        <v>10</v>
      </c>
      <c r="Q103" s="12">
        <v>0</v>
      </c>
    </row>
    <row r="104" spans="1:17">
      <c r="A104" s="6">
        <v>95</v>
      </c>
      <c r="B104" s="20" t="s">
        <v>287</v>
      </c>
      <c r="C104" s="9">
        <v>2661128</v>
      </c>
      <c r="D104" s="20" t="s">
        <v>288</v>
      </c>
      <c r="E104" s="20" t="s">
        <v>289</v>
      </c>
      <c r="F104" s="189"/>
      <c r="G104" s="12"/>
      <c r="H104" s="12"/>
      <c r="I104" s="12"/>
      <c r="J104" s="12"/>
      <c r="K104" s="12"/>
      <c r="L104" s="12"/>
      <c r="M104" s="12"/>
      <c r="N104" s="12"/>
      <c r="O104" s="12"/>
      <c r="P104" s="12"/>
      <c r="Q104" s="12"/>
    </row>
    <row r="105" spans="1:17">
      <c r="A105" s="6">
        <v>96</v>
      </c>
      <c r="B105" s="20" t="s">
        <v>290</v>
      </c>
      <c r="C105" s="9">
        <v>5878756</v>
      </c>
      <c r="D105" s="20" t="s">
        <v>128</v>
      </c>
      <c r="E105" s="20" t="s">
        <v>291</v>
      </c>
      <c r="F105" s="189"/>
      <c r="G105" s="12"/>
      <c r="H105" s="12"/>
      <c r="I105" s="12"/>
      <c r="J105" s="12"/>
      <c r="K105" s="12"/>
      <c r="L105" s="12"/>
      <c r="M105" s="12"/>
      <c r="N105" s="12"/>
      <c r="O105" s="12"/>
      <c r="P105" s="12"/>
      <c r="Q105" s="12"/>
    </row>
    <row r="106" spans="1:17">
      <c r="A106" s="6">
        <v>97</v>
      </c>
      <c r="B106" s="20" t="s">
        <v>292</v>
      </c>
      <c r="C106" s="9">
        <v>2166631</v>
      </c>
      <c r="D106" s="20" t="s">
        <v>293</v>
      </c>
      <c r="E106" s="20" t="s">
        <v>294</v>
      </c>
      <c r="F106" s="189"/>
      <c r="G106" s="12"/>
      <c r="H106" s="12"/>
      <c r="I106" s="12"/>
      <c r="J106" s="12"/>
      <c r="K106" s="12"/>
      <c r="L106" s="12"/>
      <c r="M106" s="12"/>
      <c r="N106" s="12"/>
      <c r="O106" s="12"/>
      <c r="P106" s="12"/>
      <c r="Q106" s="12"/>
    </row>
    <row r="107" spans="1:17">
      <c r="A107" s="6">
        <v>98</v>
      </c>
      <c r="B107" s="20" t="s">
        <v>296</v>
      </c>
      <c r="C107" s="9">
        <v>5671833</v>
      </c>
      <c r="D107" s="20" t="s">
        <v>233</v>
      </c>
      <c r="E107" s="20" t="s">
        <v>3019</v>
      </c>
      <c r="F107" s="189">
        <v>12000000</v>
      </c>
      <c r="G107" s="12">
        <v>4813</v>
      </c>
      <c r="H107" s="12">
        <v>4780</v>
      </c>
      <c r="I107" s="12">
        <v>33</v>
      </c>
      <c r="J107" s="12">
        <v>0</v>
      </c>
      <c r="K107" s="12">
        <v>0</v>
      </c>
      <c r="L107" s="12">
        <v>0</v>
      </c>
      <c r="M107" s="12">
        <v>0</v>
      </c>
      <c r="N107" s="12">
        <v>0</v>
      </c>
      <c r="O107" s="12">
        <v>0</v>
      </c>
      <c r="P107" s="12">
        <v>0</v>
      </c>
      <c r="Q107" s="12">
        <v>0</v>
      </c>
    </row>
    <row r="108" spans="1:17">
      <c r="A108" s="186">
        <v>99</v>
      </c>
      <c r="B108" s="184" t="s">
        <v>297</v>
      </c>
      <c r="C108" s="9">
        <v>5104424</v>
      </c>
      <c r="D108" s="20" t="s">
        <v>128</v>
      </c>
      <c r="E108" s="20" t="s">
        <v>134</v>
      </c>
      <c r="F108" s="189"/>
      <c r="G108" s="12"/>
      <c r="H108" s="12"/>
      <c r="I108" s="12"/>
      <c r="J108" s="12"/>
      <c r="K108" s="12"/>
      <c r="L108" s="12"/>
      <c r="M108" s="12"/>
      <c r="N108" s="12"/>
      <c r="O108" s="12"/>
      <c r="P108" s="12"/>
      <c r="Q108" s="12"/>
    </row>
    <row r="109" spans="1:17">
      <c r="A109" s="517">
        <v>100</v>
      </c>
      <c r="B109" s="545" t="s">
        <v>298</v>
      </c>
      <c r="C109" s="545">
        <v>2668505</v>
      </c>
      <c r="D109" s="543" t="s">
        <v>128</v>
      </c>
      <c r="E109" s="543" t="s">
        <v>191</v>
      </c>
      <c r="F109" s="189">
        <v>960000</v>
      </c>
      <c r="G109" s="12">
        <v>10</v>
      </c>
      <c r="H109" s="12">
        <v>10</v>
      </c>
      <c r="I109" s="12">
        <v>0</v>
      </c>
      <c r="J109" s="12">
        <v>0</v>
      </c>
      <c r="K109" s="12">
        <v>0</v>
      </c>
      <c r="L109" s="12">
        <v>0</v>
      </c>
      <c r="M109" s="12">
        <v>0</v>
      </c>
      <c r="N109" s="12">
        <v>0</v>
      </c>
      <c r="O109" s="12">
        <v>10</v>
      </c>
      <c r="P109" s="12">
        <v>10</v>
      </c>
      <c r="Q109" s="12">
        <v>0</v>
      </c>
    </row>
    <row r="110" spans="1:17">
      <c r="A110" s="518"/>
      <c r="B110" s="546"/>
      <c r="C110" s="546"/>
      <c r="D110" s="544"/>
      <c r="E110" s="544"/>
      <c r="F110" s="189">
        <v>840000</v>
      </c>
      <c r="G110" s="12">
        <v>2</v>
      </c>
      <c r="H110" s="12">
        <v>2</v>
      </c>
      <c r="I110" s="12">
        <v>0</v>
      </c>
      <c r="J110" s="12">
        <v>0</v>
      </c>
      <c r="K110" s="12">
        <v>0</v>
      </c>
      <c r="L110" s="12">
        <v>0</v>
      </c>
      <c r="M110" s="12">
        <v>0</v>
      </c>
      <c r="N110" s="12">
        <v>0</v>
      </c>
      <c r="O110" s="12">
        <v>2</v>
      </c>
      <c r="P110" s="12">
        <v>2</v>
      </c>
      <c r="Q110" s="12">
        <v>0</v>
      </c>
    </row>
    <row r="111" spans="1:17">
      <c r="A111" s="186">
        <v>101</v>
      </c>
      <c r="B111" s="184" t="s">
        <v>299</v>
      </c>
      <c r="C111" s="9">
        <v>2697947</v>
      </c>
      <c r="D111" s="20" t="s">
        <v>128</v>
      </c>
      <c r="E111" s="20" t="s">
        <v>129</v>
      </c>
      <c r="F111" s="189"/>
      <c r="G111" s="12"/>
      <c r="H111" s="12"/>
      <c r="I111" s="12"/>
      <c r="J111" s="12"/>
      <c r="K111" s="12"/>
      <c r="L111" s="12"/>
      <c r="M111" s="12"/>
      <c r="N111" s="12"/>
      <c r="O111" s="12"/>
      <c r="P111" s="12"/>
      <c r="Q111" s="12"/>
    </row>
    <row r="112" spans="1:17">
      <c r="A112" s="6">
        <v>102</v>
      </c>
      <c r="B112" s="20" t="s">
        <v>300</v>
      </c>
      <c r="C112" s="9">
        <v>5352827</v>
      </c>
      <c r="D112" s="20" t="s">
        <v>233</v>
      </c>
      <c r="E112" s="20" t="s">
        <v>3019</v>
      </c>
      <c r="F112" s="189">
        <v>2400000</v>
      </c>
      <c r="G112" s="12">
        <v>0</v>
      </c>
      <c r="H112" s="12">
        <v>0</v>
      </c>
      <c r="I112" s="12">
        <v>0</v>
      </c>
      <c r="J112" s="12">
        <v>0</v>
      </c>
      <c r="K112" s="12">
        <v>0</v>
      </c>
      <c r="L112" s="12">
        <v>0</v>
      </c>
      <c r="M112" s="12">
        <v>0</v>
      </c>
      <c r="N112" s="12">
        <v>0</v>
      </c>
      <c r="O112" s="12">
        <v>63</v>
      </c>
      <c r="P112" s="12">
        <v>33</v>
      </c>
      <c r="Q112" s="12">
        <v>30</v>
      </c>
    </row>
    <row r="113" spans="1:17">
      <c r="A113" s="6">
        <v>103</v>
      </c>
      <c r="B113" s="20" t="s">
        <v>301</v>
      </c>
      <c r="C113" s="9">
        <v>2548747</v>
      </c>
      <c r="D113" s="20" t="s">
        <v>138</v>
      </c>
      <c r="E113" s="20" t="s">
        <v>138</v>
      </c>
      <c r="F113" s="189">
        <v>2400000</v>
      </c>
      <c r="G113" s="12">
        <v>12</v>
      </c>
      <c r="H113" s="12">
        <v>9</v>
      </c>
      <c r="I113" s="12">
        <v>3</v>
      </c>
      <c r="J113" s="12">
        <v>0</v>
      </c>
      <c r="K113" s="12">
        <v>0</v>
      </c>
      <c r="L113" s="12">
        <v>0</v>
      </c>
      <c r="M113" s="12">
        <v>0</v>
      </c>
      <c r="N113" s="12">
        <v>0</v>
      </c>
      <c r="O113" s="12">
        <v>0</v>
      </c>
      <c r="P113" s="12">
        <v>0</v>
      </c>
      <c r="Q113" s="12">
        <v>0</v>
      </c>
    </row>
    <row r="114" spans="1:17">
      <c r="A114" s="186">
        <v>104</v>
      </c>
      <c r="B114" s="184" t="s">
        <v>303</v>
      </c>
      <c r="C114" s="9">
        <v>2641984</v>
      </c>
      <c r="D114" s="20" t="s">
        <v>304</v>
      </c>
      <c r="E114" s="20" t="s">
        <v>305</v>
      </c>
      <c r="F114" s="189"/>
      <c r="G114" s="12"/>
      <c r="H114" s="12"/>
      <c r="I114" s="12"/>
      <c r="J114" s="12"/>
      <c r="K114" s="12"/>
      <c r="L114" s="12"/>
      <c r="M114" s="12"/>
      <c r="N114" s="12"/>
      <c r="O114" s="12"/>
      <c r="P114" s="12"/>
      <c r="Q114" s="12"/>
    </row>
    <row r="115" spans="1:17">
      <c r="A115" s="6">
        <v>105</v>
      </c>
      <c r="B115" s="20" t="s">
        <v>306</v>
      </c>
      <c r="C115" s="9">
        <v>6342485</v>
      </c>
      <c r="D115" s="20" t="s">
        <v>274</v>
      </c>
      <c r="E115" s="20" t="s">
        <v>275</v>
      </c>
      <c r="F115" s="189">
        <v>1000000</v>
      </c>
      <c r="G115" s="12">
        <v>0</v>
      </c>
      <c r="H115" s="12">
        <v>0</v>
      </c>
      <c r="I115" s="12">
        <v>0</v>
      </c>
      <c r="J115" s="12">
        <v>0</v>
      </c>
      <c r="K115" s="12">
        <v>0</v>
      </c>
      <c r="L115" s="12">
        <v>0</v>
      </c>
      <c r="M115" s="12">
        <v>0</v>
      </c>
      <c r="N115" s="12">
        <v>0</v>
      </c>
      <c r="O115" s="12">
        <v>0</v>
      </c>
      <c r="P115" s="12">
        <v>0</v>
      </c>
      <c r="Q115" s="12">
        <v>0</v>
      </c>
    </row>
    <row r="116" spans="1:17">
      <c r="A116" s="6">
        <v>106</v>
      </c>
      <c r="B116" s="20" t="s">
        <v>307</v>
      </c>
      <c r="C116" s="9">
        <v>5166667</v>
      </c>
      <c r="D116" s="20" t="s">
        <v>128</v>
      </c>
      <c r="E116" s="20" t="s">
        <v>191</v>
      </c>
      <c r="F116" s="189"/>
      <c r="G116" s="12"/>
      <c r="H116" s="12"/>
      <c r="I116" s="12"/>
      <c r="J116" s="12"/>
      <c r="K116" s="12"/>
      <c r="L116" s="12"/>
      <c r="M116" s="12"/>
      <c r="N116" s="12"/>
      <c r="O116" s="12"/>
      <c r="P116" s="12"/>
      <c r="Q116" s="12"/>
    </row>
    <row r="117" spans="1:17">
      <c r="A117" s="6">
        <v>107</v>
      </c>
      <c r="B117" s="20" t="s">
        <v>308</v>
      </c>
      <c r="C117" s="9">
        <v>5482046</v>
      </c>
      <c r="D117" s="20" t="s">
        <v>128</v>
      </c>
      <c r="E117" s="20" t="s">
        <v>138</v>
      </c>
      <c r="F117" s="189"/>
      <c r="G117" s="12"/>
      <c r="H117" s="12"/>
      <c r="I117" s="12"/>
      <c r="J117" s="12"/>
      <c r="K117" s="12"/>
      <c r="L117" s="12"/>
      <c r="M117" s="12"/>
      <c r="N117" s="12"/>
      <c r="O117" s="12"/>
      <c r="P117" s="12"/>
      <c r="Q117" s="12"/>
    </row>
    <row r="118" spans="1:17">
      <c r="A118" s="6">
        <v>108</v>
      </c>
      <c r="B118" s="20" t="s">
        <v>309</v>
      </c>
      <c r="C118" s="9">
        <v>2050374</v>
      </c>
      <c r="D118" s="20" t="s">
        <v>180</v>
      </c>
      <c r="E118" s="20" t="s">
        <v>309</v>
      </c>
      <c r="F118" s="189">
        <v>150000</v>
      </c>
      <c r="G118" s="12">
        <v>80</v>
      </c>
      <c r="H118" s="12">
        <v>20</v>
      </c>
      <c r="I118" s="12">
        <v>60</v>
      </c>
      <c r="J118" s="12">
        <v>7</v>
      </c>
      <c r="K118" s="12">
        <v>5</v>
      </c>
      <c r="L118" s="12">
        <v>2</v>
      </c>
      <c r="M118" s="12">
        <v>0</v>
      </c>
      <c r="N118" s="12">
        <v>0</v>
      </c>
      <c r="O118" s="12">
        <v>60</v>
      </c>
      <c r="P118" s="12">
        <v>0</v>
      </c>
      <c r="Q118" s="12">
        <v>60</v>
      </c>
    </row>
    <row r="119" spans="1:17">
      <c r="A119" s="6">
        <v>109</v>
      </c>
      <c r="B119" s="20" t="s">
        <v>311</v>
      </c>
      <c r="C119" s="9">
        <v>2004879</v>
      </c>
      <c r="D119" s="20" t="s">
        <v>312</v>
      </c>
      <c r="E119" s="20" t="s">
        <v>313</v>
      </c>
      <c r="F119" s="189"/>
      <c r="G119" s="12"/>
      <c r="H119" s="12"/>
      <c r="I119" s="12"/>
      <c r="J119" s="12"/>
      <c r="K119" s="12"/>
      <c r="L119" s="12"/>
      <c r="M119" s="12"/>
      <c r="N119" s="12"/>
      <c r="O119" s="12"/>
      <c r="P119" s="12"/>
      <c r="Q119" s="12"/>
    </row>
    <row r="120" spans="1:17">
      <c r="A120" s="186">
        <v>110</v>
      </c>
      <c r="B120" s="184" t="s">
        <v>314</v>
      </c>
      <c r="C120" s="9">
        <v>2830213</v>
      </c>
      <c r="D120" s="20" t="s">
        <v>123</v>
      </c>
      <c r="E120" s="20" t="s">
        <v>124</v>
      </c>
      <c r="F120" s="189"/>
      <c r="G120" s="12"/>
      <c r="H120" s="12"/>
      <c r="I120" s="12"/>
      <c r="J120" s="12"/>
      <c r="K120" s="12"/>
      <c r="L120" s="12"/>
      <c r="M120" s="12"/>
      <c r="N120" s="12"/>
      <c r="O120" s="12"/>
      <c r="P120" s="12"/>
      <c r="Q120" s="12"/>
    </row>
    <row r="121" spans="1:17">
      <c r="A121" s="6">
        <v>111</v>
      </c>
      <c r="B121" s="20" t="s">
        <v>315</v>
      </c>
      <c r="C121" s="9">
        <v>5320607</v>
      </c>
      <c r="D121" s="20" t="s">
        <v>1242</v>
      </c>
      <c r="E121" s="20" t="s">
        <v>1243</v>
      </c>
      <c r="F121" s="189">
        <v>2200000</v>
      </c>
      <c r="G121" s="12">
        <v>52</v>
      </c>
      <c r="H121" s="12">
        <v>52</v>
      </c>
      <c r="I121" s="12">
        <v>0</v>
      </c>
      <c r="J121" s="12">
        <v>0</v>
      </c>
      <c r="K121" s="12">
        <v>0</v>
      </c>
      <c r="L121" s="12">
        <v>0</v>
      </c>
      <c r="M121" s="12">
        <v>0</v>
      </c>
      <c r="N121" s="12">
        <v>0</v>
      </c>
      <c r="O121" s="12">
        <v>111</v>
      </c>
      <c r="P121" s="12">
        <v>102</v>
      </c>
      <c r="Q121" s="12">
        <v>3</v>
      </c>
    </row>
    <row r="122" spans="1:17">
      <c r="A122" s="186">
        <v>112</v>
      </c>
      <c r="B122" s="184" t="s">
        <v>316</v>
      </c>
      <c r="C122" s="9">
        <v>5586119</v>
      </c>
      <c r="D122" s="20" t="s">
        <v>128</v>
      </c>
      <c r="E122" s="20" t="s">
        <v>138</v>
      </c>
      <c r="F122" s="189"/>
      <c r="G122" s="12"/>
      <c r="H122" s="12"/>
      <c r="I122" s="12"/>
      <c r="J122" s="12"/>
      <c r="K122" s="12"/>
      <c r="L122" s="12"/>
      <c r="M122" s="12"/>
      <c r="N122" s="12"/>
      <c r="O122" s="12"/>
      <c r="P122" s="12"/>
      <c r="Q122" s="12"/>
    </row>
    <row r="123" spans="1:17">
      <c r="A123" s="6">
        <v>113</v>
      </c>
      <c r="B123" s="20" t="s">
        <v>317</v>
      </c>
      <c r="C123" s="9">
        <v>5015243</v>
      </c>
      <c r="D123" s="20" t="s">
        <v>128</v>
      </c>
      <c r="E123" s="20" t="s">
        <v>191</v>
      </c>
      <c r="F123" s="189"/>
      <c r="G123" s="12"/>
      <c r="H123" s="12"/>
      <c r="I123" s="12"/>
      <c r="J123" s="12"/>
      <c r="K123" s="12"/>
      <c r="L123" s="12"/>
      <c r="M123" s="12"/>
      <c r="N123" s="12"/>
      <c r="O123" s="12"/>
      <c r="P123" s="12"/>
      <c r="Q123" s="12"/>
    </row>
    <row r="124" spans="1:17">
      <c r="A124" s="6">
        <v>114</v>
      </c>
      <c r="B124" s="20" t="s">
        <v>318</v>
      </c>
      <c r="C124" s="9">
        <v>5452503</v>
      </c>
      <c r="D124" s="20" t="s">
        <v>128</v>
      </c>
      <c r="E124" s="20" t="s">
        <v>129</v>
      </c>
      <c r="F124" s="189"/>
      <c r="G124" s="12"/>
      <c r="H124" s="12"/>
      <c r="I124" s="12"/>
      <c r="J124" s="12"/>
      <c r="K124" s="12"/>
      <c r="L124" s="12"/>
      <c r="M124" s="12"/>
      <c r="N124" s="12"/>
      <c r="O124" s="12"/>
      <c r="P124" s="12"/>
      <c r="Q124" s="12"/>
    </row>
    <row r="125" spans="1:17">
      <c r="A125" s="6">
        <v>115</v>
      </c>
      <c r="B125" s="20" t="s">
        <v>319</v>
      </c>
      <c r="C125" s="9">
        <v>2887746</v>
      </c>
      <c r="D125" s="20" t="s">
        <v>233</v>
      </c>
      <c r="E125" s="20" t="s">
        <v>252</v>
      </c>
      <c r="F125" s="189"/>
      <c r="G125" s="314">
        <v>8243</v>
      </c>
      <c r="H125" s="314">
        <v>7312</v>
      </c>
      <c r="I125" s="314">
        <v>931</v>
      </c>
      <c r="J125" s="314">
        <v>5395</v>
      </c>
      <c r="K125" s="314">
        <v>5313</v>
      </c>
      <c r="L125" s="314">
        <v>82</v>
      </c>
      <c r="M125" s="314">
        <v>0</v>
      </c>
      <c r="N125" s="314">
        <v>0</v>
      </c>
      <c r="O125" s="314">
        <v>8243</v>
      </c>
      <c r="P125" s="314">
        <v>7312</v>
      </c>
      <c r="Q125" s="314">
        <v>931</v>
      </c>
    </row>
    <row r="126" spans="1:17">
      <c r="A126" s="6">
        <v>116</v>
      </c>
      <c r="B126" s="20" t="s">
        <v>320</v>
      </c>
      <c r="C126" s="9">
        <v>5618339</v>
      </c>
      <c r="D126" s="20" t="s">
        <v>128</v>
      </c>
      <c r="E126" s="20" t="s">
        <v>138</v>
      </c>
      <c r="F126" s="189"/>
      <c r="G126" s="12"/>
      <c r="H126" s="12"/>
      <c r="I126" s="12"/>
      <c r="J126" s="12"/>
      <c r="K126" s="12"/>
      <c r="L126" s="12"/>
      <c r="M126" s="12"/>
      <c r="N126" s="12"/>
      <c r="O126" s="12"/>
      <c r="P126" s="12"/>
      <c r="Q126" s="12"/>
    </row>
    <row r="127" spans="1:17">
      <c r="A127" s="6">
        <v>117</v>
      </c>
      <c r="B127" s="20" t="s">
        <v>321</v>
      </c>
      <c r="C127" s="9">
        <v>2718243</v>
      </c>
      <c r="D127" s="20" t="s">
        <v>768</v>
      </c>
      <c r="E127" s="20" t="s">
        <v>1198</v>
      </c>
      <c r="F127" s="189">
        <v>600000</v>
      </c>
      <c r="G127" s="12">
        <v>2757</v>
      </c>
      <c r="H127" s="12">
        <v>2754</v>
      </c>
      <c r="I127" s="12">
        <v>3</v>
      </c>
      <c r="J127" s="12">
        <v>0</v>
      </c>
      <c r="K127" s="12">
        <v>0</v>
      </c>
      <c r="L127" s="12">
        <v>0</v>
      </c>
      <c r="M127" s="12">
        <v>0</v>
      </c>
      <c r="N127" s="12">
        <v>0</v>
      </c>
      <c r="O127" s="12">
        <v>2757</v>
      </c>
      <c r="P127" s="12">
        <v>2754</v>
      </c>
      <c r="Q127" s="12">
        <v>3</v>
      </c>
    </row>
    <row r="128" spans="1:17">
      <c r="A128" s="6">
        <v>118</v>
      </c>
      <c r="B128" s="20" t="s">
        <v>322</v>
      </c>
      <c r="C128" s="9">
        <v>6896197</v>
      </c>
      <c r="D128" s="20" t="s">
        <v>128</v>
      </c>
      <c r="E128" s="20" t="s">
        <v>134</v>
      </c>
      <c r="F128" s="189"/>
      <c r="G128" s="12"/>
      <c r="H128" s="12"/>
      <c r="I128" s="12"/>
      <c r="J128" s="12"/>
      <c r="K128" s="12"/>
      <c r="L128" s="12"/>
      <c r="M128" s="12"/>
      <c r="N128" s="12"/>
      <c r="O128" s="12"/>
      <c r="P128" s="12"/>
      <c r="Q128" s="12"/>
    </row>
    <row r="129" spans="1:17">
      <c r="A129" s="6">
        <v>119</v>
      </c>
      <c r="B129" s="20" t="s">
        <v>323</v>
      </c>
      <c r="C129" s="9">
        <v>5435528</v>
      </c>
      <c r="D129" s="20" t="s">
        <v>233</v>
      </c>
      <c r="E129" s="20" t="s">
        <v>252</v>
      </c>
      <c r="F129" s="189">
        <v>36230000</v>
      </c>
      <c r="G129" s="314">
        <v>2915</v>
      </c>
      <c r="H129" s="314">
        <v>2890</v>
      </c>
      <c r="I129" s="314">
        <v>25</v>
      </c>
      <c r="J129" s="314">
        <v>0</v>
      </c>
      <c r="K129" s="314">
        <v>0</v>
      </c>
      <c r="L129" s="314">
        <v>0</v>
      </c>
      <c r="M129" s="314">
        <v>0</v>
      </c>
      <c r="N129" s="314">
        <v>0</v>
      </c>
      <c r="O129" s="314">
        <v>2909</v>
      </c>
      <c r="P129" s="314">
        <v>2890</v>
      </c>
      <c r="Q129" s="314">
        <v>19</v>
      </c>
    </row>
    <row r="130" spans="1:17">
      <c r="A130" s="186">
        <v>120</v>
      </c>
      <c r="B130" s="184" t="s">
        <v>324</v>
      </c>
      <c r="C130" s="9">
        <v>5824826</v>
      </c>
      <c r="D130" s="20" t="s">
        <v>128</v>
      </c>
      <c r="E130" s="20" t="s">
        <v>129</v>
      </c>
      <c r="F130" s="189"/>
      <c r="G130" s="12"/>
      <c r="H130" s="12"/>
      <c r="I130" s="12"/>
      <c r="J130" s="12"/>
      <c r="K130" s="12"/>
      <c r="L130" s="12"/>
      <c r="M130" s="12"/>
      <c r="N130" s="12"/>
      <c r="O130" s="12"/>
      <c r="P130" s="12"/>
      <c r="Q130" s="12"/>
    </row>
    <row r="131" spans="1:17">
      <c r="A131" s="6">
        <v>121</v>
      </c>
      <c r="B131" s="20" t="s">
        <v>325</v>
      </c>
      <c r="C131" s="9">
        <v>6141536</v>
      </c>
      <c r="D131" s="20" t="s">
        <v>128</v>
      </c>
      <c r="E131" s="20" t="s">
        <v>138</v>
      </c>
      <c r="F131" s="189"/>
      <c r="G131" s="12"/>
      <c r="H131" s="12"/>
      <c r="I131" s="12"/>
      <c r="J131" s="12"/>
      <c r="K131" s="12"/>
      <c r="L131" s="12"/>
      <c r="M131" s="12"/>
      <c r="N131" s="12"/>
      <c r="O131" s="12"/>
      <c r="P131" s="12"/>
      <c r="Q131" s="12"/>
    </row>
    <row r="132" spans="1:17">
      <c r="A132" s="517">
        <v>122</v>
      </c>
      <c r="B132" s="543" t="s">
        <v>326</v>
      </c>
      <c r="C132" s="545">
        <v>5124913</v>
      </c>
      <c r="D132" s="545" t="s">
        <v>128</v>
      </c>
      <c r="E132" s="545" t="s">
        <v>154</v>
      </c>
      <c r="F132" s="189"/>
      <c r="G132" s="12">
        <v>553</v>
      </c>
      <c r="H132" s="12">
        <v>541</v>
      </c>
      <c r="I132" s="12">
        <v>12</v>
      </c>
      <c r="J132" s="12">
        <v>541</v>
      </c>
      <c r="K132" s="12">
        <v>541</v>
      </c>
      <c r="L132" s="12">
        <v>0</v>
      </c>
      <c r="M132" s="12">
        <v>0</v>
      </c>
      <c r="N132" s="12">
        <v>0</v>
      </c>
      <c r="O132" s="12">
        <v>0</v>
      </c>
      <c r="P132" s="12">
        <v>0</v>
      </c>
      <c r="Q132" s="12">
        <v>0</v>
      </c>
    </row>
    <row r="133" spans="1:17">
      <c r="A133" s="518"/>
      <c r="B133" s="544"/>
      <c r="C133" s="546"/>
      <c r="D133" s="546"/>
      <c r="E133" s="546"/>
      <c r="F133" s="189">
        <v>1230000</v>
      </c>
      <c r="G133" s="12">
        <v>228</v>
      </c>
      <c r="H133" s="12">
        <v>0</v>
      </c>
      <c r="I133" s="12">
        <v>228</v>
      </c>
      <c r="J133" s="12">
        <v>173</v>
      </c>
      <c r="K133" s="12">
        <v>173</v>
      </c>
      <c r="L133" s="12">
        <v>0</v>
      </c>
      <c r="M133" s="12">
        <v>0</v>
      </c>
      <c r="N133" s="12">
        <v>0</v>
      </c>
      <c r="O133" s="12">
        <v>228</v>
      </c>
      <c r="P133" s="12">
        <v>0</v>
      </c>
      <c r="Q133" s="12">
        <v>228</v>
      </c>
    </row>
    <row r="134" spans="1:17">
      <c r="A134" s="6">
        <v>123</v>
      </c>
      <c r="B134" s="20" t="s">
        <v>327</v>
      </c>
      <c r="C134" s="9">
        <v>2074192</v>
      </c>
      <c r="D134" s="20" t="s">
        <v>329</v>
      </c>
      <c r="E134" s="20" t="s">
        <v>330</v>
      </c>
      <c r="F134" s="189">
        <v>495261361</v>
      </c>
      <c r="G134" s="314">
        <v>11753</v>
      </c>
      <c r="H134" s="314">
        <v>11585</v>
      </c>
      <c r="I134" s="314">
        <v>168</v>
      </c>
      <c r="J134" s="314">
        <v>0</v>
      </c>
      <c r="K134" s="314">
        <v>0</v>
      </c>
      <c r="L134" s="314">
        <v>0</v>
      </c>
      <c r="M134" s="314">
        <v>0</v>
      </c>
      <c r="N134" s="314">
        <v>0</v>
      </c>
      <c r="O134" s="314">
        <v>11753</v>
      </c>
      <c r="P134" s="314">
        <v>11585</v>
      </c>
      <c r="Q134" s="314">
        <v>168</v>
      </c>
    </row>
    <row r="135" spans="1:17">
      <c r="A135" s="186">
        <v>124</v>
      </c>
      <c r="B135" s="184" t="s">
        <v>331</v>
      </c>
      <c r="C135" s="9">
        <v>2861224</v>
      </c>
      <c r="D135" s="20" t="s">
        <v>128</v>
      </c>
      <c r="E135" s="20" t="s">
        <v>138</v>
      </c>
      <c r="F135" s="189"/>
      <c r="G135" s="12"/>
      <c r="H135" s="12"/>
      <c r="I135" s="12"/>
      <c r="J135" s="12"/>
      <c r="K135" s="12"/>
      <c r="L135" s="12"/>
      <c r="M135" s="12"/>
      <c r="N135" s="12"/>
      <c r="O135" s="12"/>
      <c r="P135" s="12"/>
      <c r="Q135" s="12"/>
    </row>
    <row r="136" spans="1:17">
      <c r="A136" s="6">
        <v>125</v>
      </c>
      <c r="B136" s="20" t="s">
        <v>332</v>
      </c>
      <c r="C136" s="9">
        <v>5137977</v>
      </c>
      <c r="D136" s="20" t="s">
        <v>128</v>
      </c>
      <c r="E136" s="20" t="s">
        <v>138</v>
      </c>
      <c r="F136" s="189"/>
      <c r="G136" s="12"/>
      <c r="H136" s="12"/>
      <c r="I136" s="12"/>
      <c r="J136" s="12"/>
      <c r="K136" s="12"/>
      <c r="L136" s="12"/>
      <c r="M136" s="12"/>
      <c r="N136" s="12"/>
      <c r="O136" s="12"/>
      <c r="P136" s="12"/>
      <c r="Q136" s="12"/>
    </row>
    <row r="137" spans="1:17">
      <c r="A137" s="568" t="s">
        <v>628</v>
      </c>
      <c r="B137" s="569"/>
      <c r="C137" s="580"/>
      <c r="D137" s="581"/>
      <c r="E137" s="582"/>
      <c r="F137" s="375">
        <f>SUM(F5:F136)</f>
        <v>747294461</v>
      </c>
      <c r="G137" s="375">
        <f t="shared" ref="G137:Q137" si="0">SUM(G5:G136)</f>
        <v>60807</v>
      </c>
      <c r="H137" s="375">
        <f t="shared" si="0"/>
        <v>54689</v>
      </c>
      <c r="I137" s="375">
        <f t="shared" si="0"/>
        <v>6119</v>
      </c>
      <c r="J137" s="375">
        <f t="shared" si="0"/>
        <v>16388.55</v>
      </c>
      <c r="K137" s="375">
        <f t="shared" si="0"/>
        <v>16013</v>
      </c>
      <c r="L137" s="375">
        <f t="shared" si="0"/>
        <v>106</v>
      </c>
      <c r="M137" s="375">
        <f t="shared" si="0"/>
        <v>1</v>
      </c>
      <c r="N137" s="375">
        <f t="shared" si="0"/>
        <v>11.55</v>
      </c>
      <c r="O137" s="375">
        <f t="shared" si="0"/>
        <v>84793.85</v>
      </c>
      <c r="P137" s="375">
        <f t="shared" si="0"/>
        <v>81510.850000000006</v>
      </c>
      <c r="Q137" s="375">
        <f t="shared" si="0"/>
        <v>3277</v>
      </c>
    </row>
  </sheetData>
  <autoFilter ref="A3:Q137" xr:uid="{9EB5E598-1BE4-4ED9-955A-5F9E1BB8AE4D}">
    <filterColumn colId="6" showButton="0"/>
    <filterColumn colId="7" showButton="0"/>
    <filterColumn colId="9" showButton="0"/>
    <filterColumn colId="10" showButton="0"/>
    <filterColumn colId="11" showButton="0"/>
    <filterColumn colId="12" showButton="0"/>
    <filterColumn colId="14" showButton="0"/>
    <filterColumn colId="15" showButton="0"/>
  </autoFilter>
  <mergeCells count="42">
    <mergeCell ref="A137:B137"/>
    <mergeCell ref="C137:E137"/>
    <mergeCell ref="B132:B133"/>
    <mergeCell ref="A132:A133"/>
    <mergeCell ref="C132:C133"/>
    <mergeCell ref="D132:D133"/>
    <mergeCell ref="E132:E133"/>
    <mergeCell ref="B109:B110"/>
    <mergeCell ref="A109:A110"/>
    <mergeCell ref="C109:C110"/>
    <mergeCell ref="D109:D110"/>
    <mergeCell ref="E109:E110"/>
    <mergeCell ref="B59:B61"/>
    <mergeCell ref="A59:A61"/>
    <mergeCell ref="C59:C61"/>
    <mergeCell ref="D59:D61"/>
    <mergeCell ref="E59:E61"/>
    <mergeCell ref="J3:N3"/>
    <mergeCell ref="G3:I3"/>
    <mergeCell ref="F3:F4"/>
    <mergeCell ref="O3:Q3"/>
    <mergeCell ref="E3:E4"/>
    <mergeCell ref="C50:C51"/>
    <mergeCell ref="D50:D51"/>
    <mergeCell ref="E50:E51"/>
    <mergeCell ref="A1:F1"/>
    <mergeCell ref="B3:B4"/>
    <mergeCell ref="A3:A4"/>
    <mergeCell ref="A24:A25"/>
    <mergeCell ref="B24:B25"/>
    <mergeCell ref="B50:B51"/>
    <mergeCell ref="A50:A51"/>
    <mergeCell ref="D3:D4"/>
    <mergeCell ref="C3:C4"/>
    <mergeCell ref="C24:C25"/>
    <mergeCell ref="D24:D25"/>
    <mergeCell ref="E24:E25"/>
    <mergeCell ref="B55:B56"/>
    <mergeCell ref="A55:A56"/>
    <mergeCell ref="C55:C56"/>
    <mergeCell ref="D55:D56"/>
    <mergeCell ref="E55:E56"/>
  </mergeCells>
  <conditionalFormatting sqref="A3:B3 F3 G4:Q4">
    <cfRule type="dataBar" priority="33">
      <dataBar>
        <cfvo type="min"/>
        <cfvo type="max"/>
        <color rgb="FF638EC6"/>
      </dataBar>
      <extLst>
        <ext xmlns:x14="http://schemas.microsoft.com/office/spreadsheetml/2009/9/main" uri="{B025F937-C7B1-47D3-B67F-A62EFF666E3E}">
          <x14:id>{195CF29B-0BE4-4EF7-8417-660952E9F564}</x14:id>
        </ext>
      </extLst>
    </cfRule>
  </conditionalFormatting>
  <conditionalFormatting sqref="B5:B20">
    <cfRule type="duplicateValues" dxfId="306" priority="27"/>
  </conditionalFormatting>
  <conditionalFormatting sqref="B21">
    <cfRule type="duplicateValues" dxfId="305" priority="31"/>
  </conditionalFormatting>
  <conditionalFormatting sqref="B22:B24 B26:B35">
    <cfRule type="duplicateValues" dxfId="304" priority="26"/>
  </conditionalFormatting>
  <conditionalFormatting sqref="B36:B50 B52:B55 B57">
    <cfRule type="duplicateValues" dxfId="303" priority="25"/>
  </conditionalFormatting>
  <conditionalFormatting sqref="B58">
    <cfRule type="duplicateValues" dxfId="302" priority="30"/>
  </conditionalFormatting>
  <conditionalFormatting sqref="B59 B62:B89">
    <cfRule type="duplicateValues" dxfId="301" priority="22"/>
  </conditionalFormatting>
  <conditionalFormatting sqref="B90">
    <cfRule type="duplicateValues" dxfId="300" priority="20"/>
  </conditionalFormatting>
  <conditionalFormatting sqref="B91:B94">
    <cfRule type="duplicateValues" dxfId="299" priority="21"/>
  </conditionalFormatting>
  <conditionalFormatting sqref="B95">
    <cfRule type="duplicateValues" dxfId="298" priority="23"/>
  </conditionalFormatting>
  <conditionalFormatting sqref="B96:B109 B111:B132 B134:B136 A137">
    <cfRule type="duplicateValues" dxfId="297" priority="24"/>
  </conditionalFormatting>
  <conditionalFormatting sqref="C5:C24 C95 C26:C35">
    <cfRule type="duplicateValues" dxfId="296" priority="7"/>
  </conditionalFormatting>
  <conditionalFormatting sqref="C36:C50 C52:C55 C57:C59 C62:C89">
    <cfRule type="duplicateValues" dxfId="295" priority="6"/>
  </conditionalFormatting>
  <conditionalFormatting sqref="C90">
    <cfRule type="duplicateValues" dxfId="294" priority="5"/>
  </conditionalFormatting>
  <conditionalFormatting sqref="C91">
    <cfRule type="duplicateValues" dxfId="293" priority="4"/>
  </conditionalFormatting>
  <conditionalFormatting sqref="C92">
    <cfRule type="duplicateValues" dxfId="292" priority="3"/>
  </conditionalFormatting>
  <conditionalFormatting sqref="C93">
    <cfRule type="duplicateValues" dxfId="291" priority="2"/>
  </conditionalFormatting>
  <conditionalFormatting sqref="C94">
    <cfRule type="duplicateValues" dxfId="290" priority="1"/>
  </conditionalFormatting>
  <conditionalFormatting sqref="C96:C109 C111:C132 C134:C136">
    <cfRule type="duplicateValues" dxfId="289" priority="81"/>
  </conditionalFormatting>
  <conditionalFormatting sqref="G3">
    <cfRule type="dataBar" priority="10">
      <dataBar>
        <cfvo type="min"/>
        <cfvo type="max"/>
        <color rgb="FF638EC6"/>
      </dataBar>
      <extLst>
        <ext xmlns:x14="http://schemas.microsoft.com/office/spreadsheetml/2009/9/main" uri="{B025F937-C7B1-47D3-B67F-A62EFF666E3E}">
          <x14:id>{B0BADEE6-8899-487C-B26E-AF073A861793}</x14:id>
        </ext>
      </extLst>
    </cfRule>
  </conditionalFormatting>
  <conditionalFormatting sqref="J3">
    <cfRule type="dataBar" priority="11">
      <dataBar>
        <cfvo type="min"/>
        <cfvo type="max"/>
        <color rgb="FF638EC6"/>
      </dataBar>
      <extLst>
        <ext xmlns:x14="http://schemas.microsoft.com/office/spreadsheetml/2009/9/main" uri="{B025F937-C7B1-47D3-B67F-A62EFF666E3E}">
          <x14:id>{328CD834-61A8-43C3-8E8A-52843228BA74}</x14:id>
        </ext>
      </extLst>
    </cfRule>
  </conditionalFormatting>
  <conditionalFormatting sqref="O3">
    <cfRule type="dataBar" priority="9">
      <dataBar>
        <cfvo type="min"/>
        <cfvo type="max"/>
        <color rgb="FF638EC6"/>
      </dataBar>
      <extLst>
        <ext xmlns:x14="http://schemas.microsoft.com/office/spreadsheetml/2009/9/main" uri="{B025F937-C7B1-47D3-B67F-A62EFF666E3E}">
          <x14:id>{66429B72-1B93-4909-85E0-B8789FE5C886}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195CF29B-0BE4-4EF7-8417-660952E9F564}">
            <x14:dataBar minLength="0" maxLength="100" border="1" negativeBarColorSameAsPositive="1" negativeBarBorderColorSameAsPositive="0" axisPosition="none">
              <x14:cfvo type="autoMin"/>
              <x14:cfvo type="autoMax"/>
              <x14:borderColor rgb="FF638EC6"/>
              <x14:negativeBorderColor rgb="FF638EC6"/>
            </x14:dataBar>
          </x14:cfRule>
          <xm:sqref>A3:B3 F3 G4:Q4</xm:sqref>
        </x14:conditionalFormatting>
        <x14:conditionalFormatting xmlns:xm="http://schemas.microsoft.com/office/excel/2006/main">
          <x14:cfRule type="dataBar" id="{B0BADEE6-8899-487C-B26E-AF073A861793}">
            <x14:dataBar minLength="0" maxLength="100" border="1" negativeBarColorSameAsPositive="1" negativeBarBorderColorSameAsPositive="0" axisPosition="none">
              <x14:cfvo type="autoMin"/>
              <x14:cfvo type="autoMax"/>
              <x14:borderColor rgb="FF638EC6"/>
              <x14:negativeBorderColor rgb="FF638EC6"/>
            </x14:dataBar>
          </x14:cfRule>
          <xm:sqref>G3</xm:sqref>
        </x14:conditionalFormatting>
        <x14:conditionalFormatting xmlns:xm="http://schemas.microsoft.com/office/excel/2006/main">
          <x14:cfRule type="dataBar" id="{328CD834-61A8-43C3-8E8A-52843228BA74}">
            <x14:dataBar minLength="0" maxLength="100" border="1" negativeBarColorSameAsPositive="1" negativeBarBorderColorSameAsPositive="0" axisPosition="none">
              <x14:cfvo type="autoMin"/>
              <x14:cfvo type="autoMax"/>
              <x14:borderColor rgb="FF638EC6"/>
              <x14:negativeBorderColor rgb="FF638EC6"/>
            </x14:dataBar>
          </x14:cfRule>
          <xm:sqref>J3</xm:sqref>
        </x14:conditionalFormatting>
        <x14:conditionalFormatting xmlns:xm="http://schemas.microsoft.com/office/excel/2006/main">
          <x14:cfRule type="dataBar" id="{66429B72-1B93-4909-85E0-B8789FE5C886}">
            <x14:dataBar minLength="0" maxLength="100" border="1" negativeBarColorSameAsPositive="1" negativeBarBorderColorSameAsPositive="0" axisPosition="none">
              <x14:cfvo type="autoMin"/>
              <x14:cfvo type="autoMax"/>
              <x14:borderColor rgb="FF638EC6"/>
              <x14:negativeBorderColor rgb="FF638EC6"/>
            </x14:dataBar>
          </x14:cfRule>
          <xm:sqref>O3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94C0-3832-4602-9225-2C4A07EA961A}">
  <sheetPr>
    <tabColor rgb="FF006432"/>
  </sheetPr>
  <dimension ref="A1:G24"/>
  <sheetViews>
    <sheetView workbookViewId="0">
      <selection activeCell="D18" sqref="D18"/>
    </sheetView>
  </sheetViews>
  <sheetFormatPr defaultRowHeight="15"/>
  <cols>
    <col min="1" max="1" width="3" style="130" bestFit="1" customWidth="1"/>
    <col min="2" max="2" width="23.42578125" style="75" customWidth="1"/>
    <col min="3" max="3" width="14.140625" style="75" bestFit="1" customWidth="1"/>
    <col min="4" max="4" width="14.140625" style="75" customWidth="1"/>
    <col min="5" max="5" width="24" style="75" customWidth="1"/>
    <col min="6" max="6" width="13.5703125" customWidth="1"/>
    <col min="7" max="7" width="28.85546875" bestFit="1" customWidth="1"/>
    <col min="8" max="8" width="47" bestFit="1" customWidth="1"/>
  </cols>
  <sheetData>
    <row r="1" spans="1:7" ht="16.5" thickBot="1">
      <c r="A1" s="26" t="s">
        <v>370</v>
      </c>
      <c r="B1" s="26"/>
      <c r="C1" s="26"/>
      <c r="D1" s="26"/>
      <c r="E1" s="26"/>
      <c r="F1" s="26"/>
    </row>
    <row r="2" spans="1:7" ht="6.75" customHeight="1" thickTop="1"/>
    <row r="3" spans="1:7">
      <c r="A3" s="116" t="s">
        <v>114</v>
      </c>
      <c r="B3" s="116" t="s">
        <v>371</v>
      </c>
      <c r="C3" s="116" t="s">
        <v>372</v>
      </c>
      <c r="D3" s="116" t="s">
        <v>338</v>
      </c>
      <c r="E3" s="116" t="s">
        <v>373</v>
      </c>
      <c r="F3" s="116" t="s">
        <v>338</v>
      </c>
      <c r="G3" s="116" t="s">
        <v>374</v>
      </c>
    </row>
    <row r="4" spans="1:7" s="61" customFormat="1">
      <c r="A4" s="108">
        <v>1</v>
      </c>
      <c r="B4" s="12" t="s">
        <v>375</v>
      </c>
      <c r="C4" s="12" t="s">
        <v>376</v>
      </c>
      <c r="D4" s="12">
        <v>70592895</v>
      </c>
      <c r="E4" s="12" t="s">
        <v>377</v>
      </c>
      <c r="F4" s="12">
        <v>90104440</v>
      </c>
      <c r="G4" s="418" t="s">
        <v>378</v>
      </c>
    </row>
    <row r="5" spans="1:7" s="61" customFormat="1">
      <c r="A5" s="108">
        <v>2</v>
      </c>
      <c r="B5" s="12" t="s">
        <v>304</v>
      </c>
      <c r="C5" s="12" t="s">
        <v>379</v>
      </c>
      <c r="D5" s="12">
        <v>70362139</v>
      </c>
      <c r="E5" s="12" t="s">
        <v>380</v>
      </c>
      <c r="F5" s="12">
        <v>99981236</v>
      </c>
      <c r="G5" s="417" t="s">
        <v>381</v>
      </c>
    </row>
    <row r="6" spans="1:7" s="61" customFormat="1" ht="14.25">
      <c r="A6" s="422">
        <v>3</v>
      </c>
      <c r="B6" s="114" t="s">
        <v>123</v>
      </c>
      <c r="C6" s="12" t="s">
        <v>382</v>
      </c>
      <c r="D6" s="12">
        <v>70582233</v>
      </c>
      <c r="E6" s="114" t="s">
        <v>383</v>
      </c>
      <c r="F6" s="128">
        <v>99019360</v>
      </c>
      <c r="G6" s="131" t="s">
        <v>384</v>
      </c>
    </row>
    <row r="7" spans="1:7">
      <c r="A7" s="422">
        <v>4</v>
      </c>
      <c r="B7" s="114" t="s">
        <v>138</v>
      </c>
      <c r="C7" s="12" t="s">
        <v>382</v>
      </c>
      <c r="D7" s="12">
        <v>70510111</v>
      </c>
      <c r="E7" s="114" t="s">
        <v>385</v>
      </c>
      <c r="F7" s="128">
        <v>70510001</v>
      </c>
      <c r="G7" s="131" t="s">
        <v>386</v>
      </c>
    </row>
    <row r="8" spans="1:7" ht="24" customHeight="1">
      <c r="A8" s="422">
        <v>5</v>
      </c>
      <c r="B8" s="115" t="s">
        <v>387</v>
      </c>
      <c r="C8" s="12" t="s">
        <v>382</v>
      </c>
      <c r="D8" s="12" t="s">
        <v>382</v>
      </c>
      <c r="E8" s="114" t="s">
        <v>388</v>
      </c>
      <c r="F8" s="128" t="s">
        <v>389</v>
      </c>
      <c r="G8" s="114" t="s">
        <v>389</v>
      </c>
    </row>
    <row r="9" spans="1:7" ht="26.25" customHeight="1">
      <c r="A9" s="422">
        <v>6</v>
      </c>
      <c r="B9" s="419" t="s">
        <v>390</v>
      </c>
      <c r="C9" s="12" t="s">
        <v>382</v>
      </c>
      <c r="D9" s="12" t="s">
        <v>382</v>
      </c>
      <c r="E9" s="115" t="s">
        <v>391</v>
      </c>
      <c r="F9" s="420" t="s">
        <v>392</v>
      </c>
      <c r="G9" s="132" t="s">
        <v>393</v>
      </c>
    </row>
    <row r="10" spans="1:7" ht="22.5" customHeight="1">
      <c r="A10" s="422">
        <v>7</v>
      </c>
      <c r="B10" s="421" t="s">
        <v>394</v>
      </c>
      <c r="C10" s="12" t="s">
        <v>382</v>
      </c>
      <c r="D10" s="12" t="s">
        <v>382</v>
      </c>
      <c r="E10" s="115" t="s">
        <v>395</v>
      </c>
      <c r="F10" s="420" t="s">
        <v>396</v>
      </c>
      <c r="G10" s="131" t="s">
        <v>397</v>
      </c>
    </row>
    <row r="11" spans="1:7" ht="24" customHeight="1">
      <c r="A11" s="422">
        <v>8</v>
      </c>
      <c r="B11" s="115" t="s">
        <v>398</v>
      </c>
      <c r="C11" s="12" t="s">
        <v>382</v>
      </c>
      <c r="D11" s="12" t="s">
        <v>382</v>
      </c>
      <c r="E11" s="114" t="s">
        <v>399</v>
      </c>
      <c r="F11" s="128" t="s">
        <v>400</v>
      </c>
      <c r="G11" s="132" t="s">
        <v>401</v>
      </c>
    </row>
    <row r="22" spans="5:5">
      <c r="E22"/>
    </row>
    <row r="23" spans="5:5">
      <c r="E23"/>
    </row>
    <row r="24" spans="5:5">
      <c r="E24"/>
    </row>
  </sheetData>
  <hyperlinks>
    <hyperlink ref="G4" r:id="rId1" xr:uid="{85D0FD29-CC66-43F2-B525-C495F5149AC3}"/>
    <hyperlink ref="G5" r:id="rId2" xr:uid="{F16214ED-CBE0-4F7E-BE30-45B1DFC56A2E}"/>
    <hyperlink ref="G6" r:id="rId3" display="mailto:dornod@mta.gov.mn" xr:uid="{AA2F0333-B6F7-4640-86B9-E078721A2C0E}"/>
    <hyperlink ref="G7" r:id="rId4" display="mailto:sukhbaatar@burtgel.gov.mn" xr:uid="{4C338305-8631-48E5-8791-4E2B65456241}"/>
    <hyperlink ref="G9" r:id="rId5" display="mailto:swb_bayar@yahoo.com; Swb.ngo@gmail.com" xr:uid="{B2E510A7-070E-4CA9-91CE-FF08ED001835}"/>
    <hyperlink ref="G10" r:id="rId6" display="mailto:khovdiintoli@gmail.com" xr:uid="{B3246505-07D1-4352-88B5-35C0089C8E10}"/>
    <hyperlink ref="G11" r:id="rId7" display="mailto:chimgee@forum.mn" xr:uid="{773AD5A7-1F24-4857-9994-236B424F076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FAE04-D77D-454D-A2F1-4BBFFDDFBB83}">
  <sheetPr>
    <tabColor rgb="FF006432"/>
  </sheetPr>
  <dimension ref="A1:P158"/>
  <sheetViews>
    <sheetView workbookViewId="0">
      <pane xSplit="3" ySplit="3" topLeftCell="D4" activePane="bottomRight" state="frozen"/>
      <selection pane="bottomRight" activeCell="M1" sqref="M1"/>
      <selection pane="bottomLeft" activeCell="A4" sqref="A4"/>
      <selection pane="topRight" activeCell="D1" sqref="D1"/>
    </sheetView>
  </sheetViews>
  <sheetFormatPr defaultRowHeight="15"/>
  <cols>
    <col min="1" max="1" width="4.5703125" customWidth="1"/>
    <col min="2" max="2" width="24" customWidth="1"/>
    <col min="3" max="3" width="15" customWidth="1"/>
    <col min="4" max="4" width="27" customWidth="1"/>
    <col min="5" max="6" width="13.28515625" style="8" customWidth="1"/>
    <col min="7" max="7" width="14.28515625" style="354" bestFit="1" customWidth="1"/>
    <col min="8" max="8" width="20" style="354" bestFit="1" customWidth="1"/>
    <col min="9" max="9" width="12.5703125" style="354" customWidth="1"/>
    <col min="10" max="10" width="16.140625" style="354" bestFit="1" customWidth="1"/>
    <col min="11" max="11" width="18.5703125" style="354" bestFit="1" customWidth="1"/>
    <col min="12" max="12" width="22.5703125" style="354" bestFit="1" customWidth="1"/>
    <col min="13" max="13" width="18.42578125" style="354" bestFit="1" customWidth="1"/>
    <col min="14" max="14" width="16.140625" style="354" bestFit="1" customWidth="1"/>
    <col min="16" max="16" width="10.5703125" bestFit="1" customWidth="1"/>
  </cols>
  <sheetData>
    <row r="1" spans="1:14" ht="16.5" thickBot="1">
      <c r="A1" s="26" t="s">
        <v>9010</v>
      </c>
      <c r="B1" s="26"/>
      <c r="C1" s="26"/>
      <c r="D1" s="26"/>
      <c r="E1" s="305"/>
      <c r="F1" s="213"/>
      <c r="G1" s="283"/>
      <c r="H1" s="283"/>
      <c r="I1" s="283"/>
      <c r="J1" s="283"/>
      <c r="K1" s="283">
        <v>6</v>
      </c>
      <c r="L1" s="283"/>
      <c r="M1" s="283"/>
      <c r="N1" s="283"/>
    </row>
    <row r="2" spans="1:14" ht="27" customHeight="1" thickTop="1" thickBot="1">
      <c r="A2" s="505" t="s">
        <v>114</v>
      </c>
      <c r="B2" s="505" t="s">
        <v>115</v>
      </c>
      <c r="C2" s="505" t="s">
        <v>621</v>
      </c>
      <c r="D2" s="505" t="s">
        <v>9011</v>
      </c>
      <c r="E2" s="556" t="s">
        <v>9012</v>
      </c>
      <c r="F2" s="556"/>
      <c r="G2" s="583" t="s">
        <v>9013</v>
      </c>
      <c r="H2" s="583"/>
      <c r="I2" s="583"/>
      <c r="J2" s="583"/>
      <c r="K2" s="583" t="s">
        <v>9014</v>
      </c>
      <c r="L2" s="583"/>
      <c r="M2" s="583"/>
      <c r="N2" s="583"/>
    </row>
    <row r="3" spans="1:14" ht="26.25" customHeight="1" thickTop="1">
      <c r="A3" s="505"/>
      <c r="B3" s="505"/>
      <c r="C3" s="505"/>
      <c r="D3" s="505"/>
      <c r="E3" s="18" t="s">
        <v>9015</v>
      </c>
      <c r="F3" s="18" t="s">
        <v>9016</v>
      </c>
      <c r="G3" s="349" t="s">
        <v>9017</v>
      </c>
      <c r="H3" s="349" t="s">
        <v>9018</v>
      </c>
      <c r="I3" s="349" t="s">
        <v>9019</v>
      </c>
      <c r="J3" s="349" t="s">
        <v>9020</v>
      </c>
      <c r="K3" s="349" t="s">
        <v>9021</v>
      </c>
      <c r="L3" s="349" t="s">
        <v>9022</v>
      </c>
      <c r="M3" s="349" t="s">
        <v>9023</v>
      </c>
      <c r="N3" s="349" t="s">
        <v>9020</v>
      </c>
    </row>
    <row r="4" spans="1:14">
      <c r="A4" s="209">
        <v>1</v>
      </c>
      <c r="B4" s="214" t="s">
        <v>121</v>
      </c>
      <c r="C4" s="215">
        <v>2011239</v>
      </c>
      <c r="D4" s="281"/>
      <c r="E4" s="312"/>
      <c r="F4" s="312"/>
      <c r="G4" s="350"/>
      <c r="H4" s="350"/>
      <c r="I4" s="350"/>
      <c r="J4" s="350"/>
      <c r="K4" s="350"/>
      <c r="L4" s="350"/>
      <c r="M4" s="350"/>
      <c r="N4" s="350"/>
    </row>
    <row r="5" spans="1:14">
      <c r="A5" s="209">
        <f>A4+1</f>
        <v>2</v>
      </c>
      <c r="B5" s="214" t="s">
        <v>126</v>
      </c>
      <c r="C5" s="215">
        <v>5097517</v>
      </c>
      <c r="D5" s="281"/>
      <c r="E5" s="299"/>
      <c r="F5" s="299"/>
      <c r="G5" s="350"/>
      <c r="H5" s="350"/>
      <c r="I5" s="350"/>
      <c r="J5" s="350"/>
      <c r="K5" s="350"/>
      <c r="L5" s="350"/>
      <c r="M5" s="350"/>
      <c r="N5" s="350"/>
    </row>
    <row r="6" spans="1:14">
      <c r="A6" s="209">
        <f t="shared" ref="A6:A69" si="0">A5+1</f>
        <v>3</v>
      </c>
      <c r="B6" s="214" t="s">
        <v>131</v>
      </c>
      <c r="C6" s="215">
        <v>5809797</v>
      </c>
      <c r="D6" s="216" t="s">
        <v>9024</v>
      </c>
      <c r="E6" s="263">
        <v>44927</v>
      </c>
      <c r="F6" s="263">
        <v>45291</v>
      </c>
      <c r="G6" s="351">
        <v>0</v>
      </c>
      <c r="H6" s="351">
        <v>0</v>
      </c>
      <c r="I6" s="351">
        <v>0</v>
      </c>
      <c r="J6" s="351">
        <v>0</v>
      </c>
      <c r="K6" s="351">
        <v>0</v>
      </c>
      <c r="L6" s="351">
        <v>675221</v>
      </c>
      <c r="M6" s="351">
        <v>0</v>
      </c>
      <c r="N6" s="351">
        <v>675221</v>
      </c>
    </row>
    <row r="7" spans="1:14">
      <c r="A7" s="209">
        <f t="shared" si="0"/>
        <v>4</v>
      </c>
      <c r="B7" s="214" t="s">
        <v>133</v>
      </c>
      <c r="C7" s="215">
        <v>5118344</v>
      </c>
      <c r="D7" s="281"/>
      <c r="E7" s="299"/>
      <c r="F7" s="299"/>
      <c r="G7" s="350"/>
      <c r="H7" s="350"/>
      <c r="I7" s="350"/>
      <c r="J7" s="350"/>
      <c r="K7" s="350"/>
      <c r="L7" s="350"/>
      <c r="M7" s="350"/>
      <c r="N7" s="350"/>
    </row>
    <row r="8" spans="1:14" ht="25.5">
      <c r="A8" s="209">
        <f t="shared" si="0"/>
        <v>5</v>
      </c>
      <c r="B8" s="214" t="s">
        <v>136</v>
      </c>
      <c r="C8" s="215">
        <v>5095549</v>
      </c>
      <c r="D8" s="216" t="s">
        <v>9025</v>
      </c>
      <c r="E8" s="263">
        <v>44927</v>
      </c>
      <c r="F8" s="263">
        <v>45291</v>
      </c>
      <c r="G8" s="351">
        <v>0</v>
      </c>
      <c r="H8" s="351">
        <v>0</v>
      </c>
      <c r="I8" s="351">
        <v>0</v>
      </c>
      <c r="J8" s="351">
        <v>0</v>
      </c>
      <c r="K8" s="351">
        <v>83826.899999999994</v>
      </c>
      <c r="L8" s="351">
        <v>0</v>
      </c>
      <c r="M8" s="351">
        <v>0</v>
      </c>
      <c r="N8" s="351">
        <v>83826.899999999994</v>
      </c>
    </row>
    <row r="9" spans="1:14">
      <c r="A9" s="209">
        <f t="shared" si="0"/>
        <v>6</v>
      </c>
      <c r="B9" s="214" t="s">
        <v>140</v>
      </c>
      <c r="C9" s="215">
        <v>2784165</v>
      </c>
      <c r="D9" s="281"/>
      <c r="E9" s="299"/>
      <c r="F9" s="299"/>
      <c r="G9" s="350"/>
      <c r="H9" s="350"/>
      <c r="I9" s="350"/>
      <c r="J9" s="350"/>
      <c r="K9" s="350"/>
      <c r="L9" s="350"/>
      <c r="M9" s="350"/>
      <c r="N9" s="350"/>
    </row>
    <row r="10" spans="1:14">
      <c r="A10" s="209">
        <f t="shared" si="0"/>
        <v>7</v>
      </c>
      <c r="B10" s="214" t="s">
        <v>143</v>
      </c>
      <c r="C10" s="215">
        <v>5133351</v>
      </c>
      <c r="D10" s="281"/>
      <c r="E10" s="299"/>
      <c r="F10" s="299"/>
      <c r="G10" s="350"/>
      <c r="H10" s="350"/>
      <c r="I10" s="350"/>
      <c r="J10" s="350"/>
      <c r="K10" s="350"/>
      <c r="L10" s="350"/>
      <c r="M10" s="350"/>
      <c r="N10" s="350"/>
    </row>
    <row r="11" spans="1:14">
      <c r="A11" s="209">
        <f t="shared" si="0"/>
        <v>8</v>
      </c>
      <c r="B11" s="214" t="s">
        <v>144</v>
      </c>
      <c r="C11" s="215">
        <v>6172768</v>
      </c>
      <c r="D11" s="281"/>
      <c r="E11" s="299"/>
      <c r="F11" s="299"/>
      <c r="G11" s="350"/>
      <c r="H11" s="350"/>
      <c r="I11" s="350"/>
      <c r="J11" s="350"/>
      <c r="K11" s="350"/>
      <c r="L11" s="350"/>
      <c r="M11" s="350"/>
      <c r="N11" s="350"/>
    </row>
    <row r="12" spans="1:14">
      <c r="A12" s="209">
        <f t="shared" si="0"/>
        <v>9</v>
      </c>
      <c r="B12" s="214" t="s">
        <v>146</v>
      </c>
      <c r="C12" s="215">
        <v>2788705</v>
      </c>
      <c r="D12" s="281"/>
      <c r="E12" s="299"/>
      <c r="F12" s="299"/>
      <c r="G12" s="350"/>
      <c r="H12" s="350"/>
      <c r="I12" s="350"/>
      <c r="J12" s="350"/>
      <c r="K12" s="350"/>
      <c r="L12" s="350"/>
      <c r="M12" s="350"/>
      <c r="N12" s="350"/>
    </row>
    <row r="13" spans="1:14">
      <c r="A13" s="209">
        <f t="shared" si="0"/>
        <v>10</v>
      </c>
      <c r="B13" s="214" t="s">
        <v>629</v>
      </c>
      <c r="C13" s="215">
        <v>5439183</v>
      </c>
      <c r="D13" s="281"/>
      <c r="E13" s="299"/>
      <c r="F13" s="299"/>
      <c r="G13" s="350"/>
      <c r="H13" s="350"/>
      <c r="I13" s="350"/>
      <c r="J13" s="350"/>
      <c r="K13" s="350"/>
      <c r="L13" s="350"/>
      <c r="M13" s="350"/>
      <c r="N13" s="350"/>
    </row>
    <row r="14" spans="1:14">
      <c r="A14" s="209">
        <f t="shared" si="0"/>
        <v>11</v>
      </c>
      <c r="B14" s="214" t="s">
        <v>152</v>
      </c>
      <c r="C14" s="215">
        <v>2008572</v>
      </c>
      <c r="D14" s="216" t="s">
        <v>9026</v>
      </c>
      <c r="E14" s="263">
        <v>44927</v>
      </c>
      <c r="F14" s="263">
        <v>45291</v>
      </c>
      <c r="G14" s="351">
        <v>0</v>
      </c>
      <c r="H14" s="351">
        <v>0</v>
      </c>
      <c r="I14" s="351">
        <v>0</v>
      </c>
      <c r="J14" s="351">
        <v>0</v>
      </c>
      <c r="K14" s="351">
        <v>0</v>
      </c>
      <c r="L14" s="351">
        <v>7668550000</v>
      </c>
      <c r="M14" s="351">
        <v>0</v>
      </c>
      <c r="N14" s="351">
        <v>7668550000</v>
      </c>
    </row>
    <row r="15" spans="1:14">
      <c r="A15" s="209">
        <f t="shared" si="0"/>
        <v>12</v>
      </c>
      <c r="B15" s="214" t="s">
        <v>155</v>
      </c>
      <c r="C15" s="215">
        <v>5215919</v>
      </c>
      <c r="D15" s="281"/>
      <c r="E15" s="299"/>
      <c r="F15" s="299"/>
      <c r="G15" s="350"/>
      <c r="H15" s="350"/>
      <c r="I15" s="350"/>
      <c r="J15" s="350"/>
      <c r="K15" s="350"/>
      <c r="L15" s="350"/>
      <c r="M15" s="350"/>
      <c r="N15" s="350"/>
    </row>
    <row r="16" spans="1:14">
      <c r="A16" s="209">
        <f t="shared" si="0"/>
        <v>13</v>
      </c>
      <c r="B16" s="214" t="s">
        <v>157</v>
      </c>
      <c r="C16" s="215">
        <v>5502977</v>
      </c>
      <c r="D16" s="281"/>
      <c r="E16" s="299"/>
      <c r="F16" s="299"/>
      <c r="G16" s="350"/>
      <c r="H16" s="350"/>
      <c r="I16" s="350"/>
      <c r="J16" s="350"/>
      <c r="K16" s="350"/>
      <c r="L16" s="350"/>
      <c r="M16" s="350"/>
      <c r="N16" s="350"/>
    </row>
    <row r="17" spans="1:14">
      <c r="A17" s="209">
        <f t="shared" si="0"/>
        <v>14</v>
      </c>
      <c r="B17" s="214" t="s">
        <v>159</v>
      </c>
      <c r="C17" s="215">
        <v>2708701</v>
      </c>
      <c r="D17" s="281"/>
      <c r="E17" s="299"/>
      <c r="F17" s="299"/>
      <c r="G17" s="350"/>
      <c r="H17" s="350"/>
      <c r="I17" s="350"/>
      <c r="J17" s="350"/>
      <c r="K17" s="350"/>
      <c r="L17" s="350"/>
      <c r="M17" s="350"/>
      <c r="N17" s="350"/>
    </row>
    <row r="18" spans="1:14">
      <c r="A18" s="209">
        <f t="shared" si="0"/>
        <v>15</v>
      </c>
      <c r="B18" s="214" t="s">
        <v>161</v>
      </c>
      <c r="C18" s="215">
        <v>2014491</v>
      </c>
      <c r="D18" s="281"/>
      <c r="E18" s="299"/>
      <c r="F18" s="299"/>
      <c r="G18" s="350"/>
      <c r="H18" s="350"/>
      <c r="I18" s="350"/>
      <c r="J18" s="350"/>
      <c r="K18" s="350"/>
      <c r="L18" s="350"/>
      <c r="M18" s="350"/>
      <c r="N18" s="350"/>
    </row>
    <row r="19" spans="1:14">
      <c r="A19" s="209">
        <f t="shared" si="0"/>
        <v>16</v>
      </c>
      <c r="B19" s="214" t="s">
        <v>165</v>
      </c>
      <c r="C19" s="215">
        <v>6414877</v>
      </c>
      <c r="D19" s="281"/>
      <c r="E19" s="299"/>
      <c r="F19" s="299"/>
      <c r="G19" s="350"/>
      <c r="H19" s="350"/>
      <c r="I19" s="350"/>
      <c r="J19" s="350"/>
      <c r="K19" s="350"/>
      <c r="L19" s="350"/>
      <c r="M19" s="350"/>
      <c r="N19" s="350"/>
    </row>
    <row r="20" spans="1:14">
      <c r="A20" s="209">
        <f t="shared" si="0"/>
        <v>17</v>
      </c>
      <c r="B20" s="214" t="s">
        <v>168</v>
      </c>
      <c r="C20" s="215">
        <v>5369223</v>
      </c>
      <c r="D20" s="216" t="s">
        <v>870</v>
      </c>
      <c r="E20" s="263">
        <v>44593</v>
      </c>
      <c r="F20" s="263">
        <v>45657</v>
      </c>
      <c r="G20" s="351">
        <v>0</v>
      </c>
      <c r="H20" s="351">
        <v>0</v>
      </c>
      <c r="I20" s="351">
        <v>0</v>
      </c>
      <c r="J20" s="351">
        <v>0</v>
      </c>
      <c r="K20" s="351">
        <v>75947.5</v>
      </c>
      <c r="L20" s="351">
        <v>0</v>
      </c>
      <c r="M20" s="351">
        <v>0</v>
      </c>
      <c r="N20" s="351">
        <v>75947.5</v>
      </c>
    </row>
    <row r="21" spans="1:14" ht="25.5">
      <c r="A21" s="209">
        <f t="shared" si="0"/>
        <v>18</v>
      </c>
      <c r="B21" s="214" t="s">
        <v>169</v>
      </c>
      <c r="C21" s="215">
        <v>5294088</v>
      </c>
      <c r="D21" s="216" t="s">
        <v>9027</v>
      </c>
      <c r="E21" s="263">
        <v>44927</v>
      </c>
      <c r="F21" s="263">
        <v>45291</v>
      </c>
      <c r="G21" s="351">
        <v>0</v>
      </c>
      <c r="H21" s="351">
        <v>0</v>
      </c>
      <c r="I21" s="351">
        <v>0</v>
      </c>
      <c r="J21" s="351">
        <v>0</v>
      </c>
      <c r="K21" s="351">
        <v>0</v>
      </c>
      <c r="L21" s="351">
        <v>34297700</v>
      </c>
      <c r="M21" s="351">
        <v>0</v>
      </c>
      <c r="N21" s="351">
        <v>0</v>
      </c>
    </row>
    <row r="22" spans="1:14">
      <c r="A22" s="209">
        <f t="shared" si="0"/>
        <v>19</v>
      </c>
      <c r="B22" s="214" t="s">
        <v>173</v>
      </c>
      <c r="C22" s="215">
        <v>2855119</v>
      </c>
      <c r="D22" s="281"/>
      <c r="E22" s="299"/>
      <c r="F22" s="299"/>
      <c r="G22" s="350"/>
      <c r="H22" s="350"/>
      <c r="I22" s="350"/>
      <c r="J22" s="350"/>
      <c r="K22" s="350"/>
      <c r="L22" s="350"/>
      <c r="M22" s="350"/>
      <c r="N22" s="350"/>
    </row>
    <row r="23" spans="1:14" ht="38.25">
      <c r="A23" s="209">
        <f t="shared" si="0"/>
        <v>20</v>
      </c>
      <c r="B23" s="216" t="s">
        <v>174</v>
      </c>
      <c r="C23" s="217">
        <v>2094533</v>
      </c>
      <c r="D23" s="216" t="s">
        <v>9028</v>
      </c>
      <c r="E23" s="217" t="s">
        <v>8377</v>
      </c>
      <c r="F23" s="217" t="s">
        <v>8377</v>
      </c>
      <c r="G23" s="351">
        <v>0</v>
      </c>
      <c r="H23" s="351">
        <v>0</v>
      </c>
      <c r="I23" s="351">
        <v>0</v>
      </c>
      <c r="J23" s="351">
        <v>0</v>
      </c>
      <c r="K23" s="351">
        <v>0</v>
      </c>
      <c r="L23" s="351">
        <v>20190900</v>
      </c>
      <c r="M23" s="351">
        <v>0</v>
      </c>
      <c r="N23" s="351">
        <v>20190900</v>
      </c>
    </row>
    <row r="24" spans="1:14" ht="25.5">
      <c r="A24" s="209">
        <f t="shared" si="0"/>
        <v>21</v>
      </c>
      <c r="B24" s="216" t="s">
        <v>174</v>
      </c>
      <c r="C24" s="217">
        <v>2094533</v>
      </c>
      <c r="D24" s="216" t="s">
        <v>9029</v>
      </c>
      <c r="E24" s="217" t="s">
        <v>8377</v>
      </c>
      <c r="F24" s="217" t="s">
        <v>8377</v>
      </c>
      <c r="G24" s="351">
        <v>0</v>
      </c>
      <c r="H24" s="351">
        <v>0</v>
      </c>
      <c r="I24" s="351">
        <v>342</v>
      </c>
      <c r="J24" s="351">
        <v>1062200</v>
      </c>
      <c r="K24" s="351">
        <v>0</v>
      </c>
      <c r="L24" s="351">
        <v>0</v>
      </c>
      <c r="M24" s="351">
        <v>0</v>
      </c>
      <c r="N24" s="351">
        <v>0</v>
      </c>
    </row>
    <row r="25" spans="1:14" ht="25.5">
      <c r="A25" s="209">
        <f t="shared" si="0"/>
        <v>22</v>
      </c>
      <c r="B25" s="216" t="s">
        <v>174</v>
      </c>
      <c r="C25" s="217">
        <v>2094533</v>
      </c>
      <c r="D25" s="216" t="s">
        <v>9030</v>
      </c>
      <c r="E25" s="217" t="s">
        <v>8377</v>
      </c>
      <c r="F25" s="217" t="s">
        <v>8377</v>
      </c>
      <c r="G25" s="351">
        <v>0</v>
      </c>
      <c r="H25" s="351">
        <v>0</v>
      </c>
      <c r="I25" s="351">
        <v>348</v>
      </c>
      <c r="J25" s="351">
        <v>1128590</v>
      </c>
      <c r="K25" s="351">
        <v>0</v>
      </c>
      <c r="L25" s="351">
        <v>0</v>
      </c>
      <c r="M25" s="351">
        <v>0</v>
      </c>
      <c r="N25" s="351">
        <v>0</v>
      </c>
    </row>
    <row r="26" spans="1:14" ht="38.25">
      <c r="A26" s="209">
        <f t="shared" si="0"/>
        <v>23</v>
      </c>
      <c r="B26" s="216" t="s">
        <v>174</v>
      </c>
      <c r="C26" s="217">
        <v>2094533</v>
      </c>
      <c r="D26" s="216" t="s">
        <v>9028</v>
      </c>
      <c r="E26" s="217" t="s">
        <v>8377</v>
      </c>
      <c r="F26" s="217" t="s">
        <v>8377</v>
      </c>
      <c r="G26" s="351">
        <v>0</v>
      </c>
      <c r="H26" s="351">
        <v>0</v>
      </c>
      <c r="I26" s="351">
        <v>0</v>
      </c>
      <c r="J26" s="351">
        <v>0</v>
      </c>
      <c r="K26" s="351">
        <v>0</v>
      </c>
      <c r="L26" s="351">
        <v>20190900</v>
      </c>
      <c r="M26" s="351">
        <v>0</v>
      </c>
      <c r="N26" s="351">
        <v>20190900</v>
      </c>
    </row>
    <row r="27" spans="1:14" ht="38.25">
      <c r="A27" s="209">
        <f t="shared" si="0"/>
        <v>24</v>
      </c>
      <c r="B27" s="216" t="s">
        <v>174</v>
      </c>
      <c r="C27" s="217">
        <v>2094533</v>
      </c>
      <c r="D27" s="216" t="s">
        <v>9028</v>
      </c>
      <c r="E27" s="217" t="s">
        <v>8377</v>
      </c>
      <c r="F27" s="217" t="s">
        <v>8377</v>
      </c>
      <c r="G27" s="351">
        <v>0</v>
      </c>
      <c r="H27" s="351">
        <v>0</v>
      </c>
      <c r="I27" s="351">
        <v>0</v>
      </c>
      <c r="J27" s="351">
        <v>0</v>
      </c>
      <c r="K27" s="351">
        <v>0</v>
      </c>
      <c r="L27" s="351">
        <v>20190900</v>
      </c>
      <c r="M27" s="351">
        <v>0</v>
      </c>
      <c r="N27" s="351">
        <v>20190900</v>
      </c>
    </row>
    <row r="28" spans="1:14" ht="25.5">
      <c r="A28" s="209">
        <f t="shared" si="0"/>
        <v>25</v>
      </c>
      <c r="B28" s="216" t="s">
        <v>174</v>
      </c>
      <c r="C28" s="217">
        <v>2094533</v>
      </c>
      <c r="D28" s="216" t="s">
        <v>9031</v>
      </c>
      <c r="E28" s="217" t="s">
        <v>8377</v>
      </c>
      <c r="F28" s="217" t="s">
        <v>8377</v>
      </c>
      <c r="G28" s="351">
        <v>0</v>
      </c>
      <c r="H28" s="351">
        <v>0</v>
      </c>
      <c r="I28" s="351">
        <v>116</v>
      </c>
      <c r="J28" s="351">
        <v>380523</v>
      </c>
      <c r="K28" s="351">
        <v>0</v>
      </c>
      <c r="L28" s="351">
        <v>0</v>
      </c>
      <c r="M28" s="351">
        <v>0</v>
      </c>
      <c r="N28" s="351">
        <v>0</v>
      </c>
    </row>
    <row r="29" spans="1:14">
      <c r="A29" s="209">
        <f t="shared" si="0"/>
        <v>26</v>
      </c>
      <c r="B29" s="216" t="s">
        <v>174</v>
      </c>
      <c r="C29" s="217">
        <v>2094533</v>
      </c>
      <c r="D29" s="216" t="s">
        <v>9032</v>
      </c>
      <c r="E29" s="217" t="s">
        <v>8377</v>
      </c>
      <c r="F29" s="217" t="s">
        <v>8377</v>
      </c>
      <c r="G29" s="351">
        <v>0</v>
      </c>
      <c r="H29" s="351">
        <v>1056</v>
      </c>
      <c r="I29" s="351">
        <v>0</v>
      </c>
      <c r="J29" s="351">
        <v>3115200</v>
      </c>
      <c r="K29" s="351">
        <v>0</v>
      </c>
      <c r="L29" s="351">
        <v>0</v>
      </c>
      <c r="M29" s="351">
        <v>0</v>
      </c>
      <c r="N29" s="351">
        <v>0</v>
      </c>
    </row>
    <row r="30" spans="1:14">
      <c r="A30" s="209">
        <f t="shared" si="0"/>
        <v>27</v>
      </c>
      <c r="B30" s="244" t="s">
        <v>174</v>
      </c>
      <c r="C30" s="215">
        <v>2094533</v>
      </c>
      <c r="D30" s="216" t="s">
        <v>9033</v>
      </c>
      <c r="E30" s="217" t="s">
        <v>8377</v>
      </c>
      <c r="F30" s="217" t="s">
        <v>8377</v>
      </c>
      <c r="G30" s="351">
        <v>0</v>
      </c>
      <c r="H30" s="351">
        <v>31</v>
      </c>
      <c r="I30" s="351">
        <v>0</v>
      </c>
      <c r="J30" s="351">
        <v>90210</v>
      </c>
      <c r="K30" s="351">
        <v>0</v>
      </c>
      <c r="L30" s="351">
        <v>0</v>
      </c>
      <c r="M30" s="351">
        <v>0</v>
      </c>
      <c r="N30" s="351">
        <v>0</v>
      </c>
    </row>
    <row r="31" spans="1:14">
      <c r="A31" s="209">
        <f t="shared" si="0"/>
        <v>28</v>
      </c>
      <c r="B31" s="214" t="s">
        <v>175</v>
      </c>
      <c r="C31" s="215">
        <v>5722942</v>
      </c>
      <c r="D31" s="281"/>
      <c r="E31" s="299"/>
      <c r="F31" s="299"/>
      <c r="G31" s="350"/>
      <c r="H31" s="350"/>
      <c r="I31" s="350"/>
      <c r="J31" s="350"/>
      <c r="K31" s="350"/>
      <c r="L31" s="350"/>
      <c r="M31" s="350"/>
      <c r="N31" s="350"/>
    </row>
    <row r="32" spans="1:14">
      <c r="A32" s="209">
        <f t="shared" si="0"/>
        <v>29</v>
      </c>
      <c r="B32" s="214" t="s">
        <v>176</v>
      </c>
      <c r="C32" s="215">
        <v>2867494</v>
      </c>
      <c r="D32" s="281"/>
      <c r="E32" s="299"/>
      <c r="F32" s="299"/>
      <c r="G32" s="350"/>
      <c r="H32" s="350"/>
      <c r="I32" s="350"/>
      <c r="J32" s="350"/>
      <c r="K32" s="350"/>
      <c r="L32" s="350"/>
      <c r="M32" s="350"/>
      <c r="N32" s="350"/>
    </row>
    <row r="33" spans="1:14">
      <c r="A33" s="209">
        <f t="shared" si="0"/>
        <v>30</v>
      </c>
      <c r="B33" s="214" t="s">
        <v>177</v>
      </c>
      <c r="C33" s="215">
        <v>6463932</v>
      </c>
      <c r="D33" s="281"/>
      <c r="E33" s="299"/>
      <c r="F33" s="299"/>
      <c r="G33" s="350"/>
      <c r="H33" s="350"/>
      <c r="I33" s="350"/>
      <c r="J33" s="350"/>
      <c r="K33" s="350"/>
      <c r="L33" s="350"/>
      <c r="M33" s="350"/>
      <c r="N33" s="350"/>
    </row>
    <row r="34" spans="1:14">
      <c r="A34" s="209">
        <f t="shared" si="0"/>
        <v>31</v>
      </c>
      <c r="B34" s="214" t="s">
        <v>178</v>
      </c>
      <c r="C34" s="215">
        <v>5260833</v>
      </c>
      <c r="D34" s="281"/>
      <c r="E34" s="299"/>
      <c r="F34" s="299"/>
      <c r="G34" s="350"/>
      <c r="H34" s="350"/>
      <c r="I34" s="350"/>
      <c r="J34" s="350"/>
      <c r="K34" s="350"/>
      <c r="L34" s="350"/>
      <c r="M34" s="350"/>
      <c r="N34" s="350"/>
    </row>
    <row r="35" spans="1:14">
      <c r="A35" s="209">
        <f t="shared" si="0"/>
        <v>32</v>
      </c>
      <c r="B35" s="214" t="s">
        <v>179</v>
      </c>
      <c r="C35" s="215">
        <v>2051303</v>
      </c>
      <c r="D35" s="281"/>
      <c r="E35" s="299"/>
      <c r="F35" s="299"/>
      <c r="G35" s="350"/>
      <c r="H35" s="350"/>
      <c r="I35" s="350"/>
      <c r="J35" s="350"/>
      <c r="K35" s="350"/>
      <c r="L35" s="350"/>
      <c r="M35" s="350"/>
      <c r="N35" s="350"/>
    </row>
    <row r="36" spans="1:14">
      <c r="A36" s="209">
        <f t="shared" si="0"/>
        <v>33</v>
      </c>
      <c r="B36" s="214" t="s">
        <v>183</v>
      </c>
      <c r="C36" s="215">
        <v>2061848</v>
      </c>
      <c r="D36" s="281"/>
      <c r="E36" s="299"/>
      <c r="F36" s="299"/>
      <c r="G36" s="350"/>
      <c r="H36" s="350"/>
      <c r="I36" s="350"/>
      <c r="J36" s="350"/>
      <c r="K36" s="350"/>
      <c r="L36" s="350"/>
      <c r="M36" s="350"/>
      <c r="N36" s="350"/>
    </row>
    <row r="37" spans="1:14">
      <c r="A37" s="209">
        <f t="shared" si="0"/>
        <v>34</v>
      </c>
      <c r="B37" s="214" t="s">
        <v>185</v>
      </c>
      <c r="C37" s="215">
        <v>2766337</v>
      </c>
      <c r="D37" s="281"/>
      <c r="E37" s="299"/>
      <c r="F37" s="299"/>
      <c r="G37" s="350"/>
      <c r="H37" s="350"/>
      <c r="I37" s="350"/>
      <c r="J37" s="350"/>
      <c r="K37" s="350"/>
      <c r="L37" s="350"/>
      <c r="M37" s="350"/>
      <c r="N37" s="350"/>
    </row>
    <row r="38" spans="1:14">
      <c r="A38" s="209">
        <f t="shared" si="0"/>
        <v>35</v>
      </c>
      <c r="B38" s="214" t="s">
        <v>187</v>
      </c>
      <c r="C38" s="215">
        <v>5810086</v>
      </c>
      <c r="D38" s="281"/>
      <c r="E38" s="299"/>
      <c r="F38" s="299"/>
      <c r="G38" s="350"/>
      <c r="H38" s="350"/>
      <c r="I38" s="350"/>
      <c r="J38" s="350"/>
      <c r="K38" s="350"/>
      <c r="L38" s="350"/>
      <c r="M38" s="350"/>
      <c r="N38" s="350"/>
    </row>
    <row r="39" spans="1:14">
      <c r="A39" s="209">
        <f t="shared" si="0"/>
        <v>36</v>
      </c>
      <c r="B39" s="214" t="s">
        <v>188</v>
      </c>
      <c r="C39" s="215">
        <v>5217652</v>
      </c>
      <c r="D39" s="281"/>
      <c r="E39" s="299"/>
      <c r="F39" s="299"/>
      <c r="G39" s="350"/>
      <c r="H39" s="350"/>
      <c r="I39" s="350"/>
      <c r="J39" s="350"/>
      <c r="K39" s="350"/>
      <c r="L39" s="350"/>
      <c r="M39" s="350"/>
      <c r="N39" s="350"/>
    </row>
    <row r="40" spans="1:14">
      <c r="A40" s="209">
        <f t="shared" si="0"/>
        <v>37</v>
      </c>
      <c r="B40" s="214" t="s">
        <v>189</v>
      </c>
      <c r="C40" s="215">
        <v>2780518</v>
      </c>
      <c r="D40" s="281"/>
      <c r="E40" s="299"/>
      <c r="F40" s="299"/>
      <c r="G40" s="350"/>
      <c r="H40" s="350"/>
      <c r="I40" s="350"/>
      <c r="J40" s="350"/>
      <c r="K40" s="350"/>
      <c r="L40" s="350"/>
      <c r="M40" s="350"/>
      <c r="N40" s="350"/>
    </row>
    <row r="41" spans="1:14">
      <c r="A41" s="209">
        <f t="shared" si="0"/>
        <v>38</v>
      </c>
      <c r="B41" s="214" t="s">
        <v>193</v>
      </c>
      <c r="C41" s="215">
        <v>5272378</v>
      </c>
      <c r="D41" s="281"/>
      <c r="E41" s="299"/>
      <c r="F41" s="299"/>
      <c r="G41" s="350"/>
      <c r="H41" s="350"/>
      <c r="I41" s="350"/>
      <c r="J41" s="350"/>
      <c r="K41" s="350"/>
      <c r="L41" s="350"/>
      <c r="M41" s="350"/>
      <c r="N41" s="350"/>
    </row>
    <row r="42" spans="1:14">
      <c r="A42" s="209">
        <f t="shared" si="0"/>
        <v>39</v>
      </c>
      <c r="B42" s="214" t="s">
        <v>194</v>
      </c>
      <c r="C42" s="215">
        <v>5467268</v>
      </c>
      <c r="D42" s="281"/>
      <c r="E42" s="299"/>
      <c r="F42" s="299"/>
      <c r="G42" s="350"/>
      <c r="H42" s="350"/>
      <c r="I42" s="350"/>
      <c r="J42" s="350"/>
      <c r="K42" s="350"/>
      <c r="L42" s="350"/>
      <c r="M42" s="350"/>
      <c r="N42" s="350"/>
    </row>
    <row r="43" spans="1:14">
      <c r="A43" s="209">
        <f t="shared" si="0"/>
        <v>40</v>
      </c>
      <c r="B43" s="214" t="s">
        <v>196</v>
      </c>
      <c r="C43" s="215">
        <v>5522935</v>
      </c>
      <c r="D43" s="216" t="s">
        <v>9026</v>
      </c>
      <c r="E43" s="263">
        <v>44927</v>
      </c>
      <c r="F43" s="263">
        <v>45291</v>
      </c>
      <c r="G43" s="351">
        <v>0</v>
      </c>
      <c r="H43" s="351">
        <v>0</v>
      </c>
      <c r="I43" s="351">
        <v>0</v>
      </c>
      <c r="J43" s="351">
        <v>0</v>
      </c>
      <c r="K43" s="351">
        <v>0</v>
      </c>
      <c r="L43" s="351">
        <v>83284.7</v>
      </c>
      <c r="M43" s="351">
        <v>48747.7</v>
      </c>
      <c r="N43" s="351">
        <v>132032</v>
      </c>
    </row>
    <row r="44" spans="1:14">
      <c r="A44" s="209">
        <f t="shared" si="0"/>
        <v>41</v>
      </c>
      <c r="B44" s="214" t="s">
        <v>197</v>
      </c>
      <c r="C44" s="215">
        <v>5528089</v>
      </c>
      <c r="D44" s="281"/>
      <c r="E44" s="299"/>
      <c r="F44" s="299"/>
      <c r="G44" s="350"/>
      <c r="H44" s="350"/>
      <c r="I44" s="350"/>
      <c r="J44" s="350"/>
      <c r="K44" s="350"/>
      <c r="L44" s="350"/>
      <c r="M44" s="350"/>
      <c r="N44" s="350"/>
    </row>
    <row r="45" spans="1:14">
      <c r="A45" s="209">
        <f t="shared" si="0"/>
        <v>42</v>
      </c>
      <c r="B45" s="214" t="s">
        <v>198</v>
      </c>
      <c r="C45" s="215">
        <v>5396662</v>
      </c>
      <c r="D45" s="281"/>
      <c r="E45" s="299"/>
      <c r="F45" s="299"/>
      <c r="G45" s="350"/>
      <c r="H45" s="350"/>
      <c r="I45" s="350"/>
      <c r="J45" s="350"/>
      <c r="K45" s="350"/>
      <c r="L45" s="350"/>
      <c r="M45" s="350"/>
      <c r="N45" s="350"/>
    </row>
    <row r="46" spans="1:14">
      <c r="A46" s="209">
        <f t="shared" si="0"/>
        <v>43</v>
      </c>
      <c r="B46" s="214" t="s">
        <v>199</v>
      </c>
      <c r="C46" s="215">
        <v>5830974</v>
      </c>
      <c r="D46" s="281"/>
      <c r="E46" s="299"/>
      <c r="F46" s="299"/>
      <c r="G46" s="350"/>
      <c r="H46" s="350"/>
      <c r="I46" s="350"/>
      <c r="J46" s="350"/>
      <c r="K46" s="350"/>
      <c r="L46" s="350"/>
      <c r="M46" s="350"/>
      <c r="N46" s="350"/>
    </row>
    <row r="47" spans="1:14">
      <c r="A47" s="209">
        <f t="shared" si="0"/>
        <v>44</v>
      </c>
      <c r="B47" s="214" t="s">
        <v>201</v>
      </c>
      <c r="C47" s="215">
        <v>2057573</v>
      </c>
      <c r="D47" s="281"/>
      <c r="E47" s="299"/>
      <c r="F47" s="299"/>
      <c r="G47" s="350"/>
      <c r="H47" s="350"/>
      <c r="I47" s="350"/>
      <c r="J47" s="350"/>
      <c r="K47" s="350"/>
      <c r="L47" s="350"/>
      <c r="M47" s="350"/>
      <c r="N47" s="350"/>
    </row>
    <row r="48" spans="1:14">
      <c r="A48" s="209">
        <f t="shared" si="0"/>
        <v>45</v>
      </c>
      <c r="B48" s="214" t="s">
        <v>202</v>
      </c>
      <c r="C48" s="215">
        <v>5699134</v>
      </c>
      <c r="D48" s="281"/>
      <c r="E48" s="299"/>
      <c r="F48" s="299"/>
      <c r="G48" s="350"/>
      <c r="H48" s="350"/>
      <c r="I48" s="350"/>
      <c r="J48" s="350"/>
      <c r="K48" s="350"/>
      <c r="L48" s="350"/>
      <c r="M48" s="350"/>
      <c r="N48" s="350"/>
    </row>
    <row r="49" spans="1:14">
      <c r="A49" s="209">
        <f t="shared" si="0"/>
        <v>46</v>
      </c>
      <c r="B49" s="214" t="s">
        <v>203</v>
      </c>
      <c r="C49" s="215">
        <v>5412153</v>
      </c>
      <c r="D49" s="281"/>
      <c r="E49" s="299"/>
      <c r="F49" s="299"/>
      <c r="G49" s="350"/>
      <c r="H49" s="350"/>
      <c r="I49" s="350"/>
      <c r="J49" s="350"/>
      <c r="K49" s="350"/>
      <c r="L49" s="350"/>
      <c r="M49" s="350"/>
      <c r="N49" s="350"/>
    </row>
    <row r="50" spans="1:14">
      <c r="A50" s="209">
        <f t="shared" si="0"/>
        <v>47</v>
      </c>
      <c r="B50" s="214" t="s">
        <v>204</v>
      </c>
      <c r="C50" s="215">
        <v>2034859</v>
      </c>
      <c r="D50" s="216" t="s">
        <v>9034</v>
      </c>
      <c r="E50" s="263">
        <v>44928</v>
      </c>
      <c r="F50" s="263">
        <v>45291</v>
      </c>
      <c r="G50" s="351">
        <v>0</v>
      </c>
      <c r="H50" s="351">
        <v>0</v>
      </c>
      <c r="I50" s="351">
        <v>0</v>
      </c>
      <c r="J50" s="351">
        <v>0</v>
      </c>
      <c r="K50" s="351">
        <v>0</v>
      </c>
      <c r="L50" s="351">
        <v>68020.5</v>
      </c>
      <c r="M50" s="351">
        <v>0</v>
      </c>
      <c r="N50" s="351">
        <v>68020.5</v>
      </c>
    </row>
    <row r="51" spans="1:14">
      <c r="A51" s="209">
        <f t="shared" si="0"/>
        <v>48</v>
      </c>
      <c r="B51" s="214" t="s">
        <v>208</v>
      </c>
      <c r="C51" s="215">
        <v>5253535</v>
      </c>
      <c r="D51" s="281"/>
      <c r="E51" s="299"/>
      <c r="F51" s="299"/>
      <c r="G51" s="350"/>
      <c r="H51" s="350"/>
      <c r="I51" s="350"/>
      <c r="J51" s="350"/>
      <c r="K51" s="350"/>
      <c r="L51" s="350"/>
      <c r="M51" s="350"/>
      <c r="N51" s="350"/>
    </row>
    <row r="52" spans="1:14">
      <c r="A52" s="209">
        <f t="shared" si="0"/>
        <v>49</v>
      </c>
      <c r="B52" s="214" t="s">
        <v>210</v>
      </c>
      <c r="C52" s="215">
        <v>5150884</v>
      </c>
      <c r="D52" s="281"/>
      <c r="E52" s="299"/>
      <c r="F52" s="299"/>
      <c r="G52" s="350"/>
      <c r="H52" s="350"/>
      <c r="I52" s="350"/>
      <c r="J52" s="350"/>
      <c r="K52" s="350"/>
      <c r="L52" s="350"/>
      <c r="M52" s="350"/>
      <c r="N52" s="350"/>
    </row>
    <row r="53" spans="1:14">
      <c r="A53" s="209">
        <f t="shared" si="0"/>
        <v>50</v>
      </c>
      <c r="B53" s="214" t="s">
        <v>211</v>
      </c>
      <c r="C53" s="215">
        <v>5051304</v>
      </c>
      <c r="D53" s="281"/>
      <c r="E53" s="299"/>
      <c r="F53" s="299"/>
      <c r="G53" s="350"/>
      <c r="H53" s="350"/>
      <c r="I53" s="350"/>
      <c r="J53" s="350"/>
      <c r="K53" s="350"/>
      <c r="L53" s="350"/>
      <c r="M53" s="350"/>
      <c r="N53" s="350"/>
    </row>
    <row r="54" spans="1:14">
      <c r="A54" s="209">
        <f t="shared" si="0"/>
        <v>51</v>
      </c>
      <c r="B54" s="214" t="s">
        <v>213</v>
      </c>
      <c r="C54" s="215">
        <v>5401801</v>
      </c>
      <c r="D54" s="281"/>
      <c r="E54" s="299"/>
      <c r="F54" s="299"/>
      <c r="G54" s="350"/>
      <c r="H54" s="350"/>
      <c r="I54" s="350"/>
      <c r="J54" s="350"/>
      <c r="K54" s="350"/>
      <c r="L54" s="350"/>
      <c r="M54" s="350"/>
      <c r="N54" s="350"/>
    </row>
    <row r="55" spans="1:14">
      <c r="A55" s="209">
        <f t="shared" si="0"/>
        <v>52</v>
      </c>
      <c r="B55" s="216" t="s">
        <v>214</v>
      </c>
      <c r="C55" s="217">
        <v>2550466</v>
      </c>
      <c r="D55" s="216" t="s">
        <v>9035</v>
      </c>
      <c r="E55" s="263">
        <v>44644</v>
      </c>
      <c r="F55" s="263">
        <v>45373</v>
      </c>
      <c r="G55" s="351">
        <v>0</v>
      </c>
      <c r="H55" s="351">
        <v>0</v>
      </c>
      <c r="I55" s="351">
        <v>0</v>
      </c>
      <c r="J55" s="351">
        <v>1562380</v>
      </c>
      <c r="K55" s="351">
        <v>0</v>
      </c>
      <c r="L55" s="351">
        <v>0</v>
      </c>
      <c r="M55" s="351">
        <v>0</v>
      </c>
      <c r="N55" s="351">
        <v>1562380</v>
      </c>
    </row>
    <row r="56" spans="1:14">
      <c r="A56" s="209">
        <f t="shared" si="0"/>
        <v>53</v>
      </c>
      <c r="B56" s="216" t="s">
        <v>214</v>
      </c>
      <c r="C56" s="217">
        <v>2550466</v>
      </c>
      <c r="D56" s="216" t="s">
        <v>9036</v>
      </c>
      <c r="E56" s="263">
        <v>44927</v>
      </c>
      <c r="F56" s="263">
        <v>45291</v>
      </c>
      <c r="G56" s="351">
        <v>0</v>
      </c>
      <c r="H56" s="351">
        <v>0</v>
      </c>
      <c r="I56" s="351">
        <v>0</v>
      </c>
      <c r="J56" s="351">
        <v>0</v>
      </c>
      <c r="K56" s="351">
        <v>14106500</v>
      </c>
      <c r="L56" s="351">
        <v>0</v>
      </c>
      <c r="M56" s="351">
        <v>0</v>
      </c>
      <c r="N56" s="351">
        <v>14106500</v>
      </c>
    </row>
    <row r="57" spans="1:14" ht="38.25">
      <c r="A57" s="209">
        <f t="shared" si="0"/>
        <v>54</v>
      </c>
      <c r="B57" s="244" t="s">
        <v>214</v>
      </c>
      <c r="C57" s="215">
        <v>2550466</v>
      </c>
      <c r="D57" s="216" t="s">
        <v>9037</v>
      </c>
      <c r="E57" s="263">
        <v>44927</v>
      </c>
      <c r="F57" s="263">
        <v>45291</v>
      </c>
      <c r="G57" s="351">
        <v>0</v>
      </c>
      <c r="H57" s="351">
        <v>0</v>
      </c>
      <c r="I57" s="351">
        <v>0</v>
      </c>
      <c r="J57" s="351">
        <v>0</v>
      </c>
      <c r="K57" s="351">
        <v>1264940</v>
      </c>
      <c r="L57" s="351">
        <v>0</v>
      </c>
      <c r="M57" s="351">
        <v>0</v>
      </c>
      <c r="N57" s="351">
        <v>1264940</v>
      </c>
    </row>
    <row r="58" spans="1:14">
      <c r="A58" s="209">
        <f t="shared" si="0"/>
        <v>55</v>
      </c>
      <c r="B58" s="214" t="s">
        <v>216</v>
      </c>
      <c r="C58" s="215">
        <v>5051134</v>
      </c>
      <c r="D58" s="216" t="s">
        <v>9038</v>
      </c>
      <c r="E58" s="263">
        <v>44927</v>
      </c>
      <c r="F58" s="263">
        <v>45291</v>
      </c>
      <c r="G58" s="351">
        <v>0</v>
      </c>
      <c r="H58" s="351">
        <v>0</v>
      </c>
      <c r="I58" s="351">
        <v>0</v>
      </c>
      <c r="J58" s="351">
        <v>0</v>
      </c>
      <c r="K58" s="351">
        <v>0</v>
      </c>
      <c r="L58" s="351">
        <v>0</v>
      </c>
      <c r="M58" s="351">
        <v>0</v>
      </c>
      <c r="N58" s="351">
        <v>638297</v>
      </c>
    </row>
    <row r="59" spans="1:14">
      <c r="A59" s="209">
        <f t="shared" si="0"/>
        <v>56</v>
      </c>
      <c r="B59" s="469" t="s">
        <v>217</v>
      </c>
      <c r="C59" s="460">
        <v>2095025</v>
      </c>
      <c r="D59" s="282"/>
      <c r="E59" s="311"/>
      <c r="F59" s="311"/>
      <c r="G59" s="352"/>
      <c r="H59" s="352"/>
      <c r="I59" s="352"/>
      <c r="J59" s="352"/>
      <c r="K59" s="352"/>
      <c r="L59" s="352"/>
      <c r="M59" s="352"/>
      <c r="N59" s="352"/>
    </row>
    <row r="60" spans="1:14">
      <c r="A60" s="209">
        <f t="shared" si="0"/>
        <v>57</v>
      </c>
      <c r="B60" s="214" t="s">
        <v>218</v>
      </c>
      <c r="C60" s="215">
        <v>2045931</v>
      </c>
      <c r="D60" s="281"/>
      <c r="E60" s="299"/>
      <c r="F60" s="299"/>
      <c r="G60" s="350"/>
      <c r="H60" s="350"/>
      <c r="I60" s="350"/>
      <c r="J60" s="350"/>
      <c r="K60" s="350"/>
      <c r="L60" s="350"/>
      <c r="M60" s="353"/>
      <c r="N60" s="350"/>
    </row>
    <row r="61" spans="1:14">
      <c r="A61" s="209">
        <f t="shared" si="0"/>
        <v>58</v>
      </c>
      <c r="B61" s="214" t="s">
        <v>219</v>
      </c>
      <c r="C61" s="215">
        <v>2029278</v>
      </c>
      <c r="D61" s="281"/>
      <c r="E61" s="299"/>
      <c r="F61" s="299"/>
      <c r="G61" s="350"/>
      <c r="H61" s="350"/>
      <c r="I61" s="350"/>
      <c r="J61" s="350"/>
      <c r="K61" s="350"/>
      <c r="L61" s="350"/>
      <c r="M61" s="353"/>
      <c r="N61" s="350"/>
    </row>
    <row r="62" spans="1:14">
      <c r="A62" s="209">
        <f t="shared" si="0"/>
        <v>59</v>
      </c>
      <c r="B62" s="214" t="s">
        <v>220</v>
      </c>
      <c r="C62" s="215">
        <v>5106567</v>
      </c>
      <c r="D62" s="216" t="s">
        <v>9036</v>
      </c>
      <c r="E62" s="263">
        <v>44927</v>
      </c>
      <c r="F62" s="263">
        <v>45291</v>
      </c>
      <c r="G62" s="351">
        <v>0</v>
      </c>
      <c r="H62" s="351">
        <v>0</v>
      </c>
      <c r="I62" s="351">
        <v>0</v>
      </c>
      <c r="J62" s="351">
        <v>0</v>
      </c>
      <c r="K62" s="351">
        <v>7981090</v>
      </c>
      <c r="L62" s="351">
        <v>0</v>
      </c>
      <c r="M62" s="470">
        <v>0</v>
      </c>
      <c r="N62" s="351">
        <v>7981090</v>
      </c>
    </row>
    <row r="63" spans="1:14">
      <c r="A63" s="209">
        <f t="shared" si="0"/>
        <v>60</v>
      </c>
      <c r="B63" s="214" t="s">
        <v>222</v>
      </c>
      <c r="C63" s="215">
        <v>5141583</v>
      </c>
      <c r="D63" s="216" t="s">
        <v>9039</v>
      </c>
      <c r="E63" s="263">
        <v>44927</v>
      </c>
      <c r="F63" s="263">
        <v>45291</v>
      </c>
      <c r="G63" s="351">
        <v>0</v>
      </c>
      <c r="H63" s="351">
        <v>0</v>
      </c>
      <c r="I63" s="351">
        <v>0</v>
      </c>
      <c r="J63" s="351">
        <v>0</v>
      </c>
      <c r="K63" s="351">
        <v>0</v>
      </c>
      <c r="L63" s="351">
        <v>533534</v>
      </c>
      <c r="M63" s="470">
        <v>0</v>
      </c>
      <c r="N63" s="351">
        <v>0</v>
      </c>
    </row>
    <row r="64" spans="1:14">
      <c r="A64" s="209">
        <f t="shared" si="0"/>
        <v>61</v>
      </c>
      <c r="B64" s="214" t="s">
        <v>223</v>
      </c>
      <c r="C64" s="215">
        <v>5118115</v>
      </c>
      <c r="D64" s="214"/>
      <c r="E64" s="299"/>
      <c r="F64" s="299"/>
      <c r="G64" s="350"/>
      <c r="H64" s="350"/>
      <c r="I64" s="350"/>
      <c r="J64" s="350"/>
      <c r="K64" s="350"/>
      <c r="L64" s="350"/>
      <c r="M64" s="353"/>
      <c r="N64" s="350"/>
    </row>
    <row r="65" spans="1:16">
      <c r="A65" s="209">
        <f t="shared" si="0"/>
        <v>62</v>
      </c>
      <c r="B65" s="214" t="s">
        <v>224</v>
      </c>
      <c r="C65" s="215">
        <v>5106656</v>
      </c>
      <c r="D65" s="281"/>
      <c r="E65" s="299"/>
      <c r="F65" s="299"/>
      <c r="G65" s="350"/>
      <c r="H65" s="350"/>
      <c r="I65" s="350"/>
      <c r="J65" s="350"/>
      <c r="K65" s="350"/>
      <c r="L65" s="350"/>
      <c r="M65" s="353"/>
      <c r="N65" s="350"/>
    </row>
    <row r="66" spans="1:16">
      <c r="A66" s="209">
        <f t="shared" si="0"/>
        <v>63</v>
      </c>
      <c r="B66" s="214" t="s">
        <v>225</v>
      </c>
      <c r="C66" s="460">
        <v>2010895</v>
      </c>
      <c r="D66" s="216" t="s">
        <v>9040</v>
      </c>
      <c r="E66" s="263">
        <v>44927</v>
      </c>
      <c r="F66" s="263">
        <v>45291</v>
      </c>
      <c r="G66" s="351">
        <v>0</v>
      </c>
      <c r="H66" s="351">
        <v>0</v>
      </c>
      <c r="I66" s="351">
        <v>0</v>
      </c>
      <c r="J66" s="351">
        <v>0</v>
      </c>
      <c r="K66" s="351">
        <v>0</v>
      </c>
      <c r="L66" s="351">
        <v>94499.6</v>
      </c>
      <c r="M66" s="470">
        <v>0</v>
      </c>
      <c r="N66" s="351">
        <v>94499.6</v>
      </c>
    </row>
    <row r="67" spans="1:16" ht="25.5">
      <c r="A67" s="209">
        <f t="shared" si="0"/>
        <v>64</v>
      </c>
      <c r="B67" s="455" t="s">
        <v>227</v>
      </c>
      <c r="C67" s="385">
        <v>5295858</v>
      </c>
      <c r="D67" s="384" t="s">
        <v>9041</v>
      </c>
      <c r="E67" s="217" t="s">
        <v>8377</v>
      </c>
      <c r="F67" s="217" t="s">
        <v>8377</v>
      </c>
      <c r="G67" s="351">
        <v>0</v>
      </c>
      <c r="H67" s="382">
        <v>182.96</v>
      </c>
      <c r="I67" s="351">
        <v>0</v>
      </c>
      <c r="J67" s="381">
        <v>585870</v>
      </c>
      <c r="K67" s="351">
        <v>0</v>
      </c>
      <c r="L67" s="351">
        <v>0</v>
      </c>
      <c r="M67" s="351">
        <v>0</v>
      </c>
      <c r="N67" s="351">
        <v>0</v>
      </c>
    </row>
    <row r="68" spans="1:16" ht="25.5">
      <c r="A68" s="209">
        <f t="shared" si="0"/>
        <v>65</v>
      </c>
      <c r="B68" s="455" t="s">
        <v>227</v>
      </c>
      <c r="C68" s="385">
        <v>5295858</v>
      </c>
      <c r="D68" s="384" t="s">
        <v>9042</v>
      </c>
      <c r="E68" s="217" t="s">
        <v>8377</v>
      </c>
      <c r="F68" s="217" t="s">
        <v>8377</v>
      </c>
      <c r="G68" s="351">
        <v>0</v>
      </c>
      <c r="H68" s="381">
        <v>34</v>
      </c>
      <c r="I68" s="351">
        <v>0</v>
      </c>
      <c r="J68" s="381">
        <v>105930</v>
      </c>
      <c r="K68" s="351">
        <v>0</v>
      </c>
      <c r="L68" s="351">
        <v>0</v>
      </c>
      <c r="M68" s="351">
        <v>0</v>
      </c>
      <c r="N68" s="351">
        <v>0</v>
      </c>
      <c r="P68" s="383">
        <v>5295858</v>
      </c>
    </row>
    <row r="69" spans="1:16">
      <c r="A69" s="209">
        <f t="shared" si="0"/>
        <v>66</v>
      </c>
      <c r="B69" s="214" t="s">
        <v>228</v>
      </c>
      <c r="C69" s="471">
        <v>6287727</v>
      </c>
      <c r="D69" s="216" t="s">
        <v>9036</v>
      </c>
      <c r="E69" s="263">
        <v>45292</v>
      </c>
      <c r="F69" s="263">
        <v>45657</v>
      </c>
      <c r="G69" s="351">
        <v>0</v>
      </c>
      <c r="H69" s="351">
        <v>0</v>
      </c>
      <c r="I69" s="351">
        <v>0</v>
      </c>
      <c r="J69" s="351">
        <v>0</v>
      </c>
      <c r="K69" s="351">
        <v>6277110000</v>
      </c>
      <c r="L69" s="351">
        <v>6277110000</v>
      </c>
      <c r="M69" s="470">
        <v>0</v>
      </c>
      <c r="N69" s="351">
        <v>6277110000</v>
      </c>
    </row>
    <row r="70" spans="1:16">
      <c r="A70" s="209">
        <f t="shared" ref="A70:A133" si="1">A69+1</f>
        <v>67</v>
      </c>
      <c r="B70" s="214" t="s">
        <v>229</v>
      </c>
      <c r="C70" s="215">
        <v>2659603</v>
      </c>
      <c r="D70" s="281"/>
      <c r="E70" s="299"/>
      <c r="F70" s="299"/>
      <c r="G70" s="350"/>
      <c r="H70" s="350"/>
      <c r="I70" s="350"/>
      <c r="J70" s="350"/>
      <c r="K70" s="350"/>
      <c r="L70" s="350"/>
      <c r="M70" s="353"/>
      <c r="N70" s="350"/>
    </row>
    <row r="71" spans="1:16">
      <c r="A71" s="209">
        <f t="shared" si="1"/>
        <v>68</v>
      </c>
      <c r="B71" s="214" t="s">
        <v>231</v>
      </c>
      <c r="C71" s="209">
        <v>2657457</v>
      </c>
      <c r="D71" s="216" t="s">
        <v>9043</v>
      </c>
      <c r="E71" s="263">
        <v>44927</v>
      </c>
      <c r="F71" s="263">
        <v>46022</v>
      </c>
      <c r="G71" s="351">
        <v>0</v>
      </c>
      <c r="H71" s="351">
        <v>3196</v>
      </c>
      <c r="I71" s="351">
        <v>0</v>
      </c>
      <c r="J71" s="351">
        <v>15454300</v>
      </c>
      <c r="K71" s="351">
        <v>0</v>
      </c>
      <c r="L71" s="351">
        <v>0</v>
      </c>
      <c r="M71" s="470">
        <v>0</v>
      </c>
      <c r="N71" s="351">
        <v>0</v>
      </c>
    </row>
    <row r="72" spans="1:16" ht="25.5">
      <c r="A72" s="209">
        <f t="shared" si="1"/>
        <v>69</v>
      </c>
      <c r="B72" s="214" t="s">
        <v>231</v>
      </c>
      <c r="C72" s="209">
        <v>2657457</v>
      </c>
      <c r="D72" s="216" t="s">
        <v>9044</v>
      </c>
      <c r="E72" s="263">
        <v>44562</v>
      </c>
      <c r="F72" s="263">
        <v>45657</v>
      </c>
      <c r="G72" s="351">
        <v>13</v>
      </c>
      <c r="H72" s="351">
        <v>8658</v>
      </c>
      <c r="I72" s="351">
        <v>0</v>
      </c>
      <c r="J72" s="351">
        <v>63478600</v>
      </c>
      <c r="K72" s="351">
        <v>0</v>
      </c>
      <c r="L72" s="351">
        <v>0</v>
      </c>
      <c r="M72" s="470">
        <v>0</v>
      </c>
      <c r="N72" s="351">
        <v>0</v>
      </c>
    </row>
    <row r="73" spans="1:16">
      <c r="A73" s="209">
        <f t="shared" si="1"/>
        <v>70</v>
      </c>
      <c r="B73" s="214" t="s">
        <v>231</v>
      </c>
      <c r="C73" s="209">
        <v>2657457</v>
      </c>
      <c r="D73" s="216" t="s">
        <v>9043</v>
      </c>
      <c r="E73" s="263">
        <v>44805</v>
      </c>
      <c r="F73" s="263">
        <v>45901</v>
      </c>
      <c r="G73" s="351">
        <v>10</v>
      </c>
      <c r="H73" s="351">
        <v>0</v>
      </c>
      <c r="I73" s="351">
        <v>0</v>
      </c>
      <c r="J73" s="351">
        <v>35250800</v>
      </c>
      <c r="K73" s="351">
        <v>0</v>
      </c>
      <c r="L73" s="351">
        <v>0</v>
      </c>
      <c r="M73" s="470">
        <v>0</v>
      </c>
      <c r="N73" s="351">
        <v>0</v>
      </c>
    </row>
    <row r="74" spans="1:16">
      <c r="A74" s="209">
        <f t="shared" si="1"/>
        <v>71</v>
      </c>
      <c r="B74" s="214" t="s">
        <v>231</v>
      </c>
      <c r="C74" s="209">
        <v>2657457</v>
      </c>
      <c r="D74" s="216" t="s">
        <v>9045</v>
      </c>
      <c r="E74" s="263">
        <v>44805</v>
      </c>
      <c r="F74" s="263">
        <v>45901</v>
      </c>
      <c r="G74" s="351">
        <v>0</v>
      </c>
      <c r="H74" s="351">
        <v>0</v>
      </c>
      <c r="I74" s="351">
        <v>16000</v>
      </c>
      <c r="J74" s="351">
        <v>29070300</v>
      </c>
      <c r="K74" s="351">
        <v>0</v>
      </c>
      <c r="L74" s="351">
        <v>0</v>
      </c>
      <c r="M74" s="470">
        <v>0</v>
      </c>
      <c r="N74" s="351">
        <v>0</v>
      </c>
    </row>
    <row r="75" spans="1:16">
      <c r="A75" s="209">
        <f t="shared" si="1"/>
        <v>72</v>
      </c>
      <c r="B75" s="214" t="s">
        <v>231</v>
      </c>
      <c r="C75" s="209">
        <v>2657457</v>
      </c>
      <c r="D75" s="216" t="s">
        <v>9045</v>
      </c>
      <c r="E75" s="263">
        <v>42736</v>
      </c>
      <c r="F75" s="263">
        <v>45657</v>
      </c>
      <c r="G75" s="351">
        <v>0</v>
      </c>
      <c r="H75" s="351">
        <v>0</v>
      </c>
      <c r="I75" s="351">
        <v>0</v>
      </c>
      <c r="J75" s="351">
        <v>0</v>
      </c>
      <c r="K75" s="351">
        <v>0</v>
      </c>
      <c r="L75" s="351">
        <v>0</v>
      </c>
      <c r="M75" s="470">
        <v>424289000</v>
      </c>
      <c r="N75" s="351">
        <v>424289000</v>
      </c>
    </row>
    <row r="76" spans="1:16">
      <c r="A76" s="209">
        <f t="shared" si="1"/>
        <v>73</v>
      </c>
      <c r="B76" s="214" t="s">
        <v>230</v>
      </c>
      <c r="C76" s="215">
        <v>2678187</v>
      </c>
      <c r="D76" s="281"/>
      <c r="E76" s="299"/>
      <c r="F76" s="299"/>
      <c r="G76" s="350"/>
      <c r="H76" s="350"/>
      <c r="I76" s="350"/>
      <c r="J76" s="350"/>
      <c r="K76" s="350"/>
      <c r="L76" s="350"/>
      <c r="M76" s="353"/>
      <c r="N76" s="350"/>
    </row>
    <row r="77" spans="1:16">
      <c r="A77" s="209">
        <f t="shared" si="1"/>
        <v>74</v>
      </c>
      <c r="B77" s="214" t="s">
        <v>232</v>
      </c>
      <c r="C77" s="215">
        <v>3615243</v>
      </c>
      <c r="D77" s="216" t="s">
        <v>9046</v>
      </c>
      <c r="E77" s="217" t="s">
        <v>8377</v>
      </c>
      <c r="F77" s="217" t="s">
        <v>8377</v>
      </c>
      <c r="G77" s="351">
        <v>0</v>
      </c>
      <c r="H77" s="351">
        <v>0</v>
      </c>
      <c r="I77" s="351">
        <v>0</v>
      </c>
      <c r="J77" s="351">
        <v>0</v>
      </c>
      <c r="K77" s="351">
        <v>0</v>
      </c>
      <c r="L77" s="351">
        <v>15100</v>
      </c>
      <c r="M77" s="470">
        <v>0</v>
      </c>
      <c r="N77" s="351">
        <v>15100</v>
      </c>
    </row>
    <row r="78" spans="1:16">
      <c r="A78" s="209">
        <f t="shared" si="1"/>
        <v>75</v>
      </c>
      <c r="B78" s="214" t="s">
        <v>236</v>
      </c>
      <c r="C78" s="215">
        <v>3623955</v>
      </c>
      <c r="D78" s="281"/>
      <c r="E78" s="299"/>
      <c r="F78" s="299"/>
      <c r="G78" s="350"/>
      <c r="H78" s="350"/>
      <c r="I78" s="350"/>
      <c r="J78" s="350"/>
      <c r="K78" s="350"/>
      <c r="L78" s="350"/>
      <c r="M78" s="353"/>
      <c r="N78" s="350"/>
    </row>
    <row r="79" spans="1:16">
      <c r="A79" s="209">
        <f t="shared" si="1"/>
        <v>76</v>
      </c>
      <c r="B79" s="214" t="s">
        <v>239</v>
      </c>
      <c r="C79" s="215">
        <v>5199077</v>
      </c>
      <c r="D79" s="216" t="s">
        <v>9047</v>
      </c>
      <c r="E79" s="263">
        <v>44105</v>
      </c>
      <c r="F79" s="263">
        <v>47757</v>
      </c>
      <c r="G79" s="351">
        <v>0</v>
      </c>
      <c r="H79" s="351">
        <v>0</v>
      </c>
      <c r="I79" s="351">
        <v>0</v>
      </c>
      <c r="J79" s="351">
        <v>0</v>
      </c>
      <c r="K79" s="351">
        <v>0</v>
      </c>
      <c r="L79" s="351">
        <v>0</v>
      </c>
      <c r="M79" s="470">
        <v>1422440</v>
      </c>
      <c r="N79" s="351">
        <v>1422440</v>
      </c>
    </row>
    <row r="80" spans="1:16">
      <c r="A80" s="209">
        <f t="shared" si="1"/>
        <v>77</v>
      </c>
      <c r="B80" s="214" t="s">
        <v>240</v>
      </c>
      <c r="C80" s="215">
        <v>2075385</v>
      </c>
      <c r="D80" s="281"/>
      <c r="E80" s="299"/>
      <c r="F80" s="299"/>
      <c r="G80" s="350"/>
      <c r="H80" s="350"/>
      <c r="I80" s="350"/>
      <c r="J80" s="350"/>
      <c r="K80" s="350"/>
      <c r="L80" s="350"/>
      <c r="M80" s="353"/>
      <c r="N80" s="350"/>
    </row>
    <row r="81" spans="1:14">
      <c r="A81" s="209">
        <f t="shared" si="1"/>
        <v>78</v>
      </c>
      <c r="B81" s="214" t="s">
        <v>241</v>
      </c>
      <c r="C81" s="215">
        <v>2867095</v>
      </c>
      <c r="D81" s="281"/>
      <c r="E81" s="299"/>
      <c r="F81" s="299"/>
      <c r="G81" s="350"/>
      <c r="H81" s="350"/>
      <c r="I81" s="350"/>
      <c r="J81" s="350"/>
      <c r="K81" s="350"/>
      <c r="L81" s="350"/>
      <c r="M81" s="353"/>
      <c r="N81" s="350"/>
    </row>
    <row r="82" spans="1:14">
      <c r="A82" s="209">
        <f t="shared" si="1"/>
        <v>79</v>
      </c>
      <c r="B82" s="214" t="s">
        <v>242</v>
      </c>
      <c r="C82" s="215">
        <v>5076285</v>
      </c>
      <c r="D82" s="216" t="s">
        <v>9048</v>
      </c>
      <c r="E82" s="217" t="s">
        <v>8377</v>
      </c>
      <c r="F82" s="217" t="s">
        <v>8377</v>
      </c>
      <c r="G82" s="351">
        <v>0</v>
      </c>
      <c r="H82" s="351">
        <v>0</v>
      </c>
      <c r="I82" s="351">
        <v>0</v>
      </c>
      <c r="J82" s="351">
        <v>0</v>
      </c>
      <c r="K82" s="351">
        <v>547135</v>
      </c>
      <c r="L82" s="351">
        <v>0</v>
      </c>
      <c r="M82" s="470">
        <v>0</v>
      </c>
      <c r="N82" s="351">
        <v>0</v>
      </c>
    </row>
    <row r="83" spans="1:14" ht="25.5">
      <c r="A83" s="209">
        <f t="shared" si="1"/>
        <v>80</v>
      </c>
      <c r="B83" s="214" t="s">
        <v>243</v>
      </c>
      <c r="C83" s="209">
        <v>5084555</v>
      </c>
      <c r="D83" s="216" t="s">
        <v>9049</v>
      </c>
      <c r="E83" s="263">
        <v>44713</v>
      </c>
      <c r="F83" s="263">
        <v>46539</v>
      </c>
      <c r="G83" s="351">
        <v>0</v>
      </c>
      <c r="H83" s="351">
        <v>0</v>
      </c>
      <c r="I83" s="351">
        <v>0</v>
      </c>
      <c r="J83" s="351">
        <v>0</v>
      </c>
      <c r="K83" s="351">
        <v>0</v>
      </c>
      <c r="L83" s="351">
        <v>14442</v>
      </c>
      <c r="M83" s="470">
        <v>0</v>
      </c>
      <c r="N83" s="351">
        <v>14442</v>
      </c>
    </row>
    <row r="84" spans="1:14">
      <c r="A84" s="209">
        <f t="shared" si="1"/>
        <v>81</v>
      </c>
      <c r="B84" s="214" t="s">
        <v>243</v>
      </c>
      <c r="C84" s="209">
        <v>5084555</v>
      </c>
      <c r="D84" s="216" t="s">
        <v>9047</v>
      </c>
      <c r="E84" s="263">
        <v>44105</v>
      </c>
      <c r="F84" s="263">
        <v>45931</v>
      </c>
      <c r="G84" s="351">
        <v>0</v>
      </c>
      <c r="H84" s="351">
        <v>0</v>
      </c>
      <c r="I84" s="351">
        <v>0</v>
      </c>
      <c r="J84" s="351">
        <v>0</v>
      </c>
      <c r="K84" s="351">
        <v>0</v>
      </c>
      <c r="L84" s="351">
        <v>0</v>
      </c>
      <c r="M84" s="470">
        <v>1832970</v>
      </c>
      <c r="N84" s="351">
        <v>1832970</v>
      </c>
    </row>
    <row r="85" spans="1:14">
      <c r="A85" s="209">
        <f t="shared" si="1"/>
        <v>82</v>
      </c>
      <c r="B85" s="214" t="s">
        <v>244</v>
      </c>
      <c r="C85" s="209">
        <v>5261198</v>
      </c>
      <c r="D85" s="216" t="s">
        <v>9036</v>
      </c>
      <c r="E85" s="263">
        <v>44927</v>
      </c>
      <c r="F85" s="263">
        <v>45291</v>
      </c>
      <c r="G85" s="351">
        <v>0</v>
      </c>
      <c r="H85" s="351">
        <v>0</v>
      </c>
      <c r="I85" s="351">
        <v>0</v>
      </c>
      <c r="J85" s="351">
        <v>0</v>
      </c>
      <c r="K85" s="351">
        <v>3131610000</v>
      </c>
      <c r="L85" s="351">
        <v>0</v>
      </c>
      <c r="M85" s="470">
        <v>0</v>
      </c>
      <c r="N85" s="351">
        <v>3131610000</v>
      </c>
    </row>
    <row r="86" spans="1:14">
      <c r="A86" s="209">
        <f t="shared" si="1"/>
        <v>83</v>
      </c>
      <c r="B86" s="214" t="s">
        <v>244</v>
      </c>
      <c r="C86" s="209">
        <v>5261198</v>
      </c>
      <c r="D86" s="281"/>
      <c r="E86" s="299"/>
      <c r="F86" s="299"/>
      <c r="G86" s="350"/>
      <c r="H86" s="350"/>
      <c r="I86" s="350"/>
      <c r="J86" s="350"/>
      <c r="K86" s="350"/>
      <c r="L86" s="350"/>
      <c r="M86" s="353"/>
      <c r="N86" s="350"/>
    </row>
    <row r="87" spans="1:14">
      <c r="A87" s="209">
        <f t="shared" si="1"/>
        <v>84</v>
      </c>
      <c r="B87" s="214" t="s">
        <v>246</v>
      </c>
      <c r="C87" s="209">
        <v>5288703</v>
      </c>
      <c r="D87" s="216" t="s">
        <v>9026</v>
      </c>
      <c r="E87" s="263">
        <v>44927</v>
      </c>
      <c r="F87" s="263">
        <v>45291</v>
      </c>
      <c r="G87" s="351">
        <v>0</v>
      </c>
      <c r="H87" s="351">
        <v>0</v>
      </c>
      <c r="I87" s="351">
        <v>0</v>
      </c>
      <c r="J87" s="351">
        <v>0</v>
      </c>
      <c r="K87" s="351">
        <v>0</v>
      </c>
      <c r="L87" s="351">
        <v>0</v>
      </c>
      <c r="M87" s="470">
        <v>0</v>
      </c>
      <c r="N87" s="351">
        <v>2191730000</v>
      </c>
    </row>
    <row r="88" spans="1:14">
      <c r="A88" s="209">
        <f t="shared" si="1"/>
        <v>85</v>
      </c>
      <c r="B88" s="214" t="s">
        <v>246</v>
      </c>
      <c r="C88" s="209">
        <v>5288703</v>
      </c>
      <c r="D88" s="216" t="s">
        <v>9050</v>
      </c>
      <c r="E88" s="263">
        <v>44927</v>
      </c>
      <c r="F88" s="263">
        <v>45291</v>
      </c>
      <c r="G88" s="351">
        <v>0</v>
      </c>
      <c r="H88" s="351">
        <v>0</v>
      </c>
      <c r="I88" s="351">
        <v>0</v>
      </c>
      <c r="J88" s="351">
        <v>638322000</v>
      </c>
      <c r="K88" s="351">
        <v>0</v>
      </c>
      <c r="L88" s="351">
        <v>0</v>
      </c>
      <c r="M88" s="470">
        <v>0</v>
      </c>
      <c r="N88" s="351">
        <v>0</v>
      </c>
    </row>
    <row r="89" spans="1:14">
      <c r="A89" s="209">
        <f t="shared" si="1"/>
        <v>86</v>
      </c>
      <c r="B89" s="214" t="s">
        <v>248</v>
      </c>
      <c r="C89" s="215">
        <v>6232485</v>
      </c>
      <c r="D89" s="281"/>
      <c r="E89" s="299"/>
      <c r="F89" s="299"/>
      <c r="G89" s="350"/>
      <c r="H89" s="350"/>
      <c r="I89" s="350"/>
      <c r="J89" s="350"/>
      <c r="K89" s="350"/>
      <c r="L89" s="350"/>
      <c r="M89" s="353"/>
      <c r="N89" s="350"/>
    </row>
    <row r="90" spans="1:14">
      <c r="A90" s="209">
        <f t="shared" si="1"/>
        <v>87</v>
      </c>
      <c r="B90" s="214" t="s">
        <v>249</v>
      </c>
      <c r="C90" s="215">
        <v>6101615</v>
      </c>
      <c r="D90" s="281"/>
      <c r="E90" s="299"/>
      <c r="F90" s="299"/>
      <c r="G90" s="350"/>
      <c r="H90" s="350"/>
      <c r="I90" s="350"/>
      <c r="J90" s="350"/>
      <c r="K90" s="350"/>
      <c r="L90" s="350"/>
      <c r="M90" s="353"/>
      <c r="N90" s="350"/>
    </row>
    <row r="91" spans="1:14">
      <c r="A91" s="209">
        <f t="shared" si="1"/>
        <v>88</v>
      </c>
      <c r="B91" s="214" t="s">
        <v>250</v>
      </c>
      <c r="C91" s="215">
        <v>5120365</v>
      </c>
      <c r="D91" s="281"/>
      <c r="E91" s="299"/>
      <c r="F91" s="299"/>
      <c r="G91" s="350"/>
      <c r="H91" s="350"/>
      <c r="I91" s="350"/>
      <c r="J91" s="350"/>
      <c r="K91" s="350"/>
      <c r="L91" s="350"/>
      <c r="M91" s="353"/>
      <c r="N91" s="350"/>
    </row>
    <row r="92" spans="1:14">
      <c r="A92" s="209">
        <f t="shared" si="1"/>
        <v>89</v>
      </c>
      <c r="B92" s="214" t="s">
        <v>251</v>
      </c>
      <c r="C92" s="215">
        <v>2016656</v>
      </c>
      <c r="D92" s="281"/>
      <c r="E92" s="299"/>
      <c r="F92" s="299"/>
      <c r="G92" s="350"/>
      <c r="H92" s="350"/>
      <c r="I92" s="350"/>
      <c r="J92" s="350"/>
      <c r="K92" s="350"/>
      <c r="L92" s="350"/>
      <c r="M92" s="353"/>
      <c r="N92" s="350"/>
    </row>
    <row r="93" spans="1:14">
      <c r="A93" s="209">
        <f t="shared" si="1"/>
        <v>90</v>
      </c>
      <c r="B93" s="214" t="s">
        <v>253</v>
      </c>
      <c r="C93" s="215">
        <v>5872006</v>
      </c>
      <c r="D93" s="281"/>
      <c r="E93" s="299"/>
      <c r="F93" s="299"/>
      <c r="G93" s="350"/>
      <c r="H93" s="350"/>
      <c r="I93" s="350"/>
      <c r="J93" s="350"/>
      <c r="K93" s="350"/>
      <c r="L93" s="350"/>
      <c r="M93" s="353"/>
      <c r="N93" s="350"/>
    </row>
    <row r="94" spans="1:14">
      <c r="A94" s="209">
        <f t="shared" si="1"/>
        <v>91</v>
      </c>
      <c r="B94" s="214" t="s">
        <v>254</v>
      </c>
      <c r="C94" s="215">
        <v>5774047</v>
      </c>
      <c r="D94" s="281"/>
      <c r="E94" s="299"/>
      <c r="F94" s="299"/>
      <c r="G94" s="350"/>
      <c r="H94" s="350"/>
      <c r="I94" s="350"/>
      <c r="J94" s="350"/>
      <c r="K94" s="350"/>
      <c r="L94" s="350"/>
      <c r="M94" s="353"/>
      <c r="N94" s="350"/>
    </row>
    <row r="95" spans="1:14">
      <c r="A95" s="209">
        <f t="shared" si="1"/>
        <v>92</v>
      </c>
      <c r="B95" s="214" t="s">
        <v>257</v>
      </c>
      <c r="C95" s="215">
        <v>5105439</v>
      </c>
      <c r="D95" s="281"/>
      <c r="E95" s="299"/>
      <c r="F95" s="299"/>
      <c r="G95" s="350"/>
      <c r="H95" s="350"/>
      <c r="I95" s="350"/>
      <c r="J95" s="350"/>
      <c r="K95" s="350"/>
      <c r="L95" s="350"/>
      <c r="M95" s="353"/>
      <c r="N95" s="350"/>
    </row>
    <row r="96" spans="1:14">
      <c r="A96" s="209">
        <f t="shared" si="1"/>
        <v>93</v>
      </c>
      <c r="B96" s="214" t="s">
        <v>258</v>
      </c>
      <c r="C96" s="215">
        <v>2663813</v>
      </c>
      <c r="D96" s="281"/>
      <c r="E96" s="299"/>
      <c r="F96" s="299"/>
      <c r="G96" s="350"/>
      <c r="H96" s="350"/>
      <c r="I96" s="350"/>
      <c r="J96" s="350"/>
      <c r="K96" s="350"/>
      <c r="L96" s="350"/>
      <c r="M96" s="353"/>
      <c r="N96" s="350"/>
    </row>
    <row r="97" spans="1:14">
      <c r="A97" s="209">
        <f t="shared" si="1"/>
        <v>94</v>
      </c>
      <c r="B97" s="214" t="s">
        <v>260</v>
      </c>
      <c r="C97" s="215">
        <v>2016931</v>
      </c>
      <c r="D97" s="281"/>
      <c r="E97" s="299"/>
      <c r="F97" s="299"/>
      <c r="G97" s="350"/>
      <c r="H97" s="350"/>
      <c r="I97" s="350"/>
      <c r="J97" s="350"/>
      <c r="K97" s="350"/>
      <c r="L97" s="350"/>
      <c r="M97" s="353"/>
      <c r="N97" s="350"/>
    </row>
    <row r="98" spans="1:14">
      <c r="A98" s="209">
        <f t="shared" si="1"/>
        <v>95</v>
      </c>
      <c r="B98" s="214" t="s">
        <v>263</v>
      </c>
      <c r="C98" s="215">
        <v>5513618</v>
      </c>
      <c r="D98" s="281"/>
      <c r="E98" s="299"/>
      <c r="F98" s="299"/>
      <c r="G98" s="350"/>
      <c r="H98" s="350"/>
      <c r="I98" s="350"/>
      <c r="J98" s="350"/>
      <c r="K98" s="350"/>
      <c r="L98" s="350"/>
      <c r="M98" s="353"/>
      <c r="N98" s="350"/>
    </row>
    <row r="99" spans="1:14">
      <c r="A99" s="209">
        <f t="shared" si="1"/>
        <v>96</v>
      </c>
      <c r="B99" s="214" t="s">
        <v>264</v>
      </c>
      <c r="C99" s="215">
        <v>2807459</v>
      </c>
      <c r="D99" s="216" t="s">
        <v>9051</v>
      </c>
      <c r="E99" s="217" t="s">
        <v>8377</v>
      </c>
      <c r="F99" s="217" t="s">
        <v>8377</v>
      </c>
      <c r="G99" s="351">
        <v>0</v>
      </c>
      <c r="H99" s="351">
        <v>0</v>
      </c>
      <c r="I99" s="351">
        <v>0</v>
      </c>
      <c r="J99" s="351">
        <v>0</v>
      </c>
      <c r="K99" s="351">
        <v>23274600</v>
      </c>
      <c r="L99" s="351">
        <v>0</v>
      </c>
      <c r="M99" s="470">
        <v>0</v>
      </c>
      <c r="N99" s="351">
        <v>23274600</v>
      </c>
    </row>
    <row r="100" spans="1:14">
      <c r="A100" s="209">
        <f t="shared" si="1"/>
        <v>97</v>
      </c>
      <c r="B100" s="244" t="s">
        <v>265</v>
      </c>
      <c r="C100" s="215">
        <v>2872943</v>
      </c>
      <c r="D100" s="216" t="s">
        <v>9052</v>
      </c>
      <c r="E100" s="263">
        <v>44927</v>
      </c>
      <c r="F100" s="263">
        <v>45291</v>
      </c>
      <c r="G100" s="351">
        <v>0</v>
      </c>
      <c r="H100" s="351">
        <v>0</v>
      </c>
      <c r="I100" s="351">
        <v>0</v>
      </c>
      <c r="J100" s="351">
        <v>0</v>
      </c>
      <c r="K100" s="351">
        <v>0</v>
      </c>
      <c r="L100" s="351">
        <v>1247050000</v>
      </c>
      <c r="M100" s="470">
        <v>0</v>
      </c>
      <c r="N100" s="351">
        <v>1247.48</v>
      </c>
    </row>
    <row r="101" spans="1:14">
      <c r="A101" s="209">
        <f t="shared" si="1"/>
        <v>98</v>
      </c>
      <c r="B101" s="214" t="s">
        <v>266</v>
      </c>
      <c r="C101" s="215">
        <v>6268048</v>
      </c>
      <c r="D101" s="216" t="s">
        <v>9053</v>
      </c>
      <c r="E101" s="263">
        <v>44836</v>
      </c>
      <c r="F101" s="263">
        <v>45323</v>
      </c>
      <c r="G101" s="351">
        <v>0</v>
      </c>
      <c r="H101" s="351">
        <v>0</v>
      </c>
      <c r="I101" s="351">
        <v>0</v>
      </c>
      <c r="J101" s="351">
        <v>0</v>
      </c>
      <c r="K101" s="351">
        <v>0</v>
      </c>
      <c r="L101" s="351">
        <v>1187220</v>
      </c>
      <c r="M101" s="470">
        <v>0</v>
      </c>
      <c r="N101" s="351">
        <v>0</v>
      </c>
    </row>
    <row r="102" spans="1:14">
      <c r="A102" s="209">
        <f t="shared" si="1"/>
        <v>99</v>
      </c>
      <c r="B102" s="214" t="s">
        <v>268</v>
      </c>
      <c r="C102" s="215">
        <v>5874963</v>
      </c>
      <c r="D102" s="281"/>
      <c r="E102" s="299"/>
      <c r="F102" s="299"/>
      <c r="G102" s="350"/>
      <c r="H102" s="350"/>
      <c r="I102" s="350"/>
      <c r="J102" s="350"/>
      <c r="K102" s="350"/>
      <c r="L102" s="350"/>
      <c r="M102" s="353"/>
      <c r="N102" s="350"/>
    </row>
    <row r="103" spans="1:14">
      <c r="A103" s="209">
        <f t="shared" si="1"/>
        <v>100</v>
      </c>
      <c r="B103" s="214" t="s">
        <v>269</v>
      </c>
      <c r="C103" s="215">
        <v>6636624</v>
      </c>
      <c r="D103" s="281"/>
      <c r="E103" s="299"/>
      <c r="F103" s="299"/>
      <c r="G103" s="350"/>
      <c r="H103" s="350"/>
      <c r="I103" s="350"/>
      <c r="J103" s="350"/>
      <c r="K103" s="350"/>
      <c r="L103" s="350"/>
      <c r="M103" s="353"/>
      <c r="N103" s="350"/>
    </row>
    <row r="104" spans="1:14">
      <c r="A104" s="209">
        <f t="shared" si="1"/>
        <v>101</v>
      </c>
      <c r="B104" s="214" t="s">
        <v>270</v>
      </c>
      <c r="C104" s="215">
        <v>2839717</v>
      </c>
      <c r="D104" s="216" t="s">
        <v>9054</v>
      </c>
      <c r="E104" s="263">
        <v>44931</v>
      </c>
      <c r="F104" s="263">
        <v>45291</v>
      </c>
      <c r="G104" s="351">
        <v>0</v>
      </c>
      <c r="H104" s="351">
        <v>215.79</v>
      </c>
      <c r="I104" s="351">
        <v>0</v>
      </c>
      <c r="J104" s="351">
        <v>622812000</v>
      </c>
      <c r="K104" s="351">
        <v>0</v>
      </c>
      <c r="L104" s="351">
        <v>696169000</v>
      </c>
      <c r="M104" s="470">
        <v>0</v>
      </c>
      <c r="N104" s="351">
        <v>0</v>
      </c>
    </row>
    <row r="105" spans="1:14">
      <c r="A105" s="209">
        <f t="shared" si="1"/>
        <v>102</v>
      </c>
      <c r="B105" s="214" t="s">
        <v>271</v>
      </c>
      <c r="C105" s="215">
        <v>2344343</v>
      </c>
      <c r="D105" s="281"/>
      <c r="E105" s="299"/>
      <c r="F105" s="299"/>
      <c r="G105" s="350"/>
      <c r="H105" s="350"/>
      <c r="I105" s="350"/>
      <c r="J105" s="350"/>
      <c r="K105" s="350"/>
      <c r="L105" s="350"/>
      <c r="M105" s="353"/>
      <c r="N105" s="350"/>
    </row>
    <row r="106" spans="1:14">
      <c r="A106" s="209">
        <f t="shared" si="1"/>
        <v>103</v>
      </c>
      <c r="B106" s="214" t="s">
        <v>273</v>
      </c>
      <c r="C106" s="215">
        <v>2819996</v>
      </c>
      <c r="D106" s="281"/>
      <c r="E106" s="299"/>
      <c r="F106" s="299"/>
      <c r="G106" s="350"/>
      <c r="H106" s="350"/>
      <c r="I106" s="350"/>
      <c r="J106" s="350"/>
      <c r="K106" s="350"/>
      <c r="L106" s="350"/>
      <c r="M106" s="353"/>
      <c r="N106" s="350"/>
    </row>
    <row r="107" spans="1:14">
      <c r="A107" s="209">
        <f t="shared" si="1"/>
        <v>104</v>
      </c>
      <c r="B107" s="214" t="s">
        <v>277</v>
      </c>
      <c r="C107" s="215">
        <v>2868687</v>
      </c>
      <c r="D107" s="281"/>
      <c r="E107" s="299"/>
      <c r="F107" s="299"/>
      <c r="G107" s="350"/>
      <c r="H107" s="350"/>
      <c r="I107" s="350"/>
      <c r="J107" s="350"/>
      <c r="K107" s="350"/>
      <c r="L107" s="350"/>
      <c r="M107" s="353"/>
      <c r="N107" s="350"/>
    </row>
    <row r="108" spans="1:14" ht="38.25">
      <c r="A108" s="209">
        <f t="shared" si="1"/>
        <v>105</v>
      </c>
      <c r="B108" s="214" t="s">
        <v>279</v>
      </c>
      <c r="C108" s="215">
        <v>5877288</v>
      </c>
      <c r="D108" s="216" t="s">
        <v>9055</v>
      </c>
      <c r="E108" s="263">
        <v>44927</v>
      </c>
      <c r="F108" s="263">
        <v>45291</v>
      </c>
      <c r="G108" s="351">
        <v>0</v>
      </c>
      <c r="H108" s="351">
        <v>0</v>
      </c>
      <c r="I108" s="351">
        <v>0</v>
      </c>
      <c r="J108" s="351">
        <v>0</v>
      </c>
      <c r="K108" s="351">
        <v>161126</v>
      </c>
      <c r="L108" s="351">
        <v>0</v>
      </c>
      <c r="M108" s="470">
        <v>0</v>
      </c>
      <c r="N108" s="351">
        <v>0</v>
      </c>
    </row>
    <row r="109" spans="1:14">
      <c r="A109" s="209">
        <f t="shared" si="1"/>
        <v>106</v>
      </c>
      <c r="B109" s="214" t="s">
        <v>281</v>
      </c>
      <c r="C109" s="215">
        <v>6195598</v>
      </c>
      <c r="D109" s="281"/>
      <c r="E109" s="299"/>
      <c r="F109" s="299"/>
      <c r="G109" s="350"/>
      <c r="H109" s="350"/>
      <c r="I109" s="350"/>
      <c r="J109" s="350"/>
      <c r="K109" s="350"/>
      <c r="L109" s="350"/>
      <c r="M109" s="353"/>
      <c r="N109" s="350"/>
    </row>
    <row r="110" spans="1:14">
      <c r="A110" s="209">
        <f t="shared" si="1"/>
        <v>107</v>
      </c>
      <c r="B110" s="214" t="s">
        <v>282</v>
      </c>
      <c r="C110" s="215">
        <v>6413811</v>
      </c>
      <c r="D110" s="216" t="s">
        <v>9056</v>
      </c>
      <c r="E110" s="263">
        <v>44927</v>
      </c>
      <c r="F110" s="263">
        <v>45291</v>
      </c>
      <c r="G110" s="351">
        <v>0</v>
      </c>
      <c r="H110" s="351">
        <v>0</v>
      </c>
      <c r="I110" s="351">
        <v>0</v>
      </c>
      <c r="J110" s="351">
        <v>0</v>
      </c>
      <c r="K110" s="351">
        <v>315037000</v>
      </c>
      <c r="L110" s="351">
        <v>0</v>
      </c>
      <c r="M110" s="470">
        <v>0</v>
      </c>
      <c r="N110" s="351">
        <v>315037000</v>
      </c>
    </row>
    <row r="111" spans="1:14" ht="25.5">
      <c r="A111" s="209">
        <f t="shared" si="1"/>
        <v>108</v>
      </c>
      <c r="B111" s="214" t="s">
        <v>283</v>
      </c>
      <c r="C111" s="215">
        <v>2887134</v>
      </c>
      <c r="D111" s="216" t="s">
        <v>9057</v>
      </c>
      <c r="E111" s="263">
        <v>44927</v>
      </c>
      <c r="F111" s="263">
        <v>45291</v>
      </c>
      <c r="G111" s="351">
        <v>0</v>
      </c>
      <c r="H111" s="351">
        <v>0</v>
      </c>
      <c r="I111" s="351">
        <v>0</v>
      </c>
      <c r="J111" s="351">
        <v>0</v>
      </c>
      <c r="K111" s="351">
        <v>34335400</v>
      </c>
      <c r="L111" s="351">
        <v>487248</v>
      </c>
      <c r="M111" s="470">
        <v>0</v>
      </c>
      <c r="N111" s="351">
        <v>34822600</v>
      </c>
    </row>
    <row r="112" spans="1:14">
      <c r="A112" s="209">
        <f t="shared" si="1"/>
        <v>109</v>
      </c>
      <c r="B112" s="214" t="s">
        <v>284</v>
      </c>
      <c r="C112" s="215">
        <v>2618176</v>
      </c>
      <c r="D112" s="281"/>
      <c r="E112" s="299"/>
      <c r="F112" s="299"/>
      <c r="G112" s="350"/>
      <c r="H112" s="350"/>
      <c r="I112" s="350"/>
      <c r="J112" s="350"/>
      <c r="K112" s="350"/>
      <c r="L112" s="350"/>
      <c r="M112" s="353"/>
      <c r="N112" s="350"/>
    </row>
    <row r="113" spans="1:14">
      <c r="A113" s="209">
        <f t="shared" si="1"/>
        <v>110</v>
      </c>
      <c r="B113" s="214" t="s">
        <v>285</v>
      </c>
      <c r="C113" s="215">
        <v>5364884</v>
      </c>
      <c r="D113" s="281"/>
      <c r="E113" s="299"/>
      <c r="F113" s="299"/>
      <c r="G113" s="350"/>
      <c r="H113" s="350"/>
      <c r="I113" s="350"/>
      <c r="J113" s="350"/>
      <c r="K113" s="350"/>
      <c r="L113" s="350"/>
      <c r="M113" s="353"/>
      <c r="N113" s="350"/>
    </row>
    <row r="114" spans="1:14">
      <c r="A114" s="209">
        <f t="shared" si="1"/>
        <v>111</v>
      </c>
      <c r="B114" s="214" t="s">
        <v>286</v>
      </c>
      <c r="C114" s="215">
        <v>2100231</v>
      </c>
      <c r="D114" s="216" t="s">
        <v>9058</v>
      </c>
      <c r="E114" s="263">
        <v>44927</v>
      </c>
      <c r="F114" s="263">
        <v>45291</v>
      </c>
      <c r="G114" s="351">
        <v>0</v>
      </c>
      <c r="H114" s="351">
        <v>0</v>
      </c>
      <c r="I114" s="351">
        <v>0</v>
      </c>
      <c r="J114" s="351">
        <v>0</v>
      </c>
      <c r="K114" s="351">
        <v>0</v>
      </c>
      <c r="L114" s="351">
        <v>961579</v>
      </c>
      <c r="M114" s="470">
        <v>0</v>
      </c>
      <c r="N114" s="351">
        <v>961579</v>
      </c>
    </row>
    <row r="115" spans="1:14">
      <c r="A115" s="209">
        <f t="shared" si="1"/>
        <v>112</v>
      </c>
      <c r="B115" s="214" t="s">
        <v>287</v>
      </c>
      <c r="C115" s="215">
        <v>2661128</v>
      </c>
      <c r="D115" s="281"/>
      <c r="E115" s="299"/>
      <c r="F115" s="299"/>
      <c r="G115" s="350"/>
      <c r="H115" s="350"/>
      <c r="I115" s="350"/>
      <c r="J115" s="350"/>
      <c r="K115" s="350"/>
      <c r="L115" s="350"/>
      <c r="M115" s="353"/>
      <c r="N115" s="350"/>
    </row>
    <row r="116" spans="1:14">
      <c r="A116" s="209">
        <f t="shared" si="1"/>
        <v>113</v>
      </c>
      <c r="B116" s="214" t="s">
        <v>290</v>
      </c>
      <c r="C116" s="215">
        <v>5878756</v>
      </c>
      <c r="D116" s="281"/>
      <c r="E116" s="299"/>
      <c r="F116" s="299"/>
      <c r="G116" s="350"/>
      <c r="H116" s="350"/>
      <c r="I116" s="350"/>
      <c r="J116" s="350"/>
      <c r="K116" s="350"/>
      <c r="L116" s="350"/>
      <c r="M116" s="353"/>
      <c r="N116" s="350"/>
    </row>
    <row r="117" spans="1:14">
      <c r="A117" s="209">
        <f t="shared" si="1"/>
        <v>114</v>
      </c>
      <c r="B117" s="214" t="s">
        <v>292</v>
      </c>
      <c r="C117" s="215">
        <v>2166631</v>
      </c>
      <c r="D117" s="281"/>
      <c r="E117" s="299"/>
      <c r="F117" s="299"/>
      <c r="G117" s="350"/>
      <c r="H117" s="350"/>
      <c r="I117" s="350"/>
      <c r="J117" s="350"/>
      <c r="K117" s="350"/>
      <c r="L117" s="350"/>
      <c r="M117" s="353"/>
      <c r="N117" s="350"/>
    </row>
    <row r="118" spans="1:14">
      <c r="A118" s="209">
        <f t="shared" si="1"/>
        <v>115</v>
      </c>
      <c r="B118" s="214" t="s">
        <v>296</v>
      </c>
      <c r="C118" s="215">
        <v>5671833</v>
      </c>
      <c r="D118" s="281"/>
      <c r="E118" s="299"/>
      <c r="F118" s="299"/>
      <c r="G118" s="350"/>
      <c r="H118" s="350"/>
      <c r="I118" s="350"/>
      <c r="J118" s="350"/>
      <c r="K118" s="350"/>
      <c r="L118" s="350"/>
      <c r="M118" s="353"/>
      <c r="N118" s="350"/>
    </row>
    <row r="119" spans="1:14">
      <c r="A119" s="209">
        <f t="shared" si="1"/>
        <v>116</v>
      </c>
      <c r="B119" s="214" t="s">
        <v>297</v>
      </c>
      <c r="C119" s="215">
        <v>5104424</v>
      </c>
      <c r="D119" s="281"/>
      <c r="E119" s="299"/>
      <c r="F119" s="299"/>
      <c r="G119" s="350"/>
      <c r="H119" s="350"/>
      <c r="I119" s="350"/>
      <c r="J119" s="350"/>
      <c r="K119" s="350"/>
      <c r="L119" s="350"/>
      <c r="M119" s="353"/>
      <c r="N119" s="350"/>
    </row>
    <row r="120" spans="1:14">
      <c r="A120" s="209">
        <f t="shared" si="1"/>
        <v>117</v>
      </c>
      <c r="B120" s="214" t="s">
        <v>298</v>
      </c>
      <c r="C120" s="215">
        <v>2668505</v>
      </c>
      <c r="D120" s="216" t="s">
        <v>9059</v>
      </c>
      <c r="E120" s="263">
        <v>45093</v>
      </c>
      <c r="F120" s="263">
        <v>45459</v>
      </c>
      <c r="G120" s="351">
        <v>0</v>
      </c>
      <c r="H120" s="351">
        <v>0</v>
      </c>
      <c r="I120" s="351">
        <v>0</v>
      </c>
      <c r="J120" s="351">
        <v>0</v>
      </c>
      <c r="K120" s="351">
        <v>12604200</v>
      </c>
      <c r="L120" s="351">
        <v>0</v>
      </c>
      <c r="M120" s="470">
        <v>0</v>
      </c>
      <c r="N120" s="351">
        <v>12604200</v>
      </c>
    </row>
    <row r="121" spans="1:14">
      <c r="A121" s="209">
        <f t="shared" si="1"/>
        <v>118</v>
      </c>
      <c r="B121" s="214" t="s">
        <v>299</v>
      </c>
      <c r="C121" s="215">
        <v>2697947</v>
      </c>
      <c r="D121" s="281"/>
      <c r="E121" s="299"/>
      <c r="F121" s="299"/>
      <c r="G121" s="350"/>
      <c r="H121" s="350"/>
      <c r="I121" s="350"/>
      <c r="J121" s="350"/>
      <c r="K121" s="350"/>
      <c r="L121" s="350"/>
      <c r="M121" s="353"/>
      <c r="N121" s="350"/>
    </row>
    <row r="122" spans="1:14">
      <c r="A122" s="209">
        <f t="shared" si="1"/>
        <v>119</v>
      </c>
      <c r="B122" s="214" t="s">
        <v>300</v>
      </c>
      <c r="C122" s="215">
        <v>5352827</v>
      </c>
      <c r="D122" s="281"/>
      <c r="E122" s="299"/>
      <c r="F122" s="299"/>
      <c r="G122" s="350"/>
      <c r="H122" s="350"/>
      <c r="I122" s="350"/>
      <c r="J122" s="350"/>
      <c r="K122" s="350"/>
      <c r="L122" s="350"/>
      <c r="M122" s="353"/>
      <c r="N122" s="350"/>
    </row>
    <row r="123" spans="1:14">
      <c r="A123" s="209">
        <f t="shared" si="1"/>
        <v>120</v>
      </c>
      <c r="B123" s="214" t="s">
        <v>301</v>
      </c>
      <c r="C123" s="215">
        <v>2548747</v>
      </c>
      <c r="D123" s="216" t="s">
        <v>9040</v>
      </c>
      <c r="E123" s="263">
        <v>44237</v>
      </c>
      <c r="F123" s="263">
        <v>45332</v>
      </c>
      <c r="G123" s="351">
        <v>0</v>
      </c>
      <c r="H123" s="351">
        <v>0</v>
      </c>
      <c r="I123" s="351">
        <v>0</v>
      </c>
      <c r="J123" s="351">
        <v>0</v>
      </c>
      <c r="K123" s="351">
        <v>0</v>
      </c>
      <c r="L123" s="351">
        <v>5227950</v>
      </c>
      <c r="M123" s="470">
        <v>0</v>
      </c>
      <c r="N123" s="351">
        <v>0</v>
      </c>
    </row>
    <row r="124" spans="1:14">
      <c r="A124" s="209">
        <f t="shared" si="1"/>
        <v>121</v>
      </c>
      <c r="B124" s="214" t="s">
        <v>303</v>
      </c>
      <c r="C124" s="215">
        <v>2641984</v>
      </c>
      <c r="D124" s="281"/>
      <c r="E124" s="299"/>
      <c r="F124" s="299"/>
      <c r="G124" s="350"/>
      <c r="H124" s="350"/>
      <c r="I124" s="350"/>
      <c r="J124" s="350"/>
      <c r="K124" s="350"/>
      <c r="L124" s="350"/>
      <c r="M124" s="353"/>
      <c r="N124" s="350"/>
    </row>
    <row r="125" spans="1:14">
      <c r="A125" s="209">
        <f t="shared" si="1"/>
        <v>122</v>
      </c>
      <c r="B125" s="214" t="s">
        <v>306</v>
      </c>
      <c r="C125" s="215">
        <v>6342485</v>
      </c>
      <c r="D125" s="281"/>
      <c r="E125" s="299"/>
      <c r="F125" s="299"/>
      <c r="G125" s="350"/>
      <c r="H125" s="350"/>
      <c r="I125" s="350"/>
      <c r="J125" s="350"/>
      <c r="K125" s="350"/>
      <c r="L125" s="350"/>
      <c r="M125" s="353"/>
      <c r="N125" s="350"/>
    </row>
    <row r="126" spans="1:14">
      <c r="A126" s="209">
        <f t="shared" si="1"/>
        <v>123</v>
      </c>
      <c r="B126" s="214" t="s">
        <v>307</v>
      </c>
      <c r="C126" s="215">
        <v>5166667</v>
      </c>
      <c r="D126" s="281"/>
      <c r="E126" s="299"/>
      <c r="F126" s="299"/>
      <c r="G126" s="350"/>
      <c r="H126" s="350"/>
      <c r="I126" s="350"/>
      <c r="J126" s="350"/>
      <c r="K126" s="350"/>
      <c r="L126" s="350"/>
      <c r="M126" s="353"/>
      <c r="N126" s="350"/>
    </row>
    <row r="127" spans="1:14">
      <c r="A127" s="209">
        <f t="shared" si="1"/>
        <v>124</v>
      </c>
      <c r="B127" s="214" t="s">
        <v>308</v>
      </c>
      <c r="C127" s="215">
        <v>5482046</v>
      </c>
      <c r="D127" s="216" t="s">
        <v>9060</v>
      </c>
      <c r="E127" s="263">
        <v>44927</v>
      </c>
      <c r="F127" s="263">
        <v>45657</v>
      </c>
      <c r="G127" s="351">
        <v>0</v>
      </c>
      <c r="H127" s="351">
        <v>0</v>
      </c>
      <c r="I127" s="351">
        <v>0</v>
      </c>
      <c r="J127" s="351">
        <v>0</v>
      </c>
      <c r="K127" s="351">
        <v>0</v>
      </c>
      <c r="L127" s="351">
        <v>837923</v>
      </c>
      <c r="M127" s="470">
        <v>0</v>
      </c>
      <c r="N127" s="351">
        <v>837923</v>
      </c>
    </row>
    <row r="128" spans="1:14">
      <c r="A128" s="209">
        <f t="shared" si="1"/>
        <v>125</v>
      </c>
      <c r="B128" s="214" t="s">
        <v>309</v>
      </c>
      <c r="C128" s="215">
        <v>2050374</v>
      </c>
      <c r="D128" s="216" t="s">
        <v>9048</v>
      </c>
      <c r="E128" s="263">
        <v>44927</v>
      </c>
      <c r="F128" s="263">
        <v>45291</v>
      </c>
      <c r="G128" s="351">
        <v>0</v>
      </c>
      <c r="H128" s="351">
        <v>0</v>
      </c>
      <c r="I128" s="351">
        <v>0</v>
      </c>
      <c r="J128" s="351">
        <v>0</v>
      </c>
      <c r="K128" s="351">
        <v>0</v>
      </c>
      <c r="L128" s="351">
        <v>2833960</v>
      </c>
      <c r="M128" s="470">
        <v>0</v>
      </c>
      <c r="N128" s="351">
        <v>2833960</v>
      </c>
    </row>
    <row r="129" spans="1:14">
      <c r="A129" s="209">
        <f t="shared" si="1"/>
        <v>126</v>
      </c>
      <c r="B129" s="214" t="s">
        <v>311</v>
      </c>
      <c r="C129" s="215">
        <v>2004879</v>
      </c>
      <c r="D129" s="281"/>
      <c r="E129" s="299"/>
      <c r="F129" s="299"/>
      <c r="G129" s="350"/>
      <c r="H129" s="350"/>
      <c r="I129" s="350"/>
      <c r="J129" s="350"/>
      <c r="K129" s="350"/>
      <c r="L129" s="350"/>
      <c r="M129" s="353"/>
      <c r="N129" s="350"/>
    </row>
    <row r="130" spans="1:14">
      <c r="A130" s="209">
        <f t="shared" si="1"/>
        <v>127</v>
      </c>
      <c r="B130" s="214" t="s">
        <v>314</v>
      </c>
      <c r="C130" s="215">
        <v>2830213</v>
      </c>
      <c r="D130" s="281"/>
      <c r="E130" s="299"/>
      <c r="F130" s="299"/>
      <c r="G130" s="350"/>
      <c r="H130" s="350"/>
      <c r="I130" s="350"/>
      <c r="J130" s="350"/>
      <c r="K130" s="350"/>
      <c r="L130" s="350"/>
      <c r="M130" s="353"/>
      <c r="N130" s="350"/>
    </row>
    <row r="131" spans="1:14">
      <c r="A131" s="209">
        <f t="shared" si="1"/>
        <v>128</v>
      </c>
      <c r="B131" s="214" t="s">
        <v>315</v>
      </c>
      <c r="C131" s="298">
        <v>5320607</v>
      </c>
      <c r="D131" s="216" t="s">
        <v>9061</v>
      </c>
      <c r="E131" s="263">
        <v>44927</v>
      </c>
      <c r="F131" s="263">
        <v>45291</v>
      </c>
      <c r="G131" s="351">
        <v>0</v>
      </c>
      <c r="H131" s="351">
        <v>15</v>
      </c>
      <c r="I131" s="351">
        <v>0</v>
      </c>
      <c r="J131" s="351">
        <v>40500000</v>
      </c>
      <c r="K131" s="351">
        <v>0</v>
      </c>
      <c r="L131" s="351">
        <v>0</v>
      </c>
      <c r="M131" s="470">
        <v>0</v>
      </c>
      <c r="N131" s="351">
        <v>0</v>
      </c>
    </row>
    <row r="132" spans="1:14">
      <c r="A132" s="209">
        <f t="shared" si="1"/>
        <v>129</v>
      </c>
      <c r="B132" s="214" t="s">
        <v>315</v>
      </c>
      <c r="C132" s="298">
        <v>5320607</v>
      </c>
      <c r="D132" s="216" t="s">
        <v>9062</v>
      </c>
      <c r="E132" s="263">
        <v>44927</v>
      </c>
      <c r="F132" s="263">
        <v>45291</v>
      </c>
      <c r="G132" s="351">
        <v>0</v>
      </c>
      <c r="H132" s="351">
        <v>0</v>
      </c>
      <c r="I132" s="351">
        <v>0</v>
      </c>
      <c r="J132" s="351">
        <v>0</v>
      </c>
      <c r="K132" s="351">
        <v>206733000</v>
      </c>
      <c r="L132" s="351">
        <v>0</v>
      </c>
      <c r="M132" s="470">
        <v>0</v>
      </c>
      <c r="N132" s="351">
        <v>206733000</v>
      </c>
    </row>
    <row r="133" spans="1:14">
      <c r="A133" s="209">
        <f t="shared" si="1"/>
        <v>130</v>
      </c>
      <c r="B133" s="214" t="s">
        <v>316</v>
      </c>
      <c r="C133" s="215">
        <v>5586119</v>
      </c>
      <c r="D133" s="281"/>
      <c r="E133" s="299"/>
      <c r="F133" s="299"/>
      <c r="G133" s="350"/>
      <c r="H133" s="350"/>
      <c r="I133" s="350"/>
      <c r="J133" s="350"/>
      <c r="K133" s="350"/>
      <c r="L133" s="350"/>
      <c r="M133" s="353"/>
      <c r="N133" s="350"/>
    </row>
    <row r="134" spans="1:14">
      <c r="A134" s="209">
        <f t="shared" ref="A134:A158" si="2">A133+1</f>
        <v>131</v>
      </c>
      <c r="B134" s="214" t="s">
        <v>317</v>
      </c>
      <c r="C134" s="215">
        <v>5015243</v>
      </c>
      <c r="D134" s="281"/>
      <c r="E134" s="299"/>
      <c r="F134" s="299"/>
      <c r="G134" s="350"/>
      <c r="H134" s="350"/>
      <c r="I134" s="350"/>
      <c r="J134" s="350"/>
      <c r="K134" s="350"/>
      <c r="L134" s="350"/>
      <c r="M134" s="353"/>
      <c r="N134" s="350"/>
    </row>
    <row r="135" spans="1:14">
      <c r="A135" s="209">
        <f t="shared" si="2"/>
        <v>132</v>
      </c>
      <c r="B135" s="214" t="s">
        <v>318</v>
      </c>
      <c r="C135" s="215">
        <v>5452503</v>
      </c>
      <c r="D135" s="281"/>
      <c r="E135" s="299"/>
      <c r="F135" s="299"/>
      <c r="G135" s="350"/>
      <c r="H135" s="350"/>
      <c r="I135" s="350"/>
      <c r="J135" s="350"/>
      <c r="K135" s="350"/>
      <c r="L135" s="350"/>
      <c r="M135" s="353"/>
      <c r="N135" s="350"/>
    </row>
    <row r="136" spans="1:14" ht="25.5">
      <c r="A136" s="209">
        <f t="shared" si="2"/>
        <v>133</v>
      </c>
      <c r="B136" s="214" t="s">
        <v>319</v>
      </c>
      <c r="C136" s="215">
        <v>2887746</v>
      </c>
      <c r="D136" s="216" t="s">
        <v>9057</v>
      </c>
      <c r="E136" s="263">
        <v>44927</v>
      </c>
      <c r="F136" s="263">
        <v>45291</v>
      </c>
      <c r="G136" s="351">
        <v>0</v>
      </c>
      <c r="H136" s="351">
        <v>0</v>
      </c>
      <c r="I136" s="351">
        <v>0</v>
      </c>
      <c r="J136" s="351">
        <v>0</v>
      </c>
      <c r="K136" s="351">
        <v>31526000</v>
      </c>
      <c r="L136" s="351">
        <v>487248</v>
      </c>
      <c r="M136" s="470">
        <v>0</v>
      </c>
      <c r="N136" s="351">
        <v>32013200</v>
      </c>
    </row>
    <row r="137" spans="1:14">
      <c r="A137" s="209">
        <f t="shared" si="2"/>
        <v>134</v>
      </c>
      <c r="B137" s="214" t="s">
        <v>320</v>
      </c>
      <c r="C137" s="215">
        <v>5618339</v>
      </c>
      <c r="D137" s="281"/>
      <c r="E137" s="299"/>
      <c r="F137" s="299"/>
      <c r="G137" s="350"/>
      <c r="H137" s="350"/>
      <c r="I137" s="350"/>
      <c r="J137" s="350"/>
      <c r="K137" s="350"/>
      <c r="L137" s="350"/>
      <c r="M137" s="353"/>
      <c r="N137" s="350"/>
    </row>
    <row r="138" spans="1:14">
      <c r="A138" s="209">
        <f t="shared" si="2"/>
        <v>135</v>
      </c>
      <c r="B138" s="214" t="s">
        <v>321</v>
      </c>
      <c r="C138" s="215">
        <v>2718243</v>
      </c>
      <c r="D138" s="281"/>
      <c r="E138" s="299"/>
      <c r="F138" s="299"/>
      <c r="G138" s="350"/>
      <c r="H138" s="350"/>
      <c r="I138" s="350"/>
      <c r="J138" s="350"/>
      <c r="K138" s="350"/>
      <c r="L138" s="350"/>
      <c r="M138" s="353"/>
      <c r="N138" s="350"/>
    </row>
    <row r="139" spans="1:14">
      <c r="A139" s="209">
        <f t="shared" si="2"/>
        <v>136</v>
      </c>
      <c r="B139" s="214" t="s">
        <v>322</v>
      </c>
      <c r="C139" s="215">
        <v>6896197</v>
      </c>
      <c r="D139" s="281"/>
      <c r="E139" s="299"/>
      <c r="F139" s="299"/>
      <c r="G139" s="350"/>
      <c r="H139" s="350"/>
      <c r="I139" s="350"/>
      <c r="J139" s="350"/>
      <c r="K139" s="350"/>
      <c r="L139" s="350"/>
      <c r="M139" s="353"/>
      <c r="N139" s="350"/>
    </row>
    <row r="140" spans="1:14">
      <c r="A140" s="209">
        <f t="shared" si="2"/>
        <v>137</v>
      </c>
      <c r="B140" s="214" t="s">
        <v>323</v>
      </c>
      <c r="C140" s="215">
        <v>5435528</v>
      </c>
      <c r="D140" s="216" t="s">
        <v>9063</v>
      </c>
      <c r="E140" s="263">
        <v>43951</v>
      </c>
      <c r="F140" s="263">
        <v>46142</v>
      </c>
      <c r="G140" s="351">
        <v>0</v>
      </c>
      <c r="H140" s="351">
        <v>0</v>
      </c>
      <c r="I140" s="351">
        <v>0</v>
      </c>
      <c r="J140" s="351">
        <v>0</v>
      </c>
      <c r="K140" s="351">
        <v>0</v>
      </c>
      <c r="L140" s="351">
        <v>1905350</v>
      </c>
      <c r="M140" s="470">
        <v>0</v>
      </c>
      <c r="N140" s="351">
        <v>1905350</v>
      </c>
    </row>
    <row r="141" spans="1:14">
      <c r="A141" s="209">
        <f t="shared" si="2"/>
        <v>138</v>
      </c>
      <c r="B141" s="214" t="s">
        <v>324</v>
      </c>
      <c r="C141" s="215">
        <v>5824826</v>
      </c>
      <c r="D141" s="281"/>
      <c r="E141" s="299"/>
      <c r="F141" s="299"/>
      <c r="G141" s="350"/>
      <c r="H141" s="350"/>
      <c r="I141" s="350"/>
      <c r="J141" s="350"/>
      <c r="K141" s="350"/>
      <c r="L141" s="350"/>
      <c r="M141" s="353"/>
      <c r="N141" s="350"/>
    </row>
    <row r="142" spans="1:14">
      <c r="A142" s="209">
        <f t="shared" si="2"/>
        <v>139</v>
      </c>
      <c r="B142" s="214" t="s">
        <v>325</v>
      </c>
      <c r="C142" s="215">
        <v>6141536</v>
      </c>
      <c r="D142" s="281"/>
      <c r="E142" s="299"/>
      <c r="F142" s="299"/>
      <c r="G142" s="350"/>
      <c r="H142" s="350"/>
      <c r="I142" s="350"/>
      <c r="J142" s="350"/>
      <c r="K142" s="350"/>
      <c r="L142" s="350"/>
      <c r="M142" s="353"/>
      <c r="N142" s="350"/>
    </row>
    <row r="143" spans="1:14" ht="38.25">
      <c r="A143" s="209">
        <f t="shared" si="2"/>
        <v>140</v>
      </c>
      <c r="B143" s="389" t="s">
        <v>326</v>
      </c>
      <c r="C143" s="209">
        <v>5124913</v>
      </c>
      <c r="D143" s="216" t="s">
        <v>9064</v>
      </c>
      <c r="E143" s="217" t="s">
        <v>8377</v>
      </c>
      <c r="F143" s="217" t="s">
        <v>8377</v>
      </c>
      <c r="G143" s="351">
        <v>0</v>
      </c>
      <c r="H143" s="351">
        <v>0</v>
      </c>
      <c r="I143" s="351">
        <v>0</v>
      </c>
      <c r="J143" s="351">
        <v>0</v>
      </c>
      <c r="K143" s="351">
        <v>0</v>
      </c>
      <c r="L143" s="351">
        <v>4402830000</v>
      </c>
      <c r="M143" s="470">
        <v>0</v>
      </c>
      <c r="N143" s="351">
        <v>4402830000</v>
      </c>
    </row>
    <row r="144" spans="1:14">
      <c r="A144" s="209">
        <f t="shared" si="2"/>
        <v>141</v>
      </c>
      <c r="B144" s="389" t="s">
        <v>326</v>
      </c>
      <c r="C144" s="209">
        <v>5124913</v>
      </c>
      <c r="D144" s="216" t="s">
        <v>9065</v>
      </c>
      <c r="E144" s="263">
        <v>44927</v>
      </c>
      <c r="F144" s="263">
        <v>45291</v>
      </c>
      <c r="G144" s="351">
        <v>0</v>
      </c>
      <c r="H144" s="351">
        <v>0</v>
      </c>
      <c r="I144" s="351">
        <v>0</v>
      </c>
      <c r="J144" s="351">
        <v>0</v>
      </c>
      <c r="K144" s="351">
        <v>0</v>
      </c>
      <c r="L144" s="351">
        <v>7668550000</v>
      </c>
      <c r="M144" s="470">
        <v>0</v>
      </c>
      <c r="N144" s="351">
        <v>7668550000</v>
      </c>
    </row>
    <row r="145" spans="1:14">
      <c r="A145" s="209">
        <f t="shared" si="2"/>
        <v>142</v>
      </c>
      <c r="B145" s="389" t="s">
        <v>327</v>
      </c>
      <c r="C145" s="209">
        <v>2074192</v>
      </c>
      <c r="D145" s="216" t="s">
        <v>9066</v>
      </c>
      <c r="E145" s="263">
        <v>45155</v>
      </c>
      <c r="F145" s="263">
        <v>45520</v>
      </c>
      <c r="G145" s="351">
        <v>0</v>
      </c>
      <c r="H145" s="351">
        <v>1000</v>
      </c>
      <c r="I145" s="351">
        <v>0</v>
      </c>
      <c r="J145" s="351">
        <v>2898500</v>
      </c>
      <c r="K145" s="351">
        <v>0</v>
      </c>
      <c r="L145" s="351">
        <v>0</v>
      </c>
      <c r="M145" s="470">
        <v>0</v>
      </c>
      <c r="N145" s="351">
        <v>0</v>
      </c>
    </row>
    <row r="146" spans="1:14">
      <c r="A146" s="209">
        <f t="shared" si="2"/>
        <v>143</v>
      </c>
      <c r="B146" s="389" t="s">
        <v>327</v>
      </c>
      <c r="C146" s="209">
        <v>2074192</v>
      </c>
      <c r="D146" s="216" t="s">
        <v>9067</v>
      </c>
      <c r="E146" s="263">
        <v>45155</v>
      </c>
      <c r="F146" s="263">
        <v>45520</v>
      </c>
      <c r="G146" s="351">
        <v>500</v>
      </c>
      <c r="H146" s="351">
        <v>0</v>
      </c>
      <c r="I146" s="351">
        <v>0</v>
      </c>
      <c r="J146" s="351">
        <v>1449250</v>
      </c>
      <c r="K146" s="351">
        <v>0</v>
      </c>
      <c r="L146" s="351">
        <v>0</v>
      </c>
      <c r="M146" s="470">
        <v>0</v>
      </c>
      <c r="N146" s="351">
        <v>0</v>
      </c>
    </row>
    <row r="147" spans="1:14">
      <c r="A147" s="209">
        <f t="shared" si="2"/>
        <v>144</v>
      </c>
      <c r="B147" s="389" t="s">
        <v>327</v>
      </c>
      <c r="C147" s="209">
        <v>2074192</v>
      </c>
      <c r="D147" s="216" t="s">
        <v>9068</v>
      </c>
      <c r="E147" s="263">
        <v>45521</v>
      </c>
      <c r="F147" s="263">
        <v>45520</v>
      </c>
      <c r="G147" s="351">
        <v>500</v>
      </c>
      <c r="H147" s="351">
        <v>0</v>
      </c>
      <c r="I147" s="351">
        <v>0</v>
      </c>
      <c r="J147" s="351">
        <v>1449250</v>
      </c>
      <c r="K147" s="351">
        <v>0</v>
      </c>
      <c r="L147" s="351">
        <v>0</v>
      </c>
      <c r="M147" s="470">
        <v>0</v>
      </c>
      <c r="N147" s="351">
        <v>0</v>
      </c>
    </row>
    <row r="148" spans="1:14">
      <c r="A148" s="209">
        <f t="shared" si="2"/>
        <v>145</v>
      </c>
      <c r="B148" s="389" t="s">
        <v>327</v>
      </c>
      <c r="C148" s="209">
        <v>2074192</v>
      </c>
      <c r="D148" s="216" t="s">
        <v>9069</v>
      </c>
      <c r="E148" s="263">
        <v>45155</v>
      </c>
      <c r="F148" s="263">
        <v>45520</v>
      </c>
      <c r="G148" s="351">
        <v>0</v>
      </c>
      <c r="H148" s="351">
        <v>1450</v>
      </c>
      <c r="I148" s="351">
        <v>0</v>
      </c>
      <c r="J148" s="351">
        <v>4202820</v>
      </c>
      <c r="K148" s="351">
        <v>0</v>
      </c>
      <c r="L148" s="351">
        <v>0</v>
      </c>
      <c r="M148" s="470">
        <v>0</v>
      </c>
      <c r="N148" s="351">
        <v>0</v>
      </c>
    </row>
    <row r="149" spans="1:14">
      <c r="A149" s="209">
        <f t="shared" si="2"/>
        <v>146</v>
      </c>
      <c r="B149" s="389" t="s">
        <v>327</v>
      </c>
      <c r="C149" s="209">
        <v>2074192</v>
      </c>
      <c r="D149" s="216" t="s">
        <v>9070</v>
      </c>
      <c r="E149" s="263">
        <v>45155</v>
      </c>
      <c r="F149" s="263">
        <v>45520</v>
      </c>
      <c r="G149" s="351">
        <v>0</v>
      </c>
      <c r="H149" s="351">
        <v>800</v>
      </c>
      <c r="I149" s="351">
        <v>0</v>
      </c>
      <c r="J149" s="351">
        <v>2318800</v>
      </c>
      <c r="K149" s="351">
        <v>0</v>
      </c>
      <c r="L149" s="351">
        <v>0</v>
      </c>
      <c r="M149" s="470">
        <v>0</v>
      </c>
      <c r="N149" s="351">
        <v>0</v>
      </c>
    </row>
    <row r="150" spans="1:14" ht="25.5">
      <c r="A150" s="209">
        <f t="shared" si="2"/>
        <v>147</v>
      </c>
      <c r="B150" s="389" t="s">
        <v>327</v>
      </c>
      <c r="C150" s="209">
        <v>2074192</v>
      </c>
      <c r="D150" s="216" t="s">
        <v>9071</v>
      </c>
      <c r="E150" s="263">
        <v>45203</v>
      </c>
      <c r="F150" s="263">
        <v>45568</v>
      </c>
      <c r="G150" s="351">
        <v>0</v>
      </c>
      <c r="H150" s="351">
        <v>0</v>
      </c>
      <c r="I150" s="351">
        <v>2000</v>
      </c>
      <c r="J150" s="351">
        <v>7742540</v>
      </c>
      <c r="K150" s="351">
        <v>0</v>
      </c>
      <c r="L150" s="351">
        <v>0</v>
      </c>
      <c r="M150" s="470">
        <v>0</v>
      </c>
      <c r="N150" s="351">
        <v>0</v>
      </c>
    </row>
    <row r="151" spans="1:14" ht="25.5">
      <c r="A151" s="209">
        <f t="shared" si="2"/>
        <v>148</v>
      </c>
      <c r="B151" s="389" t="s">
        <v>327</v>
      </c>
      <c r="C151" s="209">
        <v>2074192</v>
      </c>
      <c r="D151" s="216" t="s">
        <v>9072</v>
      </c>
      <c r="E151" s="263">
        <v>45203</v>
      </c>
      <c r="F151" s="263">
        <v>45568</v>
      </c>
      <c r="G151" s="351">
        <v>0</v>
      </c>
      <c r="H151" s="351">
        <v>0</v>
      </c>
      <c r="I151" s="351">
        <v>1885</v>
      </c>
      <c r="J151" s="351">
        <v>7297340</v>
      </c>
      <c r="K151" s="351">
        <v>0</v>
      </c>
      <c r="L151" s="351">
        <v>0</v>
      </c>
      <c r="M151" s="470">
        <v>0</v>
      </c>
      <c r="N151" s="351">
        <v>0</v>
      </c>
    </row>
    <row r="152" spans="1:14" ht="25.5">
      <c r="A152" s="209">
        <f t="shared" si="2"/>
        <v>149</v>
      </c>
      <c r="B152" s="389" t="s">
        <v>327</v>
      </c>
      <c r="C152" s="209">
        <v>2074192</v>
      </c>
      <c r="D152" s="216" t="s">
        <v>9073</v>
      </c>
      <c r="E152" s="263">
        <v>45203</v>
      </c>
      <c r="F152" s="263">
        <v>45568</v>
      </c>
      <c r="G152" s="351">
        <v>0</v>
      </c>
      <c r="H152" s="351">
        <v>0</v>
      </c>
      <c r="I152" s="351">
        <v>1000</v>
      </c>
      <c r="J152" s="351">
        <v>3871270</v>
      </c>
      <c r="K152" s="351">
        <v>0</v>
      </c>
      <c r="L152" s="351">
        <v>0</v>
      </c>
      <c r="M152" s="470">
        <v>0</v>
      </c>
      <c r="N152" s="351">
        <v>0</v>
      </c>
    </row>
    <row r="153" spans="1:14">
      <c r="A153" s="209">
        <f t="shared" si="2"/>
        <v>150</v>
      </c>
      <c r="B153" s="389" t="s">
        <v>327</v>
      </c>
      <c r="C153" s="209">
        <v>2074192</v>
      </c>
      <c r="D153" s="216" t="s">
        <v>9074</v>
      </c>
      <c r="E153" s="263">
        <v>45203</v>
      </c>
      <c r="F153" s="263">
        <v>45568</v>
      </c>
      <c r="G153" s="351">
        <v>0</v>
      </c>
      <c r="H153" s="351">
        <v>0</v>
      </c>
      <c r="I153" s="351">
        <v>2085</v>
      </c>
      <c r="J153" s="351">
        <v>8071600</v>
      </c>
      <c r="K153" s="351">
        <v>0</v>
      </c>
      <c r="L153" s="351">
        <v>0</v>
      </c>
      <c r="M153" s="470">
        <v>0</v>
      </c>
      <c r="N153" s="351">
        <v>0</v>
      </c>
    </row>
    <row r="154" spans="1:14" ht="25.5">
      <c r="A154" s="209">
        <f t="shared" si="2"/>
        <v>151</v>
      </c>
      <c r="B154" s="389" t="s">
        <v>327</v>
      </c>
      <c r="C154" s="209">
        <v>2074192</v>
      </c>
      <c r="D154" s="216" t="s">
        <v>9075</v>
      </c>
      <c r="E154" s="263">
        <v>45203</v>
      </c>
      <c r="F154" s="263">
        <v>45568</v>
      </c>
      <c r="G154" s="351">
        <v>0</v>
      </c>
      <c r="H154" s="351">
        <v>0</v>
      </c>
      <c r="I154" s="351">
        <v>500</v>
      </c>
      <c r="J154" s="351">
        <v>1935630</v>
      </c>
      <c r="K154" s="351">
        <v>0</v>
      </c>
      <c r="L154" s="351">
        <v>0</v>
      </c>
      <c r="M154" s="470">
        <v>0</v>
      </c>
      <c r="N154" s="351">
        <v>0</v>
      </c>
    </row>
    <row r="155" spans="1:14" ht="25.5">
      <c r="A155" s="209">
        <f t="shared" si="2"/>
        <v>152</v>
      </c>
      <c r="B155" s="389" t="s">
        <v>327</v>
      </c>
      <c r="C155" s="209">
        <v>2074192</v>
      </c>
      <c r="D155" s="216" t="s">
        <v>9076</v>
      </c>
      <c r="E155" s="263">
        <v>45203</v>
      </c>
      <c r="F155" s="263">
        <v>45568</v>
      </c>
      <c r="G155" s="351">
        <v>0</v>
      </c>
      <c r="H155" s="351">
        <v>0</v>
      </c>
      <c r="I155" s="351">
        <v>500</v>
      </c>
      <c r="J155" s="351">
        <v>1935630</v>
      </c>
      <c r="K155" s="351">
        <v>0</v>
      </c>
      <c r="L155" s="351">
        <v>0</v>
      </c>
      <c r="M155" s="470">
        <v>0</v>
      </c>
      <c r="N155" s="351">
        <v>0</v>
      </c>
    </row>
    <row r="156" spans="1:14" ht="25.5">
      <c r="A156" s="209">
        <f t="shared" si="2"/>
        <v>153</v>
      </c>
      <c r="B156" s="389" t="s">
        <v>327</v>
      </c>
      <c r="C156" s="209">
        <v>2074192</v>
      </c>
      <c r="D156" s="216" t="s">
        <v>9077</v>
      </c>
      <c r="E156" s="263">
        <v>45203</v>
      </c>
      <c r="F156" s="263">
        <v>45568</v>
      </c>
      <c r="G156" s="351">
        <v>0</v>
      </c>
      <c r="H156" s="351">
        <v>0</v>
      </c>
      <c r="I156" s="351">
        <v>3000</v>
      </c>
      <c r="J156" s="351">
        <v>11343800</v>
      </c>
      <c r="K156" s="351">
        <v>0</v>
      </c>
      <c r="L156" s="351">
        <v>0</v>
      </c>
      <c r="M156" s="470">
        <v>0</v>
      </c>
      <c r="N156" s="351">
        <v>0</v>
      </c>
    </row>
    <row r="157" spans="1:14">
      <c r="A157" s="209">
        <f t="shared" si="2"/>
        <v>154</v>
      </c>
      <c r="B157" s="214" t="s">
        <v>331</v>
      </c>
      <c r="C157" s="215">
        <v>2861224</v>
      </c>
      <c r="D157" s="281"/>
      <c r="E157" s="299"/>
      <c r="F157" s="299"/>
      <c r="G157" s="350"/>
      <c r="H157" s="350"/>
      <c r="I157" s="350"/>
      <c r="J157" s="350"/>
      <c r="K157" s="350"/>
      <c r="L157" s="350"/>
      <c r="M157" s="353"/>
      <c r="N157" s="350"/>
    </row>
    <row r="158" spans="1:14">
      <c r="A158" s="209">
        <f t="shared" si="2"/>
        <v>155</v>
      </c>
      <c r="B158" s="214" t="s">
        <v>332</v>
      </c>
      <c r="C158" s="215">
        <v>5137977</v>
      </c>
      <c r="D158" s="281"/>
      <c r="E158" s="299"/>
      <c r="F158" s="299"/>
      <c r="G158" s="350"/>
      <c r="H158" s="350"/>
      <c r="I158" s="350"/>
      <c r="J158" s="350"/>
      <c r="K158" s="350"/>
      <c r="L158" s="350"/>
      <c r="M158" s="353"/>
      <c r="N158" s="350"/>
    </row>
  </sheetData>
  <mergeCells count="7">
    <mergeCell ref="K2:N2"/>
    <mergeCell ref="A2:A3"/>
    <mergeCell ref="B2:B3"/>
    <mergeCell ref="C2:C3"/>
    <mergeCell ref="D2:D3"/>
    <mergeCell ref="E2:F2"/>
    <mergeCell ref="G2:J2"/>
  </mergeCells>
  <conditionalFormatting sqref="B4:B6">
    <cfRule type="duplicateValues" dxfId="288" priority="27"/>
  </conditionalFormatting>
  <conditionalFormatting sqref="B12">
    <cfRule type="duplicateValues" dxfId="287" priority="9"/>
  </conditionalFormatting>
  <conditionalFormatting sqref="B14 B7">
    <cfRule type="duplicateValues" dxfId="286" priority="26"/>
  </conditionalFormatting>
  <conditionalFormatting sqref="B18">
    <cfRule type="duplicateValues" dxfId="285" priority="8"/>
  </conditionalFormatting>
  <conditionalFormatting sqref="B19:B20 B15">
    <cfRule type="duplicateValues" dxfId="284" priority="24"/>
  </conditionalFormatting>
  <conditionalFormatting sqref="B21 B31 B33:B44">
    <cfRule type="duplicateValues" dxfId="283" priority="23"/>
  </conditionalFormatting>
  <conditionalFormatting sqref="B59 B46:B48">
    <cfRule type="duplicateValues" dxfId="282" priority="20"/>
  </conditionalFormatting>
  <conditionalFormatting sqref="B60:B66">
    <cfRule type="duplicateValues" dxfId="281" priority="35"/>
  </conditionalFormatting>
  <conditionalFormatting sqref="B82">
    <cfRule type="duplicateValues" dxfId="280" priority="34"/>
  </conditionalFormatting>
  <conditionalFormatting sqref="B97:B99">
    <cfRule type="duplicateValues" dxfId="279" priority="33"/>
  </conditionalFormatting>
  <conditionalFormatting sqref="B101">
    <cfRule type="duplicateValues" dxfId="278" priority="15"/>
  </conditionalFormatting>
  <conditionalFormatting sqref="B102:B124">
    <cfRule type="duplicateValues" dxfId="277" priority="31"/>
  </conditionalFormatting>
  <conditionalFormatting sqref="B125:B127">
    <cfRule type="duplicateValues" dxfId="276" priority="14"/>
  </conditionalFormatting>
  <conditionalFormatting sqref="B128:B129 B142 B158">
    <cfRule type="duplicateValues" dxfId="275" priority="29"/>
  </conditionalFormatting>
  <conditionalFormatting sqref="B130 B134:B141">
    <cfRule type="duplicateValues" dxfId="274" priority="4"/>
  </conditionalFormatting>
  <conditionalFormatting sqref="B131">
    <cfRule type="duplicateValues" dxfId="273" priority="2"/>
  </conditionalFormatting>
  <conditionalFormatting sqref="B132:B133">
    <cfRule type="duplicateValues" dxfId="272" priority="3"/>
  </conditionalFormatting>
  <conditionalFormatting sqref="B157">
    <cfRule type="duplicateValues" dxfId="271" priority="1"/>
  </conditionalFormatting>
  <conditionalFormatting sqref="C14 C4:C7">
    <cfRule type="duplicateValues" dxfId="270" priority="28"/>
  </conditionalFormatting>
  <conditionalFormatting sqref="C33:C35 C15 C31 C18:C21">
    <cfRule type="duplicateValues" dxfId="269" priority="25"/>
  </conditionalFormatting>
  <conditionalFormatting sqref="C36">
    <cfRule type="duplicateValues" dxfId="268" priority="19"/>
  </conditionalFormatting>
  <conditionalFormatting sqref="C37">
    <cfRule type="duplicateValues" dxfId="267" priority="18"/>
  </conditionalFormatting>
  <conditionalFormatting sqref="C59 C38:C44 C46:C48 C50">
    <cfRule type="duplicateValues" dxfId="266" priority="21"/>
  </conditionalFormatting>
  <conditionalFormatting sqref="C76:C82 C60:C66 C69:C70">
    <cfRule type="duplicateValues" dxfId="265" priority="36"/>
  </conditionalFormatting>
  <conditionalFormatting sqref="C101:C123 C89:C95 C97:C99">
    <cfRule type="duplicateValues" dxfId="264" priority="32"/>
  </conditionalFormatting>
  <conditionalFormatting sqref="C124">
    <cfRule type="duplicateValues" dxfId="263" priority="13"/>
  </conditionalFormatting>
  <conditionalFormatting sqref="C125">
    <cfRule type="duplicateValues" dxfId="262" priority="12"/>
  </conditionalFormatting>
  <conditionalFormatting sqref="C126">
    <cfRule type="duplicateValues" dxfId="261" priority="11"/>
  </conditionalFormatting>
  <conditionalFormatting sqref="C127">
    <cfRule type="duplicateValues" dxfId="260" priority="10"/>
  </conditionalFormatting>
  <conditionalFormatting sqref="C128:C130 C133:C142 C157:C158">
    <cfRule type="duplicateValues" dxfId="259" priority="30"/>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1736-2E50-4CB0-ABC5-B2E86D09E984}">
  <sheetPr>
    <tabColor rgb="FF006432"/>
  </sheetPr>
  <dimension ref="A1:R204"/>
  <sheetViews>
    <sheetView workbookViewId="0">
      <pane xSplit="3" ySplit="4" topLeftCell="D5" activePane="bottomRight" state="frozen"/>
      <selection pane="bottomRight" activeCell="B1" sqref="B1"/>
      <selection pane="bottomLeft" activeCell="A5" sqref="A5"/>
      <selection pane="topRight" activeCell="D1" sqref="D1"/>
    </sheetView>
  </sheetViews>
  <sheetFormatPr defaultRowHeight="15"/>
  <cols>
    <col min="1" max="1" width="4.5703125" customWidth="1"/>
    <col min="2" max="2" width="27.140625" customWidth="1"/>
    <col min="3" max="3" width="15" customWidth="1"/>
    <col min="4" max="4" width="19.42578125" style="107" customWidth="1"/>
    <col min="5" max="6" width="11.140625" style="8" customWidth="1"/>
    <col min="7" max="12" width="15.5703125" style="354" customWidth="1"/>
    <col min="13" max="13" width="19.85546875" style="354" bestFit="1" customWidth="1"/>
    <col min="14" max="14" width="15.5703125" style="354" customWidth="1"/>
    <col min="15" max="15" width="19.85546875" style="354" bestFit="1" customWidth="1"/>
    <col min="16" max="16" width="15.5703125" style="354" customWidth="1"/>
    <col min="17" max="17" width="19.85546875" style="354" bestFit="1" customWidth="1"/>
  </cols>
  <sheetData>
    <row r="1" spans="1:18" ht="16.5" thickBot="1">
      <c r="A1" s="26" t="s">
        <v>9078</v>
      </c>
      <c r="B1" s="26"/>
      <c r="C1" s="26"/>
      <c r="D1" s="15"/>
      <c r="E1" s="103"/>
      <c r="F1" s="213"/>
      <c r="G1" s="64"/>
      <c r="H1" s="64"/>
      <c r="I1" s="64"/>
      <c r="J1" s="64"/>
      <c r="K1" s="64"/>
      <c r="L1" s="64"/>
      <c r="M1" s="64"/>
      <c r="N1" s="64"/>
      <c r="O1" s="64"/>
      <c r="P1" s="64"/>
      <c r="Q1" s="64"/>
    </row>
    <row r="2" spans="1:18" ht="27" customHeight="1" thickTop="1">
      <c r="A2" s="584" t="s">
        <v>114</v>
      </c>
      <c r="B2" s="584" t="s">
        <v>115</v>
      </c>
      <c r="C2" s="584" t="s">
        <v>621</v>
      </c>
      <c r="D2" s="585" t="s">
        <v>9011</v>
      </c>
      <c r="E2" s="584" t="s">
        <v>9012</v>
      </c>
      <c r="F2" s="584"/>
      <c r="G2" s="586" t="s">
        <v>9079</v>
      </c>
      <c r="H2" s="586"/>
      <c r="I2" s="586"/>
      <c r="J2" s="586"/>
      <c r="K2" s="586"/>
      <c r="L2" s="586" t="s">
        <v>9080</v>
      </c>
      <c r="M2" s="586"/>
      <c r="N2" s="586"/>
      <c r="O2" s="586"/>
      <c r="P2" s="586"/>
      <c r="Q2" s="586"/>
    </row>
    <row r="3" spans="1:18" ht="27" customHeight="1">
      <c r="A3" s="584"/>
      <c r="B3" s="584"/>
      <c r="C3" s="584"/>
      <c r="D3" s="585"/>
      <c r="E3" s="584" t="s">
        <v>9015</v>
      </c>
      <c r="F3" s="584" t="s">
        <v>9016</v>
      </c>
      <c r="G3" s="586" t="s">
        <v>9081</v>
      </c>
      <c r="H3" s="586" t="s">
        <v>9017</v>
      </c>
      <c r="I3" s="586" t="s">
        <v>9018</v>
      </c>
      <c r="J3" s="586" t="s">
        <v>9019</v>
      </c>
      <c r="K3" s="586" t="s">
        <v>9020</v>
      </c>
      <c r="L3" s="586" t="s">
        <v>9082</v>
      </c>
      <c r="M3" s="586"/>
      <c r="N3" s="586" t="s">
        <v>9083</v>
      </c>
      <c r="O3" s="586"/>
      <c r="P3" s="586" t="s">
        <v>127</v>
      </c>
      <c r="Q3" s="586"/>
    </row>
    <row r="4" spans="1:18" ht="26.25" customHeight="1">
      <c r="A4" s="584"/>
      <c r="B4" s="584"/>
      <c r="C4" s="584"/>
      <c r="D4" s="585"/>
      <c r="E4" s="584"/>
      <c r="F4" s="584"/>
      <c r="G4" s="586"/>
      <c r="H4" s="586"/>
      <c r="I4" s="586"/>
      <c r="J4" s="586"/>
      <c r="K4" s="586"/>
      <c r="L4" s="472" t="s">
        <v>9017</v>
      </c>
      <c r="M4" s="472" t="s">
        <v>9084</v>
      </c>
      <c r="N4" s="472" t="s">
        <v>9017</v>
      </c>
      <c r="O4" s="472" t="s">
        <v>9084</v>
      </c>
      <c r="P4" s="472" t="s">
        <v>9017</v>
      </c>
      <c r="Q4" s="472" t="s">
        <v>9084</v>
      </c>
    </row>
    <row r="5" spans="1:18">
      <c r="A5" s="209">
        <v>1</v>
      </c>
      <c r="B5" s="214" t="s">
        <v>121</v>
      </c>
      <c r="C5" s="215">
        <v>2011239</v>
      </c>
      <c r="D5" s="387"/>
      <c r="E5" s="299"/>
      <c r="F5" s="299"/>
      <c r="G5" s="350"/>
      <c r="H5" s="350"/>
      <c r="I5" s="350"/>
      <c r="J5" s="350"/>
      <c r="K5" s="350"/>
      <c r="L5" s="350"/>
      <c r="M5" s="350"/>
      <c r="N5" s="350"/>
      <c r="O5" s="350"/>
      <c r="P5" s="350"/>
      <c r="Q5" s="355"/>
    </row>
    <row r="6" spans="1:18">
      <c r="A6" s="209">
        <f>A5+1</f>
        <v>2</v>
      </c>
      <c r="B6" s="214" t="s">
        <v>126</v>
      </c>
      <c r="C6" s="215">
        <v>5097517</v>
      </c>
      <c r="D6" s="387"/>
      <c r="E6" s="299"/>
      <c r="F6" s="299"/>
      <c r="G6" s="350"/>
      <c r="H6" s="350"/>
      <c r="I6" s="350"/>
      <c r="J6" s="350"/>
      <c r="K6" s="350"/>
      <c r="L6" s="350"/>
      <c r="M6" s="350"/>
      <c r="N6" s="350"/>
      <c r="O6" s="350"/>
      <c r="P6" s="350"/>
      <c r="Q6" s="355"/>
    </row>
    <row r="7" spans="1:18">
      <c r="A7" s="209">
        <f t="shared" ref="A7:A70" si="0">A6+1</f>
        <v>3</v>
      </c>
      <c r="B7" s="214" t="s">
        <v>131</v>
      </c>
      <c r="C7" s="215">
        <v>5809797</v>
      </c>
      <c r="D7" s="388" t="s">
        <v>9085</v>
      </c>
      <c r="E7" s="473">
        <v>44927</v>
      </c>
      <c r="F7" s="473">
        <v>45291</v>
      </c>
      <c r="G7" s="474"/>
      <c r="H7" s="474">
        <v>0</v>
      </c>
      <c r="I7" s="474">
        <v>0</v>
      </c>
      <c r="J7" s="474">
        <v>0</v>
      </c>
      <c r="K7" s="474">
        <v>0</v>
      </c>
      <c r="L7" s="474">
        <v>5736.39</v>
      </c>
      <c r="M7" s="474">
        <v>0</v>
      </c>
      <c r="N7" s="474">
        <v>0</v>
      </c>
      <c r="O7" s="474">
        <v>0</v>
      </c>
      <c r="P7" s="474">
        <v>0</v>
      </c>
      <c r="Q7" s="475">
        <v>0</v>
      </c>
      <c r="R7" s="208"/>
    </row>
    <row r="8" spans="1:18">
      <c r="A8" s="209">
        <f t="shared" si="0"/>
        <v>4</v>
      </c>
      <c r="B8" s="214" t="s">
        <v>133</v>
      </c>
      <c r="C8" s="215">
        <v>5118344</v>
      </c>
      <c r="D8" s="387"/>
      <c r="E8" s="299"/>
      <c r="F8" s="299"/>
      <c r="G8" s="350"/>
      <c r="H8" s="350"/>
      <c r="I8" s="350"/>
      <c r="J8" s="350"/>
      <c r="K8" s="350"/>
      <c r="L8" s="350"/>
      <c r="M8" s="350"/>
      <c r="N8" s="350"/>
      <c r="O8" s="350"/>
      <c r="P8" s="350"/>
      <c r="Q8" s="355"/>
      <c r="R8" s="208"/>
    </row>
    <row r="9" spans="1:18" ht="26.25">
      <c r="A9" s="209">
        <f t="shared" si="0"/>
        <v>5</v>
      </c>
      <c r="B9" s="214" t="s">
        <v>136</v>
      </c>
      <c r="C9" s="215">
        <v>5095549</v>
      </c>
      <c r="D9" s="388" t="s">
        <v>9086</v>
      </c>
      <c r="E9" s="473">
        <v>44927</v>
      </c>
      <c r="F9" s="473">
        <v>45291</v>
      </c>
      <c r="G9" s="474"/>
      <c r="H9" s="474">
        <v>0</v>
      </c>
      <c r="I9" s="474">
        <v>0</v>
      </c>
      <c r="J9" s="474">
        <v>0</v>
      </c>
      <c r="K9" s="474">
        <v>0</v>
      </c>
      <c r="L9" s="474">
        <v>0</v>
      </c>
      <c r="M9" s="474">
        <v>515.34500000000003</v>
      </c>
      <c r="N9" s="474">
        <v>0</v>
      </c>
      <c r="O9" s="474">
        <v>13.603999999999999</v>
      </c>
      <c r="P9" s="474">
        <v>0</v>
      </c>
      <c r="Q9" s="475">
        <v>0</v>
      </c>
      <c r="R9" s="208"/>
    </row>
    <row r="10" spans="1:18">
      <c r="A10" s="209">
        <f t="shared" si="0"/>
        <v>6</v>
      </c>
      <c r="B10" s="214" t="s">
        <v>140</v>
      </c>
      <c r="C10" s="215">
        <v>2784165</v>
      </c>
      <c r="D10" s="387"/>
      <c r="E10" s="299"/>
      <c r="F10" s="299"/>
      <c r="G10" s="350"/>
      <c r="H10" s="350"/>
      <c r="I10" s="350"/>
      <c r="J10" s="350"/>
      <c r="K10" s="350"/>
      <c r="L10" s="350"/>
      <c r="M10" s="350"/>
      <c r="N10" s="350"/>
      <c r="O10" s="350"/>
      <c r="P10" s="350"/>
      <c r="Q10" s="355"/>
      <c r="R10" s="95"/>
    </row>
    <row r="11" spans="1:18">
      <c r="A11" s="209">
        <f t="shared" si="0"/>
        <v>7</v>
      </c>
      <c r="B11" s="214" t="s">
        <v>143</v>
      </c>
      <c r="C11" s="215">
        <v>5133351</v>
      </c>
      <c r="D11" s="387"/>
      <c r="E11" s="299"/>
      <c r="F11" s="299"/>
      <c r="G11" s="350"/>
      <c r="H11" s="350"/>
      <c r="I11" s="350"/>
      <c r="J11" s="350"/>
      <c r="K11" s="350"/>
      <c r="L11" s="350"/>
      <c r="M11" s="350"/>
      <c r="N11" s="350"/>
      <c r="O11" s="350"/>
      <c r="P11" s="350"/>
      <c r="Q11" s="355"/>
    </row>
    <row r="12" spans="1:18">
      <c r="A12" s="209">
        <f t="shared" si="0"/>
        <v>8</v>
      </c>
      <c r="B12" s="214" t="s">
        <v>144</v>
      </c>
      <c r="C12" s="215">
        <v>6172768</v>
      </c>
      <c r="D12" s="387"/>
      <c r="E12" s="299"/>
      <c r="F12" s="299"/>
      <c r="G12" s="350"/>
      <c r="H12" s="350"/>
      <c r="I12" s="350"/>
      <c r="J12" s="350"/>
      <c r="K12" s="350"/>
      <c r="L12" s="350"/>
      <c r="M12" s="350"/>
      <c r="N12" s="350"/>
      <c r="O12" s="350"/>
      <c r="P12" s="350"/>
      <c r="Q12" s="355"/>
    </row>
    <row r="13" spans="1:18">
      <c r="A13" s="209">
        <f t="shared" si="0"/>
        <v>9</v>
      </c>
      <c r="B13" s="214" t="s">
        <v>146</v>
      </c>
      <c r="C13" s="215">
        <v>2788705</v>
      </c>
      <c r="D13" s="387"/>
      <c r="E13" s="299"/>
      <c r="F13" s="299"/>
      <c r="G13" s="350"/>
      <c r="H13" s="350"/>
      <c r="I13" s="350"/>
      <c r="J13" s="350"/>
      <c r="K13" s="350"/>
      <c r="L13" s="350"/>
      <c r="M13" s="350"/>
      <c r="N13" s="350"/>
      <c r="O13" s="350"/>
      <c r="P13" s="350"/>
      <c r="Q13" s="355"/>
      <c r="R13" s="208"/>
    </row>
    <row r="14" spans="1:18">
      <c r="A14" s="209">
        <f t="shared" si="0"/>
        <v>10</v>
      </c>
      <c r="B14" s="214" t="s">
        <v>629</v>
      </c>
      <c r="C14" s="215">
        <v>5439183</v>
      </c>
      <c r="D14" s="387"/>
      <c r="E14" s="299"/>
      <c r="F14" s="299"/>
      <c r="G14" s="350"/>
      <c r="H14" s="350"/>
      <c r="I14" s="350"/>
      <c r="J14" s="350"/>
      <c r="K14" s="350"/>
      <c r="L14" s="350"/>
      <c r="M14" s="350"/>
      <c r="N14" s="350"/>
      <c r="O14" s="350"/>
      <c r="P14" s="350"/>
      <c r="Q14" s="355"/>
      <c r="R14" s="208"/>
    </row>
    <row r="15" spans="1:18">
      <c r="A15" s="209">
        <f t="shared" si="0"/>
        <v>11</v>
      </c>
      <c r="B15" s="476" t="s">
        <v>152</v>
      </c>
      <c r="C15" s="209">
        <v>2008572</v>
      </c>
      <c r="D15" s="388" t="s">
        <v>9087</v>
      </c>
      <c r="E15" s="473">
        <v>45267</v>
      </c>
      <c r="F15" s="473">
        <v>45389</v>
      </c>
      <c r="G15" s="474"/>
      <c r="H15" s="474">
        <v>0</v>
      </c>
      <c r="I15" s="474">
        <v>0</v>
      </c>
      <c r="J15" s="474">
        <v>0</v>
      </c>
      <c r="K15" s="474">
        <v>696707000</v>
      </c>
      <c r="L15" s="474">
        <v>0</v>
      </c>
      <c r="M15" s="474">
        <v>162782</v>
      </c>
      <c r="N15" s="474">
        <v>0</v>
      </c>
      <c r="O15" s="474">
        <v>0</v>
      </c>
      <c r="P15" s="474">
        <v>0</v>
      </c>
      <c r="Q15" s="475">
        <v>0</v>
      </c>
      <c r="R15" s="208"/>
    </row>
    <row r="16" spans="1:18">
      <c r="A16" s="209">
        <f t="shared" si="0"/>
        <v>12</v>
      </c>
      <c r="B16" s="476" t="s">
        <v>152</v>
      </c>
      <c r="C16" s="209">
        <v>2008572</v>
      </c>
      <c r="D16" s="388" t="s">
        <v>9088</v>
      </c>
      <c r="E16" s="473">
        <v>45099</v>
      </c>
      <c r="F16" s="473">
        <v>45465</v>
      </c>
      <c r="G16" s="474"/>
      <c r="H16" s="474">
        <v>0</v>
      </c>
      <c r="I16" s="474">
        <v>0</v>
      </c>
      <c r="J16" s="474">
        <v>0</v>
      </c>
      <c r="K16" s="474">
        <v>15480500000</v>
      </c>
      <c r="L16" s="474">
        <v>0</v>
      </c>
      <c r="M16" s="474">
        <v>4394160</v>
      </c>
      <c r="N16" s="474">
        <v>0</v>
      </c>
      <c r="O16" s="474">
        <v>0</v>
      </c>
      <c r="P16" s="474">
        <v>0</v>
      </c>
      <c r="Q16" s="475">
        <v>0</v>
      </c>
      <c r="R16" s="95"/>
    </row>
    <row r="17" spans="1:18" ht="26.25">
      <c r="A17" s="209">
        <f t="shared" si="0"/>
        <v>13</v>
      </c>
      <c r="B17" s="216" t="s">
        <v>152</v>
      </c>
      <c r="C17" s="209">
        <v>2008572</v>
      </c>
      <c r="D17" s="388" t="s">
        <v>9089</v>
      </c>
      <c r="E17" s="473">
        <v>44879</v>
      </c>
      <c r="F17" s="473">
        <v>45244</v>
      </c>
      <c r="G17" s="474"/>
      <c r="H17" s="474">
        <v>0</v>
      </c>
      <c r="I17" s="474">
        <v>0</v>
      </c>
      <c r="J17" s="474">
        <v>0</v>
      </c>
      <c r="K17" s="474">
        <v>34549000000</v>
      </c>
      <c r="L17" s="474">
        <v>0</v>
      </c>
      <c r="M17" s="474">
        <v>9156320</v>
      </c>
      <c r="N17" s="474">
        <v>0</v>
      </c>
      <c r="O17" s="474">
        <v>0</v>
      </c>
      <c r="P17" s="474">
        <v>0</v>
      </c>
      <c r="Q17" s="475">
        <v>0</v>
      </c>
    </row>
    <row r="18" spans="1:18">
      <c r="A18" s="209">
        <f t="shared" si="0"/>
        <v>14</v>
      </c>
      <c r="B18" s="214" t="s">
        <v>152</v>
      </c>
      <c r="C18" s="215">
        <v>2008572</v>
      </c>
      <c r="D18" s="388" t="s">
        <v>9090</v>
      </c>
      <c r="E18" s="473">
        <v>44967</v>
      </c>
      <c r="F18" s="473">
        <v>45332</v>
      </c>
      <c r="G18" s="474"/>
      <c r="H18" s="474">
        <v>0</v>
      </c>
      <c r="I18" s="474">
        <v>0</v>
      </c>
      <c r="J18" s="474">
        <v>0</v>
      </c>
      <c r="K18" s="474">
        <v>243897000</v>
      </c>
      <c r="L18" s="474">
        <v>0</v>
      </c>
      <c r="M18" s="474">
        <v>0</v>
      </c>
      <c r="N18" s="474">
        <v>100630</v>
      </c>
      <c r="O18" s="474">
        <v>0</v>
      </c>
      <c r="P18" s="474">
        <v>0</v>
      </c>
      <c r="Q18" s="475">
        <v>0</v>
      </c>
    </row>
    <row r="19" spans="1:18">
      <c r="A19" s="209">
        <f t="shared" si="0"/>
        <v>15</v>
      </c>
      <c r="B19" s="214" t="s">
        <v>155</v>
      </c>
      <c r="C19" s="215">
        <v>5215919</v>
      </c>
      <c r="D19" s="387"/>
      <c r="E19" s="299"/>
      <c r="F19" s="299"/>
      <c r="G19" s="350"/>
      <c r="H19" s="350"/>
      <c r="I19" s="350"/>
      <c r="J19" s="350"/>
      <c r="K19" s="350"/>
      <c r="L19" s="350"/>
      <c r="M19" s="350"/>
      <c r="N19" s="350"/>
      <c r="O19" s="350"/>
      <c r="P19" s="350"/>
      <c r="Q19" s="355"/>
      <c r="R19" s="208"/>
    </row>
    <row r="20" spans="1:18">
      <c r="A20" s="209">
        <f t="shared" si="0"/>
        <v>16</v>
      </c>
      <c r="B20" s="214" t="s">
        <v>157</v>
      </c>
      <c r="C20" s="215">
        <v>5502977</v>
      </c>
      <c r="D20" s="388" t="s">
        <v>9091</v>
      </c>
      <c r="E20" s="473">
        <v>43670</v>
      </c>
      <c r="F20" s="473">
        <v>45497</v>
      </c>
      <c r="G20" s="474"/>
      <c r="H20" s="474">
        <v>0</v>
      </c>
      <c r="I20" s="474">
        <v>0</v>
      </c>
      <c r="J20" s="474">
        <v>0</v>
      </c>
      <c r="K20" s="474">
        <v>0</v>
      </c>
      <c r="L20" s="474">
        <v>0</v>
      </c>
      <c r="M20" s="474">
        <v>256640</v>
      </c>
      <c r="N20" s="474">
        <v>0</v>
      </c>
      <c r="O20" s="474">
        <v>0</v>
      </c>
      <c r="P20" s="474">
        <v>0</v>
      </c>
      <c r="Q20" s="475">
        <v>0</v>
      </c>
      <c r="R20" s="208"/>
    </row>
    <row r="21" spans="1:18">
      <c r="A21" s="209">
        <f t="shared" si="0"/>
        <v>17</v>
      </c>
      <c r="B21" s="214" t="s">
        <v>159</v>
      </c>
      <c r="C21" s="215">
        <v>2708701</v>
      </c>
      <c r="D21" s="387"/>
      <c r="E21" s="299"/>
      <c r="F21" s="299"/>
      <c r="G21" s="350"/>
      <c r="H21" s="350"/>
      <c r="I21" s="350"/>
      <c r="J21" s="350"/>
      <c r="K21" s="350"/>
      <c r="L21" s="350"/>
      <c r="M21" s="350"/>
      <c r="N21" s="350"/>
      <c r="O21" s="350"/>
      <c r="P21" s="350"/>
      <c r="Q21" s="355"/>
      <c r="R21" s="95"/>
    </row>
    <row r="22" spans="1:18">
      <c r="A22" s="209">
        <f t="shared" si="0"/>
        <v>18</v>
      </c>
      <c r="B22" s="214" t="s">
        <v>161</v>
      </c>
      <c r="C22" s="215">
        <v>2014491</v>
      </c>
      <c r="D22" s="387"/>
      <c r="E22" s="299"/>
      <c r="F22" s="299"/>
      <c r="G22" s="350"/>
      <c r="H22" s="350"/>
      <c r="I22" s="350"/>
      <c r="J22" s="350"/>
      <c r="K22" s="350"/>
      <c r="L22" s="350"/>
      <c r="M22" s="350"/>
      <c r="N22" s="350"/>
      <c r="O22" s="350"/>
      <c r="P22" s="350"/>
      <c r="Q22" s="355"/>
    </row>
    <row r="23" spans="1:18">
      <c r="A23" s="209">
        <f t="shared" si="0"/>
        <v>19</v>
      </c>
      <c r="B23" s="214" t="s">
        <v>165</v>
      </c>
      <c r="C23" s="215">
        <v>6414877</v>
      </c>
      <c r="D23" s="387"/>
      <c r="E23" s="299"/>
      <c r="F23" s="299"/>
      <c r="G23" s="350"/>
      <c r="H23" s="350"/>
      <c r="I23" s="350"/>
      <c r="J23" s="350"/>
      <c r="K23" s="350"/>
      <c r="L23" s="350"/>
      <c r="M23" s="350"/>
      <c r="N23" s="350"/>
      <c r="O23" s="350"/>
      <c r="P23" s="350"/>
      <c r="Q23" s="355"/>
      <c r="R23" s="208"/>
    </row>
    <row r="24" spans="1:18">
      <c r="A24" s="209">
        <f t="shared" si="0"/>
        <v>20</v>
      </c>
      <c r="B24" s="214" t="s">
        <v>168</v>
      </c>
      <c r="C24" s="215">
        <v>5369223</v>
      </c>
      <c r="D24" s="388" t="s">
        <v>9092</v>
      </c>
      <c r="E24" s="473">
        <v>44927</v>
      </c>
      <c r="F24" s="473">
        <v>45291</v>
      </c>
      <c r="G24" s="474"/>
      <c r="H24" s="474">
        <v>0</v>
      </c>
      <c r="I24" s="474">
        <v>0</v>
      </c>
      <c r="J24" s="474">
        <v>0</v>
      </c>
      <c r="K24" s="474">
        <v>0</v>
      </c>
      <c r="L24" s="474">
        <v>0</v>
      </c>
      <c r="M24" s="474">
        <v>2101.4</v>
      </c>
      <c r="N24" s="474">
        <v>0</v>
      </c>
      <c r="O24" s="474">
        <v>1.8</v>
      </c>
      <c r="P24" s="474">
        <v>0</v>
      </c>
      <c r="Q24" s="475">
        <v>0</v>
      </c>
      <c r="R24" s="208"/>
    </row>
    <row r="25" spans="1:18">
      <c r="A25" s="209">
        <f t="shared" si="0"/>
        <v>21</v>
      </c>
      <c r="B25" s="476" t="s">
        <v>169</v>
      </c>
      <c r="C25" s="215">
        <v>5294088</v>
      </c>
      <c r="D25" s="388" t="s">
        <v>9093</v>
      </c>
      <c r="E25" s="473">
        <v>44927</v>
      </c>
      <c r="F25" s="473">
        <v>45291</v>
      </c>
      <c r="G25" s="474"/>
      <c r="H25" s="474">
        <v>0</v>
      </c>
      <c r="I25" s="474">
        <v>0</v>
      </c>
      <c r="J25" s="474">
        <v>0</v>
      </c>
      <c r="K25" s="474">
        <v>0</v>
      </c>
      <c r="L25" s="474">
        <v>0</v>
      </c>
      <c r="M25" s="474">
        <v>0</v>
      </c>
      <c r="N25" s="474">
        <v>0</v>
      </c>
      <c r="O25" s="474">
        <v>3305.62</v>
      </c>
      <c r="P25" s="474">
        <v>0</v>
      </c>
      <c r="Q25" s="475">
        <v>0</v>
      </c>
      <c r="R25" s="208"/>
    </row>
    <row r="26" spans="1:18">
      <c r="A26" s="209">
        <f t="shared" si="0"/>
        <v>22</v>
      </c>
      <c r="B26" s="476" t="s">
        <v>169</v>
      </c>
      <c r="C26" s="215">
        <v>5294088</v>
      </c>
      <c r="D26" s="388" t="s">
        <v>9094</v>
      </c>
      <c r="E26" s="473">
        <v>44927</v>
      </c>
      <c r="F26" s="473">
        <v>45291</v>
      </c>
      <c r="G26" s="474"/>
      <c r="H26" s="474">
        <v>0</v>
      </c>
      <c r="I26" s="474">
        <v>0</v>
      </c>
      <c r="J26" s="474">
        <v>0</v>
      </c>
      <c r="K26" s="474">
        <v>0</v>
      </c>
      <c r="L26" s="474">
        <v>0</v>
      </c>
      <c r="M26" s="474">
        <v>0</v>
      </c>
      <c r="N26" s="474">
        <v>0</v>
      </c>
      <c r="O26" s="474">
        <v>758</v>
      </c>
      <c r="P26" s="474">
        <v>0</v>
      </c>
      <c r="Q26" s="475">
        <v>0</v>
      </c>
      <c r="R26" s="208"/>
    </row>
    <row r="27" spans="1:18">
      <c r="A27" s="209">
        <f t="shared" si="0"/>
        <v>23</v>
      </c>
      <c r="B27" s="476" t="s">
        <v>169</v>
      </c>
      <c r="C27" s="215">
        <v>5294088</v>
      </c>
      <c r="D27" s="388" t="s">
        <v>9095</v>
      </c>
      <c r="E27" s="473">
        <v>44927</v>
      </c>
      <c r="F27" s="473">
        <v>45291</v>
      </c>
      <c r="G27" s="474"/>
      <c r="H27" s="474">
        <v>0</v>
      </c>
      <c r="I27" s="474">
        <v>0</v>
      </c>
      <c r="J27" s="474">
        <v>0</v>
      </c>
      <c r="K27" s="474">
        <v>0</v>
      </c>
      <c r="L27" s="474">
        <v>0</v>
      </c>
      <c r="M27" s="474">
        <v>0</v>
      </c>
      <c r="N27" s="474">
        <v>0</v>
      </c>
      <c r="O27" s="474">
        <v>1443</v>
      </c>
      <c r="P27" s="474">
        <v>0</v>
      </c>
      <c r="Q27" s="475">
        <v>0</v>
      </c>
      <c r="R27" s="208"/>
    </row>
    <row r="28" spans="1:18">
      <c r="A28" s="209">
        <f t="shared" si="0"/>
        <v>24</v>
      </c>
      <c r="B28" s="214" t="s">
        <v>169</v>
      </c>
      <c r="C28" s="215">
        <v>5294088</v>
      </c>
      <c r="D28" s="388" t="s">
        <v>9096</v>
      </c>
      <c r="E28" s="473">
        <v>44927</v>
      </c>
      <c r="F28" s="473">
        <v>45291</v>
      </c>
      <c r="G28" s="474"/>
      <c r="H28" s="474">
        <v>0</v>
      </c>
      <c r="I28" s="474">
        <v>0</v>
      </c>
      <c r="J28" s="474">
        <v>0</v>
      </c>
      <c r="K28" s="474">
        <v>0</v>
      </c>
      <c r="L28" s="474">
        <v>0</v>
      </c>
      <c r="M28" s="474">
        <v>0</v>
      </c>
      <c r="N28" s="474">
        <v>545</v>
      </c>
      <c r="O28" s="474">
        <v>0</v>
      </c>
      <c r="P28" s="474">
        <v>0</v>
      </c>
      <c r="Q28" s="475">
        <v>0</v>
      </c>
      <c r="R28" s="208"/>
    </row>
    <row r="29" spans="1:18">
      <c r="A29" s="209">
        <f t="shared" si="0"/>
        <v>25</v>
      </c>
      <c r="B29" s="214" t="s">
        <v>173</v>
      </c>
      <c r="C29" s="215">
        <v>2855119</v>
      </c>
      <c r="D29" s="387"/>
      <c r="E29" s="299"/>
      <c r="F29" s="299"/>
      <c r="G29" s="350"/>
      <c r="H29" s="350"/>
      <c r="I29" s="350"/>
      <c r="J29" s="350"/>
      <c r="K29" s="350"/>
      <c r="L29" s="350"/>
      <c r="M29" s="350"/>
      <c r="N29" s="350"/>
      <c r="O29" s="350"/>
      <c r="P29" s="350"/>
      <c r="Q29" s="355"/>
      <c r="R29" s="95"/>
    </row>
    <row r="30" spans="1:18">
      <c r="A30" s="209">
        <f t="shared" si="0"/>
        <v>26</v>
      </c>
      <c r="B30" s="244" t="s">
        <v>174</v>
      </c>
      <c r="C30" s="215">
        <v>2094533</v>
      </c>
      <c r="D30" s="388" t="s">
        <v>9091</v>
      </c>
      <c r="E30" s="477" t="s">
        <v>8377</v>
      </c>
      <c r="F30" s="477" t="s">
        <v>8377</v>
      </c>
      <c r="G30" s="474"/>
      <c r="H30" s="474">
        <v>0</v>
      </c>
      <c r="I30" s="474">
        <v>0</v>
      </c>
      <c r="J30" s="474">
        <v>0</v>
      </c>
      <c r="K30" s="474">
        <v>0</v>
      </c>
      <c r="L30" s="474">
        <v>0</v>
      </c>
      <c r="M30" s="474">
        <v>8050.56</v>
      </c>
      <c r="N30" s="474">
        <v>0</v>
      </c>
      <c r="O30" s="474">
        <v>84.12</v>
      </c>
      <c r="P30" s="474">
        <v>0</v>
      </c>
      <c r="Q30" s="475">
        <v>0</v>
      </c>
    </row>
    <row r="31" spans="1:18">
      <c r="A31" s="209">
        <f t="shared" si="0"/>
        <v>27</v>
      </c>
      <c r="B31" s="214" t="s">
        <v>175</v>
      </c>
      <c r="C31" s="215">
        <v>5722942</v>
      </c>
      <c r="D31" s="387"/>
      <c r="E31" s="299"/>
      <c r="F31" s="299"/>
      <c r="G31" s="350"/>
      <c r="H31" s="350"/>
      <c r="I31" s="350"/>
      <c r="J31" s="350"/>
      <c r="K31" s="350"/>
      <c r="L31" s="350"/>
      <c r="M31" s="350"/>
      <c r="N31" s="350"/>
      <c r="O31" s="350"/>
      <c r="P31" s="350"/>
      <c r="Q31" s="355"/>
      <c r="R31" s="208"/>
    </row>
    <row r="32" spans="1:18">
      <c r="A32" s="209">
        <f t="shared" si="0"/>
        <v>28</v>
      </c>
      <c r="B32" s="214" t="s">
        <v>176</v>
      </c>
      <c r="C32" s="215">
        <v>2867494</v>
      </c>
      <c r="D32" s="387"/>
      <c r="E32" s="299"/>
      <c r="F32" s="299"/>
      <c r="G32" s="350"/>
      <c r="H32" s="350"/>
      <c r="I32" s="350"/>
      <c r="J32" s="350"/>
      <c r="K32" s="350"/>
      <c r="L32" s="350"/>
      <c r="M32" s="350"/>
      <c r="N32" s="350"/>
      <c r="O32" s="350"/>
      <c r="P32" s="350"/>
      <c r="Q32" s="355"/>
      <c r="R32" s="95"/>
    </row>
    <row r="33" spans="1:18">
      <c r="A33" s="209">
        <f t="shared" si="0"/>
        <v>29</v>
      </c>
      <c r="B33" s="214" t="s">
        <v>177</v>
      </c>
      <c r="C33" s="215">
        <v>6463932</v>
      </c>
      <c r="D33" s="387"/>
      <c r="E33" s="299"/>
      <c r="F33" s="299"/>
      <c r="G33" s="350"/>
      <c r="H33" s="350"/>
      <c r="I33" s="350"/>
      <c r="J33" s="350"/>
      <c r="K33" s="350"/>
      <c r="L33" s="350"/>
      <c r="M33" s="350"/>
      <c r="N33" s="350"/>
      <c r="O33" s="350"/>
      <c r="P33" s="350"/>
      <c r="Q33" s="355"/>
      <c r="R33" s="208"/>
    </row>
    <row r="34" spans="1:18">
      <c r="A34" s="209">
        <f t="shared" si="0"/>
        <v>30</v>
      </c>
      <c r="B34" s="214" t="s">
        <v>178</v>
      </c>
      <c r="C34" s="215">
        <v>5260833</v>
      </c>
      <c r="D34" s="387"/>
      <c r="E34" s="299"/>
      <c r="F34" s="299"/>
      <c r="G34" s="350"/>
      <c r="H34" s="350"/>
      <c r="I34" s="350"/>
      <c r="J34" s="350"/>
      <c r="K34" s="350"/>
      <c r="L34" s="350"/>
      <c r="M34" s="350"/>
      <c r="N34" s="350"/>
      <c r="O34" s="350"/>
      <c r="P34" s="350"/>
      <c r="Q34" s="355"/>
      <c r="R34" s="208"/>
    </row>
    <row r="35" spans="1:18">
      <c r="A35" s="209">
        <f t="shared" si="0"/>
        <v>31</v>
      </c>
      <c r="B35" s="214" t="s">
        <v>179</v>
      </c>
      <c r="C35" s="215">
        <v>2051303</v>
      </c>
      <c r="D35" s="387"/>
      <c r="E35" s="299"/>
      <c r="F35" s="299"/>
      <c r="G35" s="350"/>
      <c r="H35" s="350"/>
      <c r="I35" s="350"/>
      <c r="J35" s="350"/>
      <c r="K35" s="350"/>
      <c r="L35" s="350"/>
      <c r="M35" s="350"/>
      <c r="N35" s="350"/>
      <c r="O35" s="350"/>
      <c r="P35" s="350"/>
      <c r="Q35" s="355"/>
      <c r="R35" s="95"/>
    </row>
    <row r="36" spans="1:18">
      <c r="A36" s="209">
        <f t="shared" si="0"/>
        <v>32</v>
      </c>
      <c r="B36" s="214" t="s">
        <v>183</v>
      </c>
      <c r="C36" s="215">
        <v>2061848</v>
      </c>
      <c r="D36" s="388" t="s">
        <v>9097</v>
      </c>
      <c r="E36" s="473">
        <v>45017</v>
      </c>
      <c r="F36" s="473">
        <v>45543</v>
      </c>
      <c r="G36" s="474"/>
      <c r="H36" s="474">
        <v>0</v>
      </c>
      <c r="I36" s="474">
        <v>0</v>
      </c>
      <c r="J36" s="474">
        <v>0</v>
      </c>
      <c r="K36" s="474">
        <v>0</v>
      </c>
      <c r="L36" s="474">
        <v>290.89999999999998</v>
      </c>
      <c r="M36" s="474">
        <v>0</v>
      </c>
      <c r="N36" s="474">
        <v>0</v>
      </c>
      <c r="O36" s="474">
        <v>0</v>
      </c>
      <c r="P36" s="474">
        <v>0</v>
      </c>
      <c r="Q36" s="475">
        <v>0</v>
      </c>
      <c r="R36" s="208"/>
    </row>
    <row r="37" spans="1:18">
      <c r="A37" s="209">
        <f t="shared" si="0"/>
        <v>33</v>
      </c>
      <c r="B37" s="214" t="s">
        <v>185</v>
      </c>
      <c r="C37" s="215">
        <v>2766337</v>
      </c>
      <c r="D37" s="387"/>
      <c r="E37" s="299"/>
      <c r="F37" s="299"/>
      <c r="G37" s="350"/>
      <c r="H37" s="350"/>
      <c r="I37" s="350"/>
      <c r="J37" s="350"/>
      <c r="K37" s="350"/>
      <c r="L37" s="350"/>
      <c r="M37" s="350"/>
      <c r="N37" s="350"/>
      <c r="O37" s="350"/>
      <c r="P37" s="350"/>
      <c r="Q37" s="355"/>
      <c r="R37" s="95"/>
    </row>
    <row r="38" spans="1:18">
      <c r="A38" s="209">
        <f t="shared" si="0"/>
        <v>34</v>
      </c>
      <c r="B38" s="214" t="s">
        <v>187</v>
      </c>
      <c r="C38" s="215">
        <v>5810086</v>
      </c>
      <c r="D38" s="387"/>
      <c r="E38" s="299"/>
      <c r="F38" s="299"/>
      <c r="G38" s="350"/>
      <c r="H38" s="350"/>
      <c r="I38" s="350"/>
      <c r="J38" s="350"/>
      <c r="K38" s="350"/>
      <c r="L38" s="350"/>
      <c r="M38" s="350"/>
      <c r="N38" s="350"/>
      <c r="O38" s="350"/>
      <c r="P38" s="350"/>
      <c r="Q38" s="355"/>
      <c r="R38" s="208"/>
    </row>
    <row r="39" spans="1:18">
      <c r="A39" s="209">
        <f t="shared" si="0"/>
        <v>35</v>
      </c>
      <c r="B39" s="476" t="s">
        <v>188</v>
      </c>
      <c r="C39" s="209">
        <v>5217652</v>
      </c>
      <c r="D39" s="388" t="s">
        <v>9098</v>
      </c>
      <c r="E39" s="473">
        <v>44928</v>
      </c>
      <c r="F39" s="473">
        <v>45385</v>
      </c>
      <c r="G39" s="474"/>
      <c r="H39" s="474">
        <v>0</v>
      </c>
      <c r="I39" s="474">
        <v>0</v>
      </c>
      <c r="J39" s="474">
        <v>0</v>
      </c>
      <c r="K39" s="474">
        <v>0</v>
      </c>
      <c r="L39" s="474">
        <v>279</v>
      </c>
      <c r="M39" s="474">
        <v>0</v>
      </c>
      <c r="N39" s="474">
        <v>0</v>
      </c>
      <c r="O39" s="474">
        <v>0</v>
      </c>
      <c r="P39" s="474">
        <v>0</v>
      </c>
      <c r="Q39" s="475">
        <v>0</v>
      </c>
      <c r="R39" s="208"/>
    </row>
    <row r="40" spans="1:18">
      <c r="A40" s="209">
        <f t="shared" si="0"/>
        <v>36</v>
      </c>
      <c r="B40" s="476" t="s">
        <v>188</v>
      </c>
      <c r="C40" s="209">
        <v>5217652</v>
      </c>
      <c r="D40" s="388" t="s">
        <v>9093</v>
      </c>
      <c r="E40" s="477" t="s">
        <v>8623</v>
      </c>
      <c r="F40" s="477" t="s">
        <v>8623</v>
      </c>
      <c r="G40" s="474"/>
      <c r="H40" s="474">
        <v>0</v>
      </c>
      <c r="I40" s="474">
        <v>0</v>
      </c>
      <c r="J40" s="474">
        <v>0</v>
      </c>
      <c r="K40" s="474">
        <v>0</v>
      </c>
      <c r="L40" s="474">
        <v>0</v>
      </c>
      <c r="M40" s="474">
        <v>0</v>
      </c>
      <c r="N40" s="474">
        <v>0.7</v>
      </c>
      <c r="O40" s="474">
        <v>0</v>
      </c>
      <c r="P40" s="474">
        <v>0</v>
      </c>
      <c r="Q40" s="475">
        <v>0</v>
      </c>
      <c r="R40" s="95"/>
    </row>
    <row r="41" spans="1:18">
      <c r="A41" s="209">
        <f t="shared" si="0"/>
        <v>37</v>
      </c>
      <c r="B41" s="214" t="s">
        <v>188</v>
      </c>
      <c r="C41" s="215">
        <v>5217652</v>
      </c>
      <c r="D41" s="388" t="s">
        <v>9091</v>
      </c>
      <c r="E41" s="477" t="s">
        <v>8623</v>
      </c>
      <c r="F41" s="477" t="s">
        <v>8623</v>
      </c>
      <c r="G41" s="474"/>
      <c r="H41" s="474">
        <v>0</v>
      </c>
      <c r="I41" s="474">
        <v>0</v>
      </c>
      <c r="J41" s="474">
        <v>0</v>
      </c>
      <c r="K41" s="474">
        <v>0</v>
      </c>
      <c r="L41" s="474">
        <v>0</v>
      </c>
      <c r="M41" s="474">
        <v>0</v>
      </c>
      <c r="N41" s="474">
        <v>15</v>
      </c>
      <c r="O41" s="474">
        <v>3</v>
      </c>
      <c r="P41" s="474">
        <v>0</v>
      </c>
      <c r="Q41" s="475">
        <v>0</v>
      </c>
    </row>
    <row r="42" spans="1:18">
      <c r="A42" s="209">
        <f t="shared" si="0"/>
        <v>38</v>
      </c>
      <c r="B42" s="214" t="s">
        <v>189</v>
      </c>
      <c r="C42" s="215">
        <v>2780518</v>
      </c>
      <c r="D42" s="387"/>
      <c r="E42" s="299"/>
      <c r="F42" s="299"/>
      <c r="G42" s="350"/>
      <c r="H42" s="350"/>
      <c r="I42" s="350"/>
      <c r="J42" s="350"/>
      <c r="K42" s="350"/>
      <c r="L42" s="350"/>
      <c r="M42" s="350"/>
      <c r="N42" s="350"/>
      <c r="O42" s="350"/>
      <c r="P42" s="350"/>
      <c r="Q42" s="355"/>
    </row>
    <row r="43" spans="1:18">
      <c r="A43" s="209">
        <f t="shared" si="0"/>
        <v>39</v>
      </c>
      <c r="B43" s="214" t="s">
        <v>193</v>
      </c>
      <c r="C43" s="215">
        <v>5272378</v>
      </c>
      <c r="D43" s="387"/>
      <c r="E43" s="299"/>
      <c r="F43" s="299"/>
      <c r="G43" s="350"/>
      <c r="H43" s="350"/>
      <c r="I43" s="350"/>
      <c r="J43" s="350"/>
      <c r="K43" s="350"/>
      <c r="L43" s="350"/>
      <c r="M43" s="350"/>
      <c r="N43" s="350"/>
      <c r="O43" s="350"/>
      <c r="P43" s="350"/>
      <c r="Q43" s="355"/>
      <c r="R43" s="208"/>
    </row>
    <row r="44" spans="1:18">
      <c r="A44" s="209">
        <f t="shared" si="0"/>
        <v>40</v>
      </c>
      <c r="B44" s="214" t="s">
        <v>194</v>
      </c>
      <c r="C44" s="215">
        <v>5467268</v>
      </c>
      <c r="D44" s="387"/>
      <c r="E44" s="299"/>
      <c r="F44" s="299"/>
      <c r="G44" s="350"/>
      <c r="H44" s="350"/>
      <c r="I44" s="350"/>
      <c r="J44" s="350"/>
      <c r="K44" s="350"/>
      <c r="L44" s="350"/>
      <c r="M44" s="350"/>
      <c r="N44" s="350"/>
      <c r="O44" s="350"/>
      <c r="P44" s="350"/>
      <c r="Q44" s="355"/>
      <c r="R44" s="208"/>
    </row>
    <row r="45" spans="1:18">
      <c r="A45" s="209">
        <f t="shared" si="0"/>
        <v>41</v>
      </c>
      <c r="B45" s="214" t="s">
        <v>196</v>
      </c>
      <c r="C45" s="215">
        <v>5522935</v>
      </c>
      <c r="D45" s="387"/>
      <c r="E45" s="299"/>
      <c r="F45" s="299"/>
      <c r="G45" s="350"/>
      <c r="H45" s="350"/>
      <c r="I45" s="350"/>
      <c r="J45" s="350"/>
      <c r="K45" s="350"/>
      <c r="L45" s="350"/>
      <c r="M45" s="350"/>
      <c r="N45" s="350"/>
      <c r="O45" s="350"/>
      <c r="P45" s="350"/>
      <c r="Q45" s="355"/>
      <c r="R45" s="208"/>
    </row>
    <row r="46" spans="1:18">
      <c r="A46" s="209">
        <f t="shared" si="0"/>
        <v>42</v>
      </c>
      <c r="B46" s="214" t="s">
        <v>197</v>
      </c>
      <c r="C46" s="215">
        <v>5528089</v>
      </c>
      <c r="D46" s="387"/>
      <c r="E46" s="299"/>
      <c r="F46" s="299"/>
      <c r="G46" s="350"/>
      <c r="H46" s="350"/>
      <c r="I46" s="350"/>
      <c r="J46" s="350"/>
      <c r="K46" s="350"/>
      <c r="L46" s="350"/>
      <c r="M46" s="350"/>
      <c r="N46" s="350"/>
      <c r="O46" s="350"/>
      <c r="P46" s="350"/>
      <c r="Q46" s="355"/>
      <c r="R46" s="208"/>
    </row>
    <row r="47" spans="1:18">
      <c r="A47" s="209">
        <f t="shared" si="0"/>
        <v>43</v>
      </c>
      <c r="B47" s="214" t="s">
        <v>198</v>
      </c>
      <c r="C47" s="215">
        <v>5396662</v>
      </c>
      <c r="D47" s="387"/>
      <c r="E47" s="299"/>
      <c r="F47" s="299"/>
      <c r="G47" s="350"/>
      <c r="H47" s="350"/>
      <c r="I47" s="350"/>
      <c r="J47" s="350"/>
      <c r="K47" s="350"/>
      <c r="L47" s="350"/>
      <c r="M47" s="350"/>
      <c r="N47" s="350"/>
      <c r="O47" s="350"/>
      <c r="P47" s="350"/>
      <c r="Q47" s="355"/>
      <c r="R47" s="208"/>
    </row>
    <row r="48" spans="1:18">
      <c r="A48" s="209">
        <f t="shared" si="0"/>
        <v>44</v>
      </c>
      <c r="B48" s="214" t="s">
        <v>199</v>
      </c>
      <c r="C48" s="215">
        <v>5830974</v>
      </c>
      <c r="D48" s="387"/>
      <c r="E48" s="299"/>
      <c r="F48" s="299"/>
      <c r="G48" s="350"/>
      <c r="H48" s="350"/>
      <c r="I48" s="350"/>
      <c r="J48" s="350"/>
      <c r="K48" s="350"/>
      <c r="L48" s="350"/>
      <c r="M48" s="350"/>
      <c r="N48" s="350"/>
      <c r="O48" s="350"/>
      <c r="P48" s="350"/>
      <c r="Q48" s="355"/>
      <c r="R48" s="208"/>
    </row>
    <row r="49" spans="1:18">
      <c r="A49" s="209">
        <f t="shared" si="0"/>
        <v>45</v>
      </c>
      <c r="B49" s="214" t="s">
        <v>201</v>
      </c>
      <c r="C49" s="215">
        <v>2057573</v>
      </c>
      <c r="D49" s="387"/>
      <c r="E49" s="299"/>
      <c r="F49" s="299"/>
      <c r="G49" s="350"/>
      <c r="H49" s="350"/>
      <c r="I49" s="350"/>
      <c r="J49" s="350"/>
      <c r="K49" s="350"/>
      <c r="L49" s="350"/>
      <c r="M49" s="350"/>
      <c r="N49" s="350"/>
      <c r="O49" s="350"/>
      <c r="P49" s="350"/>
      <c r="Q49" s="355"/>
      <c r="R49" s="208"/>
    </row>
    <row r="50" spans="1:18">
      <c r="A50" s="209">
        <f t="shared" si="0"/>
        <v>46</v>
      </c>
      <c r="B50" s="214" t="s">
        <v>202</v>
      </c>
      <c r="C50" s="215">
        <v>5699134</v>
      </c>
      <c r="D50" s="387"/>
      <c r="E50" s="299"/>
      <c r="F50" s="299"/>
      <c r="G50" s="350"/>
      <c r="H50" s="350"/>
      <c r="I50" s="350"/>
      <c r="J50" s="350"/>
      <c r="K50" s="350"/>
      <c r="L50" s="350"/>
      <c r="M50" s="350"/>
      <c r="N50" s="350"/>
      <c r="O50" s="350"/>
      <c r="P50" s="350"/>
      <c r="Q50" s="355"/>
      <c r="R50" s="208"/>
    </row>
    <row r="51" spans="1:18">
      <c r="A51" s="209">
        <f t="shared" si="0"/>
        <v>47</v>
      </c>
      <c r="B51" s="214" t="s">
        <v>203</v>
      </c>
      <c r="C51" s="215">
        <v>5412153</v>
      </c>
      <c r="D51" s="387"/>
      <c r="E51" s="299"/>
      <c r="F51" s="299"/>
      <c r="G51" s="350"/>
      <c r="H51" s="350"/>
      <c r="I51" s="350"/>
      <c r="J51" s="350"/>
      <c r="K51" s="350"/>
      <c r="L51" s="350"/>
      <c r="M51" s="350"/>
      <c r="N51" s="350"/>
      <c r="O51" s="350"/>
      <c r="P51" s="350"/>
      <c r="Q51" s="355"/>
      <c r="R51" s="208"/>
    </row>
    <row r="52" spans="1:18">
      <c r="A52" s="209">
        <f t="shared" si="0"/>
        <v>48</v>
      </c>
      <c r="B52" s="214" t="s">
        <v>204</v>
      </c>
      <c r="C52" s="215">
        <v>2034859</v>
      </c>
      <c r="D52" s="388" t="s">
        <v>9090</v>
      </c>
      <c r="E52" s="473">
        <v>45017</v>
      </c>
      <c r="F52" s="473">
        <v>45412</v>
      </c>
      <c r="G52" s="474"/>
      <c r="H52" s="474">
        <v>0</v>
      </c>
      <c r="I52" s="474">
        <v>0</v>
      </c>
      <c r="J52" s="474">
        <v>0</v>
      </c>
      <c r="K52" s="474">
        <v>0</v>
      </c>
      <c r="L52" s="474">
        <v>0</v>
      </c>
      <c r="M52" s="474">
        <v>542389</v>
      </c>
      <c r="N52" s="474">
        <v>0</v>
      </c>
      <c r="O52" s="474">
        <v>35896</v>
      </c>
      <c r="P52" s="474">
        <v>0</v>
      </c>
      <c r="Q52" s="475">
        <v>0</v>
      </c>
      <c r="R52" s="208"/>
    </row>
    <row r="53" spans="1:18">
      <c r="A53" s="209">
        <f t="shared" si="0"/>
        <v>49</v>
      </c>
      <c r="B53" s="214" t="s">
        <v>208</v>
      </c>
      <c r="C53" s="215">
        <v>5253535</v>
      </c>
      <c r="D53" s="387"/>
      <c r="E53" s="299"/>
      <c r="F53" s="299"/>
      <c r="G53" s="350"/>
      <c r="H53" s="350"/>
      <c r="I53" s="350"/>
      <c r="J53" s="350"/>
      <c r="K53" s="350"/>
      <c r="L53" s="350"/>
      <c r="M53" s="350"/>
      <c r="N53" s="350"/>
      <c r="O53" s="350"/>
      <c r="P53" s="350"/>
      <c r="Q53" s="355"/>
      <c r="R53" s="208"/>
    </row>
    <row r="54" spans="1:18">
      <c r="A54" s="209">
        <f t="shared" si="0"/>
        <v>50</v>
      </c>
      <c r="B54" s="214" t="s">
        <v>210</v>
      </c>
      <c r="C54" s="215">
        <v>5150884</v>
      </c>
      <c r="D54" s="387"/>
      <c r="E54" s="299"/>
      <c r="F54" s="299"/>
      <c r="G54" s="350"/>
      <c r="H54" s="350"/>
      <c r="I54" s="350"/>
      <c r="J54" s="350"/>
      <c r="K54" s="350"/>
      <c r="L54" s="350"/>
      <c r="M54" s="350"/>
      <c r="N54" s="350"/>
      <c r="O54" s="350"/>
      <c r="P54" s="350"/>
      <c r="Q54" s="355"/>
      <c r="R54" s="95"/>
    </row>
    <row r="55" spans="1:18">
      <c r="A55" s="209">
        <f t="shared" si="0"/>
        <v>51</v>
      </c>
      <c r="B55" s="214" t="s">
        <v>211</v>
      </c>
      <c r="C55" s="215">
        <v>5051304</v>
      </c>
      <c r="D55" s="387"/>
      <c r="E55" s="299"/>
      <c r="F55" s="299"/>
      <c r="G55" s="350"/>
      <c r="H55" s="350"/>
      <c r="I55" s="350"/>
      <c r="J55" s="350"/>
      <c r="K55" s="350"/>
      <c r="L55" s="350"/>
      <c r="M55" s="350"/>
      <c r="N55" s="350"/>
      <c r="O55" s="350"/>
      <c r="P55" s="350"/>
      <c r="Q55" s="355"/>
      <c r="R55" s="208"/>
    </row>
    <row r="56" spans="1:18">
      <c r="A56" s="209">
        <f t="shared" si="0"/>
        <v>52</v>
      </c>
      <c r="B56" s="214" t="s">
        <v>213</v>
      </c>
      <c r="C56" s="215">
        <v>5401801</v>
      </c>
      <c r="D56" s="387"/>
      <c r="E56" s="299"/>
      <c r="F56" s="299"/>
      <c r="G56" s="350"/>
      <c r="H56" s="350"/>
      <c r="I56" s="350"/>
      <c r="J56" s="350"/>
      <c r="K56" s="350"/>
      <c r="L56" s="350"/>
      <c r="M56" s="350"/>
      <c r="N56" s="350"/>
      <c r="O56" s="350"/>
      <c r="P56" s="350"/>
      <c r="Q56" s="355"/>
      <c r="R56" s="208"/>
    </row>
    <row r="57" spans="1:18" ht="26.25">
      <c r="A57" s="209">
        <f t="shared" si="0"/>
        <v>53</v>
      </c>
      <c r="B57" s="216" t="s">
        <v>214</v>
      </c>
      <c r="C57" s="215">
        <v>2550466</v>
      </c>
      <c r="D57" s="388" t="s">
        <v>9099</v>
      </c>
      <c r="E57" s="473">
        <v>44927</v>
      </c>
      <c r="F57" s="473">
        <v>45291</v>
      </c>
      <c r="G57" s="474"/>
      <c r="H57" s="474">
        <v>0</v>
      </c>
      <c r="I57" s="474">
        <v>0</v>
      </c>
      <c r="J57" s="474">
        <v>0</v>
      </c>
      <c r="K57" s="474">
        <v>0</v>
      </c>
      <c r="L57" s="474">
        <v>0</v>
      </c>
      <c r="M57" s="474">
        <v>556.20000000000005</v>
      </c>
      <c r="N57" s="474">
        <v>0</v>
      </c>
      <c r="O57" s="474">
        <v>0</v>
      </c>
      <c r="P57" s="474">
        <v>0</v>
      </c>
      <c r="Q57" s="475">
        <v>0</v>
      </c>
      <c r="R57" s="208"/>
    </row>
    <row r="58" spans="1:18">
      <c r="A58" s="209">
        <f t="shared" si="0"/>
        <v>54</v>
      </c>
      <c r="B58" s="216" t="s">
        <v>214</v>
      </c>
      <c r="C58" s="215">
        <v>2550466</v>
      </c>
      <c r="D58" s="388" t="s">
        <v>9100</v>
      </c>
      <c r="E58" s="473">
        <v>44927</v>
      </c>
      <c r="F58" s="473">
        <v>45291</v>
      </c>
      <c r="G58" s="474"/>
      <c r="H58" s="474">
        <v>0</v>
      </c>
      <c r="I58" s="474">
        <v>0</v>
      </c>
      <c r="J58" s="474">
        <v>0</v>
      </c>
      <c r="K58" s="474">
        <v>0</v>
      </c>
      <c r="L58" s="474">
        <v>0</v>
      </c>
      <c r="M58" s="474">
        <v>120.39</v>
      </c>
      <c r="N58" s="474">
        <v>0</v>
      </c>
      <c r="O58" s="474">
        <v>0</v>
      </c>
      <c r="P58" s="474">
        <v>0</v>
      </c>
      <c r="Q58" s="475">
        <v>0</v>
      </c>
      <c r="R58" s="208"/>
    </row>
    <row r="59" spans="1:18">
      <c r="A59" s="209">
        <f t="shared" si="0"/>
        <v>55</v>
      </c>
      <c r="B59" s="476" t="s">
        <v>214</v>
      </c>
      <c r="C59" s="209">
        <v>2550466</v>
      </c>
      <c r="D59" s="388" t="s">
        <v>9101</v>
      </c>
      <c r="E59" s="473">
        <v>44927</v>
      </c>
      <c r="F59" s="473">
        <v>45291</v>
      </c>
      <c r="G59" s="474"/>
      <c r="H59" s="474">
        <v>0</v>
      </c>
      <c r="I59" s="474">
        <v>0</v>
      </c>
      <c r="J59" s="474">
        <v>0</v>
      </c>
      <c r="K59" s="474">
        <v>0</v>
      </c>
      <c r="L59" s="474">
        <v>0</v>
      </c>
      <c r="M59" s="474">
        <v>520.86</v>
      </c>
      <c r="N59" s="474">
        <v>0</v>
      </c>
      <c r="O59" s="474">
        <v>0</v>
      </c>
      <c r="P59" s="474">
        <v>0</v>
      </c>
      <c r="Q59" s="475">
        <v>0</v>
      </c>
      <c r="R59" s="208"/>
    </row>
    <row r="60" spans="1:18" ht="26.25">
      <c r="A60" s="209">
        <f t="shared" si="0"/>
        <v>56</v>
      </c>
      <c r="B60" s="476" t="s">
        <v>214</v>
      </c>
      <c r="C60" s="209">
        <v>2550466</v>
      </c>
      <c r="D60" s="388" t="s">
        <v>9102</v>
      </c>
      <c r="E60" s="473">
        <v>44927</v>
      </c>
      <c r="F60" s="473">
        <v>45291</v>
      </c>
      <c r="G60" s="474"/>
      <c r="H60" s="474">
        <v>0</v>
      </c>
      <c r="I60" s="474">
        <v>0</v>
      </c>
      <c r="J60" s="474">
        <v>0</v>
      </c>
      <c r="K60" s="474">
        <v>0</v>
      </c>
      <c r="L60" s="474">
        <v>0</v>
      </c>
      <c r="M60" s="474">
        <v>166.29</v>
      </c>
      <c r="N60" s="474">
        <v>0</v>
      </c>
      <c r="O60" s="474">
        <v>0</v>
      </c>
      <c r="P60" s="474">
        <v>0</v>
      </c>
      <c r="Q60" s="475">
        <v>0</v>
      </c>
      <c r="R60" s="208"/>
    </row>
    <row r="61" spans="1:18">
      <c r="A61" s="209">
        <f t="shared" si="0"/>
        <v>57</v>
      </c>
      <c r="B61" s="476" t="s">
        <v>214</v>
      </c>
      <c r="C61" s="209">
        <v>2550466</v>
      </c>
      <c r="D61" s="388" t="s">
        <v>9103</v>
      </c>
      <c r="E61" s="473">
        <v>44927</v>
      </c>
      <c r="F61" s="473">
        <v>45291</v>
      </c>
      <c r="G61" s="474"/>
      <c r="H61" s="474">
        <v>0</v>
      </c>
      <c r="I61" s="474">
        <v>0</v>
      </c>
      <c r="J61" s="474">
        <v>0</v>
      </c>
      <c r="K61" s="474">
        <v>0</v>
      </c>
      <c r="L61" s="474">
        <v>0</v>
      </c>
      <c r="M61" s="474">
        <v>606.24</v>
      </c>
      <c r="N61" s="474">
        <v>0</v>
      </c>
      <c r="O61" s="474">
        <v>0</v>
      </c>
      <c r="P61" s="474">
        <v>0</v>
      </c>
      <c r="Q61" s="475">
        <v>0</v>
      </c>
      <c r="R61" s="208"/>
    </row>
    <row r="62" spans="1:18" ht="26.25">
      <c r="A62" s="209">
        <f t="shared" si="0"/>
        <v>58</v>
      </c>
      <c r="B62" s="476" t="s">
        <v>214</v>
      </c>
      <c r="C62" s="209">
        <v>2550466</v>
      </c>
      <c r="D62" s="388" t="s">
        <v>9089</v>
      </c>
      <c r="E62" s="473">
        <v>45014</v>
      </c>
      <c r="F62" s="473">
        <v>45412</v>
      </c>
      <c r="G62" s="474"/>
      <c r="H62" s="474">
        <v>0</v>
      </c>
      <c r="I62" s="474">
        <v>0</v>
      </c>
      <c r="J62" s="474">
        <v>0</v>
      </c>
      <c r="K62" s="474">
        <v>0</v>
      </c>
      <c r="L62" s="474">
        <v>0</v>
      </c>
      <c r="M62" s="474">
        <v>2827.17</v>
      </c>
      <c r="N62" s="474">
        <v>0</v>
      </c>
      <c r="O62" s="474">
        <v>0</v>
      </c>
      <c r="P62" s="474">
        <v>0</v>
      </c>
      <c r="Q62" s="475">
        <v>0</v>
      </c>
      <c r="R62" s="208"/>
    </row>
    <row r="63" spans="1:18" ht="26.25">
      <c r="A63" s="209">
        <f t="shared" si="0"/>
        <v>59</v>
      </c>
      <c r="B63" s="244" t="s">
        <v>214</v>
      </c>
      <c r="C63" s="215">
        <v>2550466</v>
      </c>
      <c r="D63" s="388" t="s">
        <v>9104</v>
      </c>
      <c r="E63" s="473">
        <v>44972</v>
      </c>
      <c r="F63" s="473">
        <v>45337</v>
      </c>
      <c r="G63" s="474"/>
      <c r="H63" s="474">
        <v>0</v>
      </c>
      <c r="I63" s="474">
        <v>0</v>
      </c>
      <c r="J63" s="474">
        <v>0</v>
      </c>
      <c r="K63" s="474">
        <v>0</v>
      </c>
      <c r="L63" s="474">
        <v>0</v>
      </c>
      <c r="M63" s="474">
        <v>0</v>
      </c>
      <c r="N63" s="474">
        <v>0</v>
      </c>
      <c r="O63" s="474">
        <v>59.56</v>
      </c>
      <c r="P63" s="474">
        <v>0</v>
      </c>
      <c r="Q63" s="475">
        <v>0</v>
      </c>
      <c r="R63" s="208"/>
    </row>
    <row r="64" spans="1:18">
      <c r="A64" s="209">
        <f t="shared" si="0"/>
        <v>60</v>
      </c>
      <c r="B64" s="214" t="s">
        <v>216</v>
      </c>
      <c r="C64" s="215">
        <v>5051134</v>
      </c>
      <c r="D64" s="388" t="s">
        <v>9094</v>
      </c>
      <c r="E64" s="473">
        <v>44927</v>
      </c>
      <c r="F64" s="473">
        <v>45291</v>
      </c>
      <c r="G64" s="474"/>
      <c r="H64" s="474">
        <v>0</v>
      </c>
      <c r="I64" s="474">
        <v>0</v>
      </c>
      <c r="J64" s="474">
        <v>0</v>
      </c>
      <c r="K64" s="474">
        <v>8775870</v>
      </c>
      <c r="L64" s="474">
        <v>0</v>
      </c>
      <c r="M64" s="474">
        <v>0</v>
      </c>
      <c r="N64" s="474">
        <v>0</v>
      </c>
      <c r="O64" s="474">
        <v>0</v>
      </c>
      <c r="P64" s="474">
        <v>0</v>
      </c>
      <c r="Q64" s="475">
        <v>0</v>
      </c>
      <c r="R64" s="208"/>
    </row>
    <row r="65" spans="1:18">
      <c r="A65" s="209">
        <f t="shared" si="0"/>
        <v>61</v>
      </c>
      <c r="B65" s="214" t="s">
        <v>217</v>
      </c>
      <c r="C65" s="215">
        <v>2095025</v>
      </c>
      <c r="D65" s="387"/>
      <c r="E65" s="299"/>
      <c r="F65" s="299"/>
      <c r="G65" s="350"/>
      <c r="H65" s="350"/>
      <c r="I65" s="350"/>
      <c r="J65" s="350"/>
      <c r="K65" s="350"/>
      <c r="L65" s="350"/>
      <c r="M65" s="350"/>
      <c r="N65" s="350"/>
      <c r="O65" s="350"/>
      <c r="P65" s="350"/>
      <c r="Q65" s="355"/>
      <c r="R65" s="208"/>
    </row>
    <row r="66" spans="1:18">
      <c r="A66" s="209">
        <f t="shared" si="0"/>
        <v>62</v>
      </c>
      <c r="B66" s="214" t="s">
        <v>218</v>
      </c>
      <c r="C66" s="215">
        <v>2045931</v>
      </c>
      <c r="D66" s="387"/>
      <c r="E66" s="299"/>
      <c r="F66" s="299"/>
      <c r="G66" s="350"/>
      <c r="H66" s="350"/>
      <c r="I66" s="350"/>
      <c r="J66" s="350"/>
      <c r="K66" s="350"/>
      <c r="L66" s="350"/>
      <c r="M66" s="350"/>
      <c r="N66" s="350"/>
      <c r="O66" s="350"/>
      <c r="P66" s="350"/>
      <c r="Q66" s="355"/>
      <c r="R66" s="95"/>
    </row>
    <row r="67" spans="1:18">
      <c r="A67" s="209">
        <f t="shared" si="0"/>
        <v>63</v>
      </c>
      <c r="B67" s="214" t="s">
        <v>219</v>
      </c>
      <c r="C67" s="215">
        <v>2029278</v>
      </c>
      <c r="D67" s="387"/>
      <c r="E67" s="299"/>
      <c r="F67" s="299"/>
      <c r="G67" s="350"/>
      <c r="H67" s="350"/>
      <c r="I67" s="350"/>
      <c r="J67" s="350"/>
      <c r="K67" s="350"/>
      <c r="L67" s="350"/>
      <c r="M67" s="350"/>
      <c r="N67" s="350"/>
      <c r="O67" s="350"/>
      <c r="P67" s="350"/>
      <c r="Q67" s="355"/>
    </row>
    <row r="68" spans="1:18" ht="26.25">
      <c r="A68" s="209">
        <f t="shared" si="0"/>
        <v>64</v>
      </c>
      <c r="B68" s="476" t="s">
        <v>220</v>
      </c>
      <c r="C68" s="209">
        <v>5106567</v>
      </c>
      <c r="D68" s="388" t="s">
        <v>9091</v>
      </c>
      <c r="E68" s="473">
        <v>44927</v>
      </c>
      <c r="F68" s="473">
        <v>45291</v>
      </c>
      <c r="G68" s="474"/>
      <c r="H68" s="474">
        <v>0</v>
      </c>
      <c r="I68" s="474">
        <v>0</v>
      </c>
      <c r="J68" s="474">
        <v>0</v>
      </c>
      <c r="K68" s="474">
        <v>0</v>
      </c>
      <c r="L68" s="474">
        <v>371413</v>
      </c>
      <c r="M68" s="474">
        <v>0</v>
      </c>
      <c r="N68" s="474">
        <v>0</v>
      </c>
      <c r="O68" s="474">
        <v>0</v>
      </c>
      <c r="P68" s="474">
        <v>0</v>
      </c>
      <c r="Q68" s="475">
        <v>0</v>
      </c>
    </row>
    <row r="69" spans="1:18" ht="26.25">
      <c r="A69" s="209">
        <f t="shared" si="0"/>
        <v>65</v>
      </c>
      <c r="B69" s="476" t="s">
        <v>220</v>
      </c>
      <c r="C69" s="215">
        <v>5106567</v>
      </c>
      <c r="D69" s="388" t="s">
        <v>9105</v>
      </c>
      <c r="E69" s="473">
        <v>44927</v>
      </c>
      <c r="F69" s="473">
        <v>45290</v>
      </c>
      <c r="G69" s="474" t="s">
        <v>9106</v>
      </c>
      <c r="H69" s="474">
        <v>31187</v>
      </c>
      <c r="I69" s="474">
        <v>0</v>
      </c>
      <c r="J69" s="474">
        <v>0</v>
      </c>
      <c r="K69" s="474">
        <v>0</v>
      </c>
      <c r="L69" s="474">
        <v>0</v>
      </c>
      <c r="M69" s="474">
        <v>0</v>
      </c>
      <c r="N69" s="474">
        <v>0</v>
      </c>
      <c r="O69" s="474">
        <v>0</v>
      </c>
      <c r="P69" s="474">
        <v>0</v>
      </c>
      <c r="Q69" s="475">
        <v>0</v>
      </c>
      <c r="R69" s="208"/>
    </row>
    <row r="70" spans="1:18" ht="26.25">
      <c r="A70" s="209">
        <f t="shared" si="0"/>
        <v>66</v>
      </c>
      <c r="B70" s="476" t="s">
        <v>222</v>
      </c>
      <c r="C70" s="209">
        <v>5141583</v>
      </c>
      <c r="D70" s="388" t="s">
        <v>9107</v>
      </c>
      <c r="E70" s="473">
        <v>44927</v>
      </c>
      <c r="F70" s="473">
        <v>45291</v>
      </c>
      <c r="G70" s="474"/>
      <c r="H70" s="474">
        <v>0</v>
      </c>
      <c r="I70" s="474">
        <v>0</v>
      </c>
      <c r="J70" s="474">
        <v>0</v>
      </c>
      <c r="K70" s="474">
        <v>0</v>
      </c>
      <c r="L70" s="474">
        <v>625150</v>
      </c>
      <c r="M70" s="474">
        <v>0</v>
      </c>
      <c r="N70" s="474">
        <v>17915</v>
      </c>
      <c r="O70" s="474">
        <v>0</v>
      </c>
      <c r="P70" s="474">
        <v>0</v>
      </c>
      <c r="Q70" s="475">
        <v>0</v>
      </c>
      <c r="R70" s="208"/>
    </row>
    <row r="71" spans="1:18">
      <c r="A71" s="209">
        <f t="shared" ref="A71:A134" si="1">A70+1</f>
        <v>67</v>
      </c>
      <c r="B71" s="476" t="s">
        <v>222</v>
      </c>
      <c r="C71" s="209">
        <v>5141583</v>
      </c>
      <c r="D71" s="388" t="s">
        <v>9108</v>
      </c>
      <c r="E71" s="473">
        <v>44927</v>
      </c>
      <c r="F71" s="473">
        <v>45291</v>
      </c>
      <c r="G71" s="474"/>
      <c r="H71" s="474">
        <v>0</v>
      </c>
      <c r="I71" s="474">
        <v>0</v>
      </c>
      <c r="J71" s="474">
        <v>0</v>
      </c>
      <c r="K71" s="474">
        <v>0</v>
      </c>
      <c r="L71" s="474">
        <v>2149040</v>
      </c>
      <c r="M71" s="474">
        <v>0</v>
      </c>
      <c r="N71" s="474">
        <v>23925.8</v>
      </c>
      <c r="O71" s="474">
        <v>0</v>
      </c>
      <c r="P71" s="474">
        <v>0</v>
      </c>
      <c r="Q71" s="475">
        <v>0</v>
      </c>
      <c r="R71" s="208"/>
    </row>
    <row r="72" spans="1:18">
      <c r="A72" s="209">
        <f t="shared" si="1"/>
        <v>68</v>
      </c>
      <c r="B72" s="214" t="s">
        <v>222</v>
      </c>
      <c r="C72" s="215">
        <v>5141583</v>
      </c>
      <c r="D72" s="388" t="s">
        <v>9109</v>
      </c>
      <c r="E72" s="473">
        <v>44927</v>
      </c>
      <c r="F72" s="473">
        <v>45291</v>
      </c>
      <c r="G72" s="474"/>
      <c r="H72" s="474">
        <v>0</v>
      </c>
      <c r="I72" s="474">
        <v>0</v>
      </c>
      <c r="J72" s="474">
        <v>0</v>
      </c>
      <c r="K72" s="474">
        <v>0</v>
      </c>
      <c r="L72" s="474">
        <v>3692</v>
      </c>
      <c r="M72" s="474">
        <v>0</v>
      </c>
      <c r="N72" s="474">
        <v>672</v>
      </c>
      <c r="O72" s="474">
        <v>0</v>
      </c>
      <c r="P72" s="474">
        <v>0</v>
      </c>
      <c r="Q72" s="475">
        <v>0</v>
      </c>
      <c r="R72" s="208"/>
    </row>
    <row r="73" spans="1:18">
      <c r="A73" s="209">
        <f t="shared" si="1"/>
        <v>69</v>
      </c>
      <c r="B73" s="214" t="s">
        <v>223</v>
      </c>
      <c r="C73" s="215">
        <v>5118115</v>
      </c>
      <c r="D73" s="387"/>
      <c r="E73" s="299"/>
      <c r="F73" s="299"/>
      <c r="G73" s="350"/>
      <c r="H73" s="350"/>
      <c r="I73" s="350"/>
      <c r="J73" s="350"/>
      <c r="K73" s="350"/>
      <c r="L73" s="350"/>
      <c r="M73" s="350"/>
      <c r="N73" s="350"/>
      <c r="O73" s="350"/>
      <c r="P73" s="350"/>
      <c r="Q73" s="355"/>
      <c r="R73" s="95"/>
    </row>
    <row r="74" spans="1:18">
      <c r="A74" s="209">
        <f t="shared" si="1"/>
        <v>70</v>
      </c>
      <c r="B74" s="214" t="s">
        <v>224</v>
      </c>
      <c r="C74" s="215">
        <v>5106656</v>
      </c>
      <c r="D74" s="387"/>
      <c r="E74" s="299"/>
      <c r="F74" s="299"/>
      <c r="G74" s="350"/>
      <c r="H74" s="350"/>
      <c r="I74" s="350"/>
      <c r="J74" s="350"/>
      <c r="K74" s="350"/>
      <c r="L74" s="350"/>
      <c r="M74" s="350"/>
      <c r="N74" s="350"/>
      <c r="O74" s="350"/>
      <c r="P74" s="350"/>
      <c r="Q74" s="355"/>
      <c r="R74" s="208"/>
    </row>
    <row r="75" spans="1:18">
      <c r="A75" s="209">
        <f t="shared" si="1"/>
        <v>71</v>
      </c>
      <c r="B75" s="476" t="s">
        <v>225</v>
      </c>
      <c r="C75" s="215">
        <v>2010895</v>
      </c>
      <c r="D75" s="388" t="s">
        <v>9110</v>
      </c>
      <c r="E75" s="473">
        <v>44927</v>
      </c>
      <c r="F75" s="473">
        <v>45290</v>
      </c>
      <c r="G75" s="474"/>
      <c r="H75" s="474">
        <v>0</v>
      </c>
      <c r="I75" s="474">
        <v>0</v>
      </c>
      <c r="J75" s="474">
        <v>0</v>
      </c>
      <c r="K75" s="474">
        <v>0</v>
      </c>
      <c r="L75" s="474">
        <v>110265</v>
      </c>
      <c r="M75" s="474">
        <v>0</v>
      </c>
      <c r="N75" s="474">
        <v>0</v>
      </c>
      <c r="O75" s="474">
        <v>0</v>
      </c>
      <c r="P75" s="474">
        <v>0</v>
      </c>
      <c r="Q75" s="475">
        <v>0</v>
      </c>
      <c r="R75" s="95"/>
    </row>
    <row r="76" spans="1:18" ht="26.25">
      <c r="A76" s="209">
        <f t="shared" si="1"/>
        <v>72</v>
      </c>
      <c r="B76" s="214" t="s">
        <v>225</v>
      </c>
      <c r="C76" s="215">
        <v>2010895</v>
      </c>
      <c r="D76" s="388" t="s">
        <v>9111</v>
      </c>
      <c r="E76" s="473">
        <v>44927</v>
      </c>
      <c r="F76" s="473">
        <v>45290</v>
      </c>
      <c r="G76" s="474"/>
      <c r="H76" s="474">
        <v>0</v>
      </c>
      <c r="I76" s="474">
        <v>0</v>
      </c>
      <c r="J76" s="474">
        <v>0</v>
      </c>
      <c r="K76" s="474">
        <v>0</v>
      </c>
      <c r="L76" s="474">
        <v>539346</v>
      </c>
      <c r="M76" s="474">
        <v>0</v>
      </c>
      <c r="N76" s="474">
        <v>23800</v>
      </c>
      <c r="O76" s="474">
        <v>0</v>
      </c>
      <c r="P76" s="474">
        <v>0</v>
      </c>
      <c r="Q76" s="475">
        <v>0</v>
      </c>
    </row>
    <row r="77" spans="1:18" ht="25.5">
      <c r="A77" s="209">
        <f t="shared" si="1"/>
        <v>73</v>
      </c>
      <c r="B77" s="216" t="s">
        <v>227</v>
      </c>
      <c r="C77" s="215">
        <v>5295858</v>
      </c>
      <c r="D77" s="389" t="s">
        <v>9112</v>
      </c>
      <c r="E77" s="390">
        <v>45038</v>
      </c>
      <c r="F77" s="390">
        <v>45291</v>
      </c>
      <c r="G77" s="474">
        <v>0</v>
      </c>
      <c r="H77" s="474">
        <v>0</v>
      </c>
      <c r="I77" s="474">
        <v>0</v>
      </c>
      <c r="J77" s="474">
        <v>0</v>
      </c>
      <c r="K77" s="474">
        <v>0</v>
      </c>
      <c r="L77" s="474">
        <v>0</v>
      </c>
      <c r="M77" s="386">
        <v>2977474</v>
      </c>
      <c r="N77" s="474">
        <v>0</v>
      </c>
      <c r="O77" s="474">
        <v>0</v>
      </c>
      <c r="P77" s="474">
        <v>0</v>
      </c>
      <c r="Q77" s="474">
        <v>0</v>
      </c>
    </row>
    <row r="78" spans="1:18" ht="25.5">
      <c r="A78" s="209">
        <f t="shared" si="1"/>
        <v>74</v>
      </c>
      <c r="B78" s="216" t="s">
        <v>227</v>
      </c>
      <c r="C78" s="215">
        <v>5295858</v>
      </c>
      <c r="D78" s="389" t="s">
        <v>9113</v>
      </c>
      <c r="E78" s="209" t="s">
        <v>9114</v>
      </c>
      <c r="F78" s="474">
        <v>0</v>
      </c>
      <c r="G78" s="474">
        <v>0</v>
      </c>
      <c r="H78" s="474">
        <v>0</v>
      </c>
      <c r="I78" s="474">
        <v>0</v>
      </c>
      <c r="J78" s="474">
        <v>0</v>
      </c>
      <c r="K78" s="474">
        <v>0</v>
      </c>
      <c r="L78" s="386">
        <v>12000</v>
      </c>
      <c r="M78" s="386"/>
      <c r="N78" s="474">
        <v>0</v>
      </c>
      <c r="O78" s="474">
        <v>0</v>
      </c>
      <c r="P78" s="474">
        <v>0</v>
      </c>
      <c r="Q78" s="474">
        <v>0</v>
      </c>
    </row>
    <row r="79" spans="1:18" ht="25.5">
      <c r="A79" s="209">
        <f t="shared" si="1"/>
        <v>75</v>
      </c>
      <c r="B79" s="216" t="s">
        <v>227</v>
      </c>
      <c r="C79" s="215">
        <v>5295858</v>
      </c>
      <c r="D79" s="389" t="s">
        <v>9115</v>
      </c>
      <c r="E79" s="390">
        <v>45212</v>
      </c>
      <c r="F79" s="390">
        <v>45657</v>
      </c>
      <c r="G79" s="474">
        <v>0</v>
      </c>
      <c r="H79" s="474">
        <v>0</v>
      </c>
      <c r="I79" s="474">
        <v>0</v>
      </c>
      <c r="J79" s="474">
        <v>0</v>
      </c>
      <c r="K79" s="474">
        <v>0</v>
      </c>
      <c r="L79" s="474">
        <v>0</v>
      </c>
      <c r="M79" s="386">
        <v>573960</v>
      </c>
      <c r="N79" s="474">
        <v>0</v>
      </c>
      <c r="O79" s="474">
        <v>0</v>
      </c>
      <c r="P79" s="474">
        <v>0</v>
      </c>
      <c r="Q79" s="474">
        <v>0</v>
      </c>
    </row>
    <row r="80" spans="1:18" ht="25.5">
      <c r="A80" s="209">
        <f t="shared" si="1"/>
        <v>76</v>
      </c>
      <c r="B80" s="216" t="s">
        <v>227</v>
      </c>
      <c r="C80" s="215">
        <v>5295858</v>
      </c>
      <c r="D80" s="389" t="s">
        <v>9116</v>
      </c>
      <c r="E80" s="390">
        <v>45238</v>
      </c>
      <c r="F80" s="390">
        <v>45657</v>
      </c>
      <c r="G80" s="474">
        <v>0</v>
      </c>
      <c r="H80" s="474">
        <v>0</v>
      </c>
      <c r="I80" s="474">
        <v>0</v>
      </c>
      <c r="J80" s="474">
        <v>0</v>
      </c>
      <c r="K80" s="474">
        <v>0</v>
      </c>
      <c r="L80" s="474">
        <v>0</v>
      </c>
      <c r="M80" s="386">
        <v>105010</v>
      </c>
      <c r="N80" s="474">
        <v>0</v>
      </c>
      <c r="O80" s="474">
        <v>0</v>
      </c>
      <c r="P80" s="474">
        <v>0</v>
      </c>
      <c r="Q80" s="474">
        <v>0</v>
      </c>
    </row>
    <row r="81" spans="1:18" ht="25.5">
      <c r="A81" s="209">
        <f t="shared" si="1"/>
        <v>77</v>
      </c>
      <c r="B81" s="216" t="s">
        <v>227</v>
      </c>
      <c r="C81" s="215">
        <v>5295858</v>
      </c>
      <c r="D81" s="389" t="s">
        <v>9117</v>
      </c>
      <c r="E81" s="209" t="s">
        <v>9114</v>
      </c>
      <c r="F81" s="474">
        <v>0</v>
      </c>
      <c r="G81" s="474">
        <v>0</v>
      </c>
      <c r="H81" s="474">
        <v>0</v>
      </c>
      <c r="I81" s="474">
        <v>0</v>
      </c>
      <c r="J81" s="474">
        <v>0</v>
      </c>
      <c r="K81" s="474">
        <v>0</v>
      </c>
      <c r="L81" s="474">
        <v>0</v>
      </c>
      <c r="M81" s="386">
        <v>92030</v>
      </c>
      <c r="N81" s="474">
        <v>0</v>
      </c>
      <c r="O81" s="474">
        <v>0</v>
      </c>
      <c r="P81" s="474">
        <v>0</v>
      </c>
      <c r="Q81" s="474">
        <v>0</v>
      </c>
    </row>
    <row r="82" spans="1:18" ht="25.5">
      <c r="A82" s="209">
        <f t="shared" si="1"/>
        <v>78</v>
      </c>
      <c r="B82" s="216" t="s">
        <v>227</v>
      </c>
      <c r="C82" s="215">
        <v>5295858</v>
      </c>
      <c r="D82" s="389" t="s">
        <v>9118</v>
      </c>
      <c r="E82" s="209" t="s">
        <v>9114</v>
      </c>
      <c r="F82" s="474">
        <v>0</v>
      </c>
      <c r="G82" s="474">
        <v>0</v>
      </c>
      <c r="H82" s="474">
        <v>0</v>
      </c>
      <c r="I82" s="474">
        <v>0</v>
      </c>
      <c r="J82" s="474">
        <v>0</v>
      </c>
      <c r="K82" s="474">
        <v>0</v>
      </c>
      <c r="L82" s="474">
        <v>0</v>
      </c>
      <c r="M82" s="474">
        <v>0</v>
      </c>
      <c r="N82" s="391">
        <v>61.12</v>
      </c>
      <c r="O82" s="474">
        <v>0</v>
      </c>
      <c r="P82" s="474">
        <v>0</v>
      </c>
      <c r="Q82" s="474">
        <v>0</v>
      </c>
    </row>
    <row r="83" spans="1:18">
      <c r="A83" s="209">
        <f t="shared" si="1"/>
        <v>79</v>
      </c>
      <c r="B83" s="216" t="s">
        <v>228</v>
      </c>
      <c r="C83" s="215">
        <v>6287727</v>
      </c>
      <c r="D83" s="387"/>
      <c r="E83" s="299"/>
      <c r="F83" s="299"/>
      <c r="G83" s="350"/>
      <c r="H83" s="350"/>
      <c r="I83" s="350"/>
      <c r="J83" s="350"/>
      <c r="K83" s="350"/>
      <c r="L83" s="350"/>
      <c r="M83" s="350"/>
      <c r="N83" s="350"/>
      <c r="O83" s="350"/>
      <c r="P83" s="350"/>
      <c r="Q83" s="355"/>
      <c r="R83" s="208"/>
    </row>
    <row r="84" spans="1:18">
      <c r="A84" s="209">
        <f t="shared" si="1"/>
        <v>80</v>
      </c>
      <c r="B84" s="216" t="s">
        <v>229</v>
      </c>
      <c r="C84" s="215">
        <v>2659603</v>
      </c>
      <c r="D84" s="387"/>
      <c r="E84" s="299"/>
      <c r="F84" s="299"/>
      <c r="G84" s="350"/>
      <c r="H84" s="350"/>
      <c r="I84" s="350"/>
      <c r="J84" s="350"/>
      <c r="K84" s="350"/>
      <c r="L84" s="350"/>
      <c r="M84" s="350"/>
      <c r="N84" s="350"/>
      <c r="O84" s="350"/>
      <c r="P84" s="350"/>
      <c r="Q84" s="355"/>
      <c r="R84" s="208"/>
    </row>
    <row r="85" spans="1:18">
      <c r="A85" s="209">
        <f t="shared" si="1"/>
        <v>81</v>
      </c>
      <c r="B85" s="216" t="s">
        <v>231</v>
      </c>
      <c r="C85" s="209">
        <v>2657457</v>
      </c>
      <c r="D85" s="388" t="s">
        <v>9119</v>
      </c>
      <c r="E85" s="473">
        <v>43374</v>
      </c>
      <c r="F85" s="473">
        <v>45565</v>
      </c>
      <c r="G85" s="474"/>
      <c r="H85" s="474">
        <v>0</v>
      </c>
      <c r="I85" s="474">
        <v>0</v>
      </c>
      <c r="J85" s="474">
        <v>0</v>
      </c>
      <c r="K85" s="474">
        <v>0</v>
      </c>
      <c r="L85" s="474">
        <v>0</v>
      </c>
      <c r="M85" s="474">
        <v>32900</v>
      </c>
      <c r="N85" s="474">
        <v>0</v>
      </c>
      <c r="O85" s="474">
        <v>20</v>
      </c>
      <c r="P85" s="474">
        <v>0</v>
      </c>
      <c r="Q85" s="475">
        <v>0</v>
      </c>
      <c r="R85" s="208"/>
    </row>
    <row r="86" spans="1:18">
      <c r="A86" s="209">
        <f t="shared" si="1"/>
        <v>82</v>
      </c>
      <c r="B86" s="216" t="s">
        <v>231</v>
      </c>
      <c r="C86" s="209">
        <v>2657457</v>
      </c>
      <c r="D86" s="388" t="s">
        <v>9120</v>
      </c>
      <c r="E86" s="473">
        <v>45200</v>
      </c>
      <c r="F86" s="473">
        <v>45931</v>
      </c>
      <c r="G86" s="474"/>
      <c r="H86" s="474">
        <v>0</v>
      </c>
      <c r="I86" s="474">
        <v>0</v>
      </c>
      <c r="J86" s="474">
        <v>0</v>
      </c>
      <c r="K86" s="474">
        <v>0</v>
      </c>
      <c r="L86" s="474">
        <v>0</v>
      </c>
      <c r="M86" s="474">
        <v>61000</v>
      </c>
      <c r="N86" s="474">
        <v>0</v>
      </c>
      <c r="O86" s="474">
        <v>0</v>
      </c>
      <c r="P86" s="474">
        <v>0</v>
      </c>
      <c r="Q86" s="475">
        <v>0</v>
      </c>
      <c r="R86" s="208"/>
    </row>
    <row r="87" spans="1:18">
      <c r="A87" s="209">
        <f t="shared" si="1"/>
        <v>83</v>
      </c>
      <c r="B87" s="216" t="s">
        <v>231</v>
      </c>
      <c r="C87" s="215">
        <v>2657457</v>
      </c>
      <c r="D87" s="388" t="s">
        <v>9121</v>
      </c>
      <c r="E87" s="473">
        <v>43252</v>
      </c>
      <c r="F87" s="473">
        <v>45565</v>
      </c>
      <c r="G87" s="474"/>
      <c r="H87" s="474">
        <v>0</v>
      </c>
      <c r="I87" s="474">
        <v>0</v>
      </c>
      <c r="J87" s="474">
        <v>0</v>
      </c>
      <c r="K87" s="474">
        <v>0</v>
      </c>
      <c r="L87" s="474">
        <v>0</v>
      </c>
      <c r="M87" s="474">
        <v>13400</v>
      </c>
      <c r="N87" s="474">
        <v>0</v>
      </c>
      <c r="O87" s="474">
        <v>0</v>
      </c>
      <c r="P87" s="474">
        <v>0</v>
      </c>
      <c r="Q87" s="475">
        <v>0</v>
      </c>
      <c r="R87" s="95"/>
    </row>
    <row r="88" spans="1:18">
      <c r="A88" s="209">
        <f t="shared" si="1"/>
        <v>84</v>
      </c>
      <c r="B88" s="216" t="s">
        <v>230</v>
      </c>
      <c r="C88" s="215">
        <v>2678187</v>
      </c>
      <c r="D88" s="387"/>
      <c r="E88" s="299"/>
      <c r="F88" s="299"/>
      <c r="G88" s="350"/>
      <c r="H88" s="350"/>
      <c r="I88" s="350"/>
      <c r="J88" s="350"/>
      <c r="K88" s="350"/>
      <c r="L88" s="350"/>
      <c r="M88" s="350"/>
      <c r="N88" s="350"/>
      <c r="O88" s="350"/>
      <c r="P88" s="350"/>
      <c r="Q88" s="355"/>
      <c r="R88" s="208"/>
    </row>
    <row r="89" spans="1:18">
      <c r="A89" s="209">
        <f t="shared" si="1"/>
        <v>85</v>
      </c>
      <c r="B89" s="216" t="s">
        <v>232</v>
      </c>
      <c r="C89" s="215">
        <v>3615243</v>
      </c>
      <c r="D89" s="388" t="s">
        <v>9094</v>
      </c>
      <c r="E89" s="473">
        <v>44927</v>
      </c>
      <c r="F89" s="473">
        <v>45291</v>
      </c>
      <c r="G89" s="474"/>
      <c r="H89" s="474">
        <v>0</v>
      </c>
      <c r="I89" s="474">
        <v>0</v>
      </c>
      <c r="J89" s="474">
        <v>0</v>
      </c>
      <c r="K89" s="474">
        <v>0</v>
      </c>
      <c r="L89" s="474">
        <v>0</v>
      </c>
      <c r="M89" s="474">
        <v>0</v>
      </c>
      <c r="N89" s="474">
        <v>24.7</v>
      </c>
      <c r="O89" s="474">
        <v>0</v>
      </c>
      <c r="P89" s="474">
        <v>0</v>
      </c>
      <c r="Q89" s="475">
        <v>0</v>
      </c>
      <c r="R89" s="208"/>
    </row>
    <row r="90" spans="1:18">
      <c r="A90" s="209">
        <f t="shared" si="1"/>
        <v>86</v>
      </c>
      <c r="B90" s="216" t="s">
        <v>236</v>
      </c>
      <c r="C90" s="215">
        <v>3623955</v>
      </c>
      <c r="D90" s="387"/>
      <c r="E90" s="299"/>
      <c r="F90" s="299"/>
      <c r="G90" s="350"/>
      <c r="H90" s="350"/>
      <c r="I90" s="350"/>
      <c r="J90" s="350"/>
      <c r="K90" s="350"/>
      <c r="L90" s="350"/>
      <c r="M90" s="350"/>
      <c r="N90" s="350"/>
      <c r="O90" s="350"/>
      <c r="P90" s="350"/>
      <c r="Q90" s="355"/>
      <c r="R90" s="208"/>
    </row>
    <row r="91" spans="1:18">
      <c r="A91" s="209">
        <f t="shared" si="1"/>
        <v>87</v>
      </c>
      <c r="B91" s="216" t="s">
        <v>239</v>
      </c>
      <c r="C91" s="215">
        <v>5199077</v>
      </c>
      <c r="D91" s="387"/>
      <c r="E91" s="299"/>
      <c r="F91" s="299"/>
      <c r="G91" s="350"/>
      <c r="H91" s="350"/>
      <c r="I91" s="350"/>
      <c r="J91" s="350"/>
      <c r="K91" s="350"/>
      <c r="L91" s="350"/>
      <c r="M91" s="350"/>
      <c r="N91" s="350"/>
      <c r="O91" s="350"/>
      <c r="P91" s="350"/>
      <c r="Q91" s="355"/>
      <c r="R91" s="208"/>
    </row>
    <row r="92" spans="1:18" ht="25.5">
      <c r="A92" s="209">
        <f t="shared" si="1"/>
        <v>88</v>
      </c>
      <c r="B92" s="216" t="s">
        <v>240</v>
      </c>
      <c r="C92" s="215">
        <v>2075385</v>
      </c>
      <c r="D92" s="387"/>
      <c r="E92" s="299"/>
      <c r="F92" s="299"/>
      <c r="G92" s="350"/>
      <c r="H92" s="350"/>
      <c r="I92" s="350"/>
      <c r="J92" s="350"/>
      <c r="K92" s="350"/>
      <c r="L92" s="350"/>
      <c r="M92" s="350"/>
      <c r="N92" s="350"/>
      <c r="O92" s="350"/>
      <c r="P92" s="350"/>
      <c r="Q92" s="355"/>
      <c r="R92" s="95"/>
    </row>
    <row r="93" spans="1:18">
      <c r="A93" s="209">
        <f t="shared" si="1"/>
        <v>89</v>
      </c>
      <c r="B93" s="216" t="s">
        <v>241</v>
      </c>
      <c r="C93" s="215">
        <v>2867095</v>
      </c>
      <c r="D93" s="387"/>
      <c r="E93" s="299"/>
      <c r="F93" s="299"/>
      <c r="G93" s="350"/>
      <c r="H93" s="350"/>
      <c r="I93" s="350"/>
      <c r="J93" s="350"/>
      <c r="K93" s="350"/>
      <c r="L93" s="350"/>
      <c r="M93" s="350"/>
      <c r="N93" s="350"/>
      <c r="O93" s="350"/>
      <c r="P93" s="350"/>
      <c r="Q93" s="355"/>
      <c r="R93" s="208"/>
    </row>
    <row r="94" spans="1:18">
      <c r="A94" s="209">
        <f t="shared" si="1"/>
        <v>90</v>
      </c>
      <c r="B94" s="216" t="s">
        <v>242</v>
      </c>
      <c r="C94" s="215">
        <v>5076285</v>
      </c>
      <c r="D94" s="388" t="s">
        <v>9122</v>
      </c>
      <c r="E94" s="478" t="s">
        <v>8377</v>
      </c>
      <c r="F94" s="478" t="s">
        <v>8377</v>
      </c>
      <c r="G94" s="474"/>
      <c r="H94" s="474">
        <v>0</v>
      </c>
      <c r="I94" s="474">
        <v>0</v>
      </c>
      <c r="J94" s="474">
        <v>0</v>
      </c>
      <c r="K94" s="474">
        <v>0</v>
      </c>
      <c r="L94" s="474">
        <v>0</v>
      </c>
      <c r="M94" s="474">
        <v>2110.5500000000002</v>
      </c>
      <c r="N94" s="474">
        <v>0</v>
      </c>
      <c r="O94" s="474">
        <v>0</v>
      </c>
      <c r="P94" s="474">
        <v>0</v>
      </c>
      <c r="Q94" s="475">
        <v>0</v>
      </c>
      <c r="R94" s="208"/>
    </row>
    <row r="95" spans="1:18">
      <c r="A95" s="209">
        <f t="shared" si="1"/>
        <v>91</v>
      </c>
      <c r="B95" s="216" t="s">
        <v>243</v>
      </c>
      <c r="C95" s="215">
        <v>5084555</v>
      </c>
      <c r="D95" s="388" t="s">
        <v>9101</v>
      </c>
      <c r="E95" s="478" t="s">
        <v>8377</v>
      </c>
      <c r="F95" s="478" t="s">
        <v>8377</v>
      </c>
      <c r="G95" s="474"/>
      <c r="H95" s="474">
        <v>0</v>
      </c>
      <c r="I95" s="474">
        <v>0</v>
      </c>
      <c r="J95" s="474">
        <v>0</v>
      </c>
      <c r="K95" s="474">
        <v>0</v>
      </c>
      <c r="L95" s="474">
        <v>0</v>
      </c>
      <c r="M95" s="474">
        <v>189</v>
      </c>
      <c r="N95" s="474">
        <v>0</v>
      </c>
      <c r="O95" s="474">
        <v>0</v>
      </c>
      <c r="P95" s="474">
        <v>0</v>
      </c>
      <c r="Q95" s="475">
        <v>0</v>
      </c>
      <c r="R95" s="208"/>
    </row>
    <row r="96" spans="1:18">
      <c r="A96" s="209">
        <f t="shared" si="1"/>
        <v>92</v>
      </c>
      <c r="B96" s="216" t="s">
        <v>243</v>
      </c>
      <c r="C96" s="215">
        <v>5084555</v>
      </c>
      <c r="D96" s="388" t="s">
        <v>9123</v>
      </c>
      <c r="E96" s="478" t="s">
        <v>8377</v>
      </c>
      <c r="F96" s="478" t="s">
        <v>8377</v>
      </c>
      <c r="G96" s="474"/>
      <c r="H96" s="474">
        <v>0</v>
      </c>
      <c r="I96" s="474">
        <v>0</v>
      </c>
      <c r="J96" s="474">
        <v>0</v>
      </c>
      <c r="K96" s="474">
        <v>0</v>
      </c>
      <c r="L96" s="474">
        <v>0</v>
      </c>
      <c r="M96" s="474">
        <v>1751</v>
      </c>
      <c r="N96" s="474">
        <v>0</v>
      </c>
      <c r="O96" s="474">
        <v>0</v>
      </c>
      <c r="P96" s="474">
        <v>0</v>
      </c>
      <c r="Q96" s="475">
        <v>0</v>
      </c>
      <c r="R96" s="208"/>
    </row>
    <row r="97" spans="1:18">
      <c r="A97" s="209">
        <f t="shared" si="1"/>
        <v>93</v>
      </c>
      <c r="B97" s="216" t="s">
        <v>243</v>
      </c>
      <c r="C97" s="215">
        <v>5084555</v>
      </c>
      <c r="D97" s="388" t="s">
        <v>9124</v>
      </c>
      <c r="E97" s="478" t="s">
        <v>8377</v>
      </c>
      <c r="F97" s="478" t="s">
        <v>8377</v>
      </c>
      <c r="G97" s="474"/>
      <c r="H97" s="474">
        <v>0</v>
      </c>
      <c r="I97" s="474">
        <v>0</v>
      </c>
      <c r="J97" s="474">
        <v>0</v>
      </c>
      <c r="K97" s="474">
        <v>0</v>
      </c>
      <c r="L97" s="474">
        <v>0</v>
      </c>
      <c r="M97" s="474">
        <v>20</v>
      </c>
      <c r="N97" s="474">
        <v>0</v>
      </c>
      <c r="O97" s="474">
        <v>0</v>
      </c>
      <c r="P97" s="474">
        <v>0</v>
      </c>
      <c r="Q97" s="475">
        <v>0</v>
      </c>
      <c r="R97" s="95"/>
    </row>
    <row r="98" spans="1:18" ht="39">
      <c r="A98" s="209">
        <f t="shared" si="1"/>
        <v>94</v>
      </c>
      <c r="B98" s="216" t="s">
        <v>243</v>
      </c>
      <c r="C98" s="215">
        <v>5084555</v>
      </c>
      <c r="D98" s="388" t="s">
        <v>9125</v>
      </c>
      <c r="E98" s="478" t="s">
        <v>8377</v>
      </c>
      <c r="F98" s="478" t="s">
        <v>8377</v>
      </c>
      <c r="G98" s="474"/>
      <c r="H98" s="474">
        <v>0</v>
      </c>
      <c r="I98" s="474">
        <v>0</v>
      </c>
      <c r="J98" s="474">
        <v>0</v>
      </c>
      <c r="K98" s="474">
        <v>0</v>
      </c>
      <c r="L98" s="474">
        <v>0</v>
      </c>
      <c r="M98" s="474">
        <v>643</v>
      </c>
      <c r="N98" s="474">
        <v>0</v>
      </c>
      <c r="O98" s="474">
        <v>0</v>
      </c>
      <c r="P98" s="474">
        <v>0</v>
      </c>
      <c r="Q98" s="475">
        <v>0</v>
      </c>
    </row>
    <row r="99" spans="1:18" ht="26.25">
      <c r="A99" s="209">
        <f t="shared" si="1"/>
        <v>95</v>
      </c>
      <c r="B99" s="216" t="s">
        <v>243</v>
      </c>
      <c r="C99" s="215">
        <v>5084555</v>
      </c>
      <c r="D99" s="388" t="s">
        <v>9126</v>
      </c>
      <c r="E99" s="478" t="s">
        <v>8377</v>
      </c>
      <c r="F99" s="478" t="s">
        <v>8377</v>
      </c>
      <c r="G99" s="474"/>
      <c r="H99" s="474">
        <v>0</v>
      </c>
      <c r="I99" s="474">
        <v>0</v>
      </c>
      <c r="J99" s="474">
        <v>0</v>
      </c>
      <c r="K99" s="474">
        <v>0</v>
      </c>
      <c r="L99" s="474">
        <v>0</v>
      </c>
      <c r="M99" s="474">
        <v>197</v>
      </c>
      <c r="N99" s="474">
        <v>0</v>
      </c>
      <c r="O99" s="474">
        <v>0</v>
      </c>
      <c r="P99" s="474">
        <v>0</v>
      </c>
      <c r="Q99" s="475">
        <v>0</v>
      </c>
      <c r="R99" s="208"/>
    </row>
    <row r="100" spans="1:18">
      <c r="A100" s="209">
        <f t="shared" si="1"/>
        <v>96</v>
      </c>
      <c r="B100" s="216" t="s">
        <v>243</v>
      </c>
      <c r="C100" s="215">
        <v>5084555</v>
      </c>
      <c r="D100" s="388" t="s">
        <v>9127</v>
      </c>
      <c r="E100" s="478" t="s">
        <v>8377</v>
      </c>
      <c r="F100" s="478" t="s">
        <v>8377</v>
      </c>
      <c r="G100" s="474"/>
      <c r="H100" s="474">
        <v>0</v>
      </c>
      <c r="I100" s="474">
        <v>0</v>
      </c>
      <c r="J100" s="474">
        <v>0</v>
      </c>
      <c r="K100" s="474">
        <v>0</v>
      </c>
      <c r="L100" s="474">
        <v>0</v>
      </c>
      <c r="M100" s="474">
        <v>157</v>
      </c>
      <c r="N100" s="474">
        <v>0</v>
      </c>
      <c r="O100" s="474">
        <v>0</v>
      </c>
      <c r="P100" s="474">
        <v>0</v>
      </c>
      <c r="Q100" s="475">
        <v>0</v>
      </c>
      <c r="R100" s="95"/>
    </row>
    <row r="101" spans="1:18">
      <c r="A101" s="209">
        <f t="shared" si="1"/>
        <v>97</v>
      </c>
      <c r="B101" s="216" t="s">
        <v>243</v>
      </c>
      <c r="C101" s="215">
        <v>5084555</v>
      </c>
      <c r="D101" s="388" t="s">
        <v>9088</v>
      </c>
      <c r="E101" s="478" t="s">
        <v>8377</v>
      </c>
      <c r="F101" s="478" t="s">
        <v>8377</v>
      </c>
      <c r="G101" s="474"/>
      <c r="H101" s="474">
        <v>0</v>
      </c>
      <c r="I101" s="474">
        <v>0</v>
      </c>
      <c r="J101" s="474">
        <v>0</v>
      </c>
      <c r="K101" s="474">
        <v>0</v>
      </c>
      <c r="L101" s="474">
        <v>0</v>
      </c>
      <c r="M101" s="474">
        <v>8098</v>
      </c>
      <c r="N101" s="474">
        <v>0</v>
      </c>
      <c r="O101" s="474">
        <v>0</v>
      </c>
      <c r="P101" s="474">
        <v>0</v>
      </c>
      <c r="Q101" s="475">
        <v>0</v>
      </c>
      <c r="R101" s="208"/>
    </row>
    <row r="102" spans="1:18">
      <c r="A102" s="209">
        <f t="shared" si="1"/>
        <v>98</v>
      </c>
      <c r="B102" s="216" t="s">
        <v>243</v>
      </c>
      <c r="C102" s="215">
        <v>5084555</v>
      </c>
      <c r="D102" s="388" t="s">
        <v>9128</v>
      </c>
      <c r="E102" s="478" t="s">
        <v>8377</v>
      </c>
      <c r="F102" s="478" t="s">
        <v>8377</v>
      </c>
      <c r="G102" s="474"/>
      <c r="H102" s="474">
        <v>0</v>
      </c>
      <c r="I102" s="474">
        <v>0</v>
      </c>
      <c r="J102" s="474">
        <v>0</v>
      </c>
      <c r="K102" s="474">
        <v>0</v>
      </c>
      <c r="L102" s="474">
        <v>0</v>
      </c>
      <c r="M102" s="474">
        <v>503</v>
      </c>
      <c r="N102" s="474">
        <v>0</v>
      </c>
      <c r="O102" s="474">
        <v>0</v>
      </c>
      <c r="P102" s="474">
        <v>0</v>
      </c>
      <c r="Q102" s="479">
        <v>0</v>
      </c>
      <c r="R102" s="95"/>
    </row>
    <row r="103" spans="1:18">
      <c r="A103" s="209">
        <f t="shared" si="1"/>
        <v>99</v>
      </c>
      <c r="B103" s="214" t="s">
        <v>243</v>
      </c>
      <c r="C103" s="215">
        <v>5084555</v>
      </c>
      <c r="D103" s="388" t="s">
        <v>9129</v>
      </c>
      <c r="E103" s="478" t="s">
        <v>8377</v>
      </c>
      <c r="F103" s="478" t="s">
        <v>8377</v>
      </c>
      <c r="G103" s="474"/>
      <c r="H103" s="474">
        <v>0</v>
      </c>
      <c r="I103" s="474">
        <v>0</v>
      </c>
      <c r="J103" s="474">
        <v>0</v>
      </c>
      <c r="K103" s="474">
        <v>0</v>
      </c>
      <c r="L103" s="474">
        <v>0</v>
      </c>
      <c r="M103" s="474">
        <v>245</v>
      </c>
      <c r="N103" s="474">
        <v>0</v>
      </c>
      <c r="O103" s="474">
        <v>0</v>
      </c>
      <c r="P103" s="480">
        <v>0</v>
      </c>
      <c r="Q103" s="474">
        <v>0</v>
      </c>
    </row>
    <row r="104" spans="1:18" ht="26.25">
      <c r="A104" s="209">
        <f t="shared" si="1"/>
        <v>100</v>
      </c>
      <c r="B104" s="214" t="s">
        <v>243</v>
      </c>
      <c r="C104" s="215">
        <v>5084555</v>
      </c>
      <c r="D104" s="388" t="s">
        <v>9130</v>
      </c>
      <c r="E104" s="478" t="s">
        <v>8377</v>
      </c>
      <c r="F104" s="478" t="s">
        <v>8377</v>
      </c>
      <c r="G104" s="474"/>
      <c r="H104" s="474">
        <v>0</v>
      </c>
      <c r="I104" s="474">
        <v>0</v>
      </c>
      <c r="J104" s="474">
        <v>0</v>
      </c>
      <c r="K104" s="474">
        <v>0</v>
      </c>
      <c r="L104" s="474">
        <v>0</v>
      </c>
      <c r="M104" s="474">
        <v>1127</v>
      </c>
      <c r="N104" s="474">
        <v>0</v>
      </c>
      <c r="O104" s="474">
        <v>0</v>
      </c>
      <c r="P104" s="480">
        <v>0</v>
      </c>
      <c r="Q104" s="474">
        <v>0</v>
      </c>
    </row>
    <row r="105" spans="1:18">
      <c r="A105" s="209">
        <f t="shared" si="1"/>
        <v>101</v>
      </c>
      <c r="B105" s="214" t="s">
        <v>243</v>
      </c>
      <c r="C105" s="215">
        <v>5084555</v>
      </c>
      <c r="D105" s="388" t="s">
        <v>9131</v>
      </c>
      <c r="E105" s="478" t="s">
        <v>8377</v>
      </c>
      <c r="F105" s="478" t="s">
        <v>8377</v>
      </c>
      <c r="G105" s="474"/>
      <c r="H105" s="474">
        <v>0</v>
      </c>
      <c r="I105" s="474">
        <v>0</v>
      </c>
      <c r="J105" s="474">
        <v>0</v>
      </c>
      <c r="K105" s="474">
        <v>0</v>
      </c>
      <c r="L105" s="474">
        <v>0</v>
      </c>
      <c r="M105" s="474">
        <v>395</v>
      </c>
      <c r="N105" s="474">
        <v>0</v>
      </c>
      <c r="O105" s="474">
        <v>0</v>
      </c>
      <c r="P105" s="480">
        <v>0</v>
      </c>
      <c r="Q105" s="474">
        <v>0</v>
      </c>
    </row>
    <row r="106" spans="1:18">
      <c r="A106" s="209">
        <f t="shared" si="1"/>
        <v>102</v>
      </c>
      <c r="B106" s="214" t="s">
        <v>243</v>
      </c>
      <c r="C106" s="215">
        <v>5084555</v>
      </c>
      <c r="D106" s="388" t="s">
        <v>9132</v>
      </c>
      <c r="E106" s="478" t="s">
        <v>8377</v>
      </c>
      <c r="F106" s="478" t="s">
        <v>8377</v>
      </c>
      <c r="G106" s="474"/>
      <c r="H106" s="474">
        <v>0</v>
      </c>
      <c r="I106" s="474">
        <v>0</v>
      </c>
      <c r="J106" s="474">
        <v>0</v>
      </c>
      <c r="K106" s="474">
        <v>0</v>
      </c>
      <c r="L106" s="474">
        <v>0</v>
      </c>
      <c r="M106" s="474">
        <v>140</v>
      </c>
      <c r="N106" s="474">
        <v>0</v>
      </c>
      <c r="O106" s="474">
        <v>0</v>
      </c>
      <c r="P106" s="480">
        <v>0</v>
      </c>
      <c r="Q106" s="474">
        <v>0</v>
      </c>
      <c r="R106" s="208"/>
    </row>
    <row r="107" spans="1:18">
      <c r="A107" s="209">
        <f t="shared" si="1"/>
        <v>103</v>
      </c>
      <c r="B107" s="214" t="s">
        <v>244</v>
      </c>
      <c r="C107" s="215">
        <v>5261198</v>
      </c>
      <c r="D107" s="387"/>
      <c r="E107" s="299"/>
      <c r="F107" s="299"/>
      <c r="G107" s="350"/>
      <c r="H107" s="350"/>
      <c r="I107" s="350"/>
      <c r="J107" s="350"/>
      <c r="K107" s="350"/>
      <c r="L107" s="350"/>
      <c r="M107" s="350"/>
      <c r="N107" s="350"/>
      <c r="O107" s="350"/>
      <c r="P107" s="353"/>
      <c r="Q107" s="350"/>
      <c r="R107" s="208"/>
    </row>
    <row r="108" spans="1:18" ht="26.25">
      <c r="A108" s="209">
        <f t="shared" si="1"/>
        <v>104</v>
      </c>
      <c r="B108" s="214" t="s">
        <v>246</v>
      </c>
      <c r="C108" s="215">
        <v>5288703</v>
      </c>
      <c r="D108" s="388" t="s">
        <v>9133</v>
      </c>
      <c r="E108" s="473">
        <v>44927</v>
      </c>
      <c r="F108" s="473">
        <v>45291</v>
      </c>
      <c r="G108" s="474" t="s">
        <v>9134</v>
      </c>
      <c r="H108" s="474">
        <v>0</v>
      </c>
      <c r="I108" s="474">
        <v>0</v>
      </c>
      <c r="J108" s="474">
        <v>0</v>
      </c>
      <c r="K108" s="474">
        <v>140578000</v>
      </c>
      <c r="L108" s="474">
        <v>0</v>
      </c>
      <c r="M108" s="474">
        <v>0</v>
      </c>
      <c r="N108" s="474">
        <v>0</v>
      </c>
      <c r="O108" s="474">
        <v>0</v>
      </c>
      <c r="P108" s="480">
        <v>0</v>
      </c>
      <c r="Q108" s="474">
        <v>0</v>
      </c>
      <c r="R108" s="95"/>
    </row>
    <row r="109" spans="1:18">
      <c r="A109" s="209">
        <f t="shared" si="1"/>
        <v>105</v>
      </c>
      <c r="B109" s="214" t="s">
        <v>246</v>
      </c>
      <c r="C109" s="215">
        <v>5288703</v>
      </c>
      <c r="D109" s="388" t="s">
        <v>9135</v>
      </c>
      <c r="E109" s="473">
        <v>44927</v>
      </c>
      <c r="F109" s="473">
        <v>45291</v>
      </c>
      <c r="G109" s="474" t="s">
        <v>9134</v>
      </c>
      <c r="H109" s="474">
        <v>0</v>
      </c>
      <c r="I109" s="474">
        <v>0</v>
      </c>
      <c r="J109" s="474">
        <v>0</v>
      </c>
      <c r="K109" s="474">
        <v>675647000</v>
      </c>
      <c r="L109" s="474">
        <v>0</v>
      </c>
      <c r="M109" s="474">
        <v>0</v>
      </c>
      <c r="N109" s="474">
        <v>0</v>
      </c>
      <c r="O109" s="474">
        <v>0</v>
      </c>
      <c r="P109" s="480">
        <v>0</v>
      </c>
      <c r="Q109" s="474">
        <v>0</v>
      </c>
      <c r="R109" s="208"/>
    </row>
    <row r="110" spans="1:18" ht="26.25">
      <c r="A110" s="209">
        <f t="shared" si="1"/>
        <v>106</v>
      </c>
      <c r="B110" s="214" t="s">
        <v>246</v>
      </c>
      <c r="C110" s="215">
        <v>5288703</v>
      </c>
      <c r="D110" s="388" t="s">
        <v>9136</v>
      </c>
      <c r="E110" s="473">
        <v>44927</v>
      </c>
      <c r="F110" s="473">
        <v>45291</v>
      </c>
      <c r="G110" s="474" t="s">
        <v>9134</v>
      </c>
      <c r="H110" s="474">
        <v>0</v>
      </c>
      <c r="I110" s="474">
        <v>0</v>
      </c>
      <c r="J110" s="474">
        <v>0</v>
      </c>
      <c r="K110" s="474">
        <v>671106000</v>
      </c>
      <c r="L110" s="474">
        <v>0</v>
      </c>
      <c r="M110" s="474">
        <v>0</v>
      </c>
      <c r="N110" s="474">
        <v>0</v>
      </c>
      <c r="O110" s="474">
        <v>0</v>
      </c>
      <c r="P110" s="480">
        <v>0</v>
      </c>
      <c r="Q110" s="474">
        <v>0</v>
      </c>
      <c r="R110" s="208"/>
    </row>
    <row r="111" spans="1:18">
      <c r="A111" s="209">
        <f t="shared" si="1"/>
        <v>107</v>
      </c>
      <c r="B111" s="214" t="s">
        <v>246</v>
      </c>
      <c r="C111" s="215">
        <v>5288703</v>
      </c>
      <c r="D111" s="388" t="s">
        <v>9137</v>
      </c>
      <c r="E111" s="473">
        <v>44927</v>
      </c>
      <c r="F111" s="473">
        <v>45291</v>
      </c>
      <c r="G111" s="474" t="s">
        <v>9134</v>
      </c>
      <c r="H111" s="474">
        <v>0</v>
      </c>
      <c r="I111" s="474">
        <v>0</v>
      </c>
      <c r="J111" s="474">
        <v>0</v>
      </c>
      <c r="K111" s="474">
        <v>308003000</v>
      </c>
      <c r="L111" s="474">
        <v>0</v>
      </c>
      <c r="M111" s="474">
        <v>0</v>
      </c>
      <c r="N111" s="474">
        <v>0</v>
      </c>
      <c r="O111" s="474">
        <v>0</v>
      </c>
      <c r="P111" s="480">
        <v>0</v>
      </c>
      <c r="Q111" s="474">
        <v>0</v>
      </c>
      <c r="R111" s="208"/>
    </row>
    <row r="112" spans="1:18" ht="26.25">
      <c r="A112" s="209">
        <f t="shared" si="1"/>
        <v>108</v>
      </c>
      <c r="B112" s="214" t="s">
        <v>246</v>
      </c>
      <c r="C112" s="215">
        <v>5288703</v>
      </c>
      <c r="D112" s="388" t="s">
        <v>9138</v>
      </c>
      <c r="E112" s="473">
        <v>44927</v>
      </c>
      <c r="F112" s="473">
        <v>45291</v>
      </c>
      <c r="G112" s="474" t="s">
        <v>9134</v>
      </c>
      <c r="H112" s="474">
        <v>0</v>
      </c>
      <c r="I112" s="474">
        <v>0</v>
      </c>
      <c r="J112" s="474">
        <v>0</v>
      </c>
      <c r="K112" s="474">
        <v>2818170000</v>
      </c>
      <c r="L112" s="474">
        <v>0</v>
      </c>
      <c r="M112" s="474">
        <v>0</v>
      </c>
      <c r="N112" s="474">
        <v>0</v>
      </c>
      <c r="O112" s="474">
        <v>0</v>
      </c>
      <c r="P112" s="480">
        <v>0</v>
      </c>
      <c r="Q112" s="474">
        <v>0</v>
      </c>
      <c r="R112" s="208"/>
    </row>
    <row r="113" spans="1:18">
      <c r="A113" s="209">
        <f t="shared" si="1"/>
        <v>109</v>
      </c>
      <c r="B113" s="214" t="s">
        <v>246</v>
      </c>
      <c r="C113" s="215">
        <v>5288703</v>
      </c>
      <c r="D113" s="388" t="s">
        <v>9139</v>
      </c>
      <c r="E113" s="473">
        <v>44927</v>
      </c>
      <c r="F113" s="473">
        <v>45291</v>
      </c>
      <c r="G113" s="474" t="s">
        <v>9134</v>
      </c>
      <c r="H113" s="474">
        <v>0</v>
      </c>
      <c r="I113" s="474">
        <v>0</v>
      </c>
      <c r="J113" s="474">
        <v>0</v>
      </c>
      <c r="K113" s="474">
        <v>2270500000</v>
      </c>
      <c r="L113" s="474">
        <v>0</v>
      </c>
      <c r="M113" s="474">
        <v>0</v>
      </c>
      <c r="N113" s="474">
        <v>0</v>
      </c>
      <c r="O113" s="474">
        <v>0</v>
      </c>
      <c r="P113" s="480">
        <v>0</v>
      </c>
      <c r="Q113" s="474">
        <v>0</v>
      </c>
      <c r="R113" s="95"/>
    </row>
    <row r="114" spans="1:18" ht="26.25">
      <c r="A114" s="209">
        <f t="shared" si="1"/>
        <v>110</v>
      </c>
      <c r="B114" s="214" t="s">
        <v>246</v>
      </c>
      <c r="C114" s="215">
        <v>5288703</v>
      </c>
      <c r="D114" s="388" t="s">
        <v>9140</v>
      </c>
      <c r="E114" s="473">
        <v>44927</v>
      </c>
      <c r="F114" s="473">
        <v>45291</v>
      </c>
      <c r="G114" s="474" t="s">
        <v>9134</v>
      </c>
      <c r="H114" s="474">
        <v>0</v>
      </c>
      <c r="I114" s="474">
        <v>0</v>
      </c>
      <c r="J114" s="474">
        <v>0</v>
      </c>
      <c r="K114" s="474">
        <v>413490000</v>
      </c>
      <c r="L114" s="474">
        <v>0</v>
      </c>
      <c r="M114" s="474">
        <v>0</v>
      </c>
      <c r="N114" s="474">
        <v>0</v>
      </c>
      <c r="O114" s="474">
        <v>0</v>
      </c>
      <c r="P114" s="480">
        <v>0</v>
      </c>
      <c r="Q114" s="474">
        <v>0</v>
      </c>
    </row>
    <row r="115" spans="1:18">
      <c r="A115" s="209">
        <f t="shared" si="1"/>
        <v>111</v>
      </c>
      <c r="B115" s="214" t="s">
        <v>246</v>
      </c>
      <c r="C115" s="215">
        <v>5288703</v>
      </c>
      <c r="D115" s="388" t="s">
        <v>9141</v>
      </c>
      <c r="E115" s="473">
        <v>44927</v>
      </c>
      <c r="F115" s="473">
        <v>45291</v>
      </c>
      <c r="G115" s="474" t="s">
        <v>9134</v>
      </c>
      <c r="H115" s="474">
        <v>0</v>
      </c>
      <c r="I115" s="474">
        <v>0</v>
      </c>
      <c r="J115" s="474">
        <v>0</v>
      </c>
      <c r="K115" s="474">
        <v>862932000</v>
      </c>
      <c r="L115" s="474">
        <v>0</v>
      </c>
      <c r="M115" s="474">
        <v>0</v>
      </c>
      <c r="N115" s="474">
        <v>0</v>
      </c>
      <c r="O115" s="474">
        <v>0</v>
      </c>
      <c r="P115" s="480">
        <v>0</v>
      </c>
      <c r="Q115" s="474">
        <v>0</v>
      </c>
    </row>
    <row r="116" spans="1:18">
      <c r="A116" s="209">
        <f t="shared" si="1"/>
        <v>112</v>
      </c>
      <c r="B116" s="214" t="s">
        <v>246</v>
      </c>
      <c r="C116" s="215">
        <v>5288703</v>
      </c>
      <c r="D116" s="388" t="s">
        <v>9142</v>
      </c>
      <c r="E116" s="473">
        <v>44927</v>
      </c>
      <c r="F116" s="473">
        <v>45291</v>
      </c>
      <c r="G116" s="474" t="s">
        <v>9134</v>
      </c>
      <c r="H116" s="474">
        <v>0</v>
      </c>
      <c r="I116" s="474">
        <v>0</v>
      </c>
      <c r="J116" s="474">
        <v>0</v>
      </c>
      <c r="K116" s="474">
        <v>902259000</v>
      </c>
      <c r="L116" s="474">
        <v>0</v>
      </c>
      <c r="M116" s="474">
        <v>0</v>
      </c>
      <c r="N116" s="474">
        <v>0</v>
      </c>
      <c r="O116" s="474">
        <v>0</v>
      </c>
      <c r="P116" s="480">
        <v>0</v>
      </c>
      <c r="Q116" s="474">
        <v>0</v>
      </c>
      <c r="R116" s="208"/>
    </row>
    <row r="117" spans="1:18" ht="26.25">
      <c r="A117" s="209">
        <f t="shared" si="1"/>
        <v>113</v>
      </c>
      <c r="B117" s="214" t="s">
        <v>246</v>
      </c>
      <c r="C117" s="215">
        <v>5288703</v>
      </c>
      <c r="D117" s="388" t="s">
        <v>9143</v>
      </c>
      <c r="E117" s="473">
        <v>44927</v>
      </c>
      <c r="F117" s="473">
        <v>45291</v>
      </c>
      <c r="G117" s="474" t="s">
        <v>9134</v>
      </c>
      <c r="H117" s="474">
        <v>0</v>
      </c>
      <c r="I117" s="474">
        <v>0</v>
      </c>
      <c r="J117" s="474">
        <v>0</v>
      </c>
      <c r="K117" s="474">
        <v>100000000</v>
      </c>
      <c r="L117" s="474">
        <v>0</v>
      </c>
      <c r="M117" s="474">
        <v>0</v>
      </c>
      <c r="N117" s="474">
        <v>0</v>
      </c>
      <c r="O117" s="474">
        <v>0</v>
      </c>
      <c r="P117" s="480">
        <v>0</v>
      </c>
      <c r="Q117" s="474">
        <v>0</v>
      </c>
      <c r="R117" s="208"/>
    </row>
    <row r="118" spans="1:18">
      <c r="A118" s="209">
        <f t="shared" si="1"/>
        <v>114</v>
      </c>
      <c r="B118" s="216" t="s">
        <v>246</v>
      </c>
      <c r="C118" s="215">
        <v>5288703</v>
      </c>
      <c r="D118" s="388" t="s">
        <v>9144</v>
      </c>
      <c r="E118" s="473">
        <v>44927</v>
      </c>
      <c r="F118" s="473">
        <v>45291</v>
      </c>
      <c r="G118" s="474" t="s">
        <v>9134</v>
      </c>
      <c r="H118" s="474">
        <v>0</v>
      </c>
      <c r="I118" s="474">
        <v>0</v>
      </c>
      <c r="J118" s="474">
        <v>0</v>
      </c>
      <c r="K118" s="474">
        <v>70000000</v>
      </c>
      <c r="L118" s="474">
        <v>0</v>
      </c>
      <c r="M118" s="474">
        <v>0</v>
      </c>
      <c r="N118" s="474">
        <v>0</v>
      </c>
      <c r="O118" s="474">
        <v>0</v>
      </c>
      <c r="P118" s="480">
        <v>0</v>
      </c>
      <c r="Q118" s="474">
        <v>0</v>
      </c>
      <c r="R118" s="95"/>
    </row>
    <row r="119" spans="1:18" ht="26.25">
      <c r="A119" s="209">
        <f t="shared" si="1"/>
        <v>115</v>
      </c>
      <c r="B119" s="214" t="s">
        <v>246</v>
      </c>
      <c r="C119" s="215">
        <v>5288703</v>
      </c>
      <c r="D119" s="388" t="s">
        <v>9133</v>
      </c>
      <c r="E119" s="473">
        <v>45139</v>
      </c>
      <c r="F119" s="473">
        <v>45291</v>
      </c>
      <c r="G119" s="474" t="s">
        <v>9134</v>
      </c>
      <c r="H119" s="474">
        <v>0</v>
      </c>
      <c r="I119" s="474">
        <v>0</v>
      </c>
      <c r="J119" s="474">
        <v>0</v>
      </c>
      <c r="K119" s="474">
        <v>356806000</v>
      </c>
      <c r="L119" s="474">
        <v>0</v>
      </c>
      <c r="M119" s="474">
        <v>0</v>
      </c>
      <c r="N119" s="474">
        <v>0</v>
      </c>
      <c r="O119" s="474">
        <v>0</v>
      </c>
      <c r="P119" s="480">
        <v>0</v>
      </c>
      <c r="Q119" s="474">
        <v>0</v>
      </c>
      <c r="R119" s="208"/>
    </row>
    <row r="120" spans="1:18">
      <c r="A120" s="209">
        <f t="shared" si="1"/>
        <v>116</v>
      </c>
      <c r="B120" s="214" t="s">
        <v>248</v>
      </c>
      <c r="C120" s="215">
        <v>6232485</v>
      </c>
      <c r="D120" s="387"/>
      <c r="E120" s="299"/>
      <c r="F120" s="299"/>
      <c r="G120" s="350"/>
      <c r="H120" s="350"/>
      <c r="I120" s="350"/>
      <c r="J120" s="350"/>
      <c r="K120" s="350"/>
      <c r="L120" s="350"/>
      <c r="M120" s="350"/>
      <c r="N120" s="350"/>
      <c r="O120" s="350"/>
      <c r="P120" s="353"/>
      <c r="Q120" s="350"/>
      <c r="R120" s="95"/>
    </row>
    <row r="121" spans="1:18">
      <c r="A121" s="209">
        <f t="shared" si="1"/>
        <v>117</v>
      </c>
      <c r="B121" s="214" t="s">
        <v>249</v>
      </c>
      <c r="C121" s="215">
        <v>6101615</v>
      </c>
      <c r="D121" s="387"/>
      <c r="E121" s="299"/>
      <c r="F121" s="299"/>
      <c r="G121" s="350"/>
      <c r="H121" s="350"/>
      <c r="I121" s="350"/>
      <c r="J121" s="350"/>
      <c r="K121" s="350"/>
      <c r="L121" s="350"/>
      <c r="M121" s="350"/>
      <c r="N121" s="350"/>
      <c r="O121" s="350"/>
      <c r="P121" s="353"/>
      <c r="Q121" s="350"/>
    </row>
    <row r="122" spans="1:18">
      <c r="A122" s="209">
        <f t="shared" si="1"/>
        <v>118</v>
      </c>
      <c r="B122" s="214" t="s">
        <v>250</v>
      </c>
      <c r="C122" s="215">
        <v>5120365</v>
      </c>
      <c r="D122" s="387"/>
      <c r="E122" s="299"/>
      <c r="F122" s="299"/>
      <c r="G122" s="350"/>
      <c r="H122" s="350"/>
      <c r="I122" s="350"/>
      <c r="J122" s="350"/>
      <c r="K122" s="350"/>
      <c r="L122" s="350"/>
      <c r="M122" s="350"/>
      <c r="N122" s="350"/>
      <c r="O122" s="350"/>
      <c r="P122" s="353"/>
      <c r="Q122" s="350"/>
    </row>
    <row r="123" spans="1:18">
      <c r="A123" s="209">
        <f t="shared" si="1"/>
        <v>119</v>
      </c>
      <c r="B123" s="214" t="s">
        <v>251</v>
      </c>
      <c r="C123" s="215">
        <v>2016656</v>
      </c>
      <c r="D123" s="387"/>
      <c r="E123" s="299"/>
      <c r="F123" s="299"/>
      <c r="G123" s="350"/>
      <c r="H123" s="350"/>
      <c r="I123" s="350"/>
      <c r="J123" s="350"/>
      <c r="K123" s="350"/>
      <c r="L123" s="350"/>
      <c r="M123" s="350"/>
      <c r="N123" s="350"/>
      <c r="O123" s="350"/>
      <c r="P123" s="353"/>
      <c r="Q123" s="350"/>
    </row>
    <row r="124" spans="1:18">
      <c r="A124" s="209">
        <f t="shared" si="1"/>
        <v>120</v>
      </c>
      <c r="B124" s="214" t="s">
        <v>253</v>
      </c>
      <c r="C124" s="215">
        <v>5872006</v>
      </c>
      <c r="D124" s="387"/>
      <c r="E124" s="299"/>
      <c r="F124" s="299"/>
      <c r="G124" s="350"/>
      <c r="H124" s="350"/>
      <c r="I124" s="350"/>
      <c r="J124" s="350"/>
      <c r="K124" s="350"/>
      <c r="L124" s="350"/>
      <c r="M124" s="350"/>
      <c r="N124" s="350"/>
      <c r="O124" s="350"/>
      <c r="P124" s="353"/>
      <c r="Q124" s="350"/>
    </row>
    <row r="125" spans="1:18">
      <c r="A125" s="209">
        <f t="shared" si="1"/>
        <v>121</v>
      </c>
      <c r="B125" s="214" t="s">
        <v>254</v>
      </c>
      <c r="C125" s="215">
        <v>5774047</v>
      </c>
      <c r="D125" s="387"/>
      <c r="E125" s="299"/>
      <c r="F125" s="299"/>
      <c r="G125" s="350"/>
      <c r="H125" s="350"/>
      <c r="I125" s="350"/>
      <c r="J125" s="350"/>
      <c r="K125" s="350"/>
      <c r="L125" s="350"/>
      <c r="M125" s="350"/>
      <c r="N125" s="350"/>
      <c r="O125" s="350"/>
      <c r="P125" s="353"/>
      <c r="Q125" s="350"/>
    </row>
    <row r="126" spans="1:18">
      <c r="A126" s="209">
        <f t="shared" si="1"/>
        <v>122</v>
      </c>
      <c r="B126" s="214" t="s">
        <v>257</v>
      </c>
      <c r="C126" s="215">
        <v>5105439</v>
      </c>
      <c r="D126" s="387"/>
      <c r="E126" s="299"/>
      <c r="F126" s="299"/>
      <c r="G126" s="350"/>
      <c r="H126" s="350"/>
      <c r="I126" s="350"/>
      <c r="J126" s="350"/>
      <c r="K126" s="350"/>
      <c r="L126" s="350"/>
      <c r="M126" s="350"/>
      <c r="N126" s="350"/>
      <c r="O126" s="350"/>
      <c r="P126" s="353"/>
      <c r="Q126" s="350"/>
    </row>
    <row r="127" spans="1:18">
      <c r="A127" s="209">
        <f t="shared" si="1"/>
        <v>123</v>
      </c>
      <c r="B127" s="214" t="s">
        <v>258</v>
      </c>
      <c r="C127" s="215">
        <v>2663813</v>
      </c>
      <c r="D127" s="387"/>
      <c r="E127" s="299"/>
      <c r="F127" s="299"/>
      <c r="G127" s="350"/>
      <c r="H127" s="350"/>
      <c r="I127" s="350"/>
      <c r="J127" s="350"/>
      <c r="K127" s="350"/>
      <c r="L127" s="350"/>
      <c r="M127" s="350"/>
      <c r="N127" s="350"/>
      <c r="O127" s="350"/>
      <c r="P127" s="353"/>
      <c r="Q127" s="350"/>
    </row>
    <row r="128" spans="1:18">
      <c r="A128" s="209">
        <f t="shared" si="1"/>
        <v>124</v>
      </c>
      <c r="B128" s="214" t="s">
        <v>260</v>
      </c>
      <c r="C128" s="215">
        <v>2016931</v>
      </c>
      <c r="D128" s="387"/>
      <c r="E128" s="299"/>
      <c r="F128" s="299"/>
      <c r="G128" s="350"/>
      <c r="H128" s="350"/>
      <c r="I128" s="350"/>
      <c r="J128" s="350"/>
      <c r="K128" s="350"/>
      <c r="L128" s="350"/>
      <c r="M128" s="350"/>
      <c r="N128" s="350"/>
      <c r="O128" s="350"/>
      <c r="P128" s="353"/>
      <c r="Q128" s="350"/>
    </row>
    <row r="129" spans="1:17">
      <c r="A129" s="209">
        <f t="shared" si="1"/>
        <v>125</v>
      </c>
      <c r="B129" s="214" t="s">
        <v>263</v>
      </c>
      <c r="C129" s="215">
        <v>5513618</v>
      </c>
      <c r="D129" s="387"/>
      <c r="E129" s="299"/>
      <c r="F129" s="299"/>
      <c r="G129" s="350"/>
      <c r="H129" s="350"/>
      <c r="I129" s="350"/>
      <c r="J129" s="350"/>
      <c r="K129" s="350"/>
      <c r="L129" s="350"/>
      <c r="M129" s="350"/>
      <c r="N129" s="350"/>
      <c r="O129" s="350"/>
      <c r="P129" s="353"/>
      <c r="Q129" s="350"/>
    </row>
    <row r="130" spans="1:17">
      <c r="A130" s="209">
        <f t="shared" si="1"/>
        <v>126</v>
      </c>
      <c r="B130" s="214" t="s">
        <v>264</v>
      </c>
      <c r="C130" s="215">
        <v>2807459</v>
      </c>
      <c r="D130" s="388" t="s">
        <v>9108</v>
      </c>
      <c r="E130" s="473">
        <v>45391</v>
      </c>
      <c r="F130" s="473">
        <v>45391</v>
      </c>
      <c r="G130" s="474"/>
      <c r="H130" s="474">
        <v>0</v>
      </c>
      <c r="I130" s="474">
        <v>0</v>
      </c>
      <c r="J130" s="474">
        <v>0</v>
      </c>
      <c r="K130" s="474">
        <v>0</v>
      </c>
      <c r="L130" s="474">
        <v>0</v>
      </c>
      <c r="M130" s="474">
        <v>0</v>
      </c>
      <c r="N130" s="474">
        <v>0</v>
      </c>
      <c r="O130" s="474">
        <v>0</v>
      </c>
      <c r="P130" s="480">
        <v>0</v>
      </c>
      <c r="Q130" s="474">
        <v>0</v>
      </c>
    </row>
    <row r="131" spans="1:17">
      <c r="A131" s="209">
        <f t="shared" si="1"/>
        <v>127</v>
      </c>
      <c r="B131" s="214" t="s">
        <v>265</v>
      </c>
      <c r="C131" s="215">
        <v>2872943</v>
      </c>
      <c r="D131" s="388" t="s">
        <v>9145</v>
      </c>
      <c r="E131" s="473">
        <v>44927</v>
      </c>
      <c r="F131" s="473">
        <v>45291</v>
      </c>
      <c r="G131" s="474"/>
      <c r="H131" s="474">
        <v>0</v>
      </c>
      <c r="I131" s="474">
        <v>0</v>
      </c>
      <c r="J131" s="474">
        <v>0</v>
      </c>
      <c r="K131" s="474">
        <v>0</v>
      </c>
      <c r="L131" s="474">
        <v>2267.6999999999998</v>
      </c>
      <c r="M131" s="474">
        <v>0</v>
      </c>
      <c r="N131" s="474">
        <v>58.87</v>
      </c>
      <c r="O131" s="474">
        <v>0</v>
      </c>
      <c r="P131" s="480">
        <v>0</v>
      </c>
      <c r="Q131" s="474">
        <v>0</v>
      </c>
    </row>
    <row r="132" spans="1:17">
      <c r="A132" s="209">
        <f t="shared" si="1"/>
        <v>128</v>
      </c>
      <c r="B132" s="214" t="s">
        <v>265</v>
      </c>
      <c r="C132" s="215">
        <v>2872943</v>
      </c>
      <c r="D132" s="387"/>
      <c r="E132" s="299"/>
      <c r="F132" s="299"/>
      <c r="G132" s="350"/>
      <c r="H132" s="350"/>
      <c r="I132" s="350"/>
      <c r="J132" s="350"/>
      <c r="K132" s="350"/>
      <c r="L132" s="350"/>
      <c r="M132" s="350"/>
      <c r="N132" s="350"/>
      <c r="O132" s="350"/>
      <c r="P132" s="353"/>
      <c r="Q132" s="350"/>
    </row>
    <row r="133" spans="1:17" ht="26.25">
      <c r="A133" s="209">
        <f t="shared" si="1"/>
        <v>129</v>
      </c>
      <c r="B133" s="214" t="s">
        <v>266</v>
      </c>
      <c r="C133" s="215">
        <v>6268048</v>
      </c>
      <c r="D133" s="388" t="s">
        <v>9146</v>
      </c>
      <c r="E133" s="473">
        <v>44927</v>
      </c>
      <c r="F133" s="473">
        <v>45291</v>
      </c>
      <c r="G133" s="474" t="s">
        <v>9147</v>
      </c>
      <c r="H133" s="474">
        <v>0</v>
      </c>
      <c r="I133" s="474">
        <v>9.9309999999999992</v>
      </c>
      <c r="J133" s="474">
        <v>0</v>
      </c>
      <c r="K133" s="474">
        <v>263844</v>
      </c>
      <c r="L133" s="474">
        <v>0</v>
      </c>
      <c r="M133" s="474">
        <v>0</v>
      </c>
      <c r="N133" s="474">
        <v>0</v>
      </c>
      <c r="O133" s="474">
        <v>0</v>
      </c>
      <c r="P133" s="480">
        <v>0</v>
      </c>
      <c r="Q133" s="474">
        <v>0</v>
      </c>
    </row>
    <row r="134" spans="1:17" ht="26.25">
      <c r="A134" s="209">
        <f t="shared" si="1"/>
        <v>130</v>
      </c>
      <c r="B134" s="214" t="s">
        <v>266</v>
      </c>
      <c r="C134" s="215">
        <v>6268048</v>
      </c>
      <c r="D134" s="388" t="s">
        <v>9148</v>
      </c>
      <c r="E134" s="473">
        <v>44927</v>
      </c>
      <c r="F134" s="473">
        <v>45291</v>
      </c>
      <c r="G134" s="474" t="s">
        <v>9147</v>
      </c>
      <c r="H134" s="474">
        <v>0</v>
      </c>
      <c r="I134" s="474">
        <v>4.5599999999999996</v>
      </c>
      <c r="J134" s="474">
        <v>0</v>
      </c>
      <c r="K134" s="474">
        <v>226176</v>
      </c>
      <c r="L134" s="474">
        <v>0</v>
      </c>
      <c r="M134" s="474">
        <v>0</v>
      </c>
      <c r="N134" s="474">
        <v>0</v>
      </c>
      <c r="O134" s="474">
        <v>0</v>
      </c>
      <c r="P134" s="480">
        <v>0</v>
      </c>
      <c r="Q134" s="474">
        <v>0</v>
      </c>
    </row>
    <row r="135" spans="1:17" ht="26.25">
      <c r="A135" s="209">
        <f t="shared" ref="A135:A198" si="2">A134+1</f>
        <v>131</v>
      </c>
      <c r="B135" s="214" t="s">
        <v>266</v>
      </c>
      <c r="C135" s="215">
        <v>6268048</v>
      </c>
      <c r="D135" s="388" t="s">
        <v>9149</v>
      </c>
      <c r="E135" s="473">
        <v>44927</v>
      </c>
      <c r="F135" s="473">
        <v>45291</v>
      </c>
      <c r="G135" s="474" t="s">
        <v>9147</v>
      </c>
      <c r="H135" s="474">
        <v>0</v>
      </c>
      <c r="I135" s="474">
        <v>4.09</v>
      </c>
      <c r="J135" s="474">
        <v>0</v>
      </c>
      <c r="K135" s="474">
        <v>683273</v>
      </c>
      <c r="L135" s="474">
        <v>0</v>
      </c>
      <c r="M135" s="474">
        <v>0</v>
      </c>
      <c r="N135" s="474">
        <v>0</v>
      </c>
      <c r="O135" s="474">
        <v>0</v>
      </c>
      <c r="P135" s="480">
        <v>0</v>
      </c>
      <c r="Q135" s="474">
        <v>0</v>
      </c>
    </row>
    <row r="136" spans="1:17">
      <c r="A136" s="209">
        <f t="shared" si="2"/>
        <v>132</v>
      </c>
      <c r="B136" s="214" t="s">
        <v>266</v>
      </c>
      <c r="C136" s="215">
        <v>6268048</v>
      </c>
      <c r="D136" s="388" t="s">
        <v>9122</v>
      </c>
      <c r="E136" s="473">
        <v>44562</v>
      </c>
      <c r="F136" s="473">
        <v>45292</v>
      </c>
      <c r="G136" s="474" t="s">
        <v>9150</v>
      </c>
      <c r="H136" s="474">
        <v>0</v>
      </c>
      <c r="I136" s="474">
        <v>0</v>
      </c>
      <c r="J136" s="474">
        <v>0</v>
      </c>
      <c r="K136" s="474">
        <v>10346000</v>
      </c>
      <c r="L136" s="474">
        <v>0</v>
      </c>
      <c r="M136" s="474">
        <v>3253470</v>
      </c>
      <c r="N136" s="474">
        <v>0</v>
      </c>
      <c r="O136" s="474">
        <v>0</v>
      </c>
      <c r="P136" s="480">
        <v>0</v>
      </c>
      <c r="Q136" s="474">
        <v>0</v>
      </c>
    </row>
    <row r="137" spans="1:17" ht="26.25">
      <c r="A137" s="209">
        <f t="shared" si="2"/>
        <v>133</v>
      </c>
      <c r="B137" s="214" t="s">
        <v>266</v>
      </c>
      <c r="C137" s="215">
        <v>6268048</v>
      </c>
      <c r="D137" s="388" t="s">
        <v>9151</v>
      </c>
      <c r="E137" s="473">
        <v>44927</v>
      </c>
      <c r="F137" s="473">
        <v>45291</v>
      </c>
      <c r="G137" s="474" t="s">
        <v>9147</v>
      </c>
      <c r="H137" s="474">
        <v>0</v>
      </c>
      <c r="I137" s="474">
        <v>1.25</v>
      </c>
      <c r="J137" s="474">
        <v>0</v>
      </c>
      <c r="K137" s="474">
        <v>143409</v>
      </c>
      <c r="L137" s="474">
        <v>0</v>
      </c>
      <c r="M137" s="474">
        <v>0</v>
      </c>
      <c r="N137" s="474">
        <v>0</v>
      </c>
      <c r="O137" s="474">
        <v>0</v>
      </c>
      <c r="P137" s="480">
        <v>0</v>
      </c>
      <c r="Q137" s="474">
        <v>0</v>
      </c>
    </row>
    <row r="138" spans="1:17">
      <c r="A138" s="209">
        <f t="shared" si="2"/>
        <v>134</v>
      </c>
      <c r="B138" s="214" t="s">
        <v>268</v>
      </c>
      <c r="C138" s="215">
        <v>5874963</v>
      </c>
      <c r="D138" s="388" t="s">
        <v>9152</v>
      </c>
      <c r="E138" s="473">
        <v>44829</v>
      </c>
      <c r="F138" s="473">
        <v>45291</v>
      </c>
      <c r="G138" s="474"/>
      <c r="H138" s="474">
        <v>0</v>
      </c>
      <c r="I138" s="474">
        <v>0</v>
      </c>
      <c r="J138" s="474">
        <v>0</v>
      </c>
      <c r="K138" s="474">
        <v>0</v>
      </c>
      <c r="L138" s="474">
        <v>21.882999999999999</v>
      </c>
      <c r="M138" s="474">
        <v>0</v>
      </c>
      <c r="N138" s="474">
        <v>0</v>
      </c>
      <c r="O138" s="474">
        <v>0</v>
      </c>
      <c r="P138" s="480">
        <v>0</v>
      </c>
      <c r="Q138" s="474">
        <v>0</v>
      </c>
    </row>
    <row r="139" spans="1:17">
      <c r="A139" s="209">
        <f t="shared" si="2"/>
        <v>135</v>
      </c>
      <c r="B139" s="214" t="s">
        <v>269</v>
      </c>
      <c r="C139" s="215">
        <v>6636624</v>
      </c>
      <c r="D139" s="387"/>
      <c r="E139" s="299"/>
      <c r="F139" s="299"/>
      <c r="G139" s="350"/>
      <c r="H139" s="350"/>
      <c r="I139" s="350"/>
      <c r="J139" s="350"/>
      <c r="K139" s="350"/>
      <c r="L139" s="350"/>
      <c r="M139" s="350"/>
      <c r="N139" s="350"/>
      <c r="O139" s="350"/>
      <c r="P139" s="353"/>
      <c r="Q139" s="350"/>
    </row>
    <row r="140" spans="1:17">
      <c r="A140" s="209">
        <f t="shared" si="2"/>
        <v>136</v>
      </c>
      <c r="B140" s="214" t="s">
        <v>270</v>
      </c>
      <c r="C140" s="215">
        <v>2839717</v>
      </c>
      <c r="D140" s="388" t="s">
        <v>9153</v>
      </c>
      <c r="E140" s="473">
        <v>44927</v>
      </c>
      <c r="F140" s="473">
        <v>45291</v>
      </c>
      <c r="G140" s="474" t="s">
        <v>9154</v>
      </c>
      <c r="H140" s="474">
        <v>0</v>
      </c>
      <c r="I140" s="474">
        <v>20.2</v>
      </c>
      <c r="J140" s="474">
        <v>0</v>
      </c>
      <c r="K140" s="474">
        <v>12144700000</v>
      </c>
      <c r="L140" s="474">
        <v>0</v>
      </c>
      <c r="M140" s="474">
        <v>187.26</v>
      </c>
      <c r="N140" s="474">
        <v>5</v>
      </c>
      <c r="O140" s="474">
        <v>53.6</v>
      </c>
      <c r="P140" s="480">
        <v>0</v>
      </c>
      <c r="Q140" s="474">
        <v>0</v>
      </c>
    </row>
    <row r="141" spans="1:17">
      <c r="A141" s="209">
        <f t="shared" si="2"/>
        <v>137</v>
      </c>
      <c r="B141" s="214" t="s">
        <v>271</v>
      </c>
      <c r="C141" s="215">
        <v>2344343</v>
      </c>
      <c r="D141" s="387"/>
      <c r="E141" s="299"/>
      <c r="F141" s="299"/>
      <c r="G141" s="350"/>
      <c r="H141" s="350"/>
      <c r="I141" s="350"/>
      <c r="J141" s="350"/>
      <c r="K141" s="350"/>
      <c r="L141" s="350"/>
      <c r="M141" s="350"/>
      <c r="N141" s="350"/>
      <c r="O141" s="350"/>
      <c r="P141" s="353"/>
      <c r="Q141" s="350"/>
    </row>
    <row r="142" spans="1:17">
      <c r="A142" s="209">
        <f t="shared" si="2"/>
        <v>138</v>
      </c>
      <c r="B142" s="214" t="s">
        <v>273</v>
      </c>
      <c r="C142" s="215">
        <v>2819996</v>
      </c>
      <c r="D142" s="387"/>
      <c r="E142" s="299"/>
      <c r="F142" s="299"/>
      <c r="G142" s="350"/>
      <c r="H142" s="350"/>
      <c r="I142" s="350"/>
      <c r="J142" s="350"/>
      <c r="K142" s="350"/>
      <c r="L142" s="350"/>
      <c r="M142" s="350"/>
      <c r="N142" s="350"/>
      <c r="O142" s="350"/>
      <c r="P142" s="353"/>
      <c r="Q142" s="350"/>
    </row>
    <row r="143" spans="1:17">
      <c r="A143" s="209">
        <f t="shared" si="2"/>
        <v>139</v>
      </c>
      <c r="B143" s="214" t="s">
        <v>277</v>
      </c>
      <c r="C143" s="215">
        <v>2868687</v>
      </c>
      <c r="D143" s="388" t="s">
        <v>9155</v>
      </c>
      <c r="E143" s="473">
        <v>44927</v>
      </c>
      <c r="F143" s="473">
        <v>45291</v>
      </c>
      <c r="G143" s="474"/>
      <c r="H143" s="474">
        <v>0</v>
      </c>
      <c r="I143" s="474">
        <v>0</v>
      </c>
      <c r="J143" s="474">
        <v>0</v>
      </c>
      <c r="K143" s="474">
        <v>0</v>
      </c>
      <c r="L143" s="474">
        <v>0</v>
      </c>
      <c r="M143" s="474">
        <v>346</v>
      </c>
      <c r="N143" s="474">
        <v>0</v>
      </c>
      <c r="O143" s="474">
        <v>0</v>
      </c>
      <c r="P143" s="480">
        <v>0</v>
      </c>
      <c r="Q143" s="474">
        <v>0</v>
      </c>
    </row>
    <row r="144" spans="1:17">
      <c r="A144" s="209">
        <f t="shared" si="2"/>
        <v>140</v>
      </c>
      <c r="B144" s="214" t="s">
        <v>279</v>
      </c>
      <c r="C144" s="215">
        <v>5877288</v>
      </c>
      <c r="D144" s="388" t="s">
        <v>9156</v>
      </c>
      <c r="E144" s="473">
        <v>44927</v>
      </c>
      <c r="F144" s="473">
        <v>45291</v>
      </c>
      <c r="G144" s="474"/>
      <c r="H144" s="474">
        <v>0</v>
      </c>
      <c r="I144" s="474">
        <v>0</v>
      </c>
      <c r="J144" s="474">
        <v>0</v>
      </c>
      <c r="K144" s="474">
        <v>0</v>
      </c>
      <c r="L144" s="474">
        <v>6</v>
      </c>
      <c r="M144" s="474">
        <v>0</v>
      </c>
      <c r="N144" s="474">
        <v>0</v>
      </c>
      <c r="O144" s="474">
        <v>0</v>
      </c>
      <c r="P144" s="480">
        <v>0</v>
      </c>
      <c r="Q144" s="474">
        <v>0</v>
      </c>
    </row>
    <row r="145" spans="1:17">
      <c r="A145" s="209">
        <f t="shared" si="2"/>
        <v>141</v>
      </c>
      <c r="B145" s="214" t="s">
        <v>279</v>
      </c>
      <c r="C145" s="215">
        <v>5877288</v>
      </c>
      <c r="D145" s="388" t="s">
        <v>9157</v>
      </c>
      <c r="E145" s="473">
        <v>45139</v>
      </c>
      <c r="F145" s="473">
        <v>45505</v>
      </c>
      <c r="G145" s="474"/>
      <c r="H145" s="474">
        <v>0</v>
      </c>
      <c r="I145" s="474">
        <v>0</v>
      </c>
      <c r="J145" s="474">
        <v>0</v>
      </c>
      <c r="K145" s="474">
        <v>0</v>
      </c>
      <c r="L145" s="474">
        <v>0</v>
      </c>
      <c r="M145" s="474">
        <v>374.59</v>
      </c>
      <c r="N145" s="474">
        <v>0</v>
      </c>
      <c r="O145" s="474">
        <v>0</v>
      </c>
      <c r="P145" s="480">
        <v>0</v>
      </c>
      <c r="Q145" s="474">
        <v>0</v>
      </c>
    </row>
    <row r="146" spans="1:17">
      <c r="A146" s="209">
        <f t="shared" si="2"/>
        <v>142</v>
      </c>
      <c r="B146" s="214" t="s">
        <v>279</v>
      </c>
      <c r="C146" s="215">
        <v>5877288</v>
      </c>
      <c r="D146" s="388" t="s">
        <v>9158</v>
      </c>
      <c r="E146" s="473">
        <v>44927</v>
      </c>
      <c r="F146" s="473">
        <v>45291</v>
      </c>
      <c r="G146" s="474"/>
      <c r="H146" s="474">
        <v>0</v>
      </c>
      <c r="I146" s="474">
        <v>0</v>
      </c>
      <c r="J146" s="474">
        <v>0</v>
      </c>
      <c r="K146" s="474">
        <v>0</v>
      </c>
      <c r="L146" s="474">
        <v>3</v>
      </c>
      <c r="M146" s="474">
        <v>0</v>
      </c>
      <c r="N146" s="474">
        <v>0</v>
      </c>
      <c r="O146" s="474">
        <v>0</v>
      </c>
      <c r="P146" s="480">
        <v>0</v>
      </c>
      <c r="Q146" s="474">
        <v>0</v>
      </c>
    </row>
    <row r="147" spans="1:17">
      <c r="A147" s="209">
        <f t="shared" si="2"/>
        <v>143</v>
      </c>
      <c r="B147" s="214" t="s">
        <v>279</v>
      </c>
      <c r="C147" s="215">
        <v>5877288</v>
      </c>
      <c r="D147" s="388" t="s">
        <v>9145</v>
      </c>
      <c r="E147" s="473">
        <v>44927</v>
      </c>
      <c r="F147" s="473">
        <v>45291</v>
      </c>
      <c r="G147" s="474"/>
      <c r="H147" s="474">
        <v>0</v>
      </c>
      <c r="I147" s="474">
        <v>0</v>
      </c>
      <c r="J147" s="474">
        <v>0</v>
      </c>
      <c r="K147" s="474">
        <v>0</v>
      </c>
      <c r="L147" s="474">
        <v>0</v>
      </c>
      <c r="M147" s="474">
        <v>1033.19</v>
      </c>
      <c r="N147" s="474">
        <v>0</v>
      </c>
      <c r="O147" s="474">
        <v>0</v>
      </c>
      <c r="P147" s="480">
        <v>0</v>
      </c>
      <c r="Q147" s="474">
        <v>0</v>
      </c>
    </row>
    <row r="148" spans="1:17">
      <c r="A148" s="209">
        <f t="shared" si="2"/>
        <v>144</v>
      </c>
      <c r="B148" s="214" t="s">
        <v>279</v>
      </c>
      <c r="C148" s="215">
        <v>5877288</v>
      </c>
      <c r="D148" s="388" t="s">
        <v>9159</v>
      </c>
      <c r="E148" s="473">
        <v>44927</v>
      </c>
      <c r="F148" s="473">
        <v>45291</v>
      </c>
      <c r="G148" s="474"/>
      <c r="H148" s="474">
        <v>0</v>
      </c>
      <c r="I148" s="474">
        <v>0</v>
      </c>
      <c r="J148" s="474">
        <v>0</v>
      </c>
      <c r="K148" s="474">
        <v>0</v>
      </c>
      <c r="L148" s="474">
        <v>0</v>
      </c>
      <c r="M148" s="474">
        <v>7806</v>
      </c>
      <c r="N148" s="474">
        <v>0</v>
      </c>
      <c r="O148" s="474">
        <v>0</v>
      </c>
      <c r="P148" s="480">
        <v>0</v>
      </c>
      <c r="Q148" s="474">
        <v>0</v>
      </c>
    </row>
    <row r="149" spans="1:17">
      <c r="A149" s="209">
        <f t="shared" si="2"/>
        <v>145</v>
      </c>
      <c r="B149" s="214" t="s">
        <v>281</v>
      </c>
      <c r="C149" s="215">
        <v>6195598</v>
      </c>
      <c r="D149" s="387"/>
      <c r="E149" s="299"/>
      <c r="F149" s="299"/>
      <c r="G149" s="350"/>
      <c r="H149" s="350"/>
      <c r="I149" s="350"/>
      <c r="J149" s="350"/>
      <c r="K149" s="350"/>
      <c r="L149" s="350"/>
      <c r="M149" s="350"/>
      <c r="N149" s="350"/>
      <c r="O149" s="350"/>
      <c r="P149" s="353"/>
      <c r="Q149" s="350"/>
    </row>
    <row r="150" spans="1:17">
      <c r="A150" s="209">
        <f t="shared" si="2"/>
        <v>146</v>
      </c>
      <c r="B150" s="214" t="s">
        <v>282</v>
      </c>
      <c r="C150" s="215">
        <v>6413811</v>
      </c>
      <c r="D150" s="388" t="s">
        <v>9160</v>
      </c>
      <c r="E150" s="473">
        <v>44927</v>
      </c>
      <c r="F150" s="473">
        <v>45291</v>
      </c>
      <c r="G150" s="474" t="s">
        <v>9161</v>
      </c>
      <c r="H150" s="474">
        <v>13023</v>
      </c>
      <c r="I150" s="474">
        <v>0</v>
      </c>
      <c r="J150" s="474">
        <v>0</v>
      </c>
      <c r="K150" s="474">
        <v>4483630</v>
      </c>
      <c r="L150" s="474">
        <v>0</v>
      </c>
      <c r="M150" s="474">
        <v>0</v>
      </c>
      <c r="N150" s="474">
        <v>0</v>
      </c>
      <c r="O150" s="474">
        <v>0</v>
      </c>
      <c r="P150" s="480">
        <v>0</v>
      </c>
      <c r="Q150" s="474">
        <v>0</v>
      </c>
    </row>
    <row r="151" spans="1:17">
      <c r="A151" s="209">
        <f t="shared" si="2"/>
        <v>147</v>
      </c>
      <c r="B151" s="214" t="s">
        <v>282</v>
      </c>
      <c r="C151" s="215">
        <v>6413811</v>
      </c>
      <c r="D151" s="388" t="s">
        <v>9162</v>
      </c>
      <c r="E151" s="473">
        <v>44927</v>
      </c>
      <c r="F151" s="473">
        <v>45291</v>
      </c>
      <c r="G151" s="474" t="s">
        <v>9163</v>
      </c>
      <c r="H151" s="474">
        <v>3031.95</v>
      </c>
      <c r="I151" s="474">
        <v>0</v>
      </c>
      <c r="J151" s="474">
        <v>0</v>
      </c>
      <c r="K151" s="474">
        <v>1091500</v>
      </c>
      <c r="L151" s="474">
        <v>0</v>
      </c>
      <c r="M151" s="474">
        <v>0</v>
      </c>
      <c r="N151" s="474">
        <v>0</v>
      </c>
      <c r="O151" s="474">
        <v>0</v>
      </c>
      <c r="P151" s="480">
        <v>0</v>
      </c>
      <c r="Q151" s="474">
        <v>0</v>
      </c>
    </row>
    <row r="152" spans="1:17">
      <c r="A152" s="209">
        <f t="shared" si="2"/>
        <v>148</v>
      </c>
      <c r="B152" s="214" t="s">
        <v>282</v>
      </c>
      <c r="C152" s="215">
        <v>6413811</v>
      </c>
      <c r="D152" s="388" t="s">
        <v>9112</v>
      </c>
      <c r="E152" s="473">
        <v>44934</v>
      </c>
      <c r="F152" s="473">
        <v>45291</v>
      </c>
      <c r="G152" s="474"/>
      <c r="H152" s="474">
        <v>0</v>
      </c>
      <c r="I152" s="474">
        <v>0</v>
      </c>
      <c r="J152" s="474">
        <v>0</v>
      </c>
      <c r="K152" s="474">
        <v>0</v>
      </c>
      <c r="L152" s="474">
        <v>610.47</v>
      </c>
      <c r="M152" s="474">
        <v>0</v>
      </c>
      <c r="N152" s="474">
        <v>0</v>
      </c>
      <c r="O152" s="474">
        <v>0</v>
      </c>
      <c r="P152" s="480">
        <v>0</v>
      </c>
      <c r="Q152" s="474">
        <v>0</v>
      </c>
    </row>
    <row r="153" spans="1:17">
      <c r="A153" s="209">
        <f t="shared" si="2"/>
        <v>149</v>
      </c>
      <c r="B153" s="214" t="s">
        <v>282</v>
      </c>
      <c r="C153" s="215">
        <v>6413811</v>
      </c>
      <c r="D153" s="388" t="s">
        <v>9115</v>
      </c>
      <c r="E153" s="473">
        <v>44927</v>
      </c>
      <c r="F153" s="473">
        <v>45291</v>
      </c>
      <c r="G153" s="474"/>
      <c r="H153" s="474">
        <v>0</v>
      </c>
      <c r="I153" s="474">
        <v>0</v>
      </c>
      <c r="J153" s="474">
        <v>0</v>
      </c>
      <c r="K153" s="474">
        <v>0</v>
      </c>
      <c r="L153" s="474">
        <v>0</v>
      </c>
      <c r="M153" s="474">
        <v>0</v>
      </c>
      <c r="N153" s="474">
        <v>0</v>
      </c>
      <c r="O153" s="474">
        <v>0</v>
      </c>
      <c r="P153" s="480">
        <v>0</v>
      </c>
      <c r="Q153" s="474">
        <v>4019.19</v>
      </c>
    </row>
    <row r="154" spans="1:17">
      <c r="A154" s="209">
        <f t="shared" si="2"/>
        <v>150</v>
      </c>
      <c r="B154" s="214" t="s">
        <v>282</v>
      </c>
      <c r="C154" s="215">
        <v>6413811</v>
      </c>
      <c r="D154" s="388" t="s">
        <v>9091</v>
      </c>
      <c r="E154" s="473">
        <v>44927</v>
      </c>
      <c r="F154" s="473">
        <v>45291</v>
      </c>
      <c r="G154" s="474"/>
      <c r="H154" s="474">
        <v>0</v>
      </c>
      <c r="I154" s="474">
        <v>0</v>
      </c>
      <c r="J154" s="474">
        <v>0</v>
      </c>
      <c r="K154" s="474">
        <v>0</v>
      </c>
      <c r="L154" s="474">
        <v>0</v>
      </c>
      <c r="M154" s="474">
        <v>0</v>
      </c>
      <c r="N154" s="474">
        <v>0</v>
      </c>
      <c r="O154" s="474">
        <v>0</v>
      </c>
      <c r="P154" s="480">
        <v>0</v>
      </c>
      <c r="Q154" s="474">
        <v>2458.81</v>
      </c>
    </row>
    <row r="155" spans="1:17" ht="26.25">
      <c r="A155" s="209">
        <f t="shared" si="2"/>
        <v>151</v>
      </c>
      <c r="B155" s="214" t="s">
        <v>283</v>
      </c>
      <c r="C155" s="215">
        <v>2887134</v>
      </c>
      <c r="D155" s="388" t="s">
        <v>9164</v>
      </c>
      <c r="E155" s="473">
        <v>45078</v>
      </c>
      <c r="F155" s="473">
        <v>46174</v>
      </c>
      <c r="G155" s="474"/>
      <c r="H155" s="474">
        <v>0</v>
      </c>
      <c r="I155" s="474">
        <v>0</v>
      </c>
      <c r="J155" s="474">
        <v>0</v>
      </c>
      <c r="K155" s="474">
        <v>0</v>
      </c>
      <c r="L155" s="474">
        <v>0</v>
      </c>
      <c r="M155" s="474">
        <v>7213</v>
      </c>
      <c r="N155" s="474">
        <v>0</v>
      </c>
      <c r="O155" s="474">
        <v>0</v>
      </c>
      <c r="P155" s="480">
        <v>0</v>
      </c>
      <c r="Q155" s="474">
        <v>0</v>
      </c>
    </row>
    <row r="156" spans="1:17">
      <c r="A156" s="209">
        <f t="shared" si="2"/>
        <v>152</v>
      </c>
      <c r="B156" s="214" t="s">
        <v>283</v>
      </c>
      <c r="C156" s="215">
        <v>2887134</v>
      </c>
      <c r="D156" s="388" t="s">
        <v>9165</v>
      </c>
      <c r="E156" s="473">
        <v>45078</v>
      </c>
      <c r="F156" s="473">
        <v>46174</v>
      </c>
      <c r="G156" s="474"/>
      <c r="H156" s="474">
        <v>0</v>
      </c>
      <c r="I156" s="474">
        <v>0</v>
      </c>
      <c r="J156" s="474">
        <v>0</v>
      </c>
      <c r="K156" s="474">
        <v>0</v>
      </c>
      <c r="L156" s="474">
        <v>0</v>
      </c>
      <c r="M156" s="474">
        <v>2519</v>
      </c>
      <c r="N156" s="474">
        <v>0</v>
      </c>
      <c r="O156" s="474">
        <v>0</v>
      </c>
      <c r="P156" s="480">
        <v>0</v>
      </c>
      <c r="Q156" s="474">
        <v>0</v>
      </c>
    </row>
    <row r="157" spans="1:17">
      <c r="A157" s="209">
        <f t="shared" si="2"/>
        <v>153</v>
      </c>
      <c r="B157" s="214" t="s">
        <v>283</v>
      </c>
      <c r="C157" s="215">
        <v>2887134</v>
      </c>
      <c r="D157" s="388" t="s">
        <v>9093</v>
      </c>
      <c r="E157" s="473">
        <v>44927</v>
      </c>
      <c r="F157" s="473">
        <v>45291</v>
      </c>
      <c r="G157" s="474"/>
      <c r="H157" s="474">
        <v>0</v>
      </c>
      <c r="I157" s="474">
        <v>0</v>
      </c>
      <c r="J157" s="474">
        <v>0</v>
      </c>
      <c r="K157" s="474">
        <v>0</v>
      </c>
      <c r="L157" s="474">
        <v>892</v>
      </c>
      <c r="M157" s="474">
        <v>481</v>
      </c>
      <c r="N157" s="474">
        <v>0</v>
      </c>
      <c r="O157" s="474">
        <v>0</v>
      </c>
      <c r="P157" s="480">
        <v>0</v>
      </c>
      <c r="Q157" s="474">
        <v>0</v>
      </c>
    </row>
    <row r="158" spans="1:17">
      <c r="A158" s="209">
        <f t="shared" si="2"/>
        <v>154</v>
      </c>
      <c r="B158" s="214" t="s">
        <v>283</v>
      </c>
      <c r="C158" s="215">
        <v>2887134</v>
      </c>
      <c r="D158" s="388" t="s">
        <v>9166</v>
      </c>
      <c r="E158" s="473">
        <v>44927</v>
      </c>
      <c r="F158" s="473">
        <v>45291</v>
      </c>
      <c r="G158" s="474"/>
      <c r="H158" s="474">
        <v>0</v>
      </c>
      <c r="I158" s="474">
        <v>0</v>
      </c>
      <c r="J158" s="474">
        <v>0</v>
      </c>
      <c r="K158" s="474">
        <v>0</v>
      </c>
      <c r="L158" s="474">
        <v>141</v>
      </c>
      <c r="M158" s="474">
        <v>3183</v>
      </c>
      <c r="N158" s="474">
        <v>0</v>
      </c>
      <c r="O158" s="474">
        <v>0</v>
      </c>
      <c r="P158" s="480">
        <v>0</v>
      </c>
      <c r="Q158" s="474">
        <v>0</v>
      </c>
    </row>
    <row r="159" spans="1:17" ht="26.25">
      <c r="A159" s="209">
        <f t="shared" si="2"/>
        <v>155</v>
      </c>
      <c r="B159" s="214" t="s">
        <v>283</v>
      </c>
      <c r="C159" s="215">
        <v>2887134</v>
      </c>
      <c r="D159" s="388" t="s">
        <v>9167</v>
      </c>
      <c r="E159" s="473">
        <v>44927</v>
      </c>
      <c r="F159" s="473">
        <v>45291</v>
      </c>
      <c r="G159" s="474"/>
      <c r="H159" s="474">
        <v>0</v>
      </c>
      <c r="I159" s="474">
        <v>0</v>
      </c>
      <c r="J159" s="474">
        <v>0</v>
      </c>
      <c r="K159" s="474">
        <v>0</v>
      </c>
      <c r="L159" s="474">
        <v>0</v>
      </c>
      <c r="M159" s="474">
        <v>45</v>
      </c>
      <c r="N159" s="474">
        <v>0</v>
      </c>
      <c r="O159" s="474">
        <v>0</v>
      </c>
      <c r="P159" s="480">
        <v>0</v>
      </c>
      <c r="Q159" s="474">
        <v>0</v>
      </c>
    </row>
    <row r="160" spans="1:17">
      <c r="A160" s="209">
        <f t="shared" si="2"/>
        <v>156</v>
      </c>
      <c r="B160" s="214" t="s">
        <v>284</v>
      </c>
      <c r="C160" s="215">
        <v>2618176</v>
      </c>
      <c r="D160" s="388" t="s">
        <v>9168</v>
      </c>
      <c r="E160" s="473">
        <v>44929</v>
      </c>
      <c r="F160" s="473">
        <v>45289</v>
      </c>
      <c r="G160" s="474"/>
      <c r="H160" s="474">
        <v>0</v>
      </c>
      <c r="I160" s="474">
        <v>0</v>
      </c>
      <c r="J160" s="474">
        <v>0</v>
      </c>
      <c r="K160" s="474">
        <v>0</v>
      </c>
      <c r="L160" s="474">
        <v>20300</v>
      </c>
      <c r="M160" s="474">
        <v>0</v>
      </c>
      <c r="N160" s="474">
        <v>26721.200000000001</v>
      </c>
      <c r="O160" s="474">
        <v>13660.6</v>
      </c>
      <c r="P160" s="480">
        <v>0</v>
      </c>
      <c r="Q160" s="474">
        <v>0</v>
      </c>
    </row>
    <row r="161" spans="1:17">
      <c r="A161" s="209">
        <f t="shared" si="2"/>
        <v>157</v>
      </c>
      <c r="B161" s="214" t="s">
        <v>285</v>
      </c>
      <c r="C161" s="215">
        <v>5364884</v>
      </c>
      <c r="D161" s="387"/>
      <c r="E161" s="299"/>
      <c r="F161" s="299"/>
      <c r="G161" s="350"/>
      <c r="H161" s="350"/>
      <c r="I161" s="350"/>
      <c r="J161" s="350"/>
      <c r="K161" s="350"/>
      <c r="L161" s="350"/>
      <c r="M161" s="350"/>
      <c r="N161" s="350"/>
      <c r="O161" s="350"/>
      <c r="P161" s="353"/>
      <c r="Q161" s="350"/>
    </row>
    <row r="162" spans="1:17" ht="26.25">
      <c r="A162" s="209">
        <f t="shared" si="2"/>
        <v>158</v>
      </c>
      <c r="B162" s="214" t="s">
        <v>286</v>
      </c>
      <c r="C162" s="215">
        <v>2100231</v>
      </c>
      <c r="D162" s="388" t="s">
        <v>9169</v>
      </c>
      <c r="E162" s="473">
        <v>45017</v>
      </c>
      <c r="F162" s="473">
        <v>45200</v>
      </c>
      <c r="G162" s="474"/>
      <c r="H162" s="474">
        <v>0</v>
      </c>
      <c r="I162" s="474">
        <v>0</v>
      </c>
      <c r="J162" s="474">
        <v>0</v>
      </c>
      <c r="K162" s="474">
        <v>0</v>
      </c>
      <c r="L162" s="474">
        <v>0</v>
      </c>
      <c r="M162" s="474">
        <v>2676.2</v>
      </c>
      <c r="N162" s="474">
        <v>0</v>
      </c>
      <c r="O162" s="474">
        <v>0</v>
      </c>
      <c r="P162" s="480">
        <v>0</v>
      </c>
      <c r="Q162" s="474">
        <v>2676.2</v>
      </c>
    </row>
    <row r="163" spans="1:17" ht="26.25">
      <c r="A163" s="209">
        <f t="shared" si="2"/>
        <v>159</v>
      </c>
      <c r="B163" s="214" t="s">
        <v>286</v>
      </c>
      <c r="C163" s="215">
        <v>2100231</v>
      </c>
      <c r="D163" s="388" t="s">
        <v>9170</v>
      </c>
      <c r="E163" s="473">
        <v>45139</v>
      </c>
      <c r="F163" s="473">
        <v>45291</v>
      </c>
      <c r="G163" s="474"/>
      <c r="H163" s="474">
        <v>0</v>
      </c>
      <c r="I163" s="474">
        <v>0</v>
      </c>
      <c r="J163" s="474">
        <v>0</v>
      </c>
      <c r="K163" s="474">
        <v>0</v>
      </c>
      <c r="L163" s="474">
        <v>0</v>
      </c>
      <c r="M163" s="474">
        <v>1980.1</v>
      </c>
      <c r="N163" s="474">
        <v>0</v>
      </c>
      <c r="O163" s="474">
        <v>0</v>
      </c>
      <c r="P163" s="480">
        <v>0</v>
      </c>
      <c r="Q163" s="474">
        <v>1980.1</v>
      </c>
    </row>
    <row r="164" spans="1:17">
      <c r="A164" s="209">
        <f t="shared" si="2"/>
        <v>160</v>
      </c>
      <c r="B164" s="214" t="s">
        <v>287</v>
      </c>
      <c r="C164" s="215">
        <v>2661128</v>
      </c>
      <c r="D164" s="387"/>
      <c r="E164" s="299"/>
      <c r="F164" s="299"/>
      <c r="G164" s="350"/>
      <c r="H164" s="350"/>
      <c r="I164" s="350"/>
      <c r="J164" s="350"/>
      <c r="K164" s="350"/>
      <c r="L164" s="350"/>
      <c r="M164" s="350"/>
      <c r="N164" s="350"/>
      <c r="O164" s="350"/>
      <c r="P164" s="353"/>
      <c r="Q164" s="350"/>
    </row>
    <row r="165" spans="1:17">
      <c r="A165" s="209">
        <f t="shared" si="2"/>
        <v>161</v>
      </c>
      <c r="B165" s="214" t="s">
        <v>290</v>
      </c>
      <c r="C165" s="215">
        <v>5878756</v>
      </c>
      <c r="D165" s="387"/>
      <c r="E165" s="299"/>
      <c r="F165" s="299"/>
      <c r="G165" s="350"/>
      <c r="H165" s="350"/>
      <c r="I165" s="350"/>
      <c r="J165" s="350"/>
      <c r="K165" s="350"/>
      <c r="L165" s="350"/>
      <c r="M165" s="350"/>
      <c r="N165" s="350"/>
      <c r="O165" s="350"/>
      <c r="P165" s="353"/>
      <c r="Q165" s="350"/>
    </row>
    <row r="166" spans="1:17">
      <c r="A166" s="209">
        <f t="shared" si="2"/>
        <v>162</v>
      </c>
      <c r="B166" s="214" t="s">
        <v>292</v>
      </c>
      <c r="C166" s="215">
        <v>2166631</v>
      </c>
      <c r="D166" s="388" t="s">
        <v>9171</v>
      </c>
      <c r="E166" s="473">
        <v>44927</v>
      </c>
      <c r="F166" s="473">
        <v>45291</v>
      </c>
      <c r="G166" s="474"/>
      <c r="H166" s="474">
        <v>0</v>
      </c>
      <c r="I166" s="474">
        <v>0</v>
      </c>
      <c r="J166" s="474">
        <v>0</v>
      </c>
      <c r="K166" s="474">
        <v>0</v>
      </c>
      <c r="L166" s="474">
        <v>0</v>
      </c>
      <c r="M166" s="474">
        <v>74720</v>
      </c>
      <c r="N166" s="474">
        <v>0</v>
      </c>
      <c r="O166" s="474">
        <v>0</v>
      </c>
      <c r="P166" s="480">
        <v>0</v>
      </c>
      <c r="Q166" s="474">
        <v>0</v>
      </c>
    </row>
    <row r="167" spans="1:17">
      <c r="A167" s="209">
        <f t="shared" si="2"/>
        <v>163</v>
      </c>
      <c r="B167" s="214" t="s">
        <v>292</v>
      </c>
      <c r="C167" s="215">
        <v>2166631</v>
      </c>
      <c r="D167" s="388" t="s">
        <v>9172</v>
      </c>
      <c r="E167" s="473">
        <v>44927</v>
      </c>
      <c r="F167" s="473">
        <v>45291</v>
      </c>
      <c r="G167" s="474"/>
      <c r="H167" s="474">
        <v>0</v>
      </c>
      <c r="I167" s="474">
        <v>0</v>
      </c>
      <c r="J167" s="474">
        <v>0</v>
      </c>
      <c r="K167" s="474">
        <v>0</v>
      </c>
      <c r="L167" s="474">
        <v>13788.2</v>
      </c>
      <c r="M167" s="474">
        <v>0</v>
      </c>
      <c r="N167" s="474">
        <v>0</v>
      </c>
      <c r="O167" s="474">
        <v>0</v>
      </c>
      <c r="P167" s="480">
        <v>0</v>
      </c>
      <c r="Q167" s="474">
        <v>0</v>
      </c>
    </row>
    <row r="168" spans="1:17" ht="26.25">
      <c r="A168" s="209">
        <f t="shared" si="2"/>
        <v>164</v>
      </c>
      <c r="B168" s="214" t="s">
        <v>296</v>
      </c>
      <c r="C168" s="215">
        <v>5671833</v>
      </c>
      <c r="D168" s="388" t="s">
        <v>9173</v>
      </c>
      <c r="E168" s="473">
        <v>44927</v>
      </c>
      <c r="F168" s="473">
        <v>45291</v>
      </c>
      <c r="G168" s="474"/>
      <c r="H168" s="474">
        <v>0</v>
      </c>
      <c r="I168" s="474">
        <v>0</v>
      </c>
      <c r="J168" s="474">
        <v>0</v>
      </c>
      <c r="K168" s="474">
        <v>0</v>
      </c>
      <c r="L168" s="474">
        <v>0</v>
      </c>
      <c r="M168" s="474">
        <v>6253840</v>
      </c>
      <c r="N168" s="474">
        <v>0</v>
      </c>
      <c r="O168" s="474">
        <v>0</v>
      </c>
      <c r="P168" s="480">
        <v>0</v>
      </c>
      <c r="Q168" s="474">
        <v>0</v>
      </c>
    </row>
    <row r="169" spans="1:17">
      <c r="A169" s="209">
        <f t="shared" si="2"/>
        <v>165</v>
      </c>
      <c r="B169" s="214" t="s">
        <v>297</v>
      </c>
      <c r="C169" s="215">
        <v>5104424</v>
      </c>
      <c r="D169" s="387"/>
      <c r="E169" s="299"/>
      <c r="F169" s="299"/>
      <c r="G169" s="350"/>
      <c r="H169" s="350"/>
      <c r="I169" s="350"/>
      <c r="J169" s="350"/>
      <c r="K169" s="350"/>
      <c r="L169" s="350"/>
      <c r="M169" s="350"/>
      <c r="N169" s="350"/>
      <c r="O169" s="350"/>
      <c r="P169" s="353"/>
      <c r="Q169" s="350"/>
    </row>
    <row r="170" spans="1:17">
      <c r="A170" s="209">
        <f t="shared" si="2"/>
        <v>166</v>
      </c>
      <c r="B170" s="214" t="s">
        <v>298</v>
      </c>
      <c r="C170" s="215">
        <v>2668505</v>
      </c>
      <c r="D170" s="388" t="s">
        <v>9174</v>
      </c>
      <c r="E170" s="473">
        <v>44928</v>
      </c>
      <c r="F170" s="473">
        <v>45291</v>
      </c>
      <c r="G170" s="474"/>
      <c r="H170" s="474">
        <v>0</v>
      </c>
      <c r="I170" s="474">
        <v>0</v>
      </c>
      <c r="J170" s="474">
        <v>0</v>
      </c>
      <c r="K170" s="474">
        <v>1604820</v>
      </c>
      <c r="L170" s="474">
        <v>524</v>
      </c>
      <c r="M170" s="474">
        <v>0</v>
      </c>
      <c r="N170" s="474">
        <v>0</v>
      </c>
      <c r="O170" s="474">
        <v>0</v>
      </c>
      <c r="P170" s="480">
        <v>0</v>
      </c>
      <c r="Q170" s="474">
        <v>0</v>
      </c>
    </row>
    <row r="171" spans="1:17">
      <c r="A171" s="209">
        <f t="shared" si="2"/>
        <v>167</v>
      </c>
      <c r="B171" s="214" t="s">
        <v>299</v>
      </c>
      <c r="C171" s="215">
        <v>2697947</v>
      </c>
      <c r="D171" s="387"/>
      <c r="E171" s="299"/>
      <c r="F171" s="299"/>
      <c r="G171" s="350"/>
      <c r="H171" s="350"/>
      <c r="I171" s="350"/>
      <c r="J171" s="350"/>
      <c r="K171" s="350"/>
      <c r="L171" s="350"/>
      <c r="M171" s="350"/>
      <c r="N171" s="350"/>
      <c r="O171" s="350"/>
      <c r="P171" s="353"/>
      <c r="Q171" s="350"/>
    </row>
    <row r="172" spans="1:17">
      <c r="A172" s="209">
        <f t="shared" si="2"/>
        <v>168</v>
      </c>
      <c r="B172" s="214" t="s">
        <v>300</v>
      </c>
      <c r="C172" s="215">
        <v>5352827</v>
      </c>
      <c r="D172" s="387"/>
      <c r="E172" s="299"/>
      <c r="F172" s="299"/>
      <c r="G172" s="350"/>
      <c r="H172" s="350"/>
      <c r="I172" s="350"/>
      <c r="J172" s="350"/>
      <c r="K172" s="350"/>
      <c r="L172" s="350"/>
      <c r="M172" s="350"/>
      <c r="N172" s="350"/>
      <c r="O172" s="350"/>
      <c r="P172" s="353"/>
      <c r="Q172" s="350"/>
    </row>
    <row r="173" spans="1:17">
      <c r="A173" s="209">
        <f t="shared" si="2"/>
        <v>169</v>
      </c>
      <c r="B173" s="214" t="s">
        <v>301</v>
      </c>
      <c r="C173" s="215">
        <v>2548747</v>
      </c>
      <c r="D173" s="388" t="s">
        <v>9093</v>
      </c>
      <c r="E173" s="477" t="s">
        <v>8377</v>
      </c>
      <c r="F173" s="477" t="s">
        <v>8377</v>
      </c>
      <c r="G173" s="474"/>
      <c r="H173" s="474">
        <v>0</v>
      </c>
      <c r="I173" s="474">
        <v>0</v>
      </c>
      <c r="J173" s="474">
        <v>0</v>
      </c>
      <c r="K173" s="474">
        <v>0</v>
      </c>
      <c r="L173" s="474">
        <v>0</v>
      </c>
      <c r="M173" s="474">
        <v>265.12</v>
      </c>
      <c r="N173" s="474">
        <v>0</v>
      </c>
      <c r="O173" s="474">
        <v>66.040000000000006</v>
      </c>
      <c r="P173" s="480">
        <v>0</v>
      </c>
      <c r="Q173" s="474">
        <v>0</v>
      </c>
    </row>
    <row r="174" spans="1:17">
      <c r="A174" s="209">
        <f t="shared" si="2"/>
        <v>170</v>
      </c>
      <c r="B174" s="214" t="s">
        <v>303</v>
      </c>
      <c r="C174" s="215">
        <v>2641984</v>
      </c>
      <c r="D174" s="387"/>
      <c r="E174" s="299"/>
      <c r="F174" s="299"/>
      <c r="G174" s="350"/>
      <c r="H174" s="350"/>
      <c r="I174" s="350"/>
      <c r="J174" s="350"/>
      <c r="K174" s="350"/>
      <c r="L174" s="350"/>
      <c r="M174" s="350"/>
      <c r="N174" s="350"/>
      <c r="O174" s="350"/>
      <c r="P174" s="353"/>
      <c r="Q174" s="350"/>
    </row>
    <row r="175" spans="1:17">
      <c r="A175" s="209">
        <f t="shared" si="2"/>
        <v>171</v>
      </c>
      <c r="B175" s="214" t="s">
        <v>306</v>
      </c>
      <c r="C175" s="215">
        <v>6342485</v>
      </c>
      <c r="D175" s="387"/>
      <c r="E175" s="299"/>
      <c r="F175" s="299"/>
      <c r="G175" s="350"/>
      <c r="H175" s="350"/>
      <c r="I175" s="350"/>
      <c r="J175" s="350"/>
      <c r="K175" s="350"/>
      <c r="L175" s="350"/>
      <c r="M175" s="350"/>
      <c r="N175" s="350"/>
      <c r="O175" s="350"/>
      <c r="P175" s="353"/>
      <c r="Q175" s="350"/>
    </row>
    <row r="176" spans="1:17">
      <c r="A176" s="209">
        <f t="shared" si="2"/>
        <v>172</v>
      </c>
      <c r="B176" s="214" t="s">
        <v>307</v>
      </c>
      <c r="C176" s="215">
        <v>5166667</v>
      </c>
      <c r="D176" s="387"/>
      <c r="E176" s="299"/>
      <c r="F176" s="299"/>
      <c r="G176" s="350"/>
      <c r="H176" s="350"/>
      <c r="I176" s="350"/>
      <c r="J176" s="350"/>
      <c r="K176" s="350"/>
      <c r="L176" s="350"/>
      <c r="M176" s="350"/>
      <c r="N176" s="350"/>
      <c r="O176" s="350"/>
      <c r="P176" s="353"/>
      <c r="Q176" s="350"/>
    </row>
    <row r="177" spans="1:17">
      <c r="A177" s="209">
        <f t="shared" si="2"/>
        <v>173</v>
      </c>
      <c r="B177" s="214" t="s">
        <v>308</v>
      </c>
      <c r="C177" s="215">
        <v>5482046</v>
      </c>
      <c r="D177" s="387"/>
      <c r="E177" s="299"/>
      <c r="F177" s="299"/>
      <c r="G177" s="350"/>
      <c r="H177" s="350"/>
      <c r="I177" s="350"/>
      <c r="J177" s="350"/>
      <c r="K177" s="350"/>
      <c r="L177" s="350"/>
      <c r="M177" s="350"/>
      <c r="N177" s="350"/>
      <c r="O177" s="350"/>
      <c r="P177" s="353"/>
      <c r="Q177" s="350"/>
    </row>
    <row r="178" spans="1:17">
      <c r="A178" s="209">
        <f t="shared" si="2"/>
        <v>174</v>
      </c>
      <c r="B178" s="214" t="s">
        <v>309</v>
      </c>
      <c r="C178" s="215">
        <v>2050374</v>
      </c>
      <c r="D178" s="388" t="s">
        <v>9175</v>
      </c>
      <c r="E178" s="477" t="s">
        <v>8377</v>
      </c>
      <c r="F178" s="477" t="s">
        <v>8377</v>
      </c>
      <c r="G178" s="474"/>
      <c r="H178" s="474">
        <v>0</v>
      </c>
      <c r="I178" s="474">
        <v>0</v>
      </c>
      <c r="J178" s="474">
        <v>0</v>
      </c>
      <c r="K178" s="474">
        <v>0</v>
      </c>
      <c r="L178" s="474">
        <v>4548.8999999999996</v>
      </c>
      <c r="M178" s="474">
        <v>0</v>
      </c>
      <c r="N178" s="474">
        <v>0</v>
      </c>
      <c r="O178" s="474">
        <v>0</v>
      </c>
      <c r="P178" s="480">
        <v>0</v>
      </c>
      <c r="Q178" s="474">
        <v>0</v>
      </c>
    </row>
    <row r="179" spans="1:17" ht="26.25">
      <c r="A179" s="209">
        <f t="shared" si="2"/>
        <v>175</v>
      </c>
      <c r="B179" s="214" t="s">
        <v>309</v>
      </c>
      <c r="C179" s="215">
        <v>2050374</v>
      </c>
      <c r="D179" s="388" t="s">
        <v>9176</v>
      </c>
      <c r="E179" s="477" t="s">
        <v>8377</v>
      </c>
      <c r="F179" s="477" t="s">
        <v>8377</v>
      </c>
      <c r="G179" s="474"/>
      <c r="H179" s="474">
        <v>0</v>
      </c>
      <c r="I179" s="474">
        <v>0</v>
      </c>
      <c r="J179" s="474">
        <v>0</v>
      </c>
      <c r="K179" s="474">
        <v>0</v>
      </c>
      <c r="L179" s="474">
        <v>0</v>
      </c>
      <c r="M179" s="474">
        <v>3827.7</v>
      </c>
      <c r="N179" s="474">
        <v>0</v>
      </c>
      <c r="O179" s="474">
        <v>0</v>
      </c>
      <c r="P179" s="480">
        <v>0</v>
      </c>
      <c r="Q179" s="474">
        <v>0</v>
      </c>
    </row>
    <row r="180" spans="1:17">
      <c r="A180" s="209">
        <f t="shared" si="2"/>
        <v>176</v>
      </c>
      <c r="B180" s="214" t="s">
        <v>309</v>
      </c>
      <c r="C180" s="215">
        <v>2050374</v>
      </c>
      <c r="D180" s="388" t="s">
        <v>9166</v>
      </c>
      <c r="E180" s="477" t="s">
        <v>8377</v>
      </c>
      <c r="F180" s="477" t="s">
        <v>8377</v>
      </c>
      <c r="G180" s="474"/>
      <c r="H180" s="474">
        <v>0</v>
      </c>
      <c r="I180" s="474">
        <v>0</v>
      </c>
      <c r="J180" s="474">
        <v>0</v>
      </c>
      <c r="K180" s="474">
        <v>0</v>
      </c>
      <c r="L180" s="474">
        <v>1.1000000000000001</v>
      </c>
      <c r="M180" s="474">
        <v>0</v>
      </c>
      <c r="N180" s="474">
        <v>27.6</v>
      </c>
      <c r="O180" s="474">
        <v>0</v>
      </c>
      <c r="P180" s="480">
        <v>0</v>
      </c>
      <c r="Q180" s="474">
        <v>0</v>
      </c>
    </row>
    <row r="181" spans="1:17">
      <c r="A181" s="209">
        <f t="shared" si="2"/>
        <v>177</v>
      </c>
      <c r="B181" s="214" t="s">
        <v>311</v>
      </c>
      <c r="C181" s="215">
        <v>2004879</v>
      </c>
      <c r="D181" s="387"/>
      <c r="E181" s="299"/>
      <c r="F181" s="299"/>
      <c r="G181" s="350"/>
      <c r="H181" s="350"/>
      <c r="I181" s="350"/>
      <c r="J181" s="350"/>
      <c r="K181" s="350"/>
      <c r="L181" s="350"/>
      <c r="M181" s="350"/>
      <c r="N181" s="350"/>
      <c r="O181" s="350"/>
      <c r="P181" s="353"/>
      <c r="Q181" s="350"/>
    </row>
    <row r="182" spans="1:17">
      <c r="A182" s="209">
        <f t="shared" si="2"/>
        <v>178</v>
      </c>
      <c r="B182" s="214" t="s">
        <v>314</v>
      </c>
      <c r="C182" s="215">
        <v>2830213</v>
      </c>
      <c r="D182" s="387"/>
      <c r="E182" s="299"/>
      <c r="F182" s="299"/>
      <c r="G182" s="350"/>
      <c r="H182" s="350"/>
      <c r="I182" s="350"/>
      <c r="J182" s="350"/>
      <c r="K182" s="350"/>
      <c r="L182" s="350"/>
      <c r="M182" s="350"/>
      <c r="N182" s="350"/>
      <c r="O182" s="350"/>
      <c r="P182" s="353"/>
      <c r="Q182" s="350"/>
    </row>
    <row r="183" spans="1:17">
      <c r="A183" s="209">
        <f t="shared" si="2"/>
        <v>179</v>
      </c>
      <c r="B183" s="214" t="s">
        <v>315</v>
      </c>
      <c r="C183" s="215">
        <v>5320607</v>
      </c>
      <c r="D183" s="387"/>
      <c r="E183" s="299"/>
      <c r="F183" s="299"/>
      <c r="G183" s="350"/>
      <c r="H183" s="350"/>
      <c r="I183" s="350"/>
      <c r="J183" s="350"/>
      <c r="K183" s="350"/>
      <c r="L183" s="350"/>
      <c r="M183" s="350"/>
      <c r="N183" s="350"/>
      <c r="O183" s="350"/>
      <c r="P183" s="353"/>
      <c r="Q183" s="350"/>
    </row>
    <row r="184" spans="1:17">
      <c r="A184" s="209">
        <f t="shared" si="2"/>
        <v>180</v>
      </c>
      <c r="B184" s="214" t="s">
        <v>316</v>
      </c>
      <c r="C184" s="215">
        <v>5586119</v>
      </c>
      <c r="D184" s="387"/>
      <c r="E184" s="299"/>
      <c r="F184" s="299"/>
      <c r="G184" s="350"/>
      <c r="H184" s="350"/>
      <c r="I184" s="350"/>
      <c r="J184" s="350"/>
      <c r="K184" s="350"/>
      <c r="L184" s="350"/>
      <c r="M184" s="350"/>
      <c r="N184" s="350"/>
      <c r="O184" s="350"/>
      <c r="P184" s="353"/>
      <c r="Q184" s="350"/>
    </row>
    <row r="185" spans="1:17">
      <c r="A185" s="209">
        <f t="shared" si="2"/>
        <v>181</v>
      </c>
      <c r="B185" s="214" t="s">
        <v>317</v>
      </c>
      <c r="C185" s="215">
        <v>5015243</v>
      </c>
      <c r="D185" s="387"/>
      <c r="E185" s="299"/>
      <c r="F185" s="299"/>
      <c r="G185" s="350"/>
      <c r="H185" s="350"/>
      <c r="I185" s="350"/>
      <c r="J185" s="350"/>
      <c r="K185" s="350"/>
      <c r="L185" s="350"/>
      <c r="M185" s="350"/>
      <c r="N185" s="350"/>
      <c r="O185" s="350"/>
      <c r="P185" s="353"/>
      <c r="Q185" s="350"/>
    </row>
    <row r="186" spans="1:17">
      <c r="A186" s="209">
        <f t="shared" si="2"/>
        <v>182</v>
      </c>
      <c r="B186" s="214" t="s">
        <v>318</v>
      </c>
      <c r="C186" s="215">
        <v>5452503</v>
      </c>
      <c r="D186" s="387"/>
      <c r="E186" s="299"/>
      <c r="F186" s="299"/>
      <c r="G186" s="350"/>
      <c r="H186" s="350"/>
      <c r="I186" s="350"/>
      <c r="J186" s="350"/>
      <c r="K186" s="350"/>
      <c r="L186" s="350"/>
      <c r="M186" s="350"/>
      <c r="N186" s="350"/>
      <c r="O186" s="350"/>
      <c r="P186" s="353"/>
      <c r="Q186" s="350"/>
    </row>
    <row r="187" spans="1:17">
      <c r="A187" s="209">
        <f t="shared" si="2"/>
        <v>183</v>
      </c>
      <c r="B187" s="214" t="s">
        <v>319</v>
      </c>
      <c r="C187" s="215">
        <v>2887746</v>
      </c>
      <c r="D187" s="388" t="s">
        <v>9108</v>
      </c>
      <c r="E187" s="473">
        <v>44927</v>
      </c>
      <c r="F187" s="473">
        <v>45291</v>
      </c>
      <c r="G187" s="474"/>
      <c r="H187" s="474">
        <v>0</v>
      </c>
      <c r="I187" s="474">
        <v>0</v>
      </c>
      <c r="J187" s="474">
        <v>0</v>
      </c>
      <c r="K187" s="474">
        <v>0</v>
      </c>
      <c r="L187" s="474">
        <v>14080</v>
      </c>
      <c r="M187" s="474">
        <v>13694</v>
      </c>
      <c r="N187" s="474">
        <v>0</v>
      </c>
      <c r="O187" s="474">
        <v>0</v>
      </c>
      <c r="P187" s="480">
        <v>0</v>
      </c>
      <c r="Q187" s="474">
        <v>0</v>
      </c>
    </row>
    <row r="188" spans="1:17">
      <c r="A188" s="209">
        <f t="shared" si="2"/>
        <v>184</v>
      </c>
      <c r="B188" s="214" t="s">
        <v>319</v>
      </c>
      <c r="C188" s="215">
        <v>2887746</v>
      </c>
      <c r="D188" s="388" t="s">
        <v>9177</v>
      </c>
      <c r="E188" s="473">
        <v>44927</v>
      </c>
      <c r="F188" s="473">
        <v>45291</v>
      </c>
      <c r="G188" s="474"/>
      <c r="H188" s="474">
        <v>0</v>
      </c>
      <c r="I188" s="474">
        <v>0</v>
      </c>
      <c r="J188" s="474">
        <v>0</v>
      </c>
      <c r="K188" s="474">
        <v>0</v>
      </c>
      <c r="L188" s="474">
        <v>717</v>
      </c>
      <c r="M188" s="474">
        <v>6502</v>
      </c>
      <c r="N188" s="474">
        <v>0</v>
      </c>
      <c r="O188" s="474">
        <v>0</v>
      </c>
      <c r="P188" s="480">
        <v>0</v>
      </c>
      <c r="Q188" s="474">
        <v>0</v>
      </c>
    </row>
    <row r="189" spans="1:17" ht="26.25">
      <c r="A189" s="209">
        <f t="shared" si="2"/>
        <v>185</v>
      </c>
      <c r="B189" s="214" t="s">
        <v>319</v>
      </c>
      <c r="C189" s="215">
        <v>2887746</v>
      </c>
      <c r="D189" s="388" t="s">
        <v>9167</v>
      </c>
      <c r="E189" s="473">
        <v>44927</v>
      </c>
      <c r="F189" s="473">
        <v>45291</v>
      </c>
      <c r="G189" s="474"/>
      <c r="H189" s="474">
        <v>0</v>
      </c>
      <c r="I189" s="474">
        <v>0</v>
      </c>
      <c r="J189" s="474">
        <v>0</v>
      </c>
      <c r="K189" s="474">
        <v>0</v>
      </c>
      <c r="L189" s="474">
        <v>0</v>
      </c>
      <c r="M189" s="474">
        <v>635</v>
      </c>
      <c r="N189" s="474">
        <v>0</v>
      </c>
      <c r="O189" s="474">
        <v>0</v>
      </c>
      <c r="P189" s="480">
        <v>0</v>
      </c>
      <c r="Q189" s="474">
        <v>0</v>
      </c>
    </row>
    <row r="190" spans="1:17" ht="26.25">
      <c r="A190" s="209">
        <f t="shared" si="2"/>
        <v>186</v>
      </c>
      <c r="B190" s="214" t="s">
        <v>319</v>
      </c>
      <c r="C190" s="215">
        <v>2887746</v>
      </c>
      <c r="D190" s="388" t="s">
        <v>9178</v>
      </c>
      <c r="E190" s="473">
        <v>44927</v>
      </c>
      <c r="F190" s="473">
        <v>45291</v>
      </c>
      <c r="G190" s="474"/>
      <c r="H190" s="474">
        <v>0</v>
      </c>
      <c r="I190" s="474">
        <v>0</v>
      </c>
      <c r="J190" s="474">
        <v>0</v>
      </c>
      <c r="K190" s="474">
        <v>0</v>
      </c>
      <c r="L190" s="474">
        <v>0</v>
      </c>
      <c r="M190" s="474">
        <v>194</v>
      </c>
      <c r="N190" s="474">
        <v>0</v>
      </c>
      <c r="O190" s="474">
        <v>0</v>
      </c>
      <c r="P190" s="480">
        <v>0</v>
      </c>
      <c r="Q190" s="474">
        <v>0</v>
      </c>
    </row>
    <row r="191" spans="1:17">
      <c r="A191" s="209">
        <f t="shared" si="2"/>
        <v>187</v>
      </c>
      <c r="B191" s="214" t="s">
        <v>319</v>
      </c>
      <c r="C191" s="215">
        <v>2887746</v>
      </c>
      <c r="D191" s="388" t="s">
        <v>9166</v>
      </c>
      <c r="E191" s="473">
        <v>44927</v>
      </c>
      <c r="F191" s="473">
        <v>45291</v>
      </c>
      <c r="G191" s="474"/>
      <c r="H191" s="474">
        <v>0</v>
      </c>
      <c r="I191" s="474">
        <v>0</v>
      </c>
      <c r="J191" s="474">
        <v>0</v>
      </c>
      <c r="K191" s="474">
        <v>0</v>
      </c>
      <c r="L191" s="474">
        <v>516</v>
      </c>
      <c r="M191" s="474">
        <v>43788</v>
      </c>
      <c r="N191" s="474">
        <v>0</v>
      </c>
      <c r="O191" s="474">
        <v>0</v>
      </c>
      <c r="P191" s="480">
        <v>0</v>
      </c>
      <c r="Q191" s="474">
        <v>0</v>
      </c>
    </row>
    <row r="192" spans="1:17">
      <c r="A192" s="209">
        <f t="shared" si="2"/>
        <v>188</v>
      </c>
      <c r="B192" s="214" t="s">
        <v>320</v>
      </c>
      <c r="C192" s="215">
        <v>5618339</v>
      </c>
      <c r="D192" s="387"/>
      <c r="E192" s="299"/>
      <c r="F192" s="299"/>
      <c r="G192" s="350"/>
      <c r="H192" s="350"/>
      <c r="I192" s="350"/>
      <c r="J192" s="350"/>
      <c r="K192" s="350"/>
      <c r="L192" s="350"/>
      <c r="M192" s="350"/>
      <c r="N192" s="350"/>
      <c r="O192" s="350"/>
      <c r="P192" s="353"/>
      <c r="Q192" s="350"/>
    </row>
    <row r="193" spans="1:17">
      <c r="A193" s="209">
        <f t="shared" si="2"/>
        <v>189</v>
      </c>
      <c r="B193" s="214" t="s">
        <v>321</v>
      </c>
      <c r="C193" s="215">
        <v>2718243</v>
      </c>
      <c r="D193" s="388" t="s">
        <v>9094</v>
      </c>
      <c r="E193" s="473">
        <v>44927</v>
      </c>
      <c r="F193" s="473">
        <v>45291</v>
      </c>
      <c r="G193" s="474"/>
      <c r="H193" s="474">
        <v>0</v>
      </c>
      <c r="I193" s="474">
        <v>0</v>
      </c>
      <c r="J193" s="474">
        <v>0</v>
      </c>
      <c r="K193" s="474">
        <v>0</v>
      </c>
      <c r="L193" s="474">
        <v>4</v>
      </c>
      <c r="M193" s="474">
        <v>128.9</v>
      </c>
      <c r="N193" s="474">
        <v>21</v>
      </c>
      <c r="O193" s="474">
        <v>26.1</v>
      </c>
      <c r="P193" s="480">
        <v>0</v>
      </c>
      <c r="Q193" s="474">
        <v>0.3</v>
      </c>
    </row>
    <row r="194" spans="1:17">
      <c r="A194" s="209">
        <f t="shared" si="2"/>
        <v>190</v>
      </c>
      <c r="B194" s="214" t="s">
        <v>322</v>
      </c>
      <c r="C194" s="215">
        <v>6896197</v>
      </c>
      <c r="D194" s="387"/>
      <c r="E194" s="299"/>
      <c r="F194" s="299"/>
      <c r="G194" s="350"/>
      <c r="H194" s="350"/>
      <c r="I194" s="350"/>
      <c r="J194" s="350"/>
      <c r="K194" s="350"/>
      <c r="L194" s="350"/>
      <c r="M194" s="350"/>
      <c r="N194" s="350"/>
      <c r="O194" s="350"/>
      <c r="P194" s="353"/>
      <c r="Q194" s="350"/>
    </row>
    <row r="195" spans="1:17" ht="26.25">
      <c r="A195" s="209">
        <f t="shared" si="2"/>
        <v>191</v>
      </c>
      <c r="B195" s="214" t="s">
        <v>323</v>
      </c>
      <c r="C195" s="215">
        <v>5435528</v>
      </c>
      <c r="D195" s="388" t="s">
        <v>9176</v>
      </c>
      <c r="E195" s="473">
        <v>44927</v>
      </c>
      <c r="F195" s="473">
        <v>45291</v>
      </c>
      <c r="G195" s="474"/>
      <c r="H195" s="474">
        <v>0</v>
      </c>
      <c r="I195" s="474">
        <v>0</v>
      </c>
      <c r="J195" s="474">
        <v>0</v>
      </c>
      <c r="K195" s="474">
        <v>0</v>
      </c>
      <c r="L195" s="474">
        <v>8467.42</v>
      </c>
      <c r="M195" s="474">
        <v>0.57999999999999996</v>
      </c>
      <c r="N195" s="474">
        <v>102.39</v>
      </c>
      <c r="O195" s="474">
        <v>5.88</v>
      </c>
      <c r="P195" s="480">
        <v>0</v>
      </c>
      <c r="Q195" s="474">
        <v>0</v>
      </c>
    </row>
    <row r="196" spans="1:17">
      <c r="A196" s="209">
        <f t="shared" si="2"/>
        <v>192</v>
      </c>
      <c r="B196" s="214" t="s">
        <v>324</v>
      </c>
      <c r="C196" s="215">
        <v>5824826</v>
      </c>
      <c r="D196" s="387"/>
      <c r="E196" s="299"/>
      <c r="F196" s="299"/>
      <c r="G196" s="350"/>
      <c r="H196" s="350"/>
      <c r="I196" s="350"/>
      <c r="J196" s="350"/>
      <c r="K196" s="350"/>
      <c r="L196" s="350"/>
      <c r="M196" s="350"/>
      <c r="N196" s="350"/>
      <c r="O196" s="350"/>
      <c r="P196" s="353"/>
      <c r="Q196" s="350"/>
    </row>
    <row r="197" spans="1:17">
      <c r="A197" s="209">
        <f t="shared" si="2"/>
        <v>193</v>
      </c>
      <c r="B197" s="214" t="s">
        <v>325</v>
      </c>
      <c r="C197" s="215">
        <v>6141536</v>
      </c>
      <c r="D197" s="387"/>
      <c r="E197" s="299"/>
      <c r="F197" s="299"/>
      <c r="G197" s="350"/>
      <c r="H197" s="350"/>
      <c r="I197" s="350"/>
      <c r="J197" s="350"/>
      <c r="K197" s="350"/>
      <c r="L197" s="350"/>
      <c r="M197" s="350"/>
      <c r="N197" s="350"/>
      <c r="O197" s="350"/>
      <c r="P197" s="353"/>
      <c r="Q197" s="350"/>
    </row>
    <row r="198" spans="1:17">
      <c r="A198" s="209">
        <f t="shared" si="2"/>
        <v>194</v>
      </c>
      <c r="B198" s="214" t="s">
        <v>326</v>
      </c>
      <c r="C198" s="215">
        <v>5124913</v>
      </c>
      <c r="D198" s="387"/>
      <c r="E198" s="299"/>
      <c r="F198" s="299"/>
      <c r="G198" s="350"/>
      <c r="H198" s="350"/>
      <c r="I198" s="350"/>
      <c r="J198" s="350"/>
      <c r="K198" s="350"/>
      <c r="L198" s="350"/>
      <c r="M198" s="350"/>
      <c r="N198" s="350"/>
      <c r="O198" s="350"/>
      <c r="P198" s="353"/>
      <c r="Q198" s="350"/>
    </row>
    <row r="199" spans="1:17" ht="26.25">
      <c r="A199" s="209">
        <f t="shared" ref="A199:A204" si="3">A198+1</f>
        <v>195</v>
      </c>
      <c r="B199" s="214" t="s">
        <v>327</v>
      </c>
      <c r="C199" s="215">
        <v>2074192</v>
      </c>
      <c r="D199" s="388" t="s">
        <v>9179</v>
      </c>
      <c r="E199" s="473">
        <v>45218</v>
      </c>
      <c r="F199" s="473">
        <v>45232</v>
      </c>
      <c r="G199" s="474"/>
      <c r="H199" s="474">
        <v>0</v>
      </c>
      <c r="I199" s="474">
        <v>0</v>
      </c>
      <c r="J199" s="474">
        <v>0</v>
      </c>
      <c r="K199" s="474">
        <v>7839000</v>
      </c>
      <c r="L199" s="474">
        <v>0</v>
      </c>
      <c r="M199" s="474">
        <v>0</v>
      </c>
      <c r="N199" s="474">
        <v>0</v>
      </c>
      <c r="O199" s="474">
        <v>1800</v>
      </c>
      <c r="P199" s="480">
        <v>0</v>
      </c>
      <c r="Q199" s="474">
        <v>0</v>
      </c>
    </row>
    <row r="200" spans="1:17">
      <c r="A200" s="209">
        <f t="shared" si="3"/>
        <v>196</v>
      </c>
      <c r="B200" s="214" t="s">
        <v>327</v>
      </c>
      <c r="C200" s="215">
        <v>2074192</v>
      </c>
      <c r="D200" s="388" t="s">
        <v>9180</v>
      </c>
      <c r="E200" s="473">
        <v>45090</v>
      </c>
      <c r="F200" s="473">
        <v>45120</v>
      </c>
      <c r="G200" s="474"/>
      <c r="H200" s="474">
        <v>0</v>
      </c>
      <c r="I200" s="474">
        <v>0</v>
      </c>
      <c r="J200" s="474">
        <v>0</v>
      </c>
      <c r="K200" s="474">
        <v>15300000</v>
      </c>
      <c r="L200" s="474">
        <v>0</v>
      </c>
      <c r="M200" s="474">
        <v>0</v>
      </c>
      <c r="N200" s="474">
        <v>0</v>
      </c>
      <c r="O200" s="474">
        <v>4500</v>
      </c>
      <c r="P200" s="480">
        <v>0</v>
      </c>
      <c r="Q200" s="474">
        <v>0</v>
      </c>
    </row>
    <row r="201" spans="1:17">
      <c r="A201" s="209">
        <f t="shared" si="3"/>
        <v>197</v>
      </c>
      <c r="B201" s="214" t="s">
        <v>327</v>
      </c>
      <c r="C201" s="215">
        <v>2074192</v>
      </c>
      <c r="D201" s="388" t="s">
        <v>9181</v>
      </c>
      <c r="E201" s="473">
        <v>45140</v>
      </c>
      <c r="F201" s="473">
        <v>45169</v>
      </c>
      <c r="G201" s="474"/>
      <c r="H201" s="474">
        <v>0</v>
      </c>
      <c r="I201" s="474">
        <v>0</v>
      </c>
      <c r="J201" s="474">
        <v>0</v>
      </c>
      <c r="K201" s="474">
        <v>27191600</v>
      </c>
      <c r="L201" s="474">
        <v>0</v>
      </c>
      <c r="M201" s="474">
        <v>0</v>
      </c>
      <c r="N201" s="474">
        <v>0</v>
      </c>
      <c r="O201" s="474">
        <v>7664.83</v>
      </c>
      <c r="P201" s="480">
        <v>0</v>
      </c>
      <c r="Q201" s="474">
        <v>0</v>
      </c>
    </row>
    <row r="202" spans="1:17">
      <c r="A202" s="209">
        <f t="shared" si="3"/>
        <v>198</v>
      </c>
      <c r="B202" s="214" t="s">
        <v>331</v>
      </c>
      <c r="C202" s="215">
        <v>2861224</v>
      </c>
      <c r="D202" s="387"/>
      <c r="E202" s="299"/>
      <c r="F202" s="299"/>
      <c r="G202" s="350"/>
      <c r="H202" s="350"/>
      <c r="I202" s="350"/>
      <c r="J202" s="350"/>
      <c r="K202" s="350"/>
      <c r="L202" s="350"/>
      <c r="M202" s="350"/>
      <c r="N202" s="350"/>
      <c r="O202" s="350"/>
      <c r="P202" s="353"/>
      <c r="Q202" s="350"/>
    </row>
    <row r="203" spans="1:17" ht="39">
      <c r="A203" s="209">
        <f t="shared" si="3"/>
        <v>199</v>
      </c>
      <c r="B203" s="214" t="s">
        <v>332</v>
      </c>
      <c r="C203" s="215">
        <v>5137977</v>
      </c>
      <c r="D203" s="388" t="s">
        <v>9182</v>
      </c>
      <c r="E203" s="477" t="s">
        <v>8377</v>
      </c>
      <c r="F203" s="477" t="s">
        <v>8377</v>
      </c>
      <c r="G203" s="474"/>
      <c r="H203" s="474">
        <v>0</v>
      </c>
      <c r="I203" s="474">
        <v>0</v>
      </c>
      <c r="J203" s="474">
        <v>0</v>
      </c>
      <c r="K203" s="474">
        <v>0</v>
      </c>
      <c r="L203" s="474">
        <v>0</v>
      </c>
      <c r="M203" s="474">
        <v>3.44</v>
      </c>
      <c r="N203" s="474">
        <v>0</v>
      </c>
      <c r="O203" s="474">
        <v>0</v>
      </c>
      <c r="P203" s="480">
        <v>0</v>
      </c>
      <c r="Q203" s="474">
        <v>0</v>
      </c>
    </row>
    <row r="204" spans="1:17">
      <c r="A204" s="209">
        <f t="shared" si="3"/>
        <v>200</v>
      </c>
      <c r="B204" s="214" t="s">
        <v>332</v>
      </c>
      <c r="C204" s="215">
        <v>5137977</v>
      </c>
      <c r="D204" s="388" t="s">
        <v>9183</v>
      </c>
      <c r="E204" s="477" t="s">
        <v>8377</v>
      </c>
      <c r="F204" s="477" t="s">
        <v>8377</v>
      </c>
      <c r="G204" s="474"/>
      <c r="H204" s="474">
        <v>0</v>
      </c>
      <c r="I204" s="474">
        <v>0</v>
      </c>
      <c r="J204" s="474">
        <v>0</v>
      </c>
      <c r="K204" s="474">
        <v>0</v>
      </c>
      <c r="L204" s="474">
        <v>0</v>
      </c>
      <c r="M204" s="474">
        <v>7.26</v>
      </c>
      <c r="N204" s="474">
        <v>0</v>
      </c>
      <c r="O204" s="474">
        <v>0</v>
      </c>
      <c r="P204" s="480">
        <v>0</v>
      </c>
      <c r="Q204" s="474">
        <v>0</v>
      </c>
    </row>
  </sheetData>
  <mergeCells count="17">
    <mergeCell ref="G2:K2"/>
    <mergeCell ref="L2:Q2"/>
    <mergeCell ref="J3:J4"/>
    <mergeCell ref="K3:K4"/>
    <mergeCell ref="F3:F4"/>
    <mergeCell ref="L3:M3"/>
    <mergeCell ref="N3:O3"/>
    <mergeCell ref="P3:Q3"/>
    <mergeCell ref="G3:G4"/>
    <mergeCell ref="H3:H4"/>
    <mergeCell ref="I3:I4"/>
    <mergeCell ref="A2:A4"/>
    <mergeCell ref="B2:B4"/>
    <mergeCell ref="C2:C4"/>
    <mergeCell ref="D2:D4"/>
    <mergeCell ref="E3:E4"/>
    <mergeCell ref="E2:F2"/>
  </mergeCells>
  <conditionalFormatting sqref="B9 B5:B6">
    <cfRule type="duplicateValues" dxfId="258" priority="45"/>
  </conditionalFormatting>
  <conditionalFormatting sqref="B10">
    <cfRule type="duplicateValues" dxfId="257" priority="40"/>
  </conditionalFormatting>
  <conditionalFormatting sqref="B13">
    <cfRule type="duplicateValues" dxfId="256" priority="6"/>
  </conditionalFormatting>
  <conditionalFormatting sqref="B14:B15">
    <cfRule type="duplicateValues" dxfId="255" priority="44"/>
  </conditionalFormatting>
  <conditionalFormatting sqref="B16">
    <cfRule type="duplicateValues" dxfId="254" priority="36"/>
  </conditionalFormatting>
  <conditionalFormatting sqref="B22">
    <cfRule type="duplicateValues" dxfId="253" priority="5"/>
  </conditionalFormatting>
  <conditionalFormatting sqref="B25 B19">
    <cfRule type="duplicateValues" dxfId="252" priority="57"/>
  </conditionalFormatting>
  <conditionalFormatting sqref="B29">
    <cfRule type="duplicateValues" dxfId="251" priority="39"/>
  </conditionalFormatting>
  <conditionalFormatting sqref="B33">
    <cfRule type="duplicateValues" dxfId="250" priority="42"/>
  </conditionalFormatting>
  <conditionalFormatting sqref="B34:B38">
    <cfRule type="duplicateValues" dxfId="249" priority="4"/>
  </conditionalFormatting>
  <conditionalFormatting sqref="B43:B46">
    <cfRule type="duplicateValues" dxfId="248" priority="3"/>
  </conditionalFormatting>
  <conditionalFormatting sqref="B56">
    <cfRule type="duplicateValues" dxfId="247" priority="2"/>
  </conditionalFormatting>
  <conditionalFormatting sqref="B63:B64">
    <cfRule type="duplicateValues" dxfId="246" priority="38"/>
  </conditionalFormatting>
  <conditionalFormatting sqref="B65">
    <cfRule type="duplicateValues" dxfId="245" priority="34"/>
  </conditionalFormatting>
  <conditionalFormatting sqref="B73 B100">
    <cfRule type="duplicateValues" dxfId="244" priority="47"/>
  </conditionalFormatting>
  <conditionalFormatting sqref="B98">
    <cfRule type="duplicateValues" dxfId="243" priority="17"/>
  </conditionalFormatting>
  <conditionalFormatting sqref="B99">
    <cfRule type="duplicateValues" dxfId="242" priority="18"/>
  </conditionalFormatting>
  <conditionalFormatting sqref="B101">
    <cfRule type="duplicateValues" dxfId="241" priority="16"/>
  </conditionalFormatting>
  <conditionalFormatting sqref="B102">
    <cfRule type="duplicateValues" dxfId="240" priority="26"/>
  </conditionalFormatting>
  <conditionalFormatting sqref="B118">
    <cfRule type="duplicateValues" dxfId="239" priority="15"/>
  </conditionalFormatting>
  <conditionalFormatting sqref="B119:B121 B127:B129">
    <cfRule type="duplicateValues" dxfId="238" priority="55"/>
  </conditionalFormatting>
  <conditionalFormatting sqref="B149 B168">
    <cfRule type="duplicateValues" dxfId="237" priority="52"/>
  </conditionalFormatting>
  <conditionalFormatting sqref="B185:B186">
    <cfRule type="duplicateValues" dxfId="236" priority="1303"/>
  </conditionalFormatting>
  <conditionalFormatting sqref="C9:C10 C5:C6 C14:C15">
    <cfRule type="duplicateValues" dxfId="235" priority="46"/>
  </conditionalFormatting>
  <conditionalFormatting sqref="C16">
    <cfRule type="duplicateValues" dxfId="234" priority="37"/>
  </conditionalFormatting>
  <conditionalFormatting sqref="C56 C19 C29 C33:C35 C45">
    <cfRule type="duplicateValues" dxfId="233" priority="43"/>
  </conditionalFormatting>
  <conditionalFormatting sqref="C63:C64">
    <cfRule type="duplicateValues" dxfId="232" priority="41"/>
  </conditionalFormatting>
  <conditionalFormatting sqref="C65">
    <cfRule type="duplicateValues" dxfId="231" priority="35"/>
  </conditionalFormatting>
  <conditionalFormatting sqref="C75">
    <cfRule type="duplicateValues" dxfId="230" priority="1"/>
  </conditionalFormatting>
  <conditionalFormatting sqref="C83">
    <cfRule type="duplicateValues" dxfId="229" priority="33"/>
  </conditionalFormatting>
  <conditionalFormatting sqref="C85 C88:C89 C73 C78 C91">
    <cfRule type="duplicateValues" dxfId="228" priority="48"/>
  </conditionalFormatting>
  <conditionalFormatting sqref="C87">
    <cfRule type="duplicateValues" dxfId="227" priority="31"/>
  </conditionalFormatting>
  <conditionalFormatting sqref="C138:C143 C168">
    <cfRule type="duplicateValues" dxfId="226" priority="54"/>
  </conditionalFormatting>
  <conditionalFormatting sqref="C169">
    <cfRule type="duplicateValues" dxfId="225" priority="10"/>
  </conditionalFormatting>
  <conditionalFormatting sqref="C170">
    <cfRule type="duplicateValues" dxfId="224" priority="9"/>
  </conditionalFormatting>
  <conditionalFormatting sqref="C171">
    <cfRule type="duplicateValues" dxfId="223" priority="8"/>
  </conditionalFormatting>
  <conditionalFormatting sqref="C172">
    <cfRule type="duplicateValues" dxfId="222" priority="7"/>
  </conditionalFormatting>
  <conditionalFormatting sqref="C173 C107 C121:C130">
    <cfRule type="duplicateValues" dxfId="221" priority="11"/>
  </conditionalFormatting>
  <conditionalFormatting sqref="C174:C177 C192:C198">
    <cfRule type="duplicateValues" dxfId="220" priority="1304"/>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F1203-5DE0-45CF-ACA1-4E7EC12669FF}">
  <sheetPr>
    <tabColor rgb="FF006432"/>
  </sheetPr>
  <dimension ref="A1:Q152"/>
  <sheetViews>
    <sheetView workbookViewId="0">
      <pane xSplit="3" ySplit="4" topLeftCell="D5" activePane="bottomRight" state="frozen"/>
      <selection pane="bottomRight" activeCell="M2" sqref="M2:P2"/>
      <selection pane="bottomLeft" activeCell="A5" sqref="A5"/>
      <selection pane="topRight" activeCell="D1" sqref="D1"/>
    </sheetView>
  </sheetViews>
  <sheetFormatPr defaultRowHeight="15"/>
  <cols>
    <col min="1" max="1" width="4.5703125" customWidth="1"/>
    <col min="2" max="2" width="23.7109375" customWidth="1"/>
    <col min="3" max="3" width="13.28515625" customWidth="1"/>
    <col min="4" max="4" width="16.85546875" customWidth="1"/>
    <col min="5" max="6" width="13.28515625" style="8" customWidth="1"/>
    <col min="7" max="7" width="14.28515625" bestFit="1" customWidth="1"/>
    <col min="8" max="8" width="19.85546875" bestFit="1" customWidth="1"/>
    <col min="9" max="9" width="12.5703125" customWidth="1"/>
    <col min="10" max="10" width="14.5703125" customWidth="1"/>
    <col min="11" max="11" width="14.7109375" customWidth="1"/>
    <col min="12" max="12" width="16.140625" bestFit="1" customWidth="1"/>
    <col min="13" max="13" width="18.5703125" bestFit="1" customWidth="1"/>
    <col min="14" max="14" width="22.5703125" bestFit="1" customWidth="1"/>
    <col min="15" max="15" width="18.42578125" bestFit="1" customWidth="1"/>
    <col min="16" max="16" width="16.140625" bestFit="1" customWidth="1"/>
    <col min="17" max="17" width="10" bestFit="1" customWidth="1"/>
  </cols>
  <sheetData>
    <row r="1" spans="1:17" ht="16.5" thickBot="1">
      <c r="A1" s="26" t="s">
        <v>9184</v>
      </c>
      <c r="B1" s="26"/>
      <c r="C1" s="26"/>
      <c r="D1" s="26"/>
      <c r="E1" s="73"/>
      <c r="F1" s="73"/>
      <c r="G1" s="26"/>
      <c r="H1" s="481"/>
      <c r="I1" s="481"/>
      <c r="J1" s="481"/>
      <c r="K1" s="481"/>
      <c r="L1" s="481"/>
      <c r="M1" s="481"/>
      <c r="N1" s="481"/>
      <c r="O1" s="481"/>
      <c r="P1" s="481"/>
    </row>
    <row r="2" spans="1:17" ht="27" customHeight="1" thickTop="1">
      <c r="A2" s="584" t="s">
        <v>114</v>
      </c>
      <c r="B2" s="584" t="s">
        <v>115</v>
      </c>
      <c r="C2" s="584" t="s">
        <v>621</v>
      </c>
      <c r="D2" s="587" t="s">
        <v>9011</v>
      </c>
      <c r="E2" s="556" t="s">
        <v>9012</v>
      </c>
      <c r="F2" s="556"/>
      <c r="G2" s="530" t="s">
        <v>9185</v>
      </c>
      <c r="H2" s="557"/>
      <c r="I2" s="557"/>
      <c r="J2" s="557"/>
      <c r="K2" s="557"/>
      <c r="L2" s="531"/>
      <c r="M2" s="530" t="s">
        <v>9186</v>
      </c>
      <c r="N2" s="557"/>
      <c r="O2" s="557"/>
      <c r="P2" s="531"/>
    </row>
    <row r="3" spans="1:17" ht="26.25" customHeight="1">
      <c r="A3" s="584"/>
      <c r="B3" s="584"/>
      <c r="C3" s="584"/>
      <c r="D3" s="588"/>
      <c r="E3" s="556" t="s">
        <v>9015</v>
      </c>
      <c r="F3" s="556" t="s">
        <v>9016</v>
      </c>
      <c r="G3" s="557" t="s">
        <v>9187</v>
      </c>
      <c r="H3" s="557"/>
      <c r="I3" s="531"/>
      <c r="J3" s="557" t="s">
        <v>9188</v>
      </c>
      <c r="K3" s="557"/>
      <c r="L3" s="531"/>
      <c r="M3" s="556" t="s">
        <v>9187</v>
      </c>
      <c r="N3" s="556"/>
      <c r="O3" s="556" t="s">
        <v>9188</v>
      </c>
      <c r="P3" s="556"/>
    </row>
    <row r="4" spans="1:17" ht="37.5" customHeight="1">
      <c r="A4" s="584"/>
      <c r="B4" s="584"/>
      <c r="C4" s="584"/>
      <c r="D4" s="589"/>
      <c r="E4" s="556"/>
      <c r="F4" s="556"/>
      <c r="G4" s="196" t="s">
        <v>9189</v>
      </c>
      <c r="H4" s="196" t="s">
        <v>9190</v>
      </c>
      <c r="I4" s="196" t="s">
        <v>9191</v>
      </c>
      <c r="J4" s="196" t="s">
        <v>9189</v>
      </c>
      <c r="K4" s="196" t="s">
        <v>9190</v>
      </c>
      <c r="L4" s="196" t="s">
        <v>9191</v>
      </c>
      <c r="M4" s="196" t="s">
        <v>9189</v>
      </c>
      <c r="N4" s="196" t="s">
        <v>9190</v>
      </c>
      <c r="O4" s="196" t="s">
        <v>9189</v>
      </c>
      <c r="P4" s="196" t="s">
        <v>9190</v>
      </c>
    </row>
    <row r="5" spans="1:17">
      <c r="A5" s="458">
        <v>1</v>
      </c>
      <c r="B5" s="482" t="s">
        <v>121</v>
      </c>
      <c r="C5" s="471">
        <v>2011239</v>
      </c>
      <c r="D5" s="210"/>
      <c r="E5" s="458"/>
      <c r="F5" s="458"/>
      <c r="G5" s="210"/>
      <c r="H5" s="210"/>
      <c r="I5" s="210"/>
      <c r="J5" s="210"/>
      <c r="K5" s="210"/>
      <c r="L5" s="210"/>
      <c r="M5" s="210"/>
      <c r="N5" s="210"/>
      <c r="O5" s="210"/>
      <c r="P5" s="210"/>
    </row>
    <row r="6" spans="1:17">
      <c r="A6" s="209">
        <f>A5+1</f>
        <v>2</v>
      </c>
      <c r="B6" s="214" t="s">
        <v>126</v>
      </c>
      <c r="C6" s="215">
        <v>5097517</v>
      </c>
      <c r="D6" s="210"/>
      <c r="E6" s="209"/>
      <c r="F6" s="209"/>
      <c r="G6" s="210"/>
      <c r="H6" s="210"/>
      <c r="I6" s="210"/>
      <c r="J6" s="210"/>
      <c r="K6" s="210"/>
      <c r="L6" s="210"/>
      <c r="M6" s="210"/>
      <c r="N6" s="210"/>
      <c r="O6" s="210"/>
      <c r="P6" s="210"/>
    </row>
    <row r="7" spans="1:17">
      <c r="A7" s="209">
        <f t="shared" ref="A7:A70" si="0">A6+1</f>
        <v>3</v>
      </c>
      <c r="B7" s="216" t="s">
        <v>131</v>
      </c>
      <c r="C7" s="209">
        <v>5809797</v>
      </c>
      <c r="D7" s="216" t="s">
        <v>9192</v>
      </c>
      <c r="E7" s="217" t="s">
        <v>8377</v>
      </c>
      <c r="F7" s="217" t="s">
        <v>8377</v>
      </c>
      <c r="G7" s="216"/>
      <c r="H7" s="216">
        <v>0</v>
      </c>
      <c r="I7" s="216">
        <v>0</v>
      </c>
      <c r="J7" s="216">
        <v>0</v>
      </c>
      <c r="K7" s="216">
        <v>0</v>
      </c>
      <c r="L7" s="216">
        <v>0</v>
      </c>
      <c r="M7" s="216">
        <v>0</v>
      </c>
      <c r="N7" s="216">
        <v>0</v>
      </c>
      <c r="O7" s="216">
        <v>4.29</v>
      </c>
      <c r="P7" s="216">
        <v>22813.9</v>
      </c>
      <c r="Q7" s="208"/>
    </row>
    <row r="8" spans="1:17">
      <c r="A8" s="209">
        <f t="shared" si="0"/>
        <v>4</v>
      </c>
      <c r="B8" s="214" t="s">
        <v>131</v>
      </c>
      <c r="C8" s="215">
        <v>5809797</v>
      </c>
      <c r="D8" s="216"/>
      <c r="E8" s="263">
        <v>44927</v>
      </c>
      <c r="F8" s="263">
        <v>45291</v>
      </c>
      <c r="G8" s="216"/>
      <c r="H8" s="216">
        <v>20.684000000000001</v>
      </c>
      <c r="I8" s="216">
        <v>0</v>
      </c>
      <c r="J8" s="216">
        <v>0</v>
      </c>
      <c r="K8" s="216">
        <v>253449</v>
      </c>
      <c r="L8" s="216">
        <v>0</v>
      </c>
      <c r="M8" s="216">
        <v>0</v>
      </c>
      <c r="N8" s="216">
        <v>0</v>
      </c>
      <c r="O8" s="216">
        <v>0</v>
      </c>
      <c r="P8" s="216">
        <v>0</v>
      </c>
      <c r="Q8" s="95"/>
    </row>
    <row r="9" spans="1:17" ht="25.5">
      <c r="A9" s="209">
        <f t="shared" si="0"/>
        <v>5</v>
      </c>
      <c r="B9" s="266" t="s">
        <v>133</v>
      </c>
      <c r="C9" s="215">
        <v>5118344</v>
      </c>
      <c r="D9" s="210"/>
      <c r="E9" s="209"/>
      <c r="F9" s="209"/>
      <c r="G9" s="210"/>
      <c r="H9" s="210"/>
      <c r="I9" s="210"/>
      <c r="J9" s="210"/>
      <c r="K9" s="210"/>
      <c r="L9" s="210"/>
      <c r="M9" s="210"/>
      <c r="N9" s="210"/>
      <c r="O9" s="210"/>
      <c r="P9" s="210"/>
    </row>
    <row r="10" spans="1:17">
      <c r="A10" s="209">
        <f t="shared" si="0"/>
        <v>6</v>
      </c>
      <c r="B10" s="214" t="s">
        <v>136</v>
      </c>
      <c r="C10" s="215">
        <v>5095549</v>
      </c>
      <c r="D10" s="210"/>
      <c r="E10" s="209"/>
      <c r="F10" s="209"/>
      <c r="G10" s="210"/>
      <c r="H10" s="210"/>
      <c r="I10" s="210"/>
      <c r="J10" s="210"/>
      <c r="K10" s="210"/>
      <c r="L10" s="210"/>
      <c r="M10" s="210"/>
      <c r="N10" s="210"/>
      <c r="O10" s="210"/>
      <c r="P10" s="210"/>
    </row>
    <row r="11" spans="1:17" ht="25.5">
      <c r="A11" s="209">
        <f t="shared" si="0"/>
        <v>7</v>
      </c>
      <c r="B11" s="266" t="s">
        <v>140</v>
      </c>
      <c r="C11" s="215">
        <v>2784165</v>
      </c>
      <c r="D11" s="210"/>
      <c r="E11" s="209"/>
      <c r="F11" s="209"/>
      <c r="G11" s="210"/>
      <c r="H11" s="210"/>
      <c r="I11" s="210"/>
      <c r="J11" s="210"/>
      <c r="K11" s="210"/>
      <c r="L11" s="210"/>
      <c r="M11" s="210"/>
      <c r="N11" s="210"/>
      <c r="O11" s="210"/>
      <c r="P11" s="210"/>
    </row>
    <row r="12" spans="1:17">
      <c r="A12" s="209">
        <f t="shared" si="0"/>
        <v>8</v>
      </c>
      <c r="B12" s="214" t="s">
        <v>143</v>
      </c>
      <c r="C12" s="215">
        <v>5133351</v>
      </c>
      <c r="D12" s="210"/>
      <c r="E12" s="209"/>
      <c r="F12" s="209"/>
      <c r="G12" s="210"/>
      <c r="H12" s="210"/>
      <c r="I12" s="210"/>
      <c r="J12" s="210"/>
      <c r="K12" s="210"/>
      <c r="L12" s="210"/>
      <c r="M12" s="210"/>
      <c r="N12" s="210"/>
      <c r="O12" s="210"/>
      <c r="P12" s="210"/>
    </row>
    <row r="13" spans="1:17">
      <c r="A13" s="209">
        <f t="shared" si="0"/>
        <v>9</v>
      </c>
      <c r="B13" s="214" t="s">
        <v>144</v>
      </c>
      <c r="C13" s="215">
        <v>6172768</v>
      </c>
      <c r="D13" s="210"/>
      <c r="E13" s="209"/>
      <c r="F13" s="209"/>
      <c r="G13" s="210"/>
      <c r="H13" s="210"/>
      <c r="I13" s="210"/>
      <c r="J13" s="210"/>
      <c r="K13" s="210"/>
      <c r="L13" s="210"/>
      <c r="M13" s="210"/>
      <c r="N13" s="210"/>
      <c r="O13" s="210"/>
      <c r="P13" s="210"/>
    </row>
    <row r="14" spans="1:17">
      <c r="A14" s="209">
        <f t="shared" si="0"/>
        <v>10</v>
      </c>
      <c r="B14" s="214" t="s">
        <v>146</v>
      </c>
      <c r="C14" s="215">
        <v>2788705</v>
      </c>
      <c r="D14" s="210"/>
      <c r="E14" s="209"/>
      <c r="F14" s="209"/>
      <c r="G14" s="210"/>
      <c r="H14" s="210"/>
      <c r="I14" s="210"/>
      <c r="J14" s="210"/>
      <c r="K14" s="210"/>
      <c r="L14" s="210"/>
      <c r="M14" s="210"/>
      <c r="N14" s="210"/>
      <c r="O14" s="210"/>
      <c r="P14" s="210"/>
    </row>
    <row r="15" spans="1:17">
      <c r="A15" s="209">
        <f t="shared" si="0"/>
        <v>11</v>
      </c>
      <c r="B15" s="214" t="s">
        <v>629</v>
      </c>
      <c r="C15" s="215">
        <v>5439183</v>
      </c>
      <c r="D15" s="210"/>
      <c r="E15" s="209"/>
      <c r="F15" s="209"/>
      <c r="G15" s="210"/>
      <c r="H15" s="210"/>
      <c r="I15" s="210"/>
      <c r="J15" s="210"/>
      <c r="K15" s="210"/>
      <c r="L15" s="210"/>
      <c r="M15" s="210"/>
      <c r="N15" s="210"/>
      <c r="O15" s="210"/>
      <c r="P15" s="210"/>
    </row>
    <row r="16" spans="1:17">
      <c r="A16" s="209">
        <f t="shared" si="0"/>
        <v>12</v>
      </c>
      <c r="B16" s="214" t="s">
        <v>152</v>
      </c>
      <c r="C16" s="215">
        <v>2008572</v>
      </c>
      <c r="D16" s="210"/>
      <c r="E16" s="209"/>
      <c r="F16" s="209"/>
      <c r="G16" s="210"/>
      <c r="H16" s="210"/>
      <c r="I16" s="210"/>
      <c r="J16" s="210"/>
      <c r="K16" s="210"/>
      <c r="L16" s="210"/>
      <c r="M16" s="210"/>
      <c r="N16" s="210"/>
      <c r="O16" s="210"/>
      <c r="P16" s="210"/>
    </row>
    <row r="17" spans="1:16">
      <c r="A17" s="209">
        <f t="shared" si="0"/>
        <v>13</v>
      </c>
      <c r="B17" s="214" t="s">
        <v>155</v>
      </c>
      <c r="C17" s="215">
        <v>5215919</v>
      </c>
      <c r="D17" s="210"/>
      <c r="E17" s="209"/>
      <c r="F17" s="209"/>
      <c r="G17" s="210"/>
      <c r="H17" s="210"/>
      <c r="I17" s="210"/>
      <c r="J17" s="210"/>
      <c r="K17" s="210"/>
      <c r="L17" s="210"/>
      <c r="M17" s="210"/>
      <c r="N17" s="210"/>
      <c r="O17" s="210"/>
      <c r="P17" s="210"/>
    </row>
    <row r="18" spans="1:16" ht="25.5">
      <c r="A18" s="209">
        <f t="shared" si="0"/>
        <v>14</v>
      </c>
      <c r="B18" s="214" t="s">
        <v>157</v>
      </c>
      <c r="C18" s="215">
        <v>5502977</v>
      </c>
      <c r="D18" s="216" t="s">
        <v>9193</v>
      </c>
      <c r="E18" s="263">
        <v>44927</v>
      </c>
      <c r="F18" s="263">
        <v>45657</v>
      </c>
      <c r="G18" s="216"/>
      <c r="H18" s="216">
        <v>0</v>
      </c>
      <c r="I18" s="216">
        <v>0</v>
      </c>
      <c r="J18" s="216">
        <v>33025000</v>
      </c>
      <c r="K18" s="216">
        <v>0</v>
      </c>
      <c r="L18" s="216">
        <v>0</v>
      </c>
      <c r="M18" s="216">
        <v>0</v>
      </c>
      <c r="N18" s="216">
        <v>0</v>
      </c>
      <c r="O18" s="216">
        <v>0</v>
      </c>
      <c r="P18" s="216">
        <v>0</v>
      </c>
    </row>
    <row r="19" spans="1:16" ht="25.5">
      <c r="A19" s="209">
        <f t="shared" si="0"/>
        <v>15</v>
      </c>
      <c r="B19" s="266" t="s">
        <v>159</v>
      </c>
      <c r="C19" s="215">
        <v>2708701</v>
      </c>
      <c r="D19" s="210"/>
      <c r="E19" s="209"/>
      <c r="F19" s="209"/>
      <c r="G19" s="210"/>
      <c r="H19" s="210"/>
      <c r="I19" s="210"/>
      <c r="J19" s="210"/>
      <c r="K19" s="210"/>
      <c r="L19" s="210"/>
      <c r="M19" s="210"/>
      <c r="N19" s="210"/>
      <c r="O19" s="210"/>
      <c r="P19" s="210"/>
    </row>
    <row r="20" spans="1:16">
      <c r="A20" s="209">
        <f t="shared" si="0"/>
        <v>16</v>
      </c>
      <c r="B20" s="214" t="s">
        <v>161</v>
      </c>
      <c r="C20" s="215">
        <v>2014491</v>
      </c>
      <c r="D20" s="210"/>
      <c r="E20" s="209"/>
      <c r="F20" s="209"/>
      <c r="G20" s="210"/>
      <c r="H20" s="210"/>
      <c r="I20" s="210"/>
      <c r="J20" s="210"/>
      <c r="K20" s="210"/>
      <c r="L20" s="210"/>
      <c r="M20" s="210"/>
      <c r="N20" s="210"/>
      <c r="O20" s="210"/>
      <c r="P20" s="210"/>
    </row>
    <row r="21" spans="1:16">
      <c r="A21" s="209">
        <f t="shared" si="0"/>
        <v>17</v>
      </c>
      <c r="B21" s="214" t="s">
        <v>165</v>
      </c>
      <c r="C21" s="215">
        <v>6414877</v>
      </c>
      <c r="D21" s="210"/>
      <c r="E21" s="209"/>
      <c r="F21" s="209"/>
      <c r="G21" s="210"/>
      <c r="H21" s="210"/>
      <c r="I21" s="210"/>
      <c r="J21" s="210"/>
      <c r="K21" s="210"/>
      <c r="L21" s="210"/>
      <c r="M21" s="210"/>
      <c r="N21" s="210"/>
      <c r="O21" s="210"/>
      <c r="P21" s="210"/>
    </row>
    <row r="22" spans="1:16" ht="25.5">
      <c r="A22" s="209">
        <f t="shared" si="0"/>
        <v>18</v>
      </c>
      <c r="B22" s="266" t="s">
        <v>168</v>
      </c>
      <c r="C22" s="215">
        <v>5369223</v>
      </c>
      <c r="D22" s="216" t="s">
        <v>9194</v>
      </c>
      <c r="E22" s="263">
        <v>44927</v>
      </c>
      <c r="F22" s="263">
        <v>45291</v>
      </c>
      <c r="G22" s="216"/>
      <c r="H22" s="216">
        <v>21.8</v>
      </c>
      <c r="I22" s="216">
        <v>0</v>
      </c>
      <c r="J22" s="216">
        <v>0</v>
      </c>
      <c r="K22" s="216">
        <v>222186</v>
      </c>
      <c r="L22" s="216">
        <v>0</v>
      </c>
      <c r="M22" s="216">
        <v>0</v>
      </c>
      <c r="N22" s="216">
        <v>0</v>
      </c>
      <c r="O22" s="216">
        <v>0</v>
      </c>
      <c r="P22" s="216">
        <v>0</v>
      </c>
    </row>
    <row r="23" spans="1:16">
      <c r="A23" s="209">
        <f t="shared" si="0"/>
        <v>19</v>
      </c>
      <c r="B23" s="214" t="s">
        <v>169</v>
      </c>
      <c r="C23" s="215">
        <v>5294088</v>
      </c>
      <c r="D23" s="210"/>
      <c r="E23" s="209"/>
      <c r="F23" s="209"/>
      <c r="G23" s="210"/>
      <c r="H23" s="210"/>
      <c r="I23" s="210"/>
      <c r="J23" s="210"/>
      <c r="K23" s="210"/>
      <c r="L23" s="210"/>
      <c r="M23" s="210"/>
      <c r="N23" s="210"/>
      <c r="O23" s="210"/>
      <c r="P23" s="210"/>
    </row>
    <row r="24" spans="1:16">
      <c r="A24" s="209">
        <f t="shared" si="0"/>
        <v>20</v>
      </c>
      <c r="B24" s="214" t="s">
        <v>173</v>
      </c>
      <c r="C24" s="215">
        <v>2855119</v>
      </c>
      <c r="D24" s="210"/>
      <c r="E24" s="209"/>
      <c r="F24" s="209"/>
      <c r="G24" s="210"/>
      <c r="H24" s="210"/>
      <c r="I24" s="210"/>
      <c r="J24" s="210"/>
      <c r="K24" s="210"/>
      <c r="L24" s="210"/>
      <c r="M24" s="210"/>
      <c r="N24" s="210"/>
      <c r="O24" s="210"/>
      <c r="P24" s="210"/>
    </row>
    <row r="25" spans="1:16">
      <c r="A25" s="209">
        <f t="shared" si="0"/>
        <v>21</v>
      </c>
      <c r="B25" s="244" t="s">
        <v>174</v>
      </c>
      <c r="C25" s="215">
        <v>2094533</v>
      </c>
      <c r="D25" s="210"/>
      <c r="E25" s="209"/>
      <c r="F25" s="209"/>
      <c r="G25" s="210"/>
      <c r="H25" s="210"/>
      <c r="I25" s="210"/>
      <c r="J25" s="210"/>
      <c r="K25" s="210"/>
      <c r="L25" s="210"/>
      <c r="M25" s="210"/>
      <c r="N25" s="210"/>
      <c r="O25" s="210"/>
      <c r="P25" s="210"/>
    </row>
    <row r="26" spans="1:16">
      <c r="A26" s="209">
        <f t="shared" si="0"/>
        <v>22</v>
      </c>
      <c r="B26" s="214" t="s">
        <v>175</v>
      </c>
      <c r="C26" s="215">
        <v>5722942</v>
      </c>
      <c r="D26" s="210"/>
      <c r="E26" s="209"/>
      <c r="F26" s="209"/>
      <c r="G26" s="210"/>
      <c r="H26" s="210"/>
      <c r="I26" s="210"/>
      <c r="J26" s="210"/>
      <c r="K26" s="210"/>
      <c r="L26" s="210"/>
      <c r="M26" s="210"/>
      <c r="N26" s="210"/>
      <c r="O26" s="210"/>
      <c r="P26" s="210"/>
    </row>
    <row r="27" spans="1:16">
      <c r="A27" s="209">
        <f t="shared" si="0"/>
        <v>23</v>
      </c>
      <c r="B27" s="214" t="s">
        <v>176</v>
      </c>
      <c r="C27" s="215">
        <v>2867494</v>
      </c>
      <c r="D27" s="210"/>
      <c r="E27" s="209"/>
      <c r="F27" s="209"/>
      <c r="G27" s="210"/>
      <c r="H27" s="210"/>
      <c r="I27" s="210"/>
      <c r="J27" s="210"/>
      <c r="K27" s="210"/>
      <c r="L27" s="210"/>
      <c r="M27" s="210"/>
      <c r="N27" s="210"/>
      <c r="O27" s="210"/>
      <c r="P27" s="210"/>
    </row>
    <row r="28" spans="1:16">
      <c r="A28" s="209">
        <f t="shared" si="0"/>
        <v>24</v>
      </c>
      <c r="B28" s="214" t="s">
        <v>177</v>
      </c>
      <c r="C28" s="215">
        <v>6463932</v>
      </c>
      <c r="D28" s="210"/>
      <c r="E28" s="209"/>
      <c r="F28" s="209"/>
      <c r="G28" s="210"/>
      <c r="H28" s="210"/>
      <c r="I28" s="210"/>
      <c r="J28" s="210"/>
      <c r="K28" s="210"/>
      <c r="L28" s="210"/>
      <c r="M28" s="210"/>
      <c r="N28" s="210"/>
      <c r="O28" s="210"/>
      <c r="P28" s="210"/>
    </row>
    <row r="29" spans="1:16">
      <c r="A29" s="209">
        <f t="shared" si="0"/>
        <v>25</v>
      </c>
      <c r="B29" s="214" t="s">
        <v>178</v>
      </c>
      <c r="C29" s="215">
        <v>5260833</v>
      </c>
      <c r="D29" s="210"/>
      <c r="E29" s="209"/>
      <c r="F29" s="209"/>
      <c r="G29" s="210"/>
      <c r="H29" s="210"/>
      <c r="I29" s="210"/>
      <c r="J29" s="210"/>
      <c r="K29" s="210"/>
      <c r="L29" s="210"/>
      <c r="M29" s="210"/>
      <c r="N29" s="210"/>
      <c r="O29" s="210"/>
      <c r="P29" s="210"/>
    </row>
    <row r="30" spans="1:16" ht="25.5">
      <c r="A30" s="209">
        <f t="shared" si="0"/>
        <v>26</v>
      </c>
      <c r="B30" s="266" t="s">
        <v>179</v>
      </c>
      <c r="C30" s="215">
        <v>2051303</v>
      </c>
      <c r="D30" s="210"/>
      <c r="E30" s="209"/>
      <c r="F30" s="209"/>
      <c r="G30" s="210"/>
      <c r="H30" s="210"/>
      <c r="I30" s="210"/>
      <c r="J30" s="210"/>
      <c r="K30" s="210"/>
      <c r="L30" s="210"/>
      <c r="M30" s="210"/>
      <c r="N30" s="210"/>
      <c r="O30" s="210"/>
      <c r="P30" s="210"/>
    </row>
    <row r="31" spans="1:16">
      <c r="A31" s="209">
        <f t="shared" si="0"/>
        <v>27</v>
      </c>
      <c r="B31" s="214" t="s">
        <v>183</v>
      </c>
      <c r="C31" s="215">
        <v>2061848</v>
      </c>
      <c r="D31" s="216" t="s">
        <v>9195</v>
      </c>
      <c r="E31" s="263">
        <v>45017</v>
      </c>
      <c r="F31" s="263">
        <v>45291</v>
      </c>
      <c r="G31" s="216">
        <v>2.2000000000000002</v>
      </c>
      <c r="H31" s="216">
        <v>2.2000000000000002</v>
      </c>
      <c r="I31" s="216">
        <v>0</v>
      </c>
      <c r="J31" s="216">
        <v>29700</v>
      </c>
      <c r="K31" s="216">
        <v>0</v>
      </c>
      <c r="L31" s="216">
        <v>0</v>
      </c>
      <c r="M31" s="216">
        <v>2.2000000000000002</v>
      </c>
      <c r="N31" s="216">
        <v>0</v>
      </c>
      <c r="O31" s="216">
        <v>3300</v>
      </c>
      <c r="P31" s="216">
        <v>0</v>
      </c>
    </row>
    <row r="32" spans="1:16" ht="25.5">
      <c r="A32" s="209">
        <f t="shared" si="0"/>
        <v>28</v>
      </c>
      <c r="B32" s="266" t="s">
        <v>185</v>
      </c>
      <c r="C32" s="215">
        <v>2766337</v>
      </c>
      <c r="D32" s="210"/>
      <c r="E32" s="209"/>
      <c r="F32" s="209"/>
      <c r="G32" s="210"/>
      <c r="H32" s="210"/>
      <c r="I32" s="210"/>
      <c r="J32" s="210"/>
      <c r="K32" s="210"/>
      <c r="L32" s="210"/>
      <c r="M32" s="210"/>
      <c r="N32" s="210"/>
      <c r="O32" s="210"/>
      <c r="P32" s="210"/>
    </row>
    <row r="33" spans="1:16" ht="25.5">
      <c r="A33" s="209">
        <f t="shared" si="0"/>
        <v>29</v>
      </c>
      <c r="B33" s="483" t="s">
        <v>187</v>
      </c>
      <c r="C33" s="215">
        <v>5810086</v>
      </c>
      <c r="D33" s="210"/>
      <c r="E33" s="209"/>
      <c r="F33" s="209"/>
      <c r="G33" s="210"/>
      <c r="H33" s="210"/>
      <c r="I33" s="210"/>
      <c r="J33" s="210"/>
      <c r="K33" s="210"/>
      <c r="L33" s="210"/>
      <c r="M33" s="210"/>
      <c r="N33" s="210"/>
      <c r="O33" s="210"/>
      <c r="P33" s="210"/>
    </row>
    <row r="34" spans="1:16" ht="25.5">
      <c r="A34" s="209">
        <f t="shared" si="0"/>
        <v>30</v>
      </c>
      <c r="B34" s="214" t="s">
        <v>188</v>
      </c>
      <c r="C34" s="215">
        <v>5217652</v>
      </c>
      <c r="D34" s="216" t="s">
        <v>9196</v>
      </c>
      <c r="E34" s="263">
        <v>44928</v>
      </c>
      <c r="F34" s="263">
        <v>45659</v>
      </c>
      <c r="G34" s="216">
        <v>7.5</v>
      </c>
      <c r="H34" s="216">
        <v>0</v>
      </c>
      <c r="I34" s="216">
        <v>0</v>
      </c>
      <c r="J34" s="216">
        <v>112684000</v>
      </c>
      <c r="K34" s="216">
        <v>0</v>
      </c>
      <c r="L34" s="216">
        <v>0</v>
      </c>
      <c r="M34" s="216">
        <v>0</v>
      </c>
      <c r="N34" s="216">
        <v>0</v>
      </c>
      <c r="O34" s="216">
        <v>0</v>
      </c>
      <c r="P34" s="216">
        <v>0</v>
      </c>
    </row>
    <row r="35" spans="1:16">
      <c r="A35" s="209">
        <f t="shared" si="0"/>
        <v>31</v>
      </c>
      <c r="B35" s="214" t="s">
        <v>189</v>
      </c>
      <c r="C35" s="215">
        <v>2780518</v>
      </c>
      <c r="D35" s="210"/>
      <c r="E35" s="209"/>
      <c r="F35" s="209"/>
      <c r="G35" s="210"/>
      <c r="H35" s="210"/>
      <c r="I35" s="210"/>
      <c r="J35" s="210"/>
      <c r="K35" s="210"/>
      <c r="L35" s="210"/>
      <c r="M35" s="210"/>
      <c r="N35" s="210"/>
      <c r="O35" s="210"/>
      <c r="P35" s="210"/>
    </row>
    <row r="36" spans="1:16">
      <c r="A36" s="209">
        <f t="shared" si="0"/>
        <v>32</v>
      </c>
      <c r="B36" s="244" t="s">
        <v>193</v>
      </c>
      <c r="C36" s="215">
        <v>5272378</v>
      </c>
      <c r="D36" s="210"/>
      <c r="E36" s="209"/>
      <c r="F36" s="209"/>
      <c r="G36" s="210"/>
      <c r="H36" s="210"/>
      <c r="I36" s="210"/>
      <c r="J36" s="210"/>
      <c r="K36" s="210"/>
      <c r="L36" s="210"/>
      <c r="M36" s="210"/>
      <c r="N36" s="210"/>
      <c r="O36" s="210"/>
      <c r="P36" s="210"/>
    </row>
    <row r="37" spans="1:16">
      <c r="A37" s="209">
        <f t="shared" si="0"/>
        <v>33</v>
      </c>
      <c r="B37" s="214" t="s">
        <v>194</v>
      </c>
      <c r="C37" s="215">
        <v>5467268</v>
      </c>
      <c r="D37" s="210"/>
      <c r="E37" s="209"/>
      <c r="F37" s="209"/>
      <c r="G37" s="210"/>
      <c r="H37" s="210"/>
      <c r="I37" s="210"/>
      <c r="J37" s="210"/>
      <c r="K37" s="210"/>
      <c r="L37" s="210"/>
      <c r="M37" s="210"/>
      <c r="N37" s="210"/>
      <c r="O37" s="210"/>
      <c r="P37" s="210"/>
    </row>
    <row r="38" spans="1:16">
      <c r="A38" s="209">
        <f t="shared" si="0"/>
        <v>34</v>
      </c>
      <c r="B38" s="214" t="s">
        <v>196</v>
      </c>
      <c r="C38" s="215">
        <v>5522935</v>
      </c>
      <c r="D38" s="210"/>
      <c r="E38" s="209"/>
      <c r="F38" s="209"/>
      <c r="G38" s="210"/>
      <c r="H38" s="210"/>
      <c r="I38" s="210"/>
      <c r="J38" s="210"/>
      <c r="K38" s="210"/>
      <c r="L38" s="210"/>
      <c r="M38" s="210"/>
      <c r="N38" s="210"/>
      <c r="O38" s="210"/>
      <c r="P38" s="210"/>
    </row>
    <row r="39" spans="1:16">
      <c r="A39" s="209">
        <f t="shared" si="0"/>
        <v>35</v>
      </c>
      <c r="B39" s="244" t="s">
        <v>197</v>
      </c>
      <c r="C39" s="215">
        <v>5528089</v>
      </c>
      <c r="D39" s="210"/>
      <c r="E39" s="209"/>
      <c r="F39" s="209"/>
      <c r="G39" s="210"/>
      <c r="H39" s="210"/>
      <c r="I39" s="210"/>
      <c r="J39" s="210"/>
      <c r="K39" s="210"/>
      <c r="L39" s="210"/>
      <c r="M39" s="210"/>
      <c r="N39" s="210"/>
      <c r="O39" s="210"/>
      <c r="P39" s="210"/>
    </row>
    <row r="40" spans="1:16">
      <c r="A40" s="209">
        <f t="shared" si="0"/>
        <v>36</v>
      </c>
      <c r="B40" s="214" t="s">
        <v>198</v>
      </c>
      <c r="C40" s="215">
        <v>5396662</v>
      </c>
      <c r="D40" s="210"/>
      <c r="E40" s="209"/>
      <c r="F40" s="209"/>
      <c r="G40" s="210"/>
      <c r="H40" s="210"/>
      <c r="I40" s="210"/>
      <c r="J40" s="210"/>
      <c r="K40" s="210"/>
      <c r="L40" s="210"/>
      <c r="M40" s="210"/>
      <c r="N40" s="210"/>
      <c r="O40" s="210"/>
      <c r="P40" s="210"/>
    </row>
    <row r="41" spans="1:16">
      <c r="A41" s="209">
        <f t="shared" si="0"/>
        <v>37</v>
      </c>
      <c r="B41" s="214" t="s">
        <v>199</v>
      </c>
      <c r="C41" s="215">
        <v>5830974</v>
      </c>
      <c r="D41" s="210"/>
      <c r="E41" s="209"/>
      <c r="F41" s="209"/>
      <c r="G41" s="210"/>
      <c r="H41" s="210"/>
      <c r="I41" s="210"/>
      <c r="J41" s="210"/>
      <c r="K41" s="210"/>
      <c r="L41" s="210"/>
      <c r="M41" s="210"/>
      <c r="N41" s="210"/>
      <c r="O41" s="210"/>
      <c r="P41" s="210"/>
    </row>
    <row r="42" spans="1:16">
      <c r="A42" s="209">
        <f t="shared" si="0"/>
        <v>38</v>
      </c>
      <c r="B42" s="214" t="s">
        <v>201</v>
      </c>
      <c r="C42" s="215">
        <v>2057573</v>
      </c>
      <c r="D42" s="210"/>
      <c r="E42" s="209"/>
      <c r="F42" s="209"/>
      <c r="G42" s="210"/>
      <c r="H42" s="210"/>
      <c r="I42" s="210"/>
      <c r="J42" s="210"/>
      <c r="K42" s="210"/>
      <c r="L42" s="210"/>
      <c r="M42" s="210"/>
      <c r="N42" s="210"/>
      <c r="O42" s="210"/>
      <c r="P42" s="210"/>
    </row>
    <row r="43" spans="1:16">
      <c r="A43" s="209">
        <f t="shared" si="0"/>
        <v>39</v>
      </c>
      <c r="B43" s="214" t="s">
        <v>202</v>
      </c>
      <c r="C43" s="215">
        <v>5699134</v>
      </c>
      <c r="D43" s="210"/>
      <c r="E43" s="209"/>
      <c r="F43" s="209"/>
      <c r="G43" s="210"/>
      <c r="H43" s="210"/>
      <c r="I43" s="210"/>
      <c r="J43" s="210"/>
      <c r="K43" s="210"/>
      <c r="L43" s="210"/>
      <c r="M43" s="210"/>
      <c r="N43" s="210"/>
      <c r="O43" s="210"/>
      <c r="P43" s="210"/>
    </row>
    <row r="44" spans="1:16">
      <c r="A44" s="209">
        <f t="shared" si="0"/>
        <v>40</v>
      </c>
      <c r="B44" s="214" t="s">
        <v>203</v>
      </c>
      <c r="C44" s="215">
        <v>5412153</v>
      </c>
      <c r="D44" s="210"/>
      <c r="E44" s="209"/>
      <c r="F44" s="209"/>
      <c r="G44" s="210"/>
      <c r="H44" s="210"/>
      <c r="I44" s="210"/>
      <c r="J44" s="210"/>
      <c r="K44" s="210"/>
      <c r="L44" s="210"/>
      <c r="M44" s="210"/>
      <c r="N44" s="210"/>
      <c r="O44" s="210"/>
      <c r="P44" s="210"/>
    </row>
    <row r="45" spans="1:16">
      <c r="A45" s="209">
        <f t="shared" si="0"/>
        <v>41</v>
      </c>
      <c r="B45" s="214" t="s">
        <v>204</v>
      </c>
      <c r="C45" s="215">
        <v>2034859</v>
      </c>
      <c r="D45" s="210"/>
      <c r="E45" s="209"/>
      <c r="F45" s="209"/>
      <c r="G45" s="210"/>
      <c r="H45" s="210"/>
      <c r="I45" s="210"/>
      <c r="J45" s="210"/>
      <c r="K45" s="210"/>
      <c r="L45" s="210"/>
      <c r="M45" s="210"/>
      <c r="N45" s="210"/>
      <c r="O45" s="210"/>
      <c r="P45" s="210"/>
    </row>
    <row r="46" spans="1:16" ht="25.5">
      <c r="A46" s="209">
        <f t="shared" si="0"/>
        <v>42</v>
      </c>
      <c r="B46" s="266" t="s">
        <v>208</v>
      </c>
      <c r="C46" s="215">
        <v>5253535</v>
      </c>
      <c r="D46" s="210"/>
      <c r="E46" s="209"/>
      <c r="F46" s="209"/>
      <c r="G46" s="210"/>
      <c r="H46" s="210"/>
      <c r="I46" s="210"/>
      <c r="J46" s="210"/>
      <c r="K46" s="210"/>
      <c r="L46" s="210"/>
      <c r="M46" s="210"/>
      <c r="N46" s="210"/>
      <c r="O46" s="210"/>
      <c r="P46" s="210"/>
    </row>
    <row r="47" spans="1:16" ht="25.5">
      <c r="A47" s="209">
        <f t="shared" si="0"/>
        <v>43</v>
      </c>
      <c r="B47" s="266" t="s">
        <v>210</v>
      </c>
      <c r="C47" s="215">
        <v>5150884</v>
      </c>
      <c r="D47" s="210"/>
      <c r="E47" s="209"/>
      <c r="F47" s="209"/>
      <c r="G47" s="210"/>
      <c r="H47" s="210"/>
      <c r="I47" s="210"/>
      <c r="J47" s="210"/>
      <c r="K47" s="210"/>
      <c r="L47" s="210"/>
      <c r="M47" s="210"/>
      <c r="N47" s="210"/>
      <c r="O47" s="210"/>
      <c r="P47" s="210"/>
    </row>
    <row r="48" spans="1:16">
      <c r="A48" s="209">
        <f t="shared" si="0"/>
        <v>44</v>
      </c>
      <c r="B48" s="214" t="s">
        <v>211</v>
      </c>
      <c r="C48" s="215">
        <v>5051304</v>
      </c>
      <c r="D48" s="210"/>
      <c r="E48" s="209"/>
      <c r="F48" s="209"/>
      <c r="G48" s="210"/>
      <c r="H48" s="210"/>
      <c r="I48" s="210"/>
      <c r="J48" s="210"/>
      <c r="K48" s="210"/>
      <c r="L48" s="210"/>
      <c r="M48" s="210"/>
      <c r="N48" s="210"/>
      <c r="O48" s="210"/>
      <c r="P48" s="210"/>
    </row>
    <row r="49" spans="1:16" ht="25.5">
      <c r="A49" s="209">
        <f t="shared" si="0"/>
        <v>45</v>
      </c>
      <c r="B49" s="483" t="s">
        <v>213</v>
      </c>
      <c r="C49" s="215">
        <v>5401801</v>
      </c>
      <c r="D49" s="210"/>
      <c r="E49" s="209"/>
      <c r="F49" s="209"/>
      <c r="G49" s="210"/>
      <c r="H49" s="210"/>
      <c r="I49" s="210"/>
      <c r="J49" s="210"/>
      <c r="K49" s="210"/>
      <c r="L49" s="210"/>
      <c r="M49" s="210"/>
      <c r="N49" s="210"/>
      <c r="O49" s="210"/>
      <c r="P49" s="210"/>
    </row>
    <row r="50" spans="1:16">
      <c r="A50" s="209">
        <f t="shared" si="0"/>
        <v>46</v>
      </c>
      <c r="B50" s="244" t="s">
        <v>214</v>
      </c>
      <c r="C50" s="215">
        <v>2550466</v>
      </c>
      <c r="D50" s="210"/>
      <c r="E50" s="209"/>
      <c r="F50" s="209"/>
      <c r="G50" s="210"/>
      <c r="H50" s="210"/>
      <c r="I50" s="210"/>
      <c r="J50" s="210"/>
      <c r="K50" s="210"/>
      <c r="L50" s="210"/>
      <c r="M50" s="210"/>
      <c r="N50" s="210"/>
      <c r="O50" s="210"/>
      <c r="P50" s="210"/>
    </row>
    <row r="51" spans="1:16">
      <c r="A51" s="209">
        <f t="shared" si="0"/>
        <v>47</v>
      </c>
      <c r="B51" s="214" t="s">
        <v>216</v>
      </c>
      <c r="C51" s="215">
        <v>5051134</v>
      </c>
      <c r="D51" s="216" t="s">
        <v>9197</v>
      </c>
      <c r="E51" s="263">
        <v>44927</v>
      </c>
      <c r="F51" s="263">
        <v>45291</v>
      </c>
      <c r="G51" s="216"/>
      <c r="H51" s="216">
        <v>0</v>
      </c>
      <c r="I51" s="216">
        <v>0</v>
      </c>
      <c r="J51" s="216">
        <v>0</v>
      </c>
      <c r="K51" s="216">
        <v>54000</v>
      </c>
      <c r="L51" s="216">
        <v>0</v>
      </c>
      <c r="M51" s="216">
        <v>0</v>
      </c>
      <c r="N51" s="216">
        <v>0</v>
      </c>
      <c r="O51" s="216">
        <v>0</v>
      </c>
      <c r="P51" s="216">
        <v>5000</v>
      </c>
    </row>
    <row r="52" spans="1:16">
      <c r="A52" s="209">
        <f t="shared" si="0"/>
        <v>48</v>
      </c>
      <c r="B52" s="214" t="s">
        <v>217</v>
      </c>
      <c r="C52" s="215">
        <v>2095025</v>
      </c>
      <c r="D52" s="210"/>
      <c r="E52" s="209"/>
      <c r="F52" s="209"/>
      <c r="G52" s="210"/>
      <c r="H52" s="210"/>
      <c r="I52" s="210"/>
      <c r="J52" s="210"/>
      <c r="K52" s="210"/>
      <c r="L52" s="210"/>
      <c r="M52" s="210"/>
      <c r="N52" s="210"/>
      <c r="O52" s="210"/>
      <c r="P52" s="210"/>
    </row>
    <row r="53" spans="1:16">
      <c r="A53" s="209">
        <f t="shared" si="0"/>
        <v>49</v>
      </c>
      <c r="B53" s="214" t="s">
        <v>218</v>
      </c>
      <c r="C53" s="215">
        <v>2045931</v>
      </c>
      <c r="D53" s="210"/>
      <c r="E53" s="209"/>
      <c r="F53" s="209"/>
      <c r="G53" s="210"/>
      <c r="H53" s="210"/>
      <c r="I53" s="210"/>
      <c r="J53" s="210"/>
      <c r="K53" s="210"/>
      <c r="L53" s="210"/>
      <c r="M53" s="210"/>
      <c r="N53" s="210"/>
      <c r="O53" s="210"/>
      <c r="P53" s="210"/>
    </row>
    <row r="54" spans="1:16">
      <c r="A54" s="209">
        <f t="shared" si="0"/>
        <v>50</v>
      </c>
      <c r="B54" s="244" t="s">
        <v>219</v>
      </c>
      <c r="C54" s="215">
        <v>2029278</v>
      </c>
      <c r="D54" s="210"/>
      <c r="E54" s="209"/>
      <c r="F54" s="209"/>
      <c r="G54" s="210"/>
      <c r="H54" s="210"/>
      <c r="I54" s="210"/>
      <c r="J54" s="210"/>
      <c r="K54" s="210"/>
      <c r="L54" s="210"/>
      <c r="M54" s="210"/>
      <c r="N54" s="210"/>
      <c r="O54" s="210"/>
      <c r="P54" s="210"/>
    </row>
    <row r="55" spans="1:16" ht="25.5">
      <c r="A55" s="209">
        <f t="shared" si="0"/>
        <v>51</v>
      </c>
      <c r="B55" s="266" t="s">
        <v>220</v>
      </c>
      <c r="C55" s="215">
        <v>5106567</v>
      </c>
      <c r="D55" s="216" t="s">
        <v>9198</v>
      </c>
      <c r="E55" s="263">
        <v>44927</v>
      </c>
      <c r="F55" s="263">
        <v>45291</v>
      </c>
      <c r="G55" s="484">
        <v>16228</v>
      </c>
      <c r="H55" s="216">
        <v>0</v>
      </c>
      <c r="I55" s="216">
        <v>0</v>
      </c>
      <c r="J55" s="216">
        <v>288860000</v>
      </c>
      <c r="K55" s="216">
        <v>0</v>
      </c>
      <c r="L55" s="216">
        <v>0</v>
      </c>
      <c r="M55" s="216">
        <v>0</v>
      </c>
      <c r="N55" s="216">
        <v>0</v>
      </c>
      <c r="O55" s="216">
        <v>0</v>
      </c>
      <c r="P55" s="216">
        <v>0</v>
      </c>
    </row>
    <row r="56" spans="1:16">
      <c r="A56" s="209">
        <f t="shared" si="0"/>
        <v>52</v>
      </c>
      <c r="B56" s="214" t="s">
        <v>222</v>
      </c>
      <c r="C56" s="215">
        <v>5141583</v>
      </c>
      <c r="D56" s="210"/>
      <c r="E56" s="209"/>
      <c r="F56" s="209"/>
      <c r="G56" s="210"/>
      <c r="H56" s="210"/>
      <c r="I56" s="210"/>
      <c r="J56" s="210"/>
      <c r="K56" s="210"/>
      <c r="L56" s="210"/>
      <c r="M56" s="210"/>
      <c r="N56" s="210"/>
      <c r="O56" s="210"/>
      <c r="P56" s="210"/>
    </row>
    <row r="57" spans="1:16">
      <c r="A57" s="209">
        <f t="shared" si="0"/>
        <v>53</v>
      </c>
      <c r="B57" s="244" t="s">
        <v>223</v>
      </c>
      <c r="C57" s="215">
        <v>5118115</v>
      </c>
      <c r="D57" s="210"/>
      <c r="E57" s="209"/>
      <c r="F57" s="209"/>
      <c r="G57" s="210"/>
      <c r="H57" s="210"/>
      <c r="I57" s="210"/>
      <c r="J57" s="210"/>
      <c r="K57" s="210"/>
      <c r="L57" s="210"/>
      <c r="M57" s="210"/>
      <c r="N57" s="210"/>
      <c r="O57" s="210"/>
      <c r="P57" s="210"/>
    </row>
    <row r="58" spans="1:16">
      <c r="A58" s="209">
        <f t="shared" si="0"/>
        <v>54</v>
      </c>
      <c r="B58" s="214" t="s">
        <v>224</v>
      </c>
      <c r="C58" s="215">
        <v>5106656</v>
      </c>
      <c r="D58" s="210"/>
      <c r="E58" s="209"/>
      <c r="F58" s="209"/>
      <c r="G58" s="210"/>
      <c r="H58" s="210"/>
      <c r="I58" s="210"/>
      <c r="J58" s="210"/>
      <c r="K58" s="210"/>
      <c r="L58" s="210"/>
      <c r="M58" s="210"/>
      <c r="N58" s="210"/>
      <c r="O58" s="210"/>
      <c r="P58" s="210"/>
    </row>
    <row r="59" spans="1:16">
      <c r="A59" s="209">
        <f t="shared" si="0"/>
        <v>55</v>
      </c>
      <c r="B59" s="214" t="s">
        <v>225</v>
      </c>
      <c r="C59" s="215">
        <v>2010895</v>
      </c>
      <c r="D59" s="216" t="s">
        <v>9199</v>
      </c>
      <c r="E59" s="263">
        <v>44928</v>
      </c>
      <c r="F59" s="263">
        <v>45289</v>
      </c>
      <c r="G59" s="216">
        <v>4.7</v>
      </c>
      <c r="H59" s="216">
        <v>0</v>
      </c>
      <c r="I59" s="216">
        <v>0</v>
      </c>
      <c r="J59" s="216">
        <v>75838.600000000006</v>
      </c>
      <c r="K59" s="216">
        <v>0</v>
      </c>
      <c r="L59" s="216">
        <v>0</v>
      </c>
      <c r="M59" s="216">
        <v>2.6</v>
      </c>
      <c r="N59" s="216">
        <v>0</v>
      </c>
      <c r="O59" s="216">
        <v>7534.8</v>
      </c>
      <c r="P59" s="216">
        <v>0</v>
      </c>
    </row>
    <row r="60" spans="1:16" ht="25.5">
      <c r="A60" s="209">
        <f t="shared" si="0"/>
        <v>56</v>
      </c>
      <c r="B60" s="295" t="s">
        <v>227</v>
      </c>
      <c r="C60" s="217">
        <v>5295858</v>
      </c>
      <c r="D60" s="210" t="s">
        <v>9200</v>
      </c>
      <c r="E60" s="217" t="s">
        <v>8377</v>
      </c>
      <c r="F60" s="217" t="s">
        <v>8377</v>
      </c>
      <c r="G60" s="210">
        <v>42.94</v>
      </c>
      <c r="H60" s="216">
        <v>0</v>
      </c>
      <c r="I60" s="216">
        <v>0</v>
      </c>
      <c r="J60" s="297">
        <v>581913.41</v>
      </c>
      <c r="K60" s="216">
        <v>0</v>
      </c>
      <c r="L60" s="216">
        <v>0</v>
      </c>
      <c r="M60" s="216">
        <v>0</v>
      </c>
      <c r="N60" s="216">
        <v>0</v>
      </c>
      <c r="O60" s="216">
        <v>0</v>
      </c>
      <c r="P60" s="216">
        <v>0</v>
      </c>
    </row>
    <row r="61" spans="1:16" ht="25.5">
      <c r="A61" s="209">
        <f t="shared" si="0"/>
        <v>57</v>
      </c>
      <c r="B61" s="295" t="s">
        <v>227</v>
      </c>
      <c r="C61" s="217">
        <v>5295858</v>
      </c>
      <c r="D61" s="210" t="s">
        <v>127</v>
      </c>
      <c r="E61" s="217" t="s">
        <v>8377</v>
      </c>
      <c r="F61" s="217" t="s">
        <v>8377</v>
      </c>
      <c r="G61" s="210">
        <v>25.59</v>
      </c>
      <c r="H61" s="216">
        <v>0</v>
      </c>
      <c r="I61" s="216">
        <v>0</v>
      </c>
      <c r="J61" s="297">
        <v>301597.58</v>
      </c>
      <c r="K61" s="216">
        <v>0</v>
      </c>
      <c r="L61" s="216">
        <v>0</v>
      </c>
      <c r="M61" s="216">
        <v>0</v>
      </c>
      <c r="N61" s="216">
        <v>0</v>
      </c>
      <c r="O61" s="216">
        <v>0</v>
      </c>
      <c r="P61" s="216">
        <v>0</v>
      </c>
    </row>
    <row r="62" spans="1:16" ht="25.5">
      <c r="A62" s="209">
        <f t="shared" si="0"/>
        <v>58</v>
      </c>
      <c r="B62" s="295" t="s">
        <v>227</v>
      </c>
      <c r="C62" s="217">
        <v>5295858</v>
      </c>
      <c r="D62" s="210" t="s">
        <v>9201</v>
      </c>
      <c r="E62" s="390">
        <v>45291</v>
      </c>
      <c r="F62" s="390">
        <v>45291</v>
      </c>
      <c r="G62" s="210">
        <v>5.49</v>
      </c>
      <c r="H62" s="216">
        <v>0</v>
      </c>
      <c r="I62" s="216">
        <v>0</v>
      </c>
      <c r="J62" s="297">
        <v>72078.080000000002</v>
      </c>
      <c r="K62" s="216">
        <v>0</v>
      </c>
      <c r="L62" s="216">
        <v>0</v>
      </c>
      <c r="M62" s="210">
        <v>20.51</v>
      </c>
      <c r="N62" s="297">
        <v>114658.9</v>
      </c>
      <c r="O62" s="210"/>
      <c r="P62" s="210"/>
    </row>
    <row r="63" spans="1:16">
      <c r="A63" s="209">
        <f t="shared" si="0"/>
        <v>59</v>
      </c>
      <c r="B63" s="214" t="s">
        <v>228</v>
      </c>
      <c r="C63" s="215">
        <v>6287727</v>
      </c>
      <c r="D63" s="210"/>
      <c r="E63" s="209"/>
      <c r="F63" s="209"/>
      <c r="G63" s="210"/>
      <c r="H63" s="210"/>
      <c r="I63" s="210"/>
      <c r="J63" s="210"/>
      <c r="K63" s="210"/>
      <c r="L63" s="210"/>
      <c r="M63" s="210"/>
      <c r="N63" s="210"/>
      <c r="O63" s="210"/>
      <c r="P63" s="210"/>
    </row>
    <row r="64" spans="1:16">
      <c r="A64" s="209">
        <f t="shared" si="0"/>
        <v>60</v>
      </c>
      <c r="B64" s="244" t="s">
        <v>229</v>
      </c>
      <c r="C64" s="215">
        <v>2659603</v>
      </c>
      <c r="D64" s="210"/>
      <c r="E64" s="209"/>
      <c r="F64" s="209"/>
      <c r="G64" s="210"/>
      <c r="H64" s="210"/>
      <c r="I64" s="210"/>
      <c r="J64" s="210"/>
      <c r="K64" s="210"/>
      <c r="L64" s="210"/>
      <c r="M64" s="210"/>
      <c r="N64" s="210"/>
      <c r="O64" s="210"/>
      <c r="P64" s="210"/>
    </row>
    <row r="65" spans="1:17">
      <c r="A65" s="209">
        <f t="shared" si="0"/>
        <v>61</v>
      </c>
      <c r="B65" s="214" t="s">
        <v>230</v>
      </c>
      <c r="C65" s="215">
        <v>2678187</v>
      </c>
      <c r="D65" s="210"/>
      <c r="E65" s="209"/>
      <c r="F65" s="209"/>
      <c r="G65" s="210"/>
      <c r="H65" s="210"/>
      <c r="I65" s="210"/>
      <c r="J65" s="210"/>
      <c r="K65" s="210"/>
      <c r="L65" s="210"/>
      <c r="M65" s="210"/>
      <c r="N65" s="210"/>
      <c r="O65" s="210"/>
      <c r="P65" s="210"/>
    </row>
    <row r="66" spans="1:17">
      <c r="A66" s="209">
        <f t="shared" si="0"/>
        <v>62</v>
      </c>
      <c r="B66" s="214" t="s">
        <v>231</v>
      </c>
      <c r="C66" s="215">
        <v>2657457</v>
      </c>
      <c r="D66" s="210"/>
      <c r="E66" s="209"/>
      <c r="F66" s="209"/>
      <c r="G66" s="210"/>
      <c r="H66" s="210"/>
      <c r="I66" s="210"/>
      <c r="J66" s="210"/>
      <c r="K66" s="210"/>
      <c r="L66" s="210"/>
      <c r="M66" s="210"/>
      <c r="N66" s="210"/>
      <c r="O66" s="210"/>
      <c r="P66" s="210"/>
    </row>
    <row r="67" spans="1:17">
      <c r="A67" s="209">
        <f t="shared" si="0"/>
        <v>63</v>
      </c>
      <c r="B67" s="214" t="s">
        <v>232</v>
      </c>
      <c r="C67" s="215">
        <v>3615243</v>
      </c>
      <c r="D67" s="210"/>
      <c r="E67" s="209"/>
      <c r="F67" s="209"/>
      <c r="G67" s="210"/>
      <c r="H67" s="210"/>
      <c r="I67" s="210"/>
      <c r="J67" s="210"/>
      <c r="K67" s="210"/>
      <c r="L67" s="210"/>
      <c r="M67" s="210"/>
      <c r="N67" s="210"/>
      <c r="O67" s="210"/>
      <c r="P67" s="210"/>
    </row>
    <row r="68" spans="1:17">
      <c r="A68" s="209">
        <f t="shared" si="0"/>
        <v>64</v>
      </c>
      <c r="B68" s="214" t="s">
        <v>236</v>
      </c>
      <c r="C68" s="215">
        <v>3623955</v>
      </c>
      <c r="D68" s="210"/>
      <c r="E68" s="209"/>
      <c r="F68" s="209"/>
      <c r="G68" s="210"/>
      <c r="H68" s="210"/>
      <c r="I68" s="210"/>
      <c r="J68" s="210"/>
      <c r="K68" s="210"/>
      <c r="L68" s="210"/>
      <c r="M68" s="210"/>
      <c r="N68" s="210"/>
      <c r="O68" s="210"/>
      <c r="P68" s="210"/>
    </row>
    <row r="69" spans="1:17">
      <c r="A69" s="209">
        <f t="shared" si="0"/>
        <v>65</v>
      </c>
      <c r="B69" s="214" t="s">
        <v>239</v>
      </c>
      <c r="C69" s="215">
        <v>5199077</v>
      </c>
      <c r="D69" s="210"/>
      <c r="E69" s="209"/>
      <c r="F69" s="209"/>
      <c r="G69" s="210"/>
      <c r="H69" s="210"/>
      <c r="I69" s="210"/>
      <c r="J69" s="210"/>
      <c r="K69" s="210"/>
      <c r="L69" s="210"/>
      <c r="M69" s="210"/>
      <c r="N69" s="210"/>
      <c r="O69" s="210"/>
      <c r="P69" s="210"/>
    </row>
    <row r="70" spans="1:17">
      <c r="A70" s="209">
        <f t="shared" si="0"/>
        <v>66</v>
      </c>
      <c r="B70" s="244" t="s">
        <v>240</v>
      </c>
      <c r="C70" s="215">
        <v>2075385</v>
      </c>
      <c r="D70" s="210"/>
      <c r="E70" s="209"/>
      <c r="F70" s="209"/>
      <c r="G70" s="210"/>
      <c r="H70" s="210"/>
      <c r="I70" s="210"/>
      <c r="J70" s="210"/>
      <c r="K70" s="210"/>
      <c r="L70" s="210"/>
      <c r="M70" s="210"/>
      <c r="N70" s="210"/>
      <c r="O70" s="210"/>
      <c r="P70" s="210"/>
    </row>
    <row r="71" spans="1:17">
      <c r="A71" s="209">
        <f t="shared" ref="A71:A134" si="1">A70+1</f>
        <v>67</v>
      </c>
      <c r="B71" s="244" t="s">
        <v>241</v>
      </c>
      <c r="C71" s="215">
        <v>2867095</v>
      </c>
      <c r="D71" s="210"/>
      <c r="E71" s="209"/>
      <c r="F71" s="209"/>
      <c r="G71" s="210"/>
      <c r="H71" s="210"/>
      <c r="I71" s="210"/>
      <c r="J71" s="210"/>
      <c r="K71" s="210"/>
      <c r="L71" s="210"/>
      <c r="M71" s="210"/>
      <c r="N71" s="210"/>
      <c r="O71" s="210"/>
      <c r="P71" s="210"/>
    </row>
    <row r="72" spans="1:17">
      <c r="A72" s="209">
        <f t="shared" si="1"/>
        <v>68</v>
      </c>
      <c r="B72" s="244" t="s">
        <v>242</v>
      </c>
      <c r="C72" s="209">
        <v>5076285</v>
      </c>
      <c r="D72" s="216" t="s">
        <v>9202</v>
      </c>
      <c r="E72" s="217" t="s">
        <v>8377</v>
      </c>
      <c r="F72" s="217" t="s">
        <v>8377</v>
      </c>
      <c r="G72" s="216">
        <v>2.423</v>
      </c>
      <c r="H72" s="216">
        <v>0</v>
      </c>
      <c r="I72" s="216">
        <v>0</v>
      </c>
      <c r="J72" s="216">
        <v>27253000</v>
      </c>
      <c r="K72" s="216">
        <v>0</v>
      </c>
      <c r="L72" s="216">
        <v>0</v>
      </c>
      <c r="M72" s="216">
        <v>3.427</v>
      </c>
      <c r="N72" s="216">
        <v>0</v>
      </c>
      <c r="O72" s="216">
        <v>11439300</v>
      </c>
      <c r="P72" s="216">
        <v>0</v>
      </c>
      <c r="Q72" s="208"/>
    </row>
    <row r="73" spans="1:17">
      <c r="A73" s="209">
        <f t="shared" si="1"/>
        <v>69</v>
      </c>
      <c r="B73" s="214" t="s">
        <v>242</v>
      </c>
      <c r="C73" s="215">
        <v>5076285</v>
      </c>
      <c r="D73" s="216" t="s">
        <v>9203</v>
      </c>
      <c r="E73" s="217" t="s">
        <v>8377</v>
      </c>
      <c r="F73" s="217" t="s">
        <v>8377</v>
      </c>
      <c r="G73" s="216">
        <v>10.285</v>
      </c>
      <c r="H73" s="216">
        <v>0</v>
      </c>
      <c r="I73" s="216">
        <v>0</v>
      </c>
      <c r="J73" s="216">
        <v>156708000</v>
      </c>
      <c r="K73" s="216">
        <v>0</v>
      </c>
      <c r="L73" s="216">
        <v>0</v>
      </c>
      <c r="M73" s="216">
        <v>0</v>
      </c>
      <c r="N73" s="216">
        <v>0</v>
      </c>
      <c r="O73" s="216">
        <v>0</v>
      </c>
      <c r="P73" s="216">
        <v>0</v>
      </c>
      <c r="Q73" s="95"/>
    </row>
    <row r="74" spans="1:17">
      <c r="A74" s="209">
        <f t="shared" si="1"/>
        <v>70</v>
      </c>
      <c r="B74" s="214" t="s">
        <v>243</v>
      </c>
      <c r="C74" s="215">
        <v>5084555</v>
      </c>
      <c r="D74" s="210"/>
      <c r="E74" s="209"/>
      <c r="F74" s="209"/>
      <c r="G74" s="210"/>
      <c r="H74" s="210"/>
      <c r="I74" s="210"/>
      <c r="J74" s="210"/>
      <c r="K74" s="210"/>
      <c r="L74" s="210"/>
      <c r="M74" s="210"/>
      <c r="N74" s="210"/>
      <c r="O74" s="210"/>
      <c r="P74" s="210"/>
    </row>
    <row r="75" spans="1:17">
      <c r="A75" s="209">
        <f t="shared" si="1"/>
        <v>71</v>
      </c>
      <c r="B75" s="214" t="s">
        <v>244</v>
      </c>
      <c r="C75" s="215">
        <v>5261198</v>
      </c>
      <c r="D75" s="210"/>
      <c r="E75" s="209"/>
      <c r="F75" s="209"/>
      <c r="G75" s="210"/>
      <c r="H75" s="210"/>
      <c r="I75" s="210"/>
      <c r="J75" s="210"/>
      <c r="K75" s="210"/>
      <c r="L75" s="210"/>
      <c r="M75" s="210"/>
      <c r="N75" s="210"/>
      <c r="O75" s="210"/>
      <c r="P75" s="210"/>
    </row>
    <row r="76" spans="1:17">
      <c r="A76" s="209">
        <f t="shared" si="1"/>
        <v>72</v>
      </c>
      <c r="B76" s="214" t="s">
        <v>246</v>
      </c>
      <c r="C76" s="215">
        <v>5288703</v>
      </c>
      <c r="D76" s="210"/>
      <c r="E76" s="209"/>
      <c r="F76" s="209"/>
      <c r="G76" s="210"/>
      <c r="H76" s="210"/>
      <c r="I76" s="210"/>
      <c r="J76" s="210"/>
      <c r="K76" s="210"/>
      <c r="L76" s="210"/>
      <c r="M76" s="210"/>
      <c r="N76" s="210"/>
      <c r="O76" s="210"/>
      <c r="P76" s="210"/>
    </row>
    <row r="77" spans="1:17">
      <c r="A77" s="209">
        <f t="shared" si="1"/>
        <v>73</v>
      </c>
      <c r="B77" s="214" t="s">
        <v>248</v>
      </c>
      <c r="C77" s="215">
        <v>6232485</v>
      </c>
      <c r="D77" s="210"/>
      <c r="E77" s="209"/>
      <c r="F77" s="209"/>
      <c r="G77" s="210"/>
      <c r="H77" s="210"/>
      <c r="I77" s="210"/>
      <c r="J77" s="210"/>
      <c r="K77" s="210"/>
      <c r="L77" s="210"/>
      <c r="M77" s="210"/>
      <c r="N77" s="210"/>
      <c r="O77" s="210"/>
      <c r="P77" s="210"/>
    </row>
    <row r="78" spans="1:17">
      <c r="A78" s="209">
        <f t="shared" si="1"/>
        <v>74</v>
      </c>
      <c r="B78" s="214" t="s">
        <v>249</v>
      </c>
      <c r="C78" s="215">
        <v>6101615</v>
      </c>
      <c r="D78" s="210"/>
      <c r="E78" s="209"/>
      <c r="F78" s="209"/>
      <c r="G78" s="210"/>
      <c r="H78" s="210"/>
      <c r="I78" s="210"/>
      <c r="J78" s="210"/>
      <c r="K78" s="210"/>
      <c r="L78" s="210"/>
      <c r="M78" s="210"/>
      <c r="N78" s="210"/>
      <c r="O78" s="210"/>
      <c r="P78" s="210"/>
    </row>
    <row r="79" spans="1:17">
      <c r="A79" s="209">
        <f t="shared" si="1"/>
        <v>75</v>
      </c>
      <c r="B79" s="244" t="s">
        <v>250</v>
      </c>
      <c r="C79" s="215">
        <v>5120365</v>
      </c>
      <c r="D79" s="210"/>
      <c r="E79" s="209"/>
      <c r="F79" s="209"/>
      <c r="G79" s="210"/>
      <c r="H79" s="210"/>
      <c r="I79" s="210"/>
      <c r="J79" s="210"/>
      <c r="K79" s="210"/>
      <c r="L79" s="210"/>
      <c r="M79" s="210"/>
      <c r="N79" s="210"/>
      <c r="O79" s="210"/>
      <c r="P79" s="210"/>
    </row>
    <row r="80" spans="1:17">
      <c r="A80" s="209">
        <f t="shared" si="1"/>
        <v>76</v>
      </c>
      <c r="B80" s="244" t="s">
        <v>251</v>
      </c>
      <c r="C80" s="215">
        <v>2016656</v>
      </c>
      <c r="D80" s="210"/>
      <c r="E80" s="209"/>
      <c r="F80" s="209"/>
      <c r="G80" s="210"/>
      <c r="H80" s="210"/>
      <c r="I80" s="210"/>
      <c r="J80" s="210"/>
      <c r="K80" s="210"/>
      <c r="L80" s="210"/>
      <c r="M80" s="210"/>
      <c r="N80" s="210"/>
      <c r="O80" s="210"/>
      <c r="P80" s="210"/>
    </row>
    <row r="81" spans="1:17">
      <c r="A81" s="209">
        <f t="shared" si="1"/>
        <v>77</v>
      </c>
      <c r="B81" s="214" t="s">
        <v>253</v>
      </c>
      <c r="C81" s="215">
        <v>5872006</v>
      </c>
      <c r="D81" s="210"/>
      <c r="E81" s="209"/>
      <c r="F81" s="209"/>
      <c r="G81" s="210"/>
      <c r="H81" s="210"/>
      <c r="I81" s="210"/>
      <c r="J81" s="210"/>
      <c r="K81" s="210"/>
      <c r="L81" s="210"/>
      <c r="M81" s="210"/>
      <c r="N81" s="210"/>
      <c r="O81" s="210"/>
      <c r="P81" s="210"/>
    </row>
    <row r="82" spans="1:17">
      <c r="A82" s="209">
        <f t="shared" si="1"/>
        <v>78</v>
      </c>
      <c r="B82" s="244" t="s">
        <v>254</v>
      </c>
      <c r="C82" s="215">
        <v>5774047</v>
      </c>
      <c r="D82" s="210"/>
      <c r="E82" s="209"/>
      <c r="F82" s="209"/>
      <c r="G82" s="210"/>
      <c r="H82" s="210"/>
      <c r="I82" s="210"/>
      <c r="J82" s="210"/>
      <c r="K82" s="210"/>
      <c r="L82" s="210"/>
      <c r="M82" s="210"/>
      <c r="N82" s="210"/>
      <c r="O82" s="210"/>
      <c r="P82" s="210"/>
    </row>
    <row r="83" spans="1:17">
      <c r="A83" s="209">
        <f t="shared" si="1"/>
        <v>79</v>
      </c>
      <c r="B83" s="244" t="s">
        <v>257</v>
      </c>
      <c r="C83" s="215">
        <v>5105439</v>
      </c>
      <c r="D83" s="210"/>
      <c r="E83" s="209"/>
      <c r="F83" s="209"/>
      <c r="G83" s="210"/>
      <c r="H83" s="210"/>
      <c r="I83" s="210"/>
      <c r="J83" s="210"/>
      <c r="K83" s="210"/>
      <c r="L83" s="210"/>
      <c r="M83" s="210"/>
      <c r="N83" s="210"/>
      <c r="O83" s="210"/>
      <c r="P83" s="210"/>
    </row>
    <row r="84" spans="1:17">
      <c r="A84" s="209">
        <f t="shared" si="1"/>
        <v>80</v>
      </c>
      <c r="B84" s="214" t="s">
        <v>258</v>
      </c>
      <c r="C84" s="215">
        <v>2663813</v>
      </c>
      <c r="D84" s="210"/>
      <c r="E84" s="209"/>
      <c r="F84" s="209"/>
      <c r="G84" s="210"/>
      <c r="H84" s="210"/>
      <c r="I84" s="210"/>
      <c r="J84" s="210"/>
      <c r="K84" s="210"/>
      <c r="L84" s="210"/>
      <c r="M84" s="210"/>
      <c r="N84" s="210"/>
      <c r="O84" s="210"/>
      <c r="P84" s="210"/>
    </row>
    <row r="85" spans="1:17">
      <c r="A85" s="209">
        <f t="shared" si="1"/>
        <v>81</v>
      </c>
      <c r="B85" s="214" t="s">
        <v>260</v>
      </c>
      <c r="C85" s="215">
        <v>2016931</v>
      </c>
      <c r="D85" s="210"/>
      <c r="E85" s="209"/>
      <c r="F85" s="209"/>
      <c r="G85" s="210"/>
      <c r="H85" s="210"/>
      <c r="I85" s="210"/>
      <c r="J85" s="210"/>
      <c r="K85" s="210"/>
      <c r="L85" s="210"/>
      <c r="M85" s="210"/>
      <c r="N85" s="210"/>
      <c r="O85" s="210"/>
      <c r="P85" s="210"/>
    </row>
    <row r="86" spans="1:17">
      <c r="A86" s="209">
        <f t="shared" si="1"/>
        <v>82</v>
      </c>
      <c r="B86" s="214" t="s">
        <v>263</v>
      </c>
      <c r="C86" s="215">
        <v>5513618</v>
      </c>
      <c r="D86" s="210"/>
      <c r="E86" s="209"/>
      <c r="F86" s="209"/>
      <c r="G86" s="210"/>
      <c r="H86" s="210"/>
      <c r="I86" s="210"/>
      <c r="J86" s="210"/>
      <c r="K86" s="210"/>
      <c r="L86" s="210"/>
      <c r="M86" s="210"/>
      <c r="N86" s="210"/>
      <c r="O86" s="210"/>
      <c r="P86" s="210"/>
    </row>
    <row r="87" spans="1:17" ht="25.5">
      <c r="A87" s="209">
        <f t="shared" si="1"/>
        <v>83</v>
      </c>
      <c r="B87" s="244" t="s">
        <v>264</v>
      </c>
      <c r="C87" s="209">
        <v>2807459</v>
      </c>
      <c r="D87" s="216" t="s">
        <v>9204</v>
      </c>
      <c r="E87" s="217" t="s">
        <v>8377</v>
      </c>
      <c r="F87" s="217" t="s">
        <v>8377</v>
      </c>
      <c r="G87" s="216"/>
      <c r="H87" s="216">
        <v>0</v>
      </c>
      <c r="I87" s="216">
        <v>0</v>
      </c>
      <c r="J87" s="216">
        <v>7480200</v>
      </c>
      <c r="K87" s="216">
        <v>0</v>
      </c>
      <c r="L87" s="216">
        <v>0</v>
      </c>
      <c r="M87" s="216">
        <v>0</v>
      </c>
      <c r="N87" s="216">
        <v>0</v>
      </c>
      <c r="O87" s="216">
        <v>0</v>
      </c>
      <c r="P87" s="216">
        <v>0</v>
      </c>
      <c r="Q87" s="208"/>
    </row>
    <row r="88" spans="1:17" ht="25.5">
      <c r="A88" s="209">
        <f t="shared" si="1"/>
        <v>84</v>
      </c>
      <c r="B88" s="214" t="s">
        <v>264</v>
      </c>
      <c r="C88" s="215">
        <v>2807459</v>
      </c>
      <c r="D88" s="216" t="s">
        <v>9205</v>
      </c>
      <c r="E88" s="217" t="s">
        <v>8377</v>
      </c>
      <c r="F88" s="217" t="s">
        <v>8377</v>
      </c>
      <c r="G88" s="216"/>
      <c r="H88" s="216">
        <v>0</v>
      </c>
      <c r="I88" s="216">
        <v>0</v>
      </c>
      <c r="J88" s="216">
        <v>3880000</v>
      </c>
      <c r="K88" s="216">
        <v>0</v>
      </c>
      <c r="L88" s="216">
        <v>0</v>
      </c>
      <c r="M88" s="216">
        <v>0</v>
      </c>
      <c r="N88" s="216">
        <v>0</v>
      </c>
      <c r="O88" s="216">
        <v>0</v>
      </c>
      <c r="P88" s="216">
        <v>0</v>
      </c>
      <c r="Q88" s="95"/>
    </row>
    <row r="89" spans="1:17">
      <c r="A89" s="209">
        <f t="shared" si="1"/>
        <v>85</v>
      </c>
      <c r="B89" s="244" t="s">
        <v>265</v>
      </c>
      <c r="C89" s="215">
        <v>2872943</v>
      </c>
      <c r="D89" s="216" t="s">
        <v>9206</v>
      </c>
      <c r="E89" s="263">
        <v>44927</v>
      </c>
      <c r="F89" s="263">
        <v>45291</v>
      </c>
      <c r="G89" s="216">
        <v>24.3</v>
      </c>
      <c r="H89" s="216">
        <v>0</v>
      </c>
      <c r="I89" s="216">
        <v>0</v>
      </c>
      <c r="J89" s="216">
        <v>368172</v>
      </c>
      <c r="K89" s="216">
        <v>0</v>
      </c>
      <c r="L89" s="216">
        <v>0</v>
      </c>
      <c r="M89" s="216">
        <v>5.4</v>
      </c>
      <c r="N89" s="216">
        <v>0</v>
      </c>
      <c r="O89" s="216">
        <v>81000</v>
      </c>
      <c r="P89" s="216">
        <v>0</v>
      </c>
    </row>
    <row r="90" spans="1:17" ht="25.5">
      <c r="A90" s="209">
        <f t="shared" si="1"/>
        <v>86</v>
      </c>
      <c r="B90" s="214" t="s">
        <v>266</v>
      </c>
      <c r="C90" s="215">
        <v>6268048</v>
      </c>
      <c r="D90" s="216" t="s">
        <v>9207</v>
      </c>
      <c r="E90" s="263">
        <v>45377</v>
      </c>
      <c r="F90" s="263">
        <v>45377</v>
      </c>
      <c r="G90" s="216">
        <v>16.443000000000001</v>
      </c>
      <c r="H90" s="216">
        <v>0</v>
      </c>
      <c r="I90" s="216">
        <v>0</v>
      </c>
      <c r="J90" s="216">
        <v>164211</v>
      </c>
      <c r="K90" s="216">
        <v>0</v>
      </c>
      <c r="L90" s="216">
        <v>0</v>
      </c>
      <c r="M90" s="216">
        <v>6.63</v>
      </c>
      <c r="N90" s="216">
        <v>0</v>
      </c>
      <c r="O90" s="216">
        <v>13.266</v>
      </c>
      <c r="P90" s="216">
        <v>0</v>
      </c>
    </row>
    <row r="91" spans="1:17">
      <c r="A91" s="209">
        <f t="shared" si="1"/>
        <v>87</v>
      </c>
      <c r="B91" s="214" t="s">
        <v>268</v>
      </c>
      <c r="C91" s="215">
        <v>5874963</v>
      </c>
      <c r="D91" s="210"/>
      <c r="E91" s="209"/>
      <c r="F91" s="209"/>
      <c r="G91" s="210"/>
      <c r="H91" s="210"/>
      <c r="I91" s="210"/>
      <c r="J91" s="210"/>
      <c r="K91" s="210"/>
      <c r="L91" s="210"/>
      <c r="M91" s="210"/>
      <c r="N91" s="210"/>
      <c r="O91" s="210"/>
      <c r="P91" s="210"/>
    </row>
    <row r="92" spans="1:17">
      <c r="A92" s="209">
        <f t="shared" si="1"/>
        <v>88</v>
      </c>
      <c r="B92" s="214" t="s">
        <v>269</v>
      </c>
      <c r="C92" s="215">
        <v>6636624</v>
      </c>
      <c r="D92" s="210"/>
      <c r="E92" s="209"/>
      <c r="F92" s="209"/>
      <c r="G92" s="210"/>
      <c r="H92" s="210"/>
      <c r="I92" s="210"/>
      <c r="J92" s="210"/>
      <c r="K92" s="210"/>
      <c r="L92" s="210"/>
      <c r="M92" s="210"/>
      <c r="N92" s="210"/>
      <c r="O92" s="210"/>
      <c r="P92" s="210"/>
    </row>
    <row r="93" spans="1:17">
      <c r="A93" s="209">
        <f t="shared" si="1"/>
        <v>89</v>
      </c>
      <c r="B93" s="214" t="s">
        <v>270</v>
      </c>
      <c r="C93" s="215">
        <v>2839717</v>
      </c>
      <c r="D93" s="216" t="s">
        <v>9208</v>
      </c>
      <c r="E93" s="263">
        <v>44927</v>
      </c>
      <c r="F93" s="263">
        <v>45291</v>
      </c>
      <c r="G93" s="484">
        <v>1975</v>
      </c>
      <c r="H93" s="216">
        <v>10775</v>
      </c>
      <c r="I93" s="216">
        <v>0</v>
      </c>
      <c r="J93" s="216">
        <v>22500000</v>
      </c>
      <c r="K93" s="216">
        <v>167900000</v>
      </c>
      <c r="L93" s="216">
        <v>0</v>
      </c>
      <c r="M93" s="216">
        <v>0</v>
      </c>
      <c r="N93" s="216">
        <v>0</v>
      </c>
      <c r="O93" s="216">
        <v>0</v>
      </c>
      <c r="P93" s="216">
        <v>0</v>
      </c>
    </row>
    <row r="94" spans="1:17">
      <c r="A94" s="209">
        <f t="shared" si="1"/>
        <v>90</v>
      </c>
      <c r="B94" s="214" t="s">
        <v>271</v>
      </c>
      <c r="C94" s="215">
        <v>2344343</v>
      </c>
      <c r="D94" s="210"/>
      <c r="E94" s="209"/>
      <c r="F94" s="209"/>
      <c r="G94" s="210"/>
      <c r="H94" s="210"/>
      <c r="I94" s="210"/>
      <c r="J94" s="210"/>
      <c r="K94" s="210"/>
      <c r="L94" s="210"/>
      <c r="M94" s="210"/>
      <c r="N94" s="210"/>
      <c r="O94" s="210"/>
      <c r="P94" s="210"/>
    </row>
    <row r="95" spans="1:17">
      <c r="A95" s="209">
        <f t="shared" si="1"/>
        <v>91</v>
      </c>
      <c r="B95" s="214" t="s">
        <v>273</v>
      </c>
      <c r="C95" s="215">
        <v>2819996</v>
      </c>
      <c r="D95" s="210"/>
      <c r="E95" s="209"/>
      <c r="F95" s="209"/>
      <c r="G95" s="210"/>
      <c r="H95" s="210"/>
      <c r="I95" s="210"/>
      <c r="J95" s="210"/>
      <c r="K95" s="210"/>
      <c r="L95" s="210"/>
      <c r="M95" s="210"/>
      <c r="N95" s="210"/>
      <c r="O95" s="210"/>
      <c r="P95" s="210"/>
    </row>
    <row r="96" spans="1:17">
      <c r="A96" s="209">
        <f t="shared" si="1"/>
        <v>92</v>
      </c>
      <c r="B96" s="214" t="s">
        <v>277</v>
      </c>
      <c r="C96" s="215">
        <v>2868687</v>
      </c>
      <c r="D96" s="210"/>
      <c r="E96" s="209"/>
      <c r="F96" s="209"/>
      <c r="G96" s="210"/>
      <c r="H96" s="210"/>
      <c r="I96" s="210"/>
      <c r="J96" s="210"/>
      <c r="K96" s="210"/>
      <c r="L96" s="210"/>
      <c r="M96" s="210"/>
      <c r="N96" s="210"/>
      <c r="O96" s="210"/>
      <c r="P96" s="210"/>
    </row>
    <row r="97" spans="1:17">
      <c r="A97" s="209">
        <f t="shared" si="1"/>
        <v>93</v>
      </c>
      <c r="B97" s="214" t="s">
        <v>279</v>
      </c>
      <c r="C97" s="215">
        <v>5877288</v>
      </c>
      <c r="D97" s="210"/>
      <c r="E97" s="209"/>
      <c r="F97" s="209"/>
      <c r="G97" s="210"/>
      <c r="H97" s="210"/>
      <c r="I97" s="210"/>
      <c r="J97" s="210"/>
      <c r="K97" s="210"/>
      <c r="L97" s="210"/>
      <c r="M97" s="210"/>
      <c r="N97" s="210"/>
      <c r="O97" s="210"/>
      <c r="P97" s="210"/>
    </row>
    <row r="98" spans="1:17">
      <c r="A98" s="209">
        <f t="shared" si="1"/>
        <v>94</v>
      </c>
      <c r="B98" s="214" t="s">
        <v>281</v>
      </c>
      <c r="C98" s="215">
        <v>6195598</v>
      </c>
      <c r="D98" s="210"/>
      <c r="E98" s="209"/>
      <c r="F98" s="209"/>
      <c r="G98" s="210"/>
      <c r="H98" s="210"/>
      <c r="I98" s="210"/>
      <c r="J98" s="210"/>
      <c r="K98" s="210"/>
      <c r="L98" s="210"/>
      <c r="M98" s="210"/>
      <c r="N98" s="210"/>
      <c r="O98" s="210"/>
      <c r="P98" s="210"/>
    </row>
    <row r="99" spans="1:17">
      <c r="A99" s="209">
        <f t="shared" si="1"/>
        <v>95</v>
      </c>
      <c r="B99" s="214" t="s">
        <v>282</v>
      </c>
      <c r="C99" s="215">
        <v>6413811</v>
      </c>
      <c r="D99" s="210"/>
      <c r="E99" s="209"/>
      <c r="F99" s="209"/>
      <c r="G99" s="210"/>
      <c r="H99" s="210"/>
      <c r="I99" s="210"/>
      <c r="J99" s="210"/>
      <c r="K99" s="210"/>
      <c r="L99" s="210"/>
      <c r="M99" s="210"/>
      <c r="N99" s="210"/>
      <c r="O99" s="210"/>
      <c r="P99" s="210"/>
    </row>
    <row r="100" spans="1:17">
      <c r="A100" s="209">
        <f t="shared" si="1"/>
        <v>96</v>
      </c>
      <c r="B100" s="214" t="s">
        <v>283</v>
      </c>
      <c r="C100" s="215">
        <v>2887134</v>
      </c>
      <c r="D100" s="210"/>
      <c r="E100" s="209"/>
      <c r="F100" s="209"/>
      <c r="G100" s="210"/>
      <c r="H100" s="210"/>
      <c r="I100" s="210"/>
      <c r="J100" s="210"/>
      <c r="K100" s="210"/>
      <c r="L100" s="210"/>
      <c r="M100" s="210"/>
      <c r="N100" s="210"/>
      <c r="O100" s="210"/>
      <c r="P100" s="210"/>
    </row>
    <row r="101" spans="1:17">
      <c r="A101" s="209">
        <f t="shared" si="1"/>
        <v>97</v>
      </c>
      <c r="B101" s="214" t="s">
        <v>284</v>
      </c>
      <c r="C101" s="215">
        <v>2618176</v>
      </c>
      <c r="D101" s="210"/>
      <c r="E101" s="209"/>
      <c r="F101" s="209"/>
      <c r="G101" s="210"/>
      <c r="H101" s="210"/>
      <c r="I101" s="210"/>
      <c r="J101" s="210"/>
      <c r="K101" s="210"/>
      <c r="L101" s="210"/>
      <c r="M101" s="210"/>
      <c r="N101" s="210"/>
      <c r="O101" s="210"/>
      <c r="P101" s="210"/>
    </row>
    <row r="102" spans="1:17">
      <c r="A102" s="209">
        <f t="shared" si="1"/>
        <v>98</v>
      </c>
      <c r="B102" s="244" t="s">
        <v>285</v>
      </c>
      <c r="C102" s="215">
        <v>5364884</v>
      </c>
      <c r="D102" s="210"/>
      <c r="E102" s="209"/>
      <c r="F102" s="209"/>
      <c r="G102" s="210"/>
      <c r="H102" s="210"/>
      <c r="I102" s="210"/>
      <c r="J102" s="210"/>
      <c r="K102" s="210"/>
      <c r="L102" s="210"/>
      <c r="M102" s="210"/>
      <c r="N102" s="210"/>
      <c r="O102" s="210"/>
      <c r="P102" s="210"/>
    </row>
    <row r="103" spans="1:17">
      <c r="A103" s="209">
        <f t="shared" si="1"/>
        <v>99</v>
      </c>
      <c r="B103" s="244" t="s">
        <v>286</v>
      </c>
      <c r="C103" s="209">
        <v>2100231</v>
      </c>
      <c r="D103" s="216" t="s">
        <v>9209</v>
      </c>
      <c r="E103" s="263">
        <v>45000</v>
      </c>
      <c r="F103" s="263">
        <v>45245</v>
      </c>
      <c r="G103" s="216"/>
      <c r="H103" s="216">
        <v>11.7</v>
      </c>
      <c r="I103" s="216">
        <v>0</v>
      </c>
      <c r="J103" s="216">
        <v>0</v>
      </c>
      <c r="K103" s="216">
        <v>173206</v>
      </c>
      <c r="L103" s="216">
        <v>0</v>
      </c>
      <c r="M103" s="216">
        <v>0</v>
      </c>
      <c r="N103" s="216">
        <v>0</v>
      </c>
      <c r="O103" s="216">
        <v>0</v>
      </c>
      <c r="P103" s="216">
        <v>0</v>
      </c>
      <c r="Q103" s="208"/>
    </row>
    <row r="104" spans="1:17">
      <c r="A104" s="209">
        <f t="shared" si="1"/>
        <v>100</v>
      </c>
      <c r="B104" s="214" t="s">
        <v>286</v>
      </c>
      <c r="C104" s="215">
        <v>2100231</v>
      </c>
      <c r="D104" s="216" t="s">
        <v>9210</v>
      </c>
      <c r="E104" s="263">
        <v>44986</v>
      </c>
      <c r="F104" s="263">
        <v>45245</v>
      </c>
      <c r="G104" s="216"/>
      <c r="H104" s="216">
        <v>0</v>
      </c>
      <c r="I104" s="216">
        <v>0</v>
      </c>
      <c r="J104" s="216">
        <v>0</v>
      </c>
      <c r="K104" s="216">
        <v>0</v>
      </c>
      <c r="L104" s="216">
        <v>0</v>
      </c>
      <c r="M104" s="216">
        <v>0</v>
      </c>
      <c r="N104" s="216">
        <v>0.93899999999999995</v>
      </c>
      <c r="O104" s="216">
        <v>0</v>
      </c>
      <c r="P104" s="216">
        <v>10324.299999999999</v>
      </c>
      <c r="Q104" s="95"/>
    </row>
    <row r="105" spans="1:17">
      <c r="A105" s="209">
        <f t="shared" si="1"/>
        <v>101</v>
      </c>
      <c r="B105" s="214" t="s">
        <v>287</v>
      </c>
      <c r="C105" s="215">
        <v>2661128</v>
      </c>
      <c r="D105" s="210"/>
      <c r="E105" s="209"/>
      <c r="F105" s="209"/>
      <c r="G105" s="210"/>
      <c r="H105" s="210"/>
      <c r="I105" s="210"/>
      <c r="J105" s="210"/>
      <c r="K105" s="210"/>
      <c r="L105" s="210"/>
      <c r="M105" s="210"/>
      <c r="N105" s="210"/>
      <c r="O105" s="210"/>
      <c r="P105" s="210"/>
    </row>
    <row r="106" spans="1:17">
      <c r="A106" s="209">
        <f t="shared" si="1"/>
        <v>102</v>
      </c>
      <c r="B106" s="214" t="s">
        <v>290</v>
      </c>
      <c r="C106" s="215">
        <v>5878756</v>
      </c>
      <c r="D106" s="210"/>
      <c r="E106" s="209"/>
      <c r="F106" s="209"/>
      <c r="G106" s="210"/>
      <c r="H106" s="210"/>
      <c r="I106" s="210"/>
      <c r="J106" s="210"/>
      <c r="K106" s="210"/>
      <c r="L106" s="210"/>
      <c r="M106" s="210"/>
      <c r="N106" s="210"/>
      <c r="O106" s="210"/>
      <c r="P106" s="210"/>
    </row>
    <row r="107" spans="1:17">
      <c r="A107" s="209">
        <f t="shared" si="1"/>
        <v>103</v>
      </c>
      <c r="B107" s="214" t="s">
        <v>292</v>
      </c>
      <c r="C107" s="215">
        <v>2166631</v>
      </c>
      <c r="D107" s="210"/>
      <c r="E107" s="209"/>
      <c r="F107" s="209"/>
      <c r="G107" s="210"/>
      <c r="H107" s="210"/>
      <c r="I107" s="210"/>
      <c r="J107" s="210"/>
      <c r="K107" s="210"/>
      <c r="L107" s="210"/>
      <c r="M107" s="210"/>
      <c r="N107" s="210"/>
      <c r="O107" s="210"/>
      <c r="P107" s="210"/>
    </row>
    <row r="108" spans="1:17">
      <c r="A108" s="209">
        <f t="shared" si="1"/>
        <v>104</v>
      </c>
      <c r="B108" s="214" t="s">
        <v>296</v>
      </c>
      <c r="C108" s="215">
        <v>5671833</v>
      </c>
      <c r="D108" s="216" t="s">
        <v>9211</v>
      </c>
      <c r="E108" s="263">
        <v>44927</v>
      </c>
      <c r="F108" s="263">
        <v>45291</v>
      </c>
      <c r="G108" s="216"/>
      <c r="H108" s="216">
        <v>0</v>
      </c>
      <c r="I108" s="216">
        <v>0</v>
      </c>
      <c r="J108" s="216">
        <v>1080590000</v>
      </c>
      <c r="K108" s="216">
        <v>465416000</v>
      </c>
      <c r="L108" s="216">
        <v>0</v>
      </c>
      <c r="M108" s="216">
        <v>0</v>
      </c>
      <c r="N108" s="216">
        <v>0</v>
      </c>
      <c r="O108" s="216">
        <v>0</v>
      </c>
      <c r="P108" s="216">
        <v>117600000</v>
      </c>
    </row>
    <row r="109" spans="1:17">
      <c r="A109" s="209">
        <f t="shared" si="1"/>
        <v>105</v>
      </c>
      <c r="B109" s="244" t="s">
        <v>297</v>
      </c>
      <c r="C109" s="215">
        <v>5104424</v>
      </c>
      <c r="D109" s="210"/>
      <c r="E109" s="209"/>
      <c r="F109" s="209"/>
      <c r="G109" s="210"/>
      <c r="H109" s="210"/>
      <c r="I109" s="210"/>
      <c r="J109" s="210"/>
      <c r="K109" s="210"/>
      <c r="L109" s="210"/>
      <c r="M109" s="210"/>
      <c r="N109" s="210"/>
      <c r="O109" s="210"/>
      <c r="P109" s="210"/>
    </row>
    <row r="110" spans="1:17" ht="25.5">
      <c r="A110" s="209">
        <f t="shared" si="1"/>
        <v>106</v>
      </c>
      <c r="B110" s="244" t="s">
        <v>298</v>
      </c>
      <c r="C110" s="215">
        <v>2668505</v>
      </c>
      <c r="D110" s="216" t="s">
        <v>9212</v>
      </c>
      <c r="E110" s="263">
        <v>44928</v>
      </c>
      <c r="F110" s="263">
        <v>45291</v>
      </c>
      <c r="G110" s="484">
        <v>2484</v>
      </c>
      <c r="H110" s="216">
        <v>0</v>
      </c>
      <c r="I110" s="216">
        <v>0</v>
      </c>
      <c r="J110" s="216">
        <v>29808</v>
      </c>
      <c r="K110" s="216">
        <v>0</v>
      </c>
      <c r="L110" s="216">
        <v>0</v>
      </c>
      <c r="M110" s="216">
        <v>0.5</v>
      </c>
      <c r="N110" s="216">
        <v>0</v>
      </c>
      <c r="O110" s="216">
        <v>1250</v>
      </c>
      <c r="P110" s="216">
        <v>0</v>
      </c>
    </row>
    <row r="111" spans="1:17">
      <c r="A111" s="209">
        <f t="shared" si="1"/>
        <v>107</v>
      </c>
      <c r="B111" s="244" t="s">
        <v>299</v>
      </c>
      <c r="C111" s="215">
        <v>2697947</v>
      </c>
      <c r="D111" s="210"/>
      <c r="E111" s="209"/>
      <c r="F111" s="209"/>
      <c r="G111" s="210"/>
      <c r="H111" s="210"/>
      <c r="I111" s="210"/>
      <c r="J111" s="210"/>
      <c r="K111" s="210"/>
      <c r="L111" s="210"/>
      <c r="M111" s="210"/>
      <c r="N111" s="210"/>
      <c r="O111" s="210"/>
      <c r="P111" s="210"/>
    </row>
    <row r="112" spans="1:17">
      <c r="A112" s="209">
        <f t="shared" si="1"/>
        <v>108</v>
      </c>
      <c r="B112" s="214" t="s">
        <v>300</v>
      </c>
      <c r="C112" s="215">
        <v>5352827</v>
      </c>
      <c r="D112" s="210"/>
      <c r="E112" s="209"/>
      <c r="F112" s="209"/>
      <c r="G112" s="210"/>
      <c r="H112" s="210"/>
      <c r="I112" s="210"/>
      <c r="J112" s="210"/>
      <c r="K112" s="210"/>
      <c r="L112" s="210"/>
      <c r="M112" s="210"/>
      <c r="N112" s="210"/>
      <c r="O112" s="210"/>
      <c r="P112" s="210"/>
    </row>
    <row r="113" spans="1:17">
      <c r="A113" s="209">
        <f t="shared" si="1"/>
        <v>109</v>
      </c>
      <c r="B113" s="214" t="s">
        <v>301</v>
      </c>
      <c r="C113" s="215">
        <v>2548747</v>
      </c>
      <c r="D113" s="210"/>
      <c r="E113" s="209"/>
      <c r="F113" s="209"/>
      <c r="G113" s="210"/>
      <c r="H113" s="210"/>
      <c r="I113" s="210"/>
      <c r="J113" s="210"/>
      <c r="K113" s="210"/>
      <c r="L113" s="210"/>
      <c r="M113" s="210"/>
      <c r="N113" s="210"/>
      <c r="O113" s="210"/>
      <c r="P113" s="210"/>
    </row>
    <row r="114" spans="1:17">
      <c r="A114" s="209">
        <f t="shared" si="1"/>
        <v>110</v>
      </c>
      <c r="B114" s="244" t="s">
        <v>303</v>
      </c>
      <c r="C114" s="215">
        <v>2641984</v>
      </c>
      <c r="D114" s="210"/>
      <c r="E114" s="209"/>
      <c r="F114" s="209"/>
      <c r="G114" s="210"/>
      <c r="H114" s="210"/>
      <c r="I114" s="210"/>
      <c r="J114" s="210"/>
      <c r="K114" s="210"/>
      <c r="L114" s="210"/>
      <c r="M114" s="210"/>
      <c r="N114" s="210"/>
      <c r="O114" s="210"/>
      <c r="P114" s="210"/>
    </row>
    <row r="115" spans="1:17">
      <c r="A115" s="209">
        <f t="shared" si="1"/>
        <v>111</v>
      </c>
      <c r="B115" s="214" t="s">
        <v>306</v>
      </c>
      <c r="C115" s="215">
        <v>6342485</v>
      </c>
      <c r="D115" s="210"/>
      <c r="E115" s="209"/>
      <c r="F115" s="209"/>
      <c r="G115" s="210"/>
      <c r="H115" s="210"/>
      <c r="I115" s="210"/>
      <c r="J115" s="210"/>
      <c r="K115" s="210"/>
      <c r="L115" s="210"/>
      <c r="M115" s="210"/>
      <c r="N115" s="210"/>
      <c r="O115" s="210"/>
      <c r="P115" s="210"/>
    </row>
    <row r="116" spans="1:17">
      <c r="A116" s="209">
        <f t="shared" si="1"/>
        <v>112</v>
      </c>
      <c r="B116" s="214" t="s">
        <v>307</v>
      </c>
      <c r="C116" s="215">
        <v>5166667</v>
      </c>
      <c r="D116" s="210"/>
      <c r="E116" s="209"/>
      <c r="F116" s="209"/>
      <c r="G116" s="210"/>
      <c r="H116" s="210"/>
      <c r="I116" s="210"/>
      <c r="J116" s="210"/>
      <c r="K116" s="210"/>
      <c r="L116" s="210"/>
      <c r="M116" s="210"/>
      <c r="N116" s="210"/>
      <c r="O116" s="210"/>
      <c r="P116" s="210"/>
    </row>
    <row r="117" spans="1:17">
      <c r="A117" s="209">
        <f t="shared" si="1"/>
        <v>113</v>
      </c>
      <c r="B117" s="214" t="s">
        <v>308</v>
      </c>
      <c r="C117" s="215">
        <v>5482046</v>
      </c>
      <c r="D117" s="210"/>
      <c r="E117" s="209"/>
      <c r="F117" s="209"/>
      <c r="G117" s="210"/>
      <c r="H117" s="210"/>
      <c r="I117" s="210"/>
      <c r="J117" s="210"/>
      <c r="K117" s="210"/>
      <c r="L117" s="210"/>
      <c r="M117" s="210"/>
      <c r="N117" s="210"/>
      <c r="O117" s="210"/>
      <c r="P117" s="210"/>
    </row>
    <row r="118" spans="1:17">
      <c r="A118" s="209">
        <f t="shared" si="1"/>
        <v>114</v>
      </c>
      <c r="B118" s="214" t="s">
        <v>309</v>
      </c>
      <c r="C118" s="215">
        <v>2050374</v>
      </c>
      <c r="D118" s="210"/>
      <c r="E118" s="209"/>
      <c r="F118" s="209"/>
      <c r="G118" s="210"/>
      <c r="H118" s="210"/>
      <c r="I118" s="210"/>
      <c r="J118" s="210"/>
      <c r="K118" s="210"/>
      <c r="L118" s="210"/>
      <c r="M118" s="210"/>
      <c r="N118" s="210"/>
      <c r="O118" s="210"/>
      <c r="P118" s="210"/>
    </row>
    <row r="119" spans="1:17">
      <c r="A119" s="209">
        <f t="shared" si="1"/>
        <v>115</v>
      </c>
      <c r="B119" s="214" t="s">
        <v>311</v>
      </c>
      <c r="C119" s="215">
        <v>2004879</v>
      </c>
      <c r="D119" s="210"/>
      <c r="E119" s="209"/>
      <c r="F119" s="209"/>
      <c r="G119" s="210"/>
      <c r="H119" s="210"/>
      <c r="I119" s="210"/>
      <c r="J119" s="210"/>
      <c r="K119" s="210"/>
      <c r="L119" s="210"/>
      <c r="M119" s="210"/>
      <c r="N119" s="210"/>
      <c r="O119" s="210"/>
      <c r="P119" s="210"/>
    </row>
    <row r="120" spans="1:17">
      <c r="A120" s="209">
        <f t="shared" si="1"/>
        <v>116</v>
      </c>
      <c r="B120" s="244" t="s">
        <v>314</v>
      </c>
      <c r="C120" s="215">
        <v>2830213</v>
      </c>
      <c r="D120" s="210"/>
      <c r="E120" s="209"/>
      <c r="F120" s="209"/>
      <c r="G120" s="210"/>
      <c r="H120" s="210"/>
      <c r="I120" s="210"/>
      <c r="J120" s="210"/>
      <c r="K120" s="210"/>
      <c r="L120" s="210"/>
      <c r="M120" s="210"/>
      <c r="N120" s="210"/>
      <c r="O120" s="210"/>
      <c r="P120" s="210"/>
    </row>
    <row r="121" spans="1:17">
      <c r="A121" s="209">
        <f t="shared" si="1"/>
        <v>117</v>
      </c>
      <c r="B121" s="214" t="s">
        <v>315</v>
      </c>
      <c r="C121" s="215">
        <v>5320607</v>
      </c>
      <c r="D121" s="210"/>
      <c r="E121" s="209"/>
      <c r="F121" s="209"/>
      <c r="G121" s="210"/>
      <c r="H121" s="210"/>
      <c r="I121" s="210"/>
      <c r="J121" s="210"/>
      <c r="K121" s="210"/>
      <c r="L121" s="210"/>
      <c r="M121" s="210"/>
      <c r="N121" s="210"/>
      <c r="O121" s="210"/>
      <c r="P121" s="210"/>
    </row>
    <row r="122" spans="1:17">
      <c r="A122" s="209">
        <f t="shared" si="1"/>
        <v>118</v>
      </c>
      <c r="B122" s="244" t="s">
        <v>316</v>
      </c>
      <c r="C122" s="215">
        <v>5586119</v>
      </c>
      <c r="D122" s="210"/>
      <c r="E122" s="209"/>
      <c r="F122" s="209"/>
      <c r="G122" s="210"/>
      <c r="H122" s="210"/>
      <c r="I122" s="210"/>
      <c r="J122" s="210"/>
      <c r="K122" s="210"/>
      <c r="L122" s="210"/>
      <c r="M122" s="210"/>
      <c r="N122" s="210"/>
      <c r="O122" s="210"/>
      <c r="P122" s="210"/>
    </row>
    <row r="123" spans="1:17">
      <c r="A123" s="209">
        <f t="shared" si="1"/>
        <v>119</v>
      </c>
      <c r="B123" s="214" t="s">
        <v>317</v>
      </c>
      <c r="C123" s="215">
        <v>5015243</v>
      </c>
      <c r="D123" s="210"/>
      <c r="E123" s="209"/>
      <c r="F123" s="209"/>
      <c r="G123" s="210"/>
      <c r="H123" s="210"/>
      <c r="I123" s="210"/>
      <c r="J123" s="210"/>
      <c r="K123" s="210"/>
      <c r="L123" s="210"/>
      <c r="M123" s="210"/>
      <c r="N123" s="210"/>
      <c r="O123" s="210"/>
      <c r="P123" s="210"/>
    </row>
    <row r="124" spans="1:17">
      <c r="A124" s="209">
        <f t="shared" si="1"/>
        <v>120</v>
      </c>
      <c r="B124" s="214" t="s">
        <v>318</v>
      </c>
      <c r="C124" s="215">
        <v>5452503</v>
      </c>
      <c r="D124" s="210"/>
      <c r="E124" s="209"/>
      <c r="F124" s="209"/>
      <c r="G124" s="210"/>
      <c r="H124" s="210"/>
      <c r="I124" s="210"/>
      <c r="J124" s="210"/>
      <c r="K124" s="210"/>
      <c r="L124" s="210"/>
      <c r="M124" s="210"/>
      <c r="N124" s="210"/>
      <c r="O124" s="210"/>
      <c r="P124" s="210"/>
    </row>
    <row r="125" spans="1:17">
      <c r="A125" s="209">
        <f t="shared" si="1"/>
        <v>121</v>
      </c>
      <c r="B125" s="244" t="s">
        <v>319</v>
      </c>
      <c r="C125" s="209">
        <v>2887746</v>
      </c>
      <c r="D125" s="216" t="s">
        <v>9213</v>
      </c>
      <c r="E125" s="263">
        <v>44866</v>
      </c>
      <c r="F125" s="263">
        <v>45596</v>
      </c>
      <c r="G125" s="216"/>
      <c r="H125" s="216">
        <v>137.1</v>
      </c>
      <c r="I125" s="216">
        <v>0</v>
      </c>
      <c r="J125" s="216">
        <v>0</v>
      </c>
      <c r="K125" s="216">
        <v>1516450</v>
      </c>
      <c r="L125" s="216">
        <v>0</v>
      </c>
      <c r="M125" s="216">
        <v>0</v>
      </c>
      <c r="N125" s="216">
        <v>0</v>
      </c>
      <c r="O125" s="216">
        <v>0</v>
      </c>
      <c r="P125" s="216">
        <v>0</v>
      </c>
      <c r="Q125" s="208"/>
    </row>
    <row r="126" spans="1:17" ht="25.5">
      <c r="A126" s="209">
        <f t="shared" si="1"/>
        <v>122</v>
      </c>
      <c r="B126" s="244" t="s">
        <v>319</v>
      </c>
      <c r="C126" s="209">
        <v>2887746</v>
      </c>
      <c r="D126" s="216" t="s">
        <v>9214</v>
      </c>
      <c r="E126" s="263">
        <v>44866</v>
      </c>
      <c r="F126" s="263">
        <v>45230</v>
      </c>
      <c r="G126" s="216"/>
      <c r="H126" s="216">
        <v>103.9</v>
      </c>
      <c r="I126" s="216">
        <v>0</v>
      </c>
      <c r="J126" s="216">
        <v>0</v>
      </c>
      <c r="K126" s="216">
        <v>898217</v>
      </c>
      <c r="L126" s="216">
        <v>0</v>
      </c>
      <c r="M126" s="216">
        <v>0</v>
      </c>
      <c r="N126" s="216">
        <v>0</v>
      </c>
      <c r="O126" s="216">
        <v>0</v>
      </c>
      <c r="P126" s="216">
        <v>0</v>
      </c>
      <c r="Q126" s="208"/>
    </row>
    <row r="127" spans="1:17">
      <c r="A127" s="209">
        <f t="shared" si="1"/>
        <v>123</v>
      </c>
      <c r="B127" s="244" t="s">
        <v>319</v>
      </c>
      <c r="C127" s="209">
        <v>2887746</v>
      </c>
      <c r="D127" s="216" t="s">
        <v>9215</v>
      </c>
      <c r="E127" s="217" t="s">
        <v>8377</v>
      </c>
      <c r="F127" s="217" t="s">
        <v>8377</v>
      </c>
      <c r="G127" s="216"/>
      <c r="H127" s="216">
        <v>0</v>
      </c>
      <c r="I127" s="216">
        <v>0</v>
      </c>
      <c r="J127" s="216">
        <v>0</v>
      </c>
      <c r="K127" s="216">
        <v>0</v>
      </c>
      <c r="L127" s="216">
        <v>0</v>
      </c>
      <c r="M127" s="216">
        <v>0</v>
      </c>
      <c r="N127" s="216">
        <v>42.5</v>
      </c>
      <c r="O127" s="216">
        <v>0</v>
      </c>
      <c r="P127" s="216">
        <v>149034</v>
      </c>
      <c r="Q127" s="208"/>
    </row>
    <row r="128" spans="1:17">
      <c r="A128" s="209">
        <f t="shared" si="1"/>
        <v>124</v>
      </c>
      <c r="B128" s="244" t="s">
        <v>319</v>
      </c>
      <c r="C128" s="209">
        <v>2887746</v>
      </c>
      <c r="D128" s="216" t="s">
        <v>9216</v>
      </c>
      <c r="E128" s="217" t="s">
        <v>8377</v>
      </c>
      <c r="F128" s="217" t="s">
        <v>8377</v>
      </c>
      <c r="G128" s="216"/>
      <c r="H128" s="216">
        <v>11.5</v>
      </c>
      <c r="I128" s="216">
        <v>0</v>
      </c>
      <c r="J128" s="216">
        <v>0</v>
      </c>
      <c r="K128" s="216">
        <v>203503</v>
      </c>
      <c r="L128" s="216">
        <v>0</v>
      </c>
      <c r="M128" s="216">
        <v>0</v>
      </c>
      <c r="N128" s="216">
        <v>0</v>
      </c>
      <c r="O128" s="216">
        <v>0</v>
      </c>
      <c r="P128" s="216">
        <v>0</v>
      </c>
      <c r="Q128" s="208"/>
    </row>
    <row r="129" spans="1:17">
      <c r="A129" s="209">
        <f t="shared" si="1"/>
        <v>125</v>
      </c>
      <c r="B129" s="244" t="s">
        <v>319</v>
      </c>
      <c r="C129" s="209">
        <v>2887746</v>
      </c>
      <c r="D129" s="216" t="s">
        <v>9217</v>
      </c>
      <c r="E129" s="217" t="s">
        <v>8377</v>
      </c>
      <c r="F129" s="217" t="s">
        <v>8377</v>
      </c>
      <c r="G129" s="216"/>
      <c r="H129" s="216">
        <v>26.2</v>
      </c>
      <c r="I129" s="216">
        <v>0</v>
      </c>
      <c r="J129" s="216">
        <v>0</v>
      </c>
      <c r="K129" s="216">
        <v>210903</v>
      </c>
      <c r="L129" s="216">
        <v>0</v>
      </c>
      <c r="M129" s="216">
        <v>0</v>
      </c>
      <c r="N129" s="216">
        <v>0</v>
      </c>
      <c r="O129" s="216">
        <v>0</v>
      </c>
      <c r="P129" s="216">
        <v>0</v>
      </c>
      <c r="Q129" s="208"/>
    </row>
    <row r="130" spans="1:17">
      <c r="A130" s="209">
        <f t="shared" si="1"/>
        <v>126</v>
      </c>
      <c r="B130" s="244" t="s">
        <v>319</v>
      </c>
      <c r="C130" s="209">
        <v>2887746</v>
      </c>
      <c r="D130" s="216" t="s">
        <v>9218</v>
      </c>
      <c r="E130" s="217" t="s">
        <v>8377</v>
      </c>
      <c r="F130" s="217" t="s">
        <v>8377</v>
      </c>
      <c r="G130" s="216"/>
      <c r="H130" s="216">
        <v>15</v>
      </c>
      <c r="I130" s="216">
        <v>0</v>
      </c>
      <c r="J130" s="216">
        <v>0</v>
      </c>
      <c r="K130" s="216">
        <v>139969</v>
      </c>
      <c r="L130" s="216">
        <v>0</v>
      </c>
      <c r="M130" s="216">
        <v>0</v>
      </c>
      <c r="N130" s="216">
        <v>0</v>
      </c>
      <c r="O130" s="216">
        <v>0</v>
      </c>
      <c r="P130" s="216">
        <v>0</v>
      </c>
      <c r="Q130" s="208"/>
    </row>
    <row r="131" spans="1:17">
      <c r="A131" s="209">
        <f t="shared" si="1"/>
        <v>127</v>
      </c>
      <c r="B131" s="214" t="s">
        <v>319</v>
      </c>
      <c r="C131" s="215">
        <v>2887746</v>
      </c>
      <c r="D131" s="216" t="s">
        <v>9219</v>
      </c>
      <c r="E131" s="217" t="s">
        <v>8377</v>
      </c>
      <c r="F131" s="217" t="s">
        <v>8377</v>
      </c>
      <c r="G131" s="216"/>
      <c r="H131" s="216">
        <v>1.6</v>
      </c>
      <c r="I131" s="216">
        <v>0</v>
      </c>
      <c r="J131" s="216">
        <v>0</v>
      </c>
      <c r="K131" s="216">
        <v>13908</v>
      </c>
      <c r="L131" s="216">
        <v>0</v>
      </c>
      <c r="M131" s="216">
        <v>0</v>
      </c>
      <c r="N131" s="216">
        <v>0</v>
      </c>
      <c r="O131" s="216">
        <v>0</v>
      </c>
      <c r="P131" s="216">
        <v>0</v>
      </c>
      <c r="Q131" s="95"/>
    </row>
    <row r="132" spans="1:17">
      <c r="A132" s="209">
        <f t="shared" si="1"/>
        <v>128</v>
      </c>
      <c r="B132" s="214" t="s">
        <v>320</v>
      </c>
      <c r="C132" s="215">
        <v>5618339</v>
      </c>
      <c r="D132" s="210"/>
      <c r="E132" s="209"/>
      <c r="F132" s="209"/>
      <c r="G132" s="210"/>
      <c r="H132" s="210"/>
      <c r="I132" s="210"/>
      <c r="J132" s="210"/>
      <c r="K132" s="210"/>
      <c r="L132" s="210"/>
      <c r="M132" s="210"/>
      <c r="N132" s="210"/>
      <c r="O132" s="210"/>
      <c r="P132" s="210"/>
    </row>
    <row r="133" spans="1:17">
      <c r="A133" s="209">
        <f t="shared" si="1"/>
        <v>129</v>
      </c>
      <c r="B133" s="214" t="s">
        <v>321</v>
      </c>
      <c r="C133" s="209">
        <v>2718243</v>
      </c>
      <c r="D133" s="216" t="s">
        <v>9220</v>
      </c>
      <c r="E133" s="263">
        <v>44990</v>
      </c>
      <c r="F133" s="263">
        <v>45721</v>
      </c>
      <c r="G133" s="216"/>
      <c r="H133" s="216">
        <v>26.5</v>
      </c>
      <c r="I133" s="216">
        <v>0</v>
      </c>
      <c r="J133" s="216">
        <v>0</v>
      </c>
      <c r="K133" s="216">
        <v>371000</v>
      </c>
      <c r="L133" s="216">
        <v>0</v>
      </c>
      <c r="M133" s="216">
        <v>0</v>
      </c>
      <c r="N133" s="216">
        <v>0</v>
      </c>
      <c r="O133" s="216">
        <v>0</v>
      </c>
      <c r="P133" s="216">
        <v>0</v>
      </c>
      <c r="Q133" s="208"/>
    </row>
    <row r="134" spans="1:17">
      <c r="A134" s="209">
        <f t="shared" si="1"/>
        <v>130</v>
      </c>
      <c r="B134" s="244" t="s">
        <v>321</v>
      </c>
      <c r="C134" s="209">
        <v>2718243</v>
      </c>
      <c r="D134" s="216" t="s">
        <v>9221</v>
      </c>
      <c r="E134" s="263">
        <v>44986</v>
      </c>
      <c r="F134" s="263">
        <v>45717</v>
      </c>
      <c r="G134" s="216"/>
      <c r="H134" s="216">
        <v>0</v>
      </c>
      <c r="I134" s="216">
        <v>0</v>
      </c>
      <c r="J134" s="216">
        <v>0</v>
      </c>
      <c r="K134" s="216">
        <v>0</v>
      </c>
      <c r="L134" s="216">
        <v>0</v>
      </c>
      <c r="M134" s="216">
        <v>0</v>
      </c>
      <c r="N134" s="216">
        <v>1.92</v>
      </c>
      <c r="O134" s="216">
        <v>0</v>
      </c>
      <c r="P134" s="216">
        <v>9024</v>
      </c>
      <c r="Q134" s="208"/>
    </row>
    <row r="135" spans="1:17">
      <c r="A135" s="209">
        <f t="shared" ref="A135:A152" si="2">A134+1</f>
        <v>131</v>
      </c>
      <c r="B135" s="244" t="s">
        <v>321</v>
      </c>
      <c r="C135" s="215">
        <v>2718243</v>
      </c>
      <c r="D135" s="216" t="s">
        <v>9222</v>
      </c>
      <c r="E135" s="263">
        <v>45230</v>
      </c>
      <c r="F135" s="263">
        <v>45291</v>
      </c>
      <c r="G135" s="216"/>
      <c r="H135" s="216">
        <v>0</v>
      </c>
      <c r="I135" s="216">
        <v>0</v>
      </c>
      <c r="J135" s="216">
        <v>0</v>
      </c>
      <c r="K135" s="216">
        <v>0</v>
      </c>
      <c r="L135" s="216">
        <v>0</v>
      </c>
      <c r="M135" s="216">
        <v>0.28399999999999997</v>
      </c>
      <c r="N135" s="216">
        <v>0</v>
      </c>
      <c r="O135" s="216">
        <v>14200</v>
      </c>
      <c r="P135" s="216">
        <v>0</v>
      </c>
      <c r="Q135" s="95"/>
    </row>
    <row r="136" spans="1:17">
      <c r="A136" s="209">
        <f t="shared" si="2"/>
        <v>132</v>
      </c>
      <c r="B136" s="214" t="s">
        <v>322</v>
      </c>
      <c r="C136" s="215">
        <v>6896197</v>
      </c>
      <c r="D136" s="210"/>
      <c r="E136" s="209"/>
      <c r="F136" s="209"/>
      <c r="G136" s="210"/>
      <c r="H136" s="210"/>
      <c r="I136" s="210"/>
      <c r="J136" s="210"/>
      <c r="K136" s="210"/>
      <c r="L136" s="210"/>
      <c r="M136" s="210"/>
      <c r="N136" s="210"/>
      <c r="O136" s="210"/>
      <c r="P136" s="210"/>
    </row>
    <row r="137" spans="1:17">
      <c r="A137" s="209">
        <f t="shared" si="2"/>
        <v>133</v>
      </c>
      <c r="B137" s="214" t="s">
        <v>323</v>
      </c>
      <c r="C137" s="215">
        <v>5435528</v>
      </c>
      <c r="D137" s="210"/>
      <c r="E137" s="209"/>
      <c r="F137" s="209"/>
      <c r="G137" s="210"/>
      <c r="H137" s="210"/>
      <c r="I137" s="210"/>
      <c r="J137" s="210"/>
      <c r="K137" s="210"/>
      <c r="L137" s="210"/>
      <c r="M137" s="210"/>
      <c r="N137" s="210"/>
      <c r="O137" s="210"/>
      <c r="P137" s="210"/>
    </row>
    <row r="138" spans="1:17" ht="25.5">
      <c r="A138" s="209">
        <f t="shared" si="2"/>
        <v>134</v>
      </c>
      <c r="B138" s="483" t="s">
        <v>324</v>
      </c>
      <c r="C138" s="215">
        <v>5824826</v>
      </c>
      <c r="D138" s="210"/>
      <c r="E138" s="209"/>
      <c r="F138" s="209"/>
      <c r="G138" s="210"/>
      <c r="H138" s="210"/>
      <c r="I138" s="210"/>
      <c r="J138" s="210"/>
      <c r="K138" s="210"/>
      <c r="L138" s="210"/>
      <c r="M138" s="210"/>
      <c r="N138" s="210"/>
      <c r="O138" s="210"/>
      <c r="P138" s="210"/>
    </row>
    <row r="139" spans="1:17">
      <c r="A139" s="209">
        <f t="shared" si="2"/>
        <v>135</v>
      </c>
      <c r="B139" s="214" t="s">
        <v>325</v>
      </c>
      <c r="C139" s="215">
        <v>6141536</v>
      </c>
      <c r="D139" s="210"/>
      <c r="E139" s="209"/>
      <c r="F139" s="209"/>
      <c r="G139" s="210"/>
      <c r="H139" s="210"/>
      <c r="I139" s="210"/>
      <c r="J139" s="210"/>
      <c r="K139" s="210"/>
      <c r="L139" s="210"/>
      <c r="M139" s="210"/>
      <c r="N139" s="210"/>
      <c r="O139" s="210"/>
      <c r="P139" s="210"/>
    </row>
    <row r="140" spans="1:17">
      <c r="A140" s="209">
        <f t="shared" si="2"/>
        <v>136</v>
      </c>
      <c r="B140" s="244" t="s">
        <v>326</v>
      </c>
      <c r="C140" s="215">
        <v>5124913</v>
      </c>
      <c r="D140" s="210"/>
      <c r="E140" s="209"/>
      <c r="F140" s="209"/>
      <c r="G140" s="210"/>
      <c r="H140" s="210"/>
      <c r="I140" s="210"/>
      <c r="J140" s="210"/>
      <c r="K140" s="210"/>
      <c r="L140" s="210"/>
      <c r="M140" s="210"/>
      <c r="N140" s="210"/>
      <c r="O140" s="210"/>
      <c r="P140" s="210"/>
    </row>
    <row r="141" spans="1:17" ht="25.5">
      <c r="A141" s="209">
        <f t="shared" si="2"/>
        <v>137</v>
      </c>
      <c r="B141" s="214" t="s">
        <v>327</v>
      </c>
      <c r="C141" s="209">
        <v>2074192</v>
      </c>
      <c r="D141" s="216" t="s">
        <v>9223</v>
      </c>
      <c r="E141" s="263">
        <v>45050</v>
      </c>
      <c r="F141" s="263">
        <v>45323</v>
      </c>
      <c r="G141" s="216">
        <v>1.05</v>
      </c>
      <c r="H141" s="216">
        <v>0</v>
      </c>
      <c r="I141" s="216">
        <v>0</v>
      </c>
      <c r="J141" s="216">
        <v>33680</v>
      </c>
      <c r="K141" s="216">
        <v>0</v>
      </c>
      <c r="L141" s="216">
        <v>0</v>
      </c>
      <c r="M141" s="216">
        <v>0</v>
      </c>
      <c r="N141" s="216">
        <v>0</v>
      </c>
      <c r="O141" s="216">
        <v>0</v>
      </c>
      <c r="P141" s="216">
        <v>0</v>
      </c>
      <c r="Q141" s="208"/>
    </row>
    <row r="142" spans="1:17" ht="25.5">
      <c r="A142" s="209">
        <f t="shared" si="2"/>
        <v>138</v>
      </c>
      <c r="B142" s="244" t="s">
        <v>327</v>
      </c>
      <c r="C142" s="209">
        <v>2074192</v>
      </c>
      <c r="D142" s="216" t="s">
        <v>9224</v>
      </c>
      <c r="E142" s="263">
        <v>45203</v>
      </c>
      <c r="F142" s="263">
        <v>45568</v>
      </c>
      <c r="G142" s="216">
        <v>126.152</v>
      </c>
      <c r="H142" s="216">
        <v>0</v>
      </c>
      <c r="I142" s="216">
        <v>0</v>
      </c>
      <c r="J142" s="216">
        <v>1864210</v>
      </c>
      <c r="K142" s="216">
        <v>0</v>
      </c>
      <c r="L142" s="216">
        <v>0</v>
      </c>
      <c r="M142" s="216">
        <v>0</v>
      </c>
      <c r="N142" s="216">
        <v>0</v>
      </c>
      <c r="O142" s="216">
        <v>0</v>
      </c>
      <c r="P142" s="216">
        <v>0</v>
      </c>
      <c r="Q142" s="208"/>
    </row>
    <row r="143" spans="1:17">
      <c r="A143" s="209">
        <f t="shared" si="2"/>
        <v>139</v>
      </c>
      <c r="B143" s="216" t="s">
        <v>327</v>
      </c>
      <c r="C143" s="209">
        <v>2074192</v>
      </c>
      <c r="D143" s="216" t="s">
        <v>9225</v>
      </c>
      <c r="E143" s="263">
        <v>45142</v>
      </c>
      <c r="F143" s="263">
        <v>45504</v>
      </c>
      <c r="G143" s="216">
        <v>6.61</v>
      </c>
      <c r="H143" s="216">
        <v>0</v>
      </c>
      <c r="I143" s="216">
        <v>0</v>
      </c>
      <c r="J143" s="216">
        <v>175754</v>
      </c>
      <c r="K143" s="216">
        <v>0</v>
      </c>
      <c r="L143" s="216">
        <v>0</v>
      </c>
      <c r="M143" s="216">
        <v>0</v>
      </c>
      <c r="N143" s="216">
        <v>0</v>
      </c>
      <c r="O143" s="216">
        <v>0</v>
      </c>
      <c r="P143" s="216">
        <v>0</v>
      </c>
      <c r="Q143" s="208"/>
    </row>
    <row r="144" spans="1:17" ht="25.5">
      <c r="A144" s="209">
        <f t="shared" si="2"/>
        <v>140</v>
      </c>
      <c r="B144" s="216" t="s">
        <v>327</v>
      </c>
      <c r="C144" s="209">
        <v>2074192</v>
      </c>
      <c r="D144" s="216" t="s">
        <v>9226</v>
      </c>
      <c r="E144" s="263">
        <v>45177</v>
      </c>
      <c r="F144" s="263">
        <v>45542</v>
      </c>
      <c r="G144" s="216"/>
      <c r="H144" s="216">
        <v>0</v>
      </c>
      <c r="I144" s="216">
        <v>0</v>
      </c>
      <c r="J144" s="216">
        <v>0</v>
      </c>
      <c r="K144" s="216">
        <v>0</v>
      </c>
      <c r="L144" s="216">
        <v>0</v>
      </c>
      <c r="M144" s="216">
        <v>108900</v>
      </c>
      <c r="N144" s="216">
        <v>0</v>
      </c>
      <c r="O144" s="216">
        <v>323168</v>
      </c>
      <c r="P144" s="216">
        <v>0</v>
      </c>
      <c r="Q144" s="208"/>
    </row>
    <row r="145" spans="1:17" ht="63.75">
      <c r="A145" s="209">
        <f t="shared" si="2"/>
        <v>141</v>
      </c>
      <c r="B145" s="216" t="s">
        <v>327</v>
      </c>
      <c r="C145" s="209">
        <v>2074192</v>
      </c>
      <c r="D145" s="216" t="s">
        <v>9227</v>
      </c>
      <c r="E145" s="263">
        <v>45082</v>
      </c>
      <c r="F145" s="263">
        <v>45168</v>
      </c>
      <c r="G145" s="216"/>
      <c r="H145" s="216">
        <v>0</v>
      </c>
      <c r="I145" s="216">
        <v>0</v>
      </c>
      <c r="J145" s="216">
        <v>0</v>
      </c>
      <c r="K145" s="216">
        <v>0</v>
      </c>
      <c r="L145" s="216">
        <v>0</v>
      </c>
      <c r="M145" s="216">
        <v>0</v>
      </c>
      <c r="N145" s="216">
        <v>1.3</v>
      </c>
      <c r="O145" s="216">
        <v>0</v>
      </c>
      <c r="P145" s="216">
        <v>8510</v>
      </c>
      <c r="Q145" s="208"/>
    </row>
    <row r="146" spans="1:17" ht="51">
      <c r="A146" s="209">
        <f t="shared" si="2"/>
        <v>142</v>
      </c>
      <c r="B146" s="216" t="s">
        <v>327</v>
      </c>
      <c r="C146" s="209">
        <v>2074192</v>
      </c>
      <c r="D146" s="216" t="s">
        <v>9228</v>
      </c>
      <c r="E146" s="263">
        <v>45082</v>
      </c>
      <c r="F146" s="263">
        <v>45158</v>
      </c>
      <c r="G146" s="216"/>
      <c r="H146" s="216">
        <v>0</v>
      </c>
      <c r="I146" s="216">
        <v>0</v>
      </c>
      <c r="J146" s="216">
        <v>0</v>
      </c>
      <c r="K146" s="216">
        <v>0</v>
      </c>
      <c r="L146" s="216">
        <v>0</v>
      </c>
      <c r="M146" s="216">
        <v>0</v>
      </c>
      <c r="N146" s="216">
        <v>3</v>
      </c>
      <c r="O146" s="216">
        <v>0</v>
      </c>
      <c r="P146" s="216">
        <v>19780</v>
      </c>
      <c r="Q146" s="208"/>
    </row>
    <row r="147" spans="1:17" ht="51">
      <c r="A147" s="209">
        <f t="shared" si="2"/>
        <v>143</v>
      </c>
      <c r="B147" s="216" t="s">
        <v>327</v>
      </c>
      <c r="C147" s="209">
        <v>2074192</v>
      </c>
      <c r="D147" s="216" t="s">
        <v>9229</v>
      </c>
      <c r="E147" s="263">
        <v>45082</v>
      </c>
      <c r="F147" s="263">
        <v>45158</v>
      </c>
      <c r="G147" s="216"/>
      <c r="H147" s="216">
        <v>0</v>
      </c>
      <c r="I147" s="216">
        <v>0</v>
      </c>
      <c r="J147" s="216">
        <v>0</v>
      </c>
      <c r="K147" s="216">
        <v>0</v>
      </c>
      <c r="L147" s="216">
        <v>0</v>
      </c>
      <c r="M147" s="216">
        <v>0</v>
      </c>
      <c r="N147" s="216">
        <v>0.5</v>
      </c>
      <c r="O147" s="216">
        <v>0</v>
      </c>
      <c r="P147" s="216">
        <v>3450</v>
      </c>
      <c r="Q147" s="208"/>
    </row>
    <row r="148" spans="1:17" ht="38.25">
      <c r="A148" s="209">
        <f t="shared" si="2"/>
        <v>144</v>
      </c>
      <c r="B148" s="216" t="s">
        <v>327</v>
      </c>
      <c r="C148" s="209">
        <v>2074192</v>
      </c>
      <c r="D148" s="216" t="s">
        <v>9230</v>
      </c>
      <c r="E148" s="263">
        <v>45082</v>
      </c>
      <c r="F148" s="263">
        <v>45158</v>
      </c>
      <c r="G148" s="216"/>
      <c r="H148" s="216">
        <v>0</v>
      </c>
      <c r="I148" s="216">
        <v>0</v>
      </c>
      <c r="J148" s="216">
        <v>0</v>
      </c>
      <c r="K148" s="216">
        <v>0</v>
      </c>
      <c r="L148" s="216">
        <v>0</v>
      </c>
      <c r="M148" s="216">
        <v>0</v>
      </c>
      <c r="N148" s="216">
        <v>3</v>
      </c>
      <c r="O148" s="216">
        <v>0</v>
      </c>
      <c r="P148" s="216">
        <v>19780</v>
      </c>
      <c r="Q148" s="208"/>
    </row>
    <row r="149" spans="1:17" ht="51">
      <c r="A149" s="209">
        <f t="shared" si="2"/>
        <v>145</v>
      </c>
      <c r="B149" s="216" t="s">
        <v>327</v>
      </c>
      <c r="C149" s="209">
        <v>2074192</v>
      </c>
      <c r="D149" s="216" t="s">
        <v>9231</v>
      </c>
      <c r="E149" s="263">
        <v>45082</v>
      </c>
      <c r="F149" s="263">
        <v>45158</v>
      </c>
      <c r="G149" s="216"/>
      <c r="H149" s="216">
        <v>0</v>
      </c>
      <c r="I149" s="216">
        <v>0</v>
      </c>
      <c r="J149" s="216">
        <v>0</v>
      </c>
      <c r="K149" s="216">
        <v>0</v>
      </c>
      <c r="L149" s="216">
        <v>0</v>
      </c>
      <c r="M149" s="216">
        <v>0</v>
      </c>
      <c r="N149" s="216">
        <v>1.7</v>
      </c>
      <c r="O149" s="216">
        <v>0</v>
      </c>
      <c r="P149" s="216">
        <v>11040</v>
      </c>
      <c r="Q149" s="208"/>
    </row>
    <row r="150" spans="1:17" ht="25.5">
      <c r="A150" s="209">
        <f t="shared" si="2"/>
        <v>146</v>
      </c>
      <c r="B150" s="214" t="s">
        <v>327</v>
      </c>
      <c r="C150" s="215">
        <v>2074192</v>
      </c>
      <c r="D150" s="216" t="s">
        <v>9232</v>
      </c>
      <c r="E150" s="263">
        <v>45177</v>
      </c>
      <c r="F150" s="263">
        <v>45542</v>
      </c>
      <c r="G150" s="216"/>
      <c r="H150" s="216">
        <v>0</v>
      </c>
      <c r="I150" s="216">
        <v>0</v>
      </c>
      <c r="J150" s="216">
        <v>0</v>
      </c>
      <c r="K150" s="216">
        <v>0</v>
      </c>
      <c r="L150" s="216">
        <v>0</v>
      </c>
      <c r="M150" s="216">
        <v>108900</v>
      </c>
      <c r="N150" s="216">
        <v>0</v>
      </c>
      <c r="O150" s="216">
        <v>326667</v>
      </c>
      <c r="P150" s="216">
        <v>0</v>
      </c>
      <c r="Q150" s="95"/>
    </row>
    <row r="151" spans="1:17">
      <c r="A151" s="209">
        <f t="shared" si="2"/>
        <v>147</v>
      </c>
      <c r="B151" s="216" t="s">
        <v>331</v>
      </c>
      <c r="C151" s="215">
        <v>2861224</v>
      </c>
      <c r="D151" s="210"/>
      <c r="E151" s="209"/>
      <c r="F151" s="209"/>
      <c r="G151" s="210"/>
      <c r="H151" s="210"/>
      <c r="I151" s="210"/>
      <c r="J151" s="210"/>
      <c r="K151" s="210"/>
      <c r="L151" s="210"/>
      <c r="M151" s="210"/>
      <c r="N151" s="210"/>
      <c r="O151" s="210"/>
      <c r="P151" s="210"/>
    </row>
    <row r="152" spans="1:17">
      <c r="A152" s="209">
        <f t="shared" si="2"/>
        <v>148</v>
      </c>
      <c r="B152" s="214" t="s">
        <v>332</v>
      </c>
      <c r="C152" s="215">
        <v>5137977</v>
      </c>
      <c r="D152" s="210"/>
      <c r="E152" s="209"/>
      <c r="F152" s="209"/>
      <c r="G152" s="210"/>
      <c r="H152" s="210"/>
      <c r="I152" s="210"/>
      <c r="J152" s="210"/>
      <c r="K152" s="210"/>
      <c r="L152" s="210"/>
      <c r="M152" s="210"/>
      <c r="N152" s="210"/>
      <c r="O152" s="210"/>
      <c r="P152" s="210"/>
    </row>
  </sheetData>
  <mergeCells count="13">
    <mergeCell ref="F3:F4"/>
    <mergeCell ref="E2:F2"/>
    <mergeCell ref="A2:A4"/>
    <mergeCell ref="B2:B4"/>
    <mergeCell ref="C2:C4"/>
    <mergeCell ref="D2:D4"/>
    <mergeCell ref="E3:E4"/>
    <mergeCell ref="M3:N3"/>
    <mergeCell ref="O3:P3"/>
    <mergeCell ref="M2:P2"/>
    <mergeCell ref="G2:L2"/>
    <mergeCell ref="G3:I3"/>
    <mergeCell ref="J3:L3"/>
  </mergeCells>
  <conditionalFormatting sqref="B5:B6 B8:B21">
    <cfRule type="duplicateValues" dxfId="219" priority="37"/>
  </conditionalFormatting>
  <conditionalFormatting sqref="B22">
    <cfRule type="duplicateValues" dxfId="218" priority="39"/>
  </conditionalFormatting>
  <conditionalFormatting sqref="B23:B28 B30:B35">
    <cfRule type="duplicateValues" dxfId="217" priority="36"/>
  </conditionalFormatting>
  <conditionalFormatting sqref="B29">
    <cfRule type="duplicateValues" dxfId="216" priority="29"/>
  </conditionalFormatting>
  <conditionalFormatting sqref="B36">
    <cfRule type="duplicateValues" dxfId="215" priority="27"/>
  </conditionalFormatting>
  <conditionalFormatting sqref="B37:B38 B50:B55 B40:B48">
    <cfRule type="duplicateValues" dxfId="214" priority="35"/>
  </conditionalFormatting>
  <conditionalFormatting sqref="B39">
    <cfRule type="duplicateValues" dxfId="213" priority="26"/>
  </conditionalFormatting>
  <conditionalFormatting sqref="B49">
    <cfRule type="duplicateValues" dxfId="212" priority="28"/>
  </conditionalFormatting>
  <conditionalFormatting sqref="B56">
    <cfRule type="duplicateValues" dxfId="211" priority="38"/>
  </conditionalFormatting>
  <conditionalFormatting sqref="B57:B59 B63 B73:B78 B65:B69 B81 B84:B86 B88:B89">
    <cfRule type="duplicateValues" dxfId="210" priority="32"/>
  </conditionalFormatting>
  <conditionalFormatting sqref="B64">
    <cfRule type="duplicateValues" dxfId="209" priority="23"/>
  </conditionalFormatting>
  <conditionalFormatting sqref="B70:B71">
    <cfRule type="duplicateValues" dxfId="208" priority="22"/>
  </conditionalFormatting>
  <conditionalFormatting sqref="B72">
    <cfRule type="duplicateValues" dxfId="207" priority="24"/>
  </conditionalFormatting>
  <conditionalFormatting sqref="B79">
    <cfRule type="duplicateValues" dxfId="206" priority="21"/>
  </conditionalFormatting>
  <conditionalFormatting sqref="B80">
    <cfRule type="duplicateValues" dxfId="205" priority="18"/>
  </conditionalFormatting>
  <conditionalFormatting sqref="B82">
    <cfRule type="duplicateValues" dxfId="204" priority="20"/>
  </conditionalFormatting>
  <conditionalFormatting sqref="B83">
    <cfRule type="duplicateValues" dxfId="203" priority="17"/>
  </conditionalFormatting>
  <conditionalFormatting sqref="B87">
    <cfRule type="duplicateValues" dxfId="202" priority="19"/>
  </conditionalFormatting>
  <conditionalFormatting sqref="B90">
    <cfRule type="duplicateValues" dxfId="201" priority="30"/>
  </conditionalFormatting>
  <conditionalFormatting sqref="B91:B94">
    <cfRule type="duplicateValues" dxfId="200" priority="31"/>
  </conditionalFormatting>
  <conditionalFormatting sqref="B95">
    <cfRule type="duplicateValues" dxfId="199" priority="33"/>
  </conditionalFormatting>
  <conditionalFormatting sqref="B96:B101 B104:B108 B112:B113 B115:B119 B121 B123:B124 B136:B137 B131:B133 B139 B150 B152">
    <cfRule type="duplicateValues" dxfId="198" priority="34"/>
  </conditionalFormatting>
  <conditionalFormatting sqref="B102:B103">
    <cfRule type="duplicateValues" dxfId="197" priority="16"/>
  </conditionalFormatting>
  <conditionalFormatting sqref="B109:B111">
    <cfRule type="duplicateValues" dxfId="196" priority="15"/>
  </conditionalFormatting>
  <conditionalFormatting sqref="B114">
    <cfRule type="duplicateValues" dxfId="195" priority="14"/>
  </conditionalFormatting>
  <conditionalFormatting sqref="B120">
    <cfRule type="duplicateValues" dxfId="194" priority="13"/>
  </conditionalFormatting>
  <conditionalFormatting sqref="B122">
    <cfRule type="duplicateValues" dxfId="193" priority="12"/>
  </conditionalFormatting>
  <conditionalFormatting sqref="B125">
    <cfRule type="duplicateValues" dxfId="192" priority="10"/>
  </conditionalFormatting>
  <conditionalFormatting sqref="B126">
    <cfRule type="duplicateValues" dxfId="191" priority="11"/>
  </conditionalFormatting>
  <conditionalFormatting sqref="B127">
    <cfRule type="duplicateValues" dxfId="190" priority="9"/>
  </conditionalFormatting>
  <conditionalFormatting sqref="B128">
    <cfRule type="duplicateValues" dxfId="189" priority="6"/>
  </conditionalFormatting>
  <conditionalFormatting sqref="B129">
    <cfRule type="duplicateValues" dxfId="188" priority="8"/>
  </conditionalFormatting>
  <conditionalFormatting sqref="B130">
    <cfRule type="duplicateValues" dxfId="187" priority="7"/>
  </conditionalFormatting>
  <conditionalFormatting sqref="B134">
    <cfRule type="duplicateValues" dxfId="186" priority="5"/>
  </conditionalFormatting>
  <conditionalFormatting sqref="B135">
    <cfRule type="duplicateValues" dxfId="185" priority="4"/>
  </conditionalFormatting>
  <conditionalFormatting sqref="B138">
    <cfRule type="duplicateValues" dxfId="184" priority="3"/>
  </conditionalFormatting>
  <conditionalFormatting sqref="B140 B142">
    <cfRule type="duplicateValues" dxfId="183" priority="2"/>
  </conditionalFormatting>
  <conditionalFormatting sqref="B141">
    <cfRule type="duplicateValues" dxfId="182" priority="1"/>
  </conditionalFormatting>
  <conditionalFormatting sqref="C73:C86 C88:C89 C36:C59 C63:C71">
    <cfRule type="duplicateValues" dxfId="181" priority="45"/>
  </conditionalFormatting>
  <conditionalFormatting sqref="C90">
    <cfRule type="duplicateValues" dxfId="180" priority="44"/>
  </conditionalFormatting>
  <conditionalFormatting sqref="C91">
    <cfRule type="duplicateValues" dxfId="179" priority="43"/>
  </conditionalFormatting>
  <conditionalFormatting sqref="C92">
    <cfRule type="duplicateValues" dxfId="178" priority="42"/>
  </conditionalFormatting>
  <conditionalFormatting sqref="C93">
    <cfRule type="duplicateValues" dxfId="177" priority="41"/>
  </conditionalFormatting>
  <conditionalFormatting sqref="C94">
    <cfRule type="duplicateValues" dxfId="176" priority="40"/>
  </conditionalFormatting>
  <conditionalFormatting sqref="C95 C5:C6 C8:C35">
    <cfRule type="duplicateValues" dxfId="175" priority="46"/>
  </conditionalFormatting>
  <conditionalFormatting sqref="C96:C102 C104:C124 C131:C132 C135:C140 C150:C152">
    <cfRule type="duplicateValues" dxfId="174" priority="47"/>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9A25-82F8-4D47-814C-B2291D56F32C}">
  <sheetPr>
    <tabColor rgb="FF006432"/>
  </sheetPr>
  <dimension ref="A1:S160"/>
  <sheetViews>
    <sheetView workbookViewId="0">
      <pane xSplit="3" ySplit="4" topLeftCell="D5" activePane="bottomRight" state="frozen"/>
      <selection pane="bottomRight" activeCell="J17" sqref="J17"/>
      <selection pane="bottomLeft" activeCell="A5" sqref="A5"/>
      <selection pane="topRight" activeCell="D1" sqref="D1"/>
    </sheetView>
  </sheetViews>
  <sheetFormatPr defaultRowHeight="15"/>
  <cols>
    <col min="1" max="1" width="4.5703125" customWidth="1"/>
    <col min="2" max="2" width="22.28515625" customWidth="1"/>
    <col min="3" max="3" width="15" customWidth="1"/>
    <col min="4" max="4" width="19.42578125" customWidth="1"/>
    <col min="5" max="5" width="16.5703125" customWidth="1"/>
    <col min="6" max="6" width="17" customWidth="1"/>
    <col min="7" max="7" width="14.140625" bestFit="1" customWidth="1"/>
    <col min="8" max="8" width="19.85546875" bestFit="1" customWidth="1"/>
    <col min="9" max="11" width="12.5703125" customWidth="1"/>
    <col min="12" max="12" width="16" bestFit="1" customWidth="1"/>
    <col min="13" max="13" width="18.42578125" bestFit="1" customWidth="1"/>
    <col min="14" max="14" width="22.42578125" bestFit="1" customWidth="1"/>
    <col min="15" max="15" width="18.28515625" bestFit="1" customWidth="1"/>
    <col min="16" max="17" width="18.28515625" customWidth="1"/>
    <col min="18" max="18" width="16" bestFit="1" customWidth="1"/>
  </cols>
  <sheetData>
    <row r="1" spans="1:19" ht="16.5" thickBot="1">
      <c r="A1" s="26" t="s">
        <v>9233</v>
      </c>
      <c r="B1" s="26"/>
      <c r="C1" s="26"/>
      <c r="D1" s="26"/>
      <c r="E1" s="73"/>
      <c r="F1" s="63"/>
      <c r="G1" s="64"/>
      <c r="H1" s="64"/>
      <c r="I1" s="64"/>
      <c r="J1" s="64"/>
      <c r="K1" s="64"/>
      <c r="L1" s="64"/>
      <c r="M1" s="64"/>
      <c r="N1" s="64"/>
      <c r="O1" s="64"/>
      <c r="P1" s="64"/>
      <c r="Q1" s="64"/>
      <c r="R1" s="64"/>
    </row>
    <row r="2" spans="1:19" ht="27" customHeight="1" thickTop="1">
      <c r="A2" s="505" t="s">
        <v>114</v>
      </c>
      <c r="B2" s="505" t="s">
        <v>115</v>
      </c>
      <c r="C2" s="505" t="s">
        <v>621</v>
      </c>
      <c r="D2" s="505" t="s">
        <v>9011</v>
      </c>
      <c r="E2" s="556" t="s">
        <v>9012</v>
      </c>
      <c r="F2" s="556"/>
      <c r="G2" s="530" t="s">
        <v>9234</v>
      </c>
      <c r="H2" s="557"/>
      <c r="I2" s="557"/>
      <c r="J2" s="557"/>
      <c r="K2" s="557"/>
      <c r="L2" s="531"/>
      <c r="M2" s="530" t="s">
        <v>9235</v>
      </c>
      <c r="N2" s="557"/>
      <c r="O2" s="557"/>
      <c r="P2" s="557"/>
      <c r="Q2" s="557"/>
      <c r="R2" s="531"/>
    </row>
    <row r="3" spans="1:19" ht="27" customHeight="1">
      <c r="A3" s="590"/>
      <c r="B3" s="590"/>
      <c r="C3" s="590"/>
      <c r="D3" s="590"/>
      <c r="E3" s="556"/>
      <c r="F3" s="556"/>
      <c r="G3" s="557" t="s">
        <v>9187</v>
      </c>
      <c r="H3" s="557"/>
      <c r="I3" s="531"/>
      <c r="J3" s="557" t="s">
        <v>9188</v>
      </c>
      <c r="K3" s="557"/>
      <c r="L3" s="531"/>
      <c r="M3" s="530" t="s">
        <v>9187</v>
      </c>
      <c r="N3" s="557"/>
      <c r="O3" s="531"/>
      <c r="P3" s="530" t="s">
        <v>9188</v>
      </c>
      <c r="Q3" s="557"/>
      <c r="R3" s="531"/>
    </row>
    <row r="4" spans="1:19" ht="37.5" customHeight="1">
      <c r="A4" s="506"/>
      <c r="B4" s="506"/>
      <c r="C4" s="506"/>
      <c r="D4" s="590"/>
      <c r="E4" s="18" t="s">
        <v>9015</v>
      </c>
      <c r="F4" s="18" t="s">
        <v>9016</v>
      </c>
      <c r="G4" s="256" t="s">
        <v>9189</v>
      </c>
      <c r="H4" s="256" t="s">
        <v>9190</v>
      </c>
      <c r="I4" s="256" t="s">
        <v>9191</v>
      </c>
      <c r="J4" s="256" t="s">
        <v>9189</v>
      </c>
      <c r="K4" s="256" t="s">
        <v>9190</v>
      </c>
      <c r="L4" s="256" t="s">
        <v>9191</v>
      </c>
      <c r="M4" s="256" t="s">
        <v>9189</v>
      </c>
      <c r="N4" s="256" t="s">
        <v>9190</v>
      </c>
      <c r="O4" s="256" t="s">
        <v>9191</v>
      </c>
      <c r="P4" s="256" t="s">
        <v>9189</v>
      </c>
      <c r="Q4" s="256" t="s">
        <v>9190</v>
      </c>
      <c r="R4" s="256" t="s">
        <v>9191</v>
      </c>
    </row>
    <row r="5" spans="1:19">
      <c r="A5" s="6">
        <v>1</v>
      </c>
      <c r="B5" s="20" t="s">
        <v>121</v>
      </c>
      <c r="C5" s="267">
        <v>2011239</v>
      </c>
      <c r="D5" s="210"/>
      <c r="E5" s="485"/>
      <c r="F5" s="485"/>
      <c r="G5" s="210"/>
      <c r="H5" s="210"/>
      <c r="I5" s="210"/>
      <c r="J5" s="210"/>
      <c r="K5" s="210"/>
      <c r="L5" s="210"/>
      <c r="M5" s="210"/>
      <c r="N5" s="210"/>
      <c r="O5" s="210"/>
      <c r="P5" s="210"/>
      <c r="Q5" s="210"/>
      <c r="R5" s="210"/>
    </row>
    <row r="6" spans="1:19">
      <c r="A6" s="6">
        <v>2</v>
      </c>
      <c r="B6" s="216" t="s">
        <v>126</v>
      </c>
      <c r="C6" s="267">
        <v>5097517</v>
      </c>
      <c r="D6" s="210"/>
      <c r="E6" s="210"/>
      <c r="F6" s="210"/>
      <c r="G6" s="210"/>
      <c r="H6" s="210"/>
      <c r="I6" s="210"/>
      <c r="J6" s="210"/>
      <c r="K6" s="210"/>
      <c r="L6" s="210"/>
      <c r="M6" s="210"/>
      <c r="N6" s="210"/>
      <c r="O6" s="210"/>
      <c r="P6" s="210"/>
      <c r="Q6" s="210"/>
      <c r="R6" s="210"/>
    </row>
    <row r="7" spans="1:19">
      <c r="A7" s="6">
        <v>3</v>
      </c>
      <c r="B7" s="216" t="s">
        <v>131</v>
      </c>
      <c r="C7" s="6">
        <v>5809797</v>
      </c>
      <c r="D7" s="216" t="s">
        <v>9236</v>
      </c>
      <c r="E7" s="486">
        <v>44927</v>
      </c>
      <c r="F7" s="486">
        <v>45291</v>
      </c>
      <c r="G7" s="216"/>
      <c r="H7" s="216">
        <v>52.156999999999996</v>
      </c>
      <c r="I7" s="216">
        <v>0</v>
      </c>
      <c r="J7" s="216">
        <v>0</v>
      </c>
      <c r="K7" s="216">
        <v>117828</v>
      </c>
      <c r="L7" s="216">
        <v>0</v>
      </c>
      <c r="M7" s="216">
        <v>0</v>
      </c>
      <c r="N7" s="216">
        <v>0</v>
      </c>
      <c r="O7" s="216">
        <v>0</v>
      </c>
      <c r="P7" s="216">
        <v>0</v>
      </c>
      <c r="Q7" s="216">
        <v>0</v>
      </c>
      <c r="R7" s="216">
        <v>0</v>
      </c>
      <c r="S7" s="223"/>
    </row>
    <row r="8" spans="1:19">
      <c r="A8" s="6">
        <v>4</v>
      </c>
      <c r="B8" s="20" t="s">
        <v>131</v>
      </c>
      <c r="C8" s="267">
        <v>5809797</v>
      </c>
      <c r="D8" s="216" t="s">
        <v>9192</v>
      </c>
      <c r="E8" s="486">
        <v>44927</v>
      </c>
      <c r="F8" s="486">
        <v>45291</v>
      </c>
      <c r="G8" s="216"/>
      <c r="H8" s="216">
        <v>0</v>
      </c>
      <c r="I8" s="216">
        <v>0</v>
      </c>
      <c r="J8" s="216">
        <v>0</v>
      </c>
      <c r="K8" s="216">
        <v>0</v>
      </c>
      <c r="L8" s="216">
        <v>0</v>
      </c>
      <c r="M8" s="216">
        <v>0</v>
      </c>
      <c r="N8" s="216">
        <v>1</v>
      </c>
      <c r="O8" s="216">
        <v>0</v>
      </c>
      <c r="P8" s="216">
        <v>0</v>
      </c>
      <c r="Q8" s="216">
        <v>228729</v>
      </c>
      <c r="R8" s="216">
        <v>0</v>
      </c>
      <c r="S8" s="95"/>
    </row>
    <row r="9" spans="1:19">
      <c r="A9" s="6">
        <v>5</v>
      </c>
      <c r="B9" s="20" t="s">
        <v>133</v>
      </c>
      <c r="C9" s="267">
        <v>5118344</v>
      </c>
      <c r="D9" s="210"/>
      <c r="E9" s="210"/>
      <c r="F9" s="210"/>
      <c r="G9" s="210"/>
      <c r="H9" s="210"/>
      <c r="I9" s="210"/>
      <c r="J9" s="210"/>
      <c r="K9" s="210"/>
      <c r="L9" s="210"/>
      <c r="M9" s="210"/>
      <c r="N9" s="210"/>
      <c r="O9" s="210"/>
      <c r="P9" s="210"/>
      <c r="Q9" s="210"/>
      <c r="R9" s="210"/>
    </row>
    <row r="10" spans="1:19">
      <c r="A10" s="6">
        <v>6</v>
      </c>
      <c r="B10" s="20" t="s">
        <v>136</v>
      </c>
      <c r="C10" s="267">
        <v>5095549</v>
      </c>
      <c r="D10" s="216" t="s">
        <v>9237</v>
      </c>
      <c r="E10" s="486">
        <v>44927</v>
      </c>
      <c r="F10" s="486">
        <v>45291</v>
      </c>
      <c r="G10" s="216"/>
      <c r="H10" s="216">
        <v>0</v>
      </c>
      <c r="I10" s="216">
        <v>0</v>
      </c>
      <c r="J10" s="216">
        <v>0</v>
      </c>
      <c r="K10" s="216">
        <v>0</v>
      </c>
      <c r="L10" s="216">
        <v>0</v>
      </c>
      <c r="M10" s="216">
        <v>0</v>
      </c>
      <c r="N10" s="216">
        <v>0</v>
      </c>
      <c r="O10" s="216">
        <v>0</v>
      </c>
      <c r="P10" s="216">
        <v>176669000</v>
      </c>
      <c r="Q10" s="216">
        <v>0</v>
      </c>
      <c r="R10" s="216">
        <v>0</v>
      </c>
    </row>
    <row r="11" spans="1:19">
      <c r="A11" s="6">
        <v>7</v>
      </c>
      <c r="B11" s="20" t="s">
        <v>140</v>
      </c>
      <c r="C11" s="267">
        <v>2784165</v>
      </c>
      <c r="D11" s="210"/>
      <c r="E11" s="210"/>
      <c r="F11" s="210"/>
      <c r="G11" s="210"/>
      <c r="H11" s="210"/>
      <c r="I11" s="210"/>
      <c r="J11" s="210"/>
      <c r="K11" s="210"/>
      <c r="L11" s="210"/>
      <c r="M11" s="210"/>
      <c r="N11" s="210"/>
      <c r="O11" s="210"/>
      <c r="P11" s="210"/>
      <c r="Q11" s="210"/>
      <c r="R11" s="210"/>
    </row>
    <row r="12" spans="1:19">
      <c r="A12" s="6">
        <v>8</v>
      </c>
      <c r="B12" s="20" t="s">
        <v>143</v>
      </c>
      <c r="C12" s="267">
        <v>5133351</v>
      </c>
      <c r="D12" s="210"/>
      <c r="E12" s="210"/>
      <c r="F12" s="210"/>
      <c r="G12" s="210"/>
      <c r="H12" s="210"/>
      <c r="I12" s="210"/>
      <c r="J12" s="210"/>
      <c r="K12" s="210"/>
      <c r="L12" s="210"/>
      <c r="M12" s="210"/>
      <c r="N12" s="210"/>
      <c r="O12" s="210"/>
      <c r="P12" s="210"/>
      <c r="Q12" s="210"/>
      <c r="R12" s="210"/>
    </row>
    <row r="13" spans="1:19">
      <c r="A13" s="6">
        <v>9</v>
      </c>
      <c r="B13" s="20" t="s">
        <v>144</v>
      </c>
      <c r="C13" s="267">
        <v>6172768</v>
      </c>
      <c r="D13" s="210"/>
      <c r="E13" s="210"/>
      <c r="F13" s="210"/>
      <c r="G13" s="210"/>
      <c r="H13" s="210"/>
      <c r="I13" s="210"/>
      <c r="J13" s="210"/>
      <c r="K13" s="210"/>
      <c r="L13" s="210"/>
      <c r="M13" s="210"/>
      <c r="N13" s="210"/>
      <c r="O13" s="210"/>
      <c r="P13" s="210"/>
      <c r="Q13" s="210"/>
      <c r="R13" s="210"/>
    </row>
    <row r="14" spans="1:19">
      <c r="A14" s="6">
        <v>10</v>
      </c>
      <c r="B14" s="216" t="s">
        <v>146</v>
      </c>
      <c r="C14" s="267">
        <v>2788705</v>
      </c>
      <c r="D14" s="210"/>
      <c r="E14" s="210"/>
      <c r="F14" s="210"/>
      <c r="G14" s="210"/>
      <c r="H14" s="210"/>
      <c r="I14" s="210"/>
      <c r="J14" s="210"/>
      <c r="K14" s="210"/>
      <c r="L14" s="210"/>
      <c r="M14" s="210"/>
      <c r="N14" s="210"/>
      <c r="O14" s="210"/>
      <c r="P14" s="210"/>
      <c r="Q14" s="210"/>
      <c r="R14" s="210"/>
    </row>
    <row r="15" spans="1:19">
      <c r="A15" s="6">
        <v>11</v>
      </c>
      <c r="B15" s="20" t="s">
        <v>629</v>
      </c>
      <c r="C15" s="267">
        <v>5439183</v>
      </c>
      <c r="D15" s="210"/>
      <c r="E15" s="210"/>
      <c r="F15" s="210"/>
      <c r="G15" s="210"/>
      <c r="H15" s="210"/>
      <c r="I15" s="210"/>
      <c r="J15" s="210"/>
      <c r="K15" s="210"/>
      <c r="L15" s="210"/>
      <c r="M15" s="210"/>
      <c r="N15" s="210"/>
      <c r="O15" s="210"/>
      <c r="P15" s="210"/>
      <c r="Q15" s="210"/>
      <c r="R15" s="210"/>
    </row>
    <row r="16" spans="1:19">
      <c r="A16" s="6">
        <v>12</v>
      </c>
      <c r="B16" s="20" t="s">
        <v>152</v>
      </c>
      <c r="C16" s="267">
        <v>2008572</v>
      </c>
      <c r="D16" s="210"/>
      <c r="E16" s="210"/>
      <c r="F16" s="210"/>
      <c r="G16" s="210"/>
      <c r="H16" s="210"/>
      <c r="I16" s="210"/>
      <c r="J16" s="210"/>
      <c r="K16" s="210"/>
      <c r="L16" s="210"/>
      <c r="M16" s="210"/>
      <c r="N16" s="210"/>
      <c r="O16" s="210"/>
      <c r="P16" s="210"/>
      <c r="Q16" s="210"/>
      <c r="R16" s="210"/>
    </row>
    <row r="17" spans="1:19">
      <c r="A17" s="6">
        <v>13</v>
      </c>
      <c r="B17" s="20" t="s">
        <v>155</v>
      </c>
      <c r="C17" s="267">
        <v>5215919</v>
      </c>
      <c r="D17" s="210"/>
      <c r="E17" s="210"/>
      <c r="F17" s="210"/>
      <c r="G17" s="210"/>
      <c r="H17" s="210"/>
      <c r="I17" s="210"/>
      <c r="J17" s="210"/>
      <c r="K17" s="210"/>
      <c r="L17" s="210"/>
      <c r="M17" s="210"/>
      <c r="N17" s="210"/>
      <c r="O17" s="210"/>
      <c r="P17" s="210"/>
      <c r="Q17" s="210"/>
      <c r="R17" s="210"/>
    </row>
    <row r="18" spans="1:19" ht="25.5">
      <c r="A18" s="6">
        <v>14</v>
      </c>
      <c r="B18" s="216" t="s">
        <v>157</v>
      </c>
      <c r="C18" s="6">
        <v>5502977</v>
      </c>
      <c r="D18" s="216" t="s">
        <v>9238</v>
      </c>
      <c r="E18" s="486">
        <v>44927</v>
      </c>
      <c r="F18" s="486">
        <v>45657</v>
      </c>
      <c r="G18" s="216"/>
      <c r="H18" s="216">
        <v>0</v>
      </c>
      <c r="I18" s="216">
        <v>0</v>
      </c>
      <c r="J18" s="216">
        <v>0</v>
      </c>
      <c r="K18" s="216">
        <v>0</v>
      </c>
      <c r="L18" s="216">
        <v>0</v>
      </c>
      <c r="M18" s="216">
        <v>51264000</v>
      </c>
      <c r="N18" s="216">
        <v>0</v>
      </c>
      <c r="O18" s="216">
        <v>0</v>
      </c>
      <c r="P18" s="216">
        <v>0</v>
      </c>
      <c r="Q18" s="216">
        <v>0</v>
      </c>
      <c r="R18" s="216">
        <v>0</v>
      </c>
      <c r="S18" s="223"/>
    </row>
    <row r="19" spans="1:19" ht="25.5">
      <c r="A19" s="6">
        <v>15</v>
      </c>
      <c r="B19" s="20" t="s">
        <v>157</v>
      </c>
      <c r="C19" s="267">
        <v>5502977</v>
      </c>
      <c r="D19" s="216" t="s">
        <v>9239</v>
      </c>
      <c r="E19" s="486">
        <v>44927</v>
      </c>
      <c r="F19" s="486">
        <v>45657</v>
      </c>
      <c r="G19" s="216"/>
      <c r="H19" s="216">
        <v>0</v>
      </c>
      <c r="I19" s="216">
        <v>0</v>
      </c>
      <c r="J19" s="216">
        <v>0</v>
      </c>
      <c r="K19" s="216">
        <v>0</v>
      </c>
      <c r="L19" s="216">
        <v>0</v>
      </c>
      <c r="M19" s="216">
        <v>64080</v>
      </c>
      <c r="N19" s="216">
        <v>0</v>
      </c>
      <c r="O19" s="216">
        <v>0</v>
      </c>
      <c r="P19" s="216">
        <v>51264000</v>
      </c>
      <c r="Q19" s="216">
        <v>0</v>
      </c>
      <c r="R19" s="216">
        <v>0</v>
      </c>
      <c r="S19" s="95"/>
    </row>
    <row r="20" spans="1:19">
      <c r="A20" s="6">
        <v>16</v>
      </c>
      <c r="B20" s="20" t="s">
        <v>159</v>
      </c>
      <c r="C20" s="267">
        <v>2708701</v>
      </c>
      <c r="D20" s="210"/>
      <c r="E20" s="210"/>
      <c r="F20" s="210"/>
      <c r="G20" s="210"/>
      <c r="H20" s="210"/>
      <c r="I20" s="210"/>
      <c r="J20" s="210"/>
      <c r="K20" s="210"/>
      <c r="L20" s="210"/>
      <c r="M20" s="210"/>
      <c r="N20" s="210"/>
      <c r="O20" s="210"/>
      <c r="P20" s="210"/>
      <c r="Q20" s="210"/>
      <c r="R20" s="210"/>
    </row>
    <row r="21" spans="1:19">
      <c r="A21" s="6">
        <v>17</v>
      </c>
      <c r="B21" s="216" t="s">
        <v>161</v>
      </c>
      <c r="C21" s="267">
        <v>2014491</v>
      </c>
      <c r="D21" s="210"/>
      <c r="E21" s="210"/>
      <c r="F21" s="210"/>
      <c r="G21" s="210"/>
      <c r="H21" s="210"/>
      <c r="I21" s="210"/>
      <c r="J21" s="210"/>
      <c r="K21" s="210"/>
      <c r="L21" s="210"/>
      <c r="M21" s="210"/>
      <c r="N21" s="210"/>
      <c r="O21" s="210"/>
      <c r="P21" s="210"/>
      <c r="Q21" s="210"/>
      <c r="R21" s="210"/>
    </row>
    <row r="22" spans="1:19">
      <c r="A22" s="6">
        <v>18</v>
      </c>
      <c r="B22" s="20" t="s">
        <v>165</v>
      </c>
      <c r="C22" s="267">
        <v>6414877</v>
      </c>
      <c r="D22" s="210"/>
      <c r="E22" s="210"/>
      <c r="F22" s="210"/>
      <c r="G22" s="210"/>
      <c r="H22" s="210"/>
      <c r="I22" s="210"/>
      <c r="J22" s="210"/>
      <c r="K22" s="210"/>
      <c r="L22" s="210"/>
      <c r="M22" s="210"/>
      <c r="N22" s="210"/>
      <c r="O22" s="210"/>
      <c r="P22" s="210"/>
      <c r="Q22" s="210"/>
      <c r="R22" s="210"/>
    </row>
    <row r="23" spans="1:19">
      <c r="A23" s="6">
        <v>19</v>
      </c>
      <c r="B23" s="20" t="s">
        <v>168</v>
      </c>
      <c r="C23" s="267">
        <v>5369223</v>
      </c>
      <c r="D23" s="216" t="s">
        <v>9240</v>
      </c>
      <c r="E23" s="486">
        <v>44927</v>
      </c>
      <c r="F23" s="486">
        <v>45291</v>
      </c>
      <c r="G23" s="216"/>
      <c r="H23" s="216">
        <v>15.8</v>
      </c>
      <c r="I23" s="216">
        <v>0</v>
      </c>
      <c r="J23" s="216">
        <v>0</v>
      </c>
      <c r="K23" s="216">
        <v>35425.199999999997</v>
      </c>
      <c r="L23" s="216">
        <v>0</v>
      </c>
      <c r="M23" s="216">
        <v>0</v>
      </c>
      <c r="N23" s="216">
        <v>12</v>
      </c>
      <c r="O23" s="216">
        <v>0</v>
      </c>
      <c r="P23" s="216">
        <v>0</v>
      </c>
      <c r="Q23" s="216">
        <v>36782.400000000001</v>
      </c>
      <c r="R23" s="216">
        <v>0</v>
      </c>
    </row>
    <row r="24" spans="1:19">
      <c r="A24" s="6">
        <v>20</v>
      </c>
      <c r="B24" s="216" t="s">
        <v>169</v>
      </c>
      <c r="C24" s="6">
        <v>5294088</v>
      </c>
      <c r="D24" s="216" t="s">
        <v>9241</v>
      </c>
      <c r="E24" s="486">
        <v>44927</v>
      </c>
      <c r="F24" s="486">
        <v>45291</v>
      </c>
      <c r="G24" s="216"/>
      <c r="H24" s="216">
        <v>0</v>
      </c>
      <c r="I24" s="216">
        <v>0</v>
      </c>
      <c r="J24" s="216">
        <v>0</v>
      </c>
      <c r="K24" s="216">
        <v>0</v>
      </c>
      <c r="L24" s="216">
        <v>0</v>
      </c>
      <c r="M24" s="216">
        <v>0</v>
      </c>
      <c r="N24" s="216">
        <v>0</v>
      </c>
      <c r="O24" s="216">
        <v>0</v>
      </c>
      <c r="P24" s="216">
        <v>477.6</v>
      </c>
      <c r="Q24" s="216">
        <v>0</v>
      </c>
      <c r="R24" s="216">
        <v>0</v>
      </c>
      <c r="S24" s="223"/>
    </row>
    <row r="25" spans="1:19">
      <c r="A25" s="6">
        <v>21</v>
      </c>
      <c r="B25" s="216" t="s">
        <v>169</v>
      </c>
      <c r="C25" s="6">
        <v>5294088</v>
      </c>
      <c r="D25" s="216" t="s">
        <v>9242</v>
      </c>
      <c r="E25" s="486">
        <v>44927</v>
      </c>
      <c r="F25" s="486">
        <v>45291</v>
      </c>
      <c r="G25" s="216"/>
      <c r="H25" s="216">
        <v>0</v>
      </c>
      <c r="I25" s="216">
        <v>0</v>
      </c>
      <c r="J25" s="216">
        <v>0</v>
      </c>
      <c r="K25" s="216">
        <v>0</v>
      </c>
      <c r="L25" s="216">
        <v>0</v>
      </c>
      <c r="M25" s="216">
        <v>0</v>
      </c>
      <c r="N25" s="216">
        <v>0</v>
      </c>
      <c r="O25" s="216">
        <v>0</v>
      </c>
      <c r="P25" s="216">
        <v>542.20000000000005</v>
      </c>
      <c r="Q25" s="216">
        <v>0</v>
      </c>
      <c r="R25" s="216">
        <v>0</v>
      </c>
      <c r="S25" s="223"/>
    </row>
    <row r="26" spans="1:19">
      <c r="A26" s="6">
        <v>22</v>
      </c>
      <c r="B26" s="216" t="s">
        <v>169</v>
      </c>
      <c r="C26" s="6">
        <v>5294088</v>
      </c>
      <c r="D26" s="216" t="s">
        <v>9243</v>
      </c>
      <c r="E26" s="486">
        <v>44927</v>
      </c>
      <c r="F26" s="486">
        <v>45291</v>
      </c>
      <c r="G26" s="216"/>
      <c r="H26" s="216">
        <v>0</v>
      </c>
      <c r="I26" s="216">
        <v>0</v>
      </c>
      <c r="J26" s="216">
        <v>0</v>
      </c>
      <c r="K26" s="216">
        <v>0</v>
      </c>
      <c r="L26" s="216">
        <v>0</v>
      </c>
      <c r="M26" s="216">
        <v>0</v>
      </c>
      <c r="N26" s="216">
        <v>0</v>
      </c>
      <c r="O26" s="216">
        <v>0</v>
      </c>
      <c r="P26" s="216">
        <v>419</v>
      </c>
      <c r="Q26" s="216">
        <v>0</v>
      </c>
      <c r="R26" s="216">
        <v>0</v>
      </c>
      <c r="S26" s="223"/>
    </row>
    <row r="27" spans="1:19">
      <c r="A27" s="6">
        <v>23</v>
      </c>
      <c r="B27" s="20" t="s">
        <v>169</v>
      </c>
      <c r="C27" s="267">
        <v>5294088</v>
      </c>
      <c r="D27" s="216" t="s">
        <v>9244</v>
      </c>
      <c r="E27" s="486">
        <v>44927</v>
      </c>
      <c r="F27" s="486">
        <v>45291</v>
      </c>
      <c r="G27" s="216"/>
      <c r="H27" s="216">
        <v>0</v>
      </c>
      <c r="I27" s="216">
        <v>0</v>
      </c>
      <c r="J27" s="216">
        <v>0</v>
      </c>
      <c r="K27" s="216">
        <v>0</v>
      </c>
      <c r="L27" s="216">
        <v>0</v>
      </c>
      <c r="M27" s="216">
        <v>0</v>
      </c>
      <c r="N27" s="216">
        <v>0</v>
      </c>
      <c r="O27" s="216">
        <v>0</v>
      </c>
      <c r="P27" s="216">
        <v>244.4</v>
      </c>
      <c r="Q27" s="216">
        <v>0</v>
      </c>
      <c r="R27" s="216">
        <v>0</v>
      </c>
      <c r="S27" s="95"/>
    </row>
    <row r="28" spans="1:19">
      <c r="A28" s="6">
        <v>24</v>
      </c>
      <c r="B28" s="20" t="s">
        <v>173</v>
      </c>
      <c r="C28" s="267">
        <v>2855119</v>
      </c>
      <c r="D28" s="210"/>
      <c r="E28" s="210"/>
      <c r="F28" s="210"/>
      <c r="G28" s="210"/>
      <c r="H28" s="210"/>
      <c r="I28" s="210"/>
      <c r="J28" s="210"/>
      <c r="K28" s="210"/>
      <c r="L28" s="210"/>
      <c r="M28" s="210"/>
      <c r="N28" s="210"/>
      <c r="O28" s="210"/>
      <c r="P28" s="210"/>
      <c r="Q28" s="210"/>
      <c r="R28" s="210"/>
    </row>
    <row r="29" spans="1:19">
      <c r="A29" s="6">
        <v>25</v>
      </c>
      <c r="B29" s="192" t="s">
        <v>174</v>
      </c>
      <c r="C29" s="262">
        <v>2094533</v>
      </c>
      <c r="D29" s="210"/>
      <c r="E29" s="210"/>
      <c r="F29" s="210"/>
      <c r="G29" s="210"/>
      <c r="H29" s="210"/>
      <c r="I29" s="210"/>
      <c r="J29" s="210"/>
      <c r="K29" s="210"/>
      <c r="L29" s="210"/>
      <c r="M29" s="210"/>
      <c r="N29" s="210"/>
      <c r="O29" s="210"/>
      <c r="P29" s="210"/>
      <c r="Q29" s="210"/>
      <c r="R29" s="210"/>
    </row>
    <row r="30" spans="1:19">
      <c r="A30" s="6">
        <v>26</v>
      </c>
      <c r="B30" s="20" t="s">
        <v>175</v>
      </c>
      <c r="C30" s="267">
        <v>5722942</v>
      </c>
      <c r="D30" s="210"/>
      <c r="E30" s="210"/>
      <c r="F30" s="210"/>
      <c r="G30" s="210"/>
      <c r="H30" s="210"/>
      <c r="I30" s="210"/>
      <c r="J30" s="210"/>
      <c r="K30" s="210"/>
      <c r="L30" s="210"/>
      <c r="M30" s="210"/>
      <c r="N30" s="210"/>
      <c r="O30" s="210"/>
      <c r="P30" s="210"/>
      <c r="Q30" s="210"/>
      <c r="R30" s="210"/>
    </row>
    <row r="31" spans="1:19">
      <c r="A31" s="6">
        <v>27</v>
      </c>
      <c r="B31" s="20" t="s">
        <v>176</v>
      </c>
      <c r="C31" s="267">
        <v>2867494</v>
      </c>
      <c r="D31" s="210"/>
      <c r="E31" s="210"/>
      <c r="F31" s="210"/>
      <c r="G31" s="210"/>
      <c r="H31" s="210"/>
      <c r="I31" s="210"/>
      <c r="J31" s="210"/>
      <c r="K31" s="210"/>
      <c r="L31" s="210"/>
      <c r="M31" s="210"/>
      <c r="N31" s="210"/>
      <c r="O31" s="210"/>
      <c r="P31" s="210"/>
      <c r="Q31" s="210"/>
      <c r="R31" s="210"/>
    </row>
    <row r="32" spans="1:19">
      <c r="A32" s="6">
        <v>28</v>
      </c>
      <c r="B32" s="20" t="s">
        <v>177</v>
      </c>
      <c r="C32" s="267">
        <v>6463932</v>
      </c>
      <c r="D32" s="210"/>
      <c r="E32" s="210"/>
      <c r="F32" s="210"/>
      <c r="G32" s="210"/>
      <c r="H32" s="210"/>
      <c r="I32" s="210"/>
      <c r="J32" s="210"/>
      <c r="K32" s="210"/>
      <c r="L32" s="210"/>
      <c r="M32" s="210"/>
      <c r="N32" s="210"/>
      <c r="O32" s="210"/>
      <c r="P32" s="210"/>
      <c r="Q32" s="210"/>
      <c r="R32" s="210"/>
    </row>
    <row r="33" spans="1:19">
      <c r="A33" s="6">
        <v>29</v>
      </c>
      <c r="B33" s="216" t="s">
        <v>178</v>
      </c>
      <c r="C33" s="267">
        <v>5260833</v>
      </c>
      <c r="D33" s="210"/>
      <c r="E33" s="210"/>
      <c r="F33" s="210"/>
      <c r="G33" s="210"/>
      <c r="H33" s="210"/>
      <c r="I33" s="210"/>
      <c r="J33" s="210"/>
      <c r="K33" s="210"/>
      <c r="L33" s="210"/>
      <c r="M33" s="210"/>
      <c r="N33" s="210"/>
      <c r="O33" s="210"/>
      <c r="P33" s="210"/>
      <c r="Q33" s="210"/>
      <c r="R33" s="210"/>
    </row>
    <row r="34" spans="1:19" ht="25.5">
      <c r="A34" s="6">
        <v>30</v>
      </c>
      <c r="B34" s="216" t="s">
        <v>179</v>
      </c>
      <c r="C34" s="267">
        <v>2051303</v>
      </c>
      <c r="D34" s="210"/>
      <c r="E34" s="210"/>
      <c r="F34" s="210"/>
      <c r="G34" s="210"/>
      <c r="H34" s="210"/>
      <c r="I34" s="210"/>
      <c r="J34" s="210"/>
      <c r="K34" s="210"/>
      <c r="L34" s="210"/>
      <c r="M34" s="210"/>
      <c r="N34" s="210"/>
      <c r="O34" s="210"/>
      <c r="P34" s="210"/>
      <c r="Q34" s="210"/>
      <c r="R34" s="210"/>
    </row>
    <row r="35" spans="1:19">
      <c r="A35" s="6">
        <v>31</v>
      </c>
      <c r="B35" s="216" t="s">
        <v>183</v>
      </c>
      <c r="C35" s="6">
        <v>2061848</v>
      </c>
      <c r="D35" s="216" t="s">
        <v>9245</v>
      </c>
      <c r="E35" s="486">
        <v>45013</v>
      </c>
      <c r="F35" s="486">
        <v>45379</v>
      </c>
      <c r="G35" s="216"/>
      <c r="H35" s="216">
        <v>5</v>
      </c>
      <c r="I35" s="216">
        <v>0</v>
      </c>
      <c r="J35" s="216">
        <v>0</v>
      </c>
      <c r="K35" s="216">
        <v>5100</v>
      </c>
      <c r="L35" s="216">
        <v>0</v>
      </c>
      <c r="M35" s="216">
        <v>0</v>
      </c>
      <c r="N35" s="216">
        <v>0</v>
      </c>
      <c r="O35" s="216">
        <v>0</v>
      </c>
      <c r="P35" s="216">
        <v>0</v>
      </c>
      <c r="Q35" s="216">
        <v>0</v>
      </c>
      <c r="R35" s="216">
        <v>0</v>
      </c>
      <c r="S35" s="223"/>
    </row>
    <row r="36" spans="1:19">
      <c r="A36" s="6">
        <v>32</v>
      </c>
      <c r="B36" s="20" t="s">
        <v>183</v>
      </c>
      <c r="C36" s="267">
        <v>2061848</v>
      </c>
      <c r="D36" s="216" t="s">
        <v>9246</v>
      </c>
      <c r="E36" s="486">
        <v>44986</v>
      </c>
      <c r="F36" s="486">
        <v>45352</v>
      </c>
      <c r="G36" s="216">
        <v>0.7</v>
      </c>
      <c r="H36" s="216">
        <v>0.5</v>
      </c>
      <c r="I36" s="216">
        <v>0</v>
      </c>
      <c r="J36" s="216">
        <v>11000</v>
      </c>
      <c r="K36" s="216">
        <v>17000</v>
      </c>
      <c r="L36" s="216">
        <v>0</v>
      </c>
      <c r="M36" s="216">
        <v>0.5</v>
      </c>
      <c r="N36" s="216">
        <v>0.5</v>
      </c>
      <c r="O36" s="216">
        <v>0</v>
      </c>
      <c r="P36" s="216">
        <v>5000</v>
      </c>
      <c r="Q36" s="216">
        <v>0</v>
      </c>
      <c r="R36" s="216">
        <v>0</v>
      </c>
      <c r="S36" s="95"/>
    </row>
    <row r="37" spans="1:19" ht="25.5">
      <c r="A37" s="6">
        <v>33</v>
      </c>
      <c r="B37" s="216" t="s">
        <v>185</v>
      </c>
      <c r="C37" s="267">
        <v>2766337</v>
      </c>
      <c r="D37" s="210"/>
      <c r="E37" s="210"/>
      <c r="F37" s="210"/>
      <c r="G37" s="210"/>
      <c r="H37" s="210"/>
      <c r="I37" s="210"/>
      <c r="J37" s="210"/>
      <c r="K37" s="210"/>
      <c r="L37" s="210"/>
      <c r="M37" s="210"/>
      <c r="N37" s="210"/>
      <c r="O37" s="210"/>
      <c r="P37" s="210"/>
      <c r="Q37" s="210"/>
      <c r="R37" s="210"/>
    </row>
    <row r="38" spans="1:19" ht="25.5">
      <c r="A38" s="6">
        <v>34</v>
      </c>
      <c r="B38" s="216" t="s">
        <v>187</v>
      </c>
      <c r="C38" s="267">
        <v>5810086</v>
      </c>
      <c r="D38" s="210"/>
      <c r="E38" s="210"/>
      <c r="F38" s="210"/>
      <c r="G38" s="210"/>
      <c r="H38" s="210"/>
      <c r="I38" s="210"/>
      <c r="J38" s="210"/>
      <c r="K38" s="210"/>
      <c r="L38" s="210"/>
      <c r="M38" s="210"/>
      <c r="N38" s="210"/>
      <c r="O38" s="210"/>
      <c r="P38" s="210"/>
      <c r="Q38" s="210"/>
      <c r="R38" s="210"/>
    </row>
    <row r="39" spans="1:19">
      <c r="A39" s="6">
        <v>35</v>
      </c>
      <c r="B39" s="216" t="s">
        <v>188</v>
      </c>
      <c r="C39" s="6">
        <v>5217652</v>
      </c>
      <c r="D39" s="216" t="s">
        <v>9247</v>
      </c>
      <c r="E39" s="486">
        <v>44928</v>
      </c>
      <c r="F39" s="486">
        <v>45292</v>
      </c>
      <c r="G39" s="216">
        <v>3</v>
      </c>
      <c r="H39" s="216">
        <v>0</v>
      </c>
      <c r="I39" s="216">
        <v>0</v>
      </c>
      <c r="J39" s="216">
        <v>9586000</v>
      </c>
      <c r="K39" s="216">
        <v>0</v>
      </c>
      <c r="L39" s="216">
        <v>0</v>
      </c>
      <c r="M39" s="216">
        <v>11</v>
      </c>
      <c r="N39" s="216">
        <v>0</v>
      </c>
      <c r="O39" s="216">
        <v>0</v>
      </c>
      <c r="P39" s="216">
        <v>164838000</v>
      </c>
      <c r="Q39" s="216">
        <v>0</v>
      </c>
      <c r="R39" s="216">
        <v>0</v>
      </c>
      <c r="S39" s="223"/>
    </row>
    <row r="40" spans="1:19">
      <c r="A40" s="6">
        <v>36</v>
      </c>
      <c r="B40" s="20" t="s">
        <v>188</v>
      </c>
      <c r="C40" s="267">
        <v>5217652</v>
      </c>
      <c r="D40" s="216" t="s">
        <v>9248</v>
      </c>
      <c r="E40" s="216" t="s">
        <v>8623</v>
      </c>
      <c r="F40" s="216" t="s">
        <v>8623</v>
      </c>
      <c r="G40" s="216"/>
      <c r="H40" s="216">
        <v>0</v>
      </c>
      <c r="I40" s="216">
        <v>0</v>
      </c>
      <c r="J40" s="216">
        <v>0</v>
      </c>
      <c r="K40" s="216">
        <v>0</v>
      </c>
      <c r="L40" s="216">
        <v>0</v>
      </c>
      <c r="M40" s="216">
        <v>6</v>
      </c>
      <c r="N40" s="216">
        <v>0</v>
      </c>
      <c r="O40" s="216">
        <v>0</v>
      </c>
      <c r="P40" s="216">
        <v>37033200</v>
      </c>
      <c r="Q40" s="216">
        <v>0</v>
      </c>
      <c r="R40" s="216">
        <v>0</v>
      </c>
      <c r="S40" s="95"/>
    </row>
    <row r="41" spans="1:19">
      <c r="A41" s="6">
        <v>37</v>
      </c>
      <c r="B41" s="20" t="s">
        <v>189</v>
      </c>
      <c r="C41" s="267">
        <v>2780518</v>
      </c>
      <c r="D41" s="210"/>
      <c r="E41" s="210"/>
      <c r="F41" s="210"/>
      <c r="G41" s="210"/>
      <c r="H41" s="210"/>
      <c r="I41" s="210"/>
      <c r="J41" s="210"/>
      <c r="K41" s="210"/>
      <c r="L41" s="210"/>
      <c r="M41" s="210"/>
      <c r="N41" s="210"/>
      <c r="O41" s="210"/>
      <c r="P41" s="210"/>
      <c r="Q41" s="210"/>
      <c r="R41" s="210"/>
    </row>
    <row r="42" spans="1:19">
      <c r="A42" s="6">
        <v>38</v>
      </c>
      <c r="B42" s="216" t="s">
        <v>193</v>
      </c>
      <c r="C42" s="267">
        <v>5272378</v>
      </c>
      <c r="D42" s="210"/>
      <c r="E42" s="210"/>
      <c r="F42" s="210"/>
      <c r="G42" s="210"/>
      <c r="H42" s="210"/>
      <c r="I42" s="210"/>
      <c r="J42" s="210"/>
      <c r="K42" s="210"/>
      <c r="L42" s="210"/>
      <c r="M42" s="210"/>
      <c r="N42" s="210"/>
      <c r="O42" s="210"/>
      <c r="P42" s="210"/>
      <c r="Q42" s="210"/>
      <c r="R42" s="210"/>
    </row>
    <row r="43" spans="1:19">
      <c r="A43" s="6">
        <v>39</v>
      </c>
      <c r="B43" s="20" t="s">
        <v>194</v>
      </c>
      <c r="C43" s="267">
        <v>5467268</v>
      </c>
      <c r="D43" s="210"/>
      <c r="E43" s="210"/>
      <c r="F43" s="210"/>
      <c r="G43" s="210"/>
      <c r="H43" s="210"/>
      <c r="I43" s="210"/>
      <c r="J43" s="210"/>
      <c r="K43" s="210"/>
      <c r="L43" s="210"/>
      <c r="M43" s="210"/>
      <c r="N43" s="210"/>
      <c r="O43" s="210"/>
      <c r="P43" s="210"/>
      <c r="Q43" s="210"/>
      <c r="R43" s="210"/>
    </row>
    <row r="44" spans="1:19">
      <c r="A44" s="6">
        <v>40</v>
      </c>
      <c r="B44" s="20" t="s">
        <v>196</v>
      </c>
      <c r="C44" s="267">
        <v>5522935</v>
      </c>
      <c r="D44" s="210"/>
      <c r="E44" s="210"/>
      <c r="F44" s="210"/>
      <c r="G44" s="210"/>
      <c r="H44" s="210"/>
      <c r="I44" s="210"/>
      <c r="J44" s="210"/>
      <c r="K44" s="210"/>
      <c r="L44" s="210"/>
      <c r="M44" s="210"/>
      <c r="N44" s="210"/>
      <c r="O44" s="210"/>
      <c r="P44" s="210"/>
      <c r="Q44" s="210"/>
      <c r="R44" s="210"/>
    </row>
    <row r="45" spans="1:19">
      <c r="A45" s="6">
        <v>41</v>
      </c>
      <c r="B45" s="216" t="s">
        <v>197</v>
      </c>
      <c r="C45" s="267">
        <v>5528089</v>
      </c>
      <c r="D45" s="210"/>
      <c r="E45" s="210"/>
      <c r="F45" s="210"/>
      <c r="G45" s="210"/>
      <c r="H45" s="210"/>
      <c r="I45" s="210"/>
      <c r="J45" s="210"/>
      <c r="K45" s="210"/>
      <c r="L45" s="210"/>
      <c r="M45" s="210"/>
      <c r="N45" s="210"/>
      <c r="O45" s="210"/>
      <c r="P45" s="210"/>
      <c r="Q45" s="210"/>
      <c r="R45" s="210"/>
    </row>
    <row r="46" spans="1:19">
      <c r="A46" s="6">
        <v>42</v>
      </c>
      <c r="B46" s="20" t="s">
        <v>198</v>
      </c>
      <c r="C46" s="267">
        <v>5396662</v>
      </c>
      <c r="D46" s="210"/>
      <c r="E46" s="210"/>
      <c r="F46" s="210"/>
      <c r="G46" s="210"/>
      <c r="H46" s="210"/>
      <c r="I46" s="210"/>
      <c r="J46" s="210"/>
      <c r="K46" s="210"/>
      <c r="L46" s="210"/>
      <c r="M46" s="210"/>
      <c r="N46" s="210"/>
      <c r="O46" s="210"/>
      <c r="P46" s="210"/>
      <c r="Q46" s="210"/>
      <c r="R46" s="210"/>
    </row>
    <row r="47" spans="1:19">
      <c r="A47" s="6">
        <v>43</v>
      </c>
      <c r="B47" s="20" t="s">
        <v>199</v>
      </c>
      <c r="C47" s="267">
        <v>5830974</v>
      </c>
      <c r="D47" s="210"/>
      <c r="E47" s="210"/>
      <c r="F47" s="210"/>
      <c r="G47" s="210"/>
      <c r="H47" s="210"/>
      <c r="I47" s="210"/>
      <c r="J47" s="210"/>
      <c r="K47" s="210"/>
      <c r="L47" s="210"/>
      <c r="M47" s="210"/>
      <c r="N47" s="210"/>
      <c r="O47" s="210"/>
      <c r="P47" s="210"/>
      <c r="Q47" s="210"/>
      <c r="R47" s="210"/>
    </row>
    <row r="48" spans="1:19">
      <c r="A48" s="6">
        <v>44</v>
      </c>
      <c r="B48" s="20" t="s">
        <v>201</v>
      </c>
      <c r="C48" s="267">
        <v>2057573</v>
      </c>
      <c r="D48" s="210"/>
      <c r="E48" s="210"/>
      <c r="F48" s="210"/>
      <c r="G48" s="210"/>
      <c r="H48" s="210"/>
      <c r="I48" s="210"/>
      <c r="J48" s="210"/>
      <c r="K48" s="210"/>
      <c r="L48" s="210"/>
      <c r="M48" s="210"/>
      <c r="N48" s="210"/>
      <c r="O48" s="210"/>
      <c r="P48" s="210"/>
      <c r="Q48" s="210"/>
      <c r="R48" s="210"/>
    </row>
    <row r="49" spans="1:18">
      <c r="A49" s="6">
        <v>45</v>
      </c>
      <c r="B49" s="20" t="s">
        <v>202</v>
      </c>
      <c r="C49" s="267">
        <v>5699134</v>
      </c>
      <c r="D49" s="210"/>
      <c r="E49" s="210"/>
      <c r="F49" s="210"/>
      <c r="G49" s="210"/>
      <c r="H49" s="210"/>
      <c r="I49" s="210"/>
      <c r="J49" s="210"/>
      <c r="K49" s="210"/>
      <c r="L49" s="210"/>
      <c r="M49" s="210"/>
      <c r="N49" s="210"/>
      <c r="O49" s="210"/>
      <c r="P49" s="210"/>
      <c r="Q49" s="210"/>
      <c r="R49" s="210"/>
    </row>
    <row r="50" spans="1:18">
      <c r="A50" s="6">
        <v>46</v>
      </c>
      <c r="B50" s="20" t="s">
        <v>203</v>
      </c>
      <c r="C50" s="267">
        <v>5412153</v>
      </c>
      <c r="D50" s="210"/>
      <c r="E50" s="210"/>
      <c r="F50" s="210"/>
      <c r="G50" s="210"/>
      <c r="H50" s="210"/>
      <c r="I50" s="210"/>
      <c r="J50" s="210"/>
      <c r="K50" s="210"/>
      <c r="L50" s="210"/>
      <c r="M50" s="210"/>
      <c r="N50" s="210"/>
      <c r="O50" s="210"/>
      <c r="P50" s="210"/>
      <c r="Q50" s="210"/>
      <c r="R50" s="210"/>
    </row>
    <row r="51" spans="1:18">
      <c r="A51" s="6">
        <v>47</v>
      </c>
      <c r="B51" s="20" t="s">
        <v>204</v>
      </c>
      <c r="C51" s="267">
        <v>2034859</v>
      </c>
      <c r="D51" s="216" t="s">
        <v>9249</v>
      </c>
      <c r="E51" s="486">
        <v>44928</v>
      </c>
      <c r="F51" s="486">
        <v>45291</v>
      </c>
      <c r="G51" s="216"/>
      <c r="H51" s="216">
        <v>44483.3</v>
      </c>
      <c r="I51" s="216">
        <v>0</v>
      </c>
      <c r="J51" s="216">
        <v>253648</v>
      </c>
      <c r="K51" s="216">
        <v>0</v>
      </c>
      <c r="L51" s="216">
        <v>0</v>
      </c>
      <c r="M51" s="216">
        <v>0</v>
      </c>
      <c r="N51" s="216">
        <v>0</v>
      </c>
      <c r="O51" s="216">
        <v>0</v>
      </c>
      <c r="P51" s="216">
        <v>0</v>
      </c>
      <c r="Q51" s="216">
        <v>0</v>
      </c>
      <c r="R51" s="216">
        <v>0</v>
      </c>
    </row>
    <row r="52" spans="1:18">
      <c r="A52" s="6">
        <v>48</v>
      </c>
      <c r="B52" s="20" t="s">
        <v>208</v>
      </c>
      <c r="C52" s="267">
        <v>5253535</v>
      </c>
      <c r="D52" s="210"/>
      <c r="E52" s="210"/>
      <c r="F52" s="210"/>
      <c r="G52" s="210"/>
      <c r="H52" s="210"/>
      <c r="I52" s="210"/>
      <c r="J52" s="210"/>
      <c r="K52" s="210"/>
      <c r="L52" s="210"/>
      <c r="M52" s="210"/>
      <c r="N52" s="210"/>
      <c r="O52" s="210"/>
      <c r="P52" s="210"/>
      <c r="Q52" s="210"/>
      <c r="R52" s="210"/>
    </row>
    <row r="53" spans="1:18">
      <c r="A53" s="6">
        <v>49</v>
      </c>
      <c r="B53" s="20" t="s">
        <v>210</v>
      </c>
      <c r="C53" s="267">
        <v>5150884</v>
      </c>
      <c r="D53" s="210"/>
      <c r="E53" s="210"/>
      <c r="F53" s="210"/>
      <c r="G53" s="210"/>
      <c r="H53" s="210"/>
      <c r="I53" s="210"/>
      <c r="J53" s="210"/>
      <c r="K53" s="210"/>
      <c r="L53" s="210"/>
      <c r="M53" s="210"/>
      <c r="N53" s="210"/>
      <c r="O53" s="210"/>
      <c r="P53" s="210"/>
      <c r="Q53" s="210"/>
      <c r="R53" s="210"/>
    </row>
    <row r="54" spans="1:18">
      <c r="A54" s="6">
        <v>50</v>
      </c>
      <c r="B54" s="20" t="s">
        <v>211</v>
      </c>
      <c r="C54" s="267">
        <v>5051304</v>
      </c>
      <c r="D54" s="210"/>
      <c r="E54" s="210"/>
      <c r="F54" s="210"/>
      <c r="G54" s="210"/>
      <c r="H54" s="210"/>
      <c r="I54" s="210"/>
      <c r="J54" s="210"/>
      <c r="K54" s="210"/>
      <c r="L54" s="210"/>
      <c r="M54" s="210"/>
      <c r="N54" s="210"/>
      <c r="O54" s="210"/>
      <c r="P54" s="210"/>
      <c r="Q54" s="210"/>
      <c r="R54" s="210"/>
    </row>
    <row r="55" spans="1:18" ht="25.5">
      <c r="A55" s="6">
        <v>51</v>
      </c>
      <c r="B55" s="216" t="s">
        <v>213</v>
      </c>
      <c r="C55" s="267">
        <v>5401801</v>
      </c>
      <c r="D55" s="210"/>
      <c r="E55" s="210"/>
      <c r="F55" s="210"/>
      <c r="G55" s="210"/>
      <c r="H55" s="210"/>
      <c r="I55" s="210"/>
      <c r="J55" s="210"/>
      <c r="K55" s="210"/>
      <c r="L55" s="210"/>
      <c r="M55" s="210"/>
      <c r="N55" s="210"/>
      <c r="O55" s="210"/>
      <c r="P55" s="210"/>
      <c r="Q55" s="210"/>
      <c r="R55" s="210"/>
    </row>
    <row r="56" spans="1:18">
      <c r="A56" s="6">
        <v>52</v>
      </c>
      <c r="B56" s="192" t="s">
        <v>214</v>
      </c>
      <c r="C56" s="262">
        <v>2550466</v>
      </c>
      <c r="D56" s="210"/>
      <c r="E56" s="210"/>
      <c r="F56" s="210"/>
      <c r="G56" s="210"/>
      <c r="H56" s="210"/>
      <c r="I56" s="210"/>
      <c r="J56" s="210"/>
      <c r="K56" s="210"/>
      <c r="L56" s="210"/>
      <c r="M56" s="210"/>
      <c r="N56" s="210"/>
      <c r="O56" s="210"/>
      <c r="P56" s="210"/>
      <c r="Q56" s="210"/>
      <c r="R56" s="210"/>
    </row>
    <row r="57" spans="1:18">
      <c r="A57" s="6">
        <v>53</v>
      </c>
      <c r="B57" s="20" t="s">
        <v>216</v>
      </c>
      <c r="C57" s="267">
        <v>5051134</v>
      </c>
      <c r="D57" s="216" t="s">
        <v>9197</v>
      </c>
      <c r="E57" s="486">
        <v>44927</v>
      </c>
      <c r="F57" s="486">
        <v>45291</v>
      </c>
      <c r="G57" s="216"/>
      <c r="H57" s="216">
        <v>0</v>
      </c>
      <c r="I57" s="216">
        <v>0</v>
      </c>
      <c r="J57" s="216">
        <v>0</v>
      </c>
      <c r="K57" s="216">
        <v>18000</v>
      </c>
      <c r="L57" s="216">
        <v>0</v>
      </c>
      <c r="M57" s="216">
        <v>0</v>
      </c>
      <c r="N57" s="216">
        <v>0</v>
      </c>
      <c r="O57" s="216">
        <v>0</v>
      </c>
      <c r="P57" s="216">
        <v>0</v>
      </c>
      <c r="Q57" s="216">
        <v>36000</v>
      </c>
      <c r="R57" s="216">
        <v>0</v>
      </c>
    </row>
    <row r="58" spans="1:18">
      <c r="A58" s="6">
        <v>54</v>
      </c>
      <c r="B58" s="20" t="s">
        <v>217</v>
      </c>
      <c r="C58" s="267">
        <v>2095025</v>
      </c>
      <c r="D58" s="210"/>
      <c r="E58" s="210"/>
      <c r="F58" s="210"/>
      <c r="G58" s="210"/>
      <c r="H58" s="210"/>
      <c r="I58" s="210"/>
      <c r="J58" s="210"/>
      <c r="K58" s="210"/>
      <c r="L58" s="210"/>
      <c r="M58" s="210"/>
      <c r="N58" s="210"/>
      <c r="O58" s="210"/>
      <c r="P58" s="210"/>
      <c r="Q58" s="210"/>
      <c r="R58" s="210"/>
    </row>
    <row r="59" spans="1:18">
      <c r="A59" s="6">
        <v>55</v>
      </c>
      <c r="B59" s="20" t="s">
        <v>218</v>
      </c>
      <c r="C59" s="267">
        <v>2045931</v>
      </c>
      <c r="D59" s="210"/>
      <c r="E59" s="210"/>
      <c r="F59" s="210"/>
      <c r="G59" s="210"/>
      <c r="H59" s="210"/>
      <c r="I59" s="210"/>
      <c r="J59" s="210"/>
      <c r="K59" s="210"/>
      <c r="L59" s="210"/>
      <c r="M59" s="210"/>
      <c r="N59" s="210"/>
      <c r="O59" s="210"/>
      <c r="P59" s="210"/>
      <c r="Q59" s="210"/>
      <c r="R59" s="210"/>
    </row>
    <row r="60" spans="1:18">
      <c r="A60" s="6">
        <v>56</v>
      </c>
      <c r="B60" s="192" t="s">
        <v>219</v>
      </c>
      <c r="C60" s="262">
        <v>2029278</v>
      </c>
      <c r="D60" s="210"/>
      <c r="E60" s="210"/>
      <c r="F60" s="210"/>
      <c r="G60" s="210"/>
      <c r="H60" s="210"/>
      <c r="I60" s="210"/>
      <c r="J60" s="210"/>
      <c r="K60" s="210"/>
      <c r="L60" s="210"/>
      <c r="M60" s="210"/>
      <c r="N60" s="210"/>
      <c r="O60" s="210"/>
      <c r="P60" s="210"/>
      <c r="Q60" s="210"/>
      <c r="R60" s="210"/>
    </row>
    <row r="61" spans="1:18" ht="25.5">
      <c r="A61" s="6">
        <v>57</v>
      </c>
      <c r="B61" s="20" t="s">
        <v>220</v>
      </c>
      <c r="C61" s="267">
        <v>5106567</v>
      </c>
      <c r="D61" s="216" t="s">
        <v>9250</v>
      </c>
      <c r="E61" s="486">
        <v>44927</v>
      </c>
      <c r="F61" s="486">
        <v>45291</v>
      </c>
      <c r="G61" s="484">
        <v>2074</v>
      </c>
      <c r="H61" s="216">
        <v>0</v>
      </c>
      <c r="I61" s="216">
        <v>0</v>
      </c>
      <c r="J61" s="216">
        <v>0</v>
      </c>
      <c r="K61" s="216">
        <v>2489800</v>
      </c>
      <c r="L61" s="216">
        <v>0</v>
      </c>
      <c r="M61" s="216">
        <v>0</v>
      </c>
      <c r="N61" s="216">
        <v>0</v>
      </c>
      <c r="O61" s="216">
        <v>0</v>
      </c>
      <c r="P61" s="216">
        <v>0</v>
      </c>
      <c r="Q61" s="216">
        <v>0</v>
      </c>
      <c r="R61" s="216">
        <v>0</v>
      </c>
    </row>
    <row r="62" spans="1:18">
      <c r="A62" s="6">
        <v>58</v>
      </c>
      <c r="B62" s="20" t="s">
        <v>222</v>
      </c>
      <c r="C62" s="267">
        <v>5141583</v>
      </c>
      <c r="D62" s="210"/>
      <c r="E62" s="210"/>
      <c r="F62" s="210"/>
      <c r="G62" s="210"/>
      <c r="H62" s="210"/>
      <c r="I62" s="210"/>
      <c r="J62" s="210"/>
      <c r="K62" s="210"/>
      <c r="L62" s="210"/>
      <c r="M62" s="210"/>
      <c r="N62" s="210"/>
      <c r="O62" s="210"/>
      <c r="P62" s="210"/>
      <c r="Q62" s="210"/>
      <c r="R62" s="210"/>
    </row>
    <row r="63" spans="1:18">
      <c r="A63" s="6">
        <v>59</v>
      </c>
      <c r="B63" s="192" t="s">
        <v>223</v>
      </c>
      <c r="C63" s="262">
        <v>5118115</v>
      </c>
      <c r="D63" s="210"/>
      <c r="E63" s="210"/>
      <c r="F63" s="210"/>
      <c r="G63" s="210"/>
      <c r="H63" s="210"/>
      <c r="I63" s="210"/>
      <c r="J63" s="210"/>
      <c r="K63" s="210"/>
      <c r="L63" s="210"/>
      <c r="M63" s="210"/>
      <c r="N63" s="210"/>
      <c r="O63" s="210"/>
      <c r="P63" s="210"/>
      <c r="Q63" s="210"/>
      <c r="R63" s="210"/>
    </row>
    <row r="64" spans="1:18">
      <c r="A64" s="6">
        <v>60</v>
      </c>
      <c r="B64" s="20" t="s">
        <v>224</v>
      </c>
      <c r="C64" s="267">
        <v>5106656</v>
      </c>
      <c r="D64" s="210"/>
      <c r="E64" s="210"/>
      <c r="F64" s="210"/>
      <c r="G64" s="210"/>
      <c r="H64" s="210"/>
      <c r="I64" s="210"/>
      <c r="J64" s="210"/>
      <c r="K64" s="210"/>
      <c r="L64" s="210"/>
      <c r="M64" s="210"/>
      <c r="N64" s="210"/>
      <c r="O64" s="210"/>
      <c r="P64" s="210"/>
      <c r="Q64" s="210"/>
      <c r="R64" s="210"/>
    </row>
    <row r="65" spans="1:19">
      <c r="A65" s="6">
        <v>61</v>
      </c>
      <c r="B65" s="20" t="s">
        <v>225</v>
      </c>
      <c r="C65" s="267">
        <v>2010895</v>
      </c>
      <c r="D65" s="216" t="s">
        <v>9251</v>
      </c>
      <c r="E65" s="486">
        <v>44927</v>
      </c>
      <c r="F65" s="486">
        <v>45289</v>
      </c>
      <c r="G65" s="216">
        <v>2</v>
      </c>
      <c r="H65" s="216">
        <v>0</v>
      </c>
      <c r="I65" s="216">
        <v>0</v>
      </c>
      <c r="J65" s="216">
        <v>11139000</v>
      </c>
      <c r="K65" s="216">
        <v>0</v>
      </c>
      <c r="L65" s="216">
        <v>0</v>
      </c>
      <c r="M65" s="216">
        <v>0</v>
      </c>
      <c r="N65" s="216">
        <v>0</v>
      </c>
      <c r="O65" s="216">
        <v>0</v>
      </c>
      <c r="P65" s="216">
        <v>0</v>
      </c>
      <c r="Q65" s="216">
        <v>0</v>
      </c>
      <c r="R65" s="216">
        <v>0</v>
      </c>
    </row>
    <row r="66" spans="1:19" ht="25.5">
      <c r="A66" s="6">
        <v>62</v>
      </c>
      <c r="B66" s="216" t="s">
        <v>227</v>
      </c>
      <c r="C66" s="267">
        <v>5295858</v>
      </c>
      <c r="D66" s="210" t="s">
        <v>9201</v>
      </c>
      <c r="E66" s="487">
        <v>45026</v>
      </c>
      <c r="F66" s="487">
        <v>45291</v>
      </c>
      <c r="G66" s="210">
        <v>46.86</v>
      </c>
      <c r="H66" s="210"/>
      <c r="I66" s="210"/>
      <c r="J66" s="297">
        <v>154397.01999999999</v>
      </c>
      <c r="K66" s="210"/>
      <c r="L66" s="210"/>
      <c r="M66" s="210">
        <v>142.69999999999999</v>
      </c>
      <c r="N66" s="210"/>
      <c r="O66" s="210"/>
      <c r="P66" s="210">
        <v>533917.98</v>
      </c>
      <c r="Q66" s="210"/>
      <c r="R66" s="210"/>
    </row>
    <row r="67" spans="1:19">
      <c r="A67" s="6">
        <v>63</v>
      </c>
      <c r="B67" s="20" t="s">
        <v>228</v>
      </c>
      <c r="C67" s="267">
        <v>6287727</v>
      </c>
      <c r="D67" s="210"/>
      <c r="E67" s="210"/>
      <c r="F67" s="210"/>
      <c r="G67" s="210"/>
      <c r="H67" s="210"/>
      <c r="I67" s="210"/>
      <c r="J67" s="210"/>
      <c r="K67" s="210"/>
      <c r="L67" s="210"/>
      <c r="M67" s="210"/>
      <c r="N67" s="210"/>
      <c r="O67" s="210"/>
      <c r="P67" s="210"/>
      <c r="Q67" s="210"/>
      <c r="R67" s="210"/>
    </row>
    <row r="68" spans="1:19">
      <c r="A68" s="6">
        <v>64</v>
      </c>
      <c r="B68" s="216" t="s">
        <v>229</v>
      </c>
      <c r="C68" s="267">
        <v>2659603</v>
      </c>
      <c r="D68" s="210"/>
      <c r="E68" s="210"/>
      <c r="F68" s="210"/>
      <c r="G68" s="210"/>
      <c r="H68" s="210"/>
      <c r="I68" s="210"/>
      <c r="J68" s="210"/>
      <c r="K68" s="210"/>
      <c r="L68" s="210"/>
      <c r="M68" s="210"/>
      <c r="N68" s="210"/>
      <c r="O68" s="210"/>
      <c r="P68" s="210"/>
      <c r="Q68" s="210"/>
      <c r="R68" s="210"/>
    </row>
    <row r="69" spans="1:19">
      <c r="A69" s="6">
        <v>65</v>
      </c>
      <c r="B69" s="20" t="s">
        <v>230</v>
      </c>
      <c r="C69" s="267">
        <v>2678187</v>
      </c>
      <c r="D69" s="210"/>
      <c r="E69" s="210"/>
      <c r="F69" s="210"/>
      <c r="G69" s="210"/>
      <c r="H69" s="210"/>
      <c r="I69" s="210"/>
      <c r="J69" s="210"/>
      <c r="K69" s="210"/>
      <c r="L69" s="210"/>
      <c r="M69" s="210"/>
      <c r="N69" s="210"/>
      <c r="O69" s="210"/>
      <c r="P69" s="210"/>
      <c r="Q69" s="210"/>
      <c r="R69" s="210"/>
    </row>
    <row r="70" spans="1:19">
      <c r="A70" s="6">
        <v>66</v>
      </c>
      <c r="B70" s="20" t="s">
        <v>231</v>
      </c>
      <c r="C70" s="267">
        <v>2657457</v>
      </c>
      <c r="D70" s="210"/>
      <c r="E70" s="210"/>
      <c r="F70" s="210"/>
      <c r="G70" s="210"/>
      <c r="H70" s="210"/>
      <c r="I70" s="210"/>
      <c r="J70" s="210"/>
      <c r="K70" s="210"/>
      <c r="L70" s="210"/>
      <c r="M70" s="210"/>
      <c r="N70" s="210"/>
      <c r="O70" s="210"/>
      <c r="P70" s="210"/>
      <c r="Q70" s="210"/>
      <c r="R70" s="210"/>
    </row>
    <row r="71" spans="1:19">
      <c r="A71" s="6">
        <v>67</v>
      </c>
      <c r="B71" s="20" t="s">
        <v>232</v>
      </c>
      <c r="C71" s="267">
        <v>3615243</v>
      </c>
      <c r="D71" s="210"/>
      <c r="E71" s="210"/>
      <c r="F71" s="210"/>
      <c r="G71" s="210"/>
      <c r="H71" s="210"/>
      <c r="I71" s="210"/>
      <c r="J71" s="210"/>
      <c r="K71" s="210"/>
      <c r="L71" s="210"/>
      <c r="M71" s="210"/>
      <c r="N71" s="210"/>
      <c r="O71" s="210"/>
      <c r="P71" s="210"/>
      <c r="Q71" s="210"/>
      <c r="R71" s="210"/>
    </row>
    <row r="72" spans="1:19">
      <c r="A72" s="6">
        <v>68</v>
      </c>
      <c r="B72" s="20" t="s">
        <v>236</v>
      </c>
      <c r="C72" s="267">
        <v>3623955</v>
      </c>
      <c r="D72" s="210"/>
      <c r="E72" s="210"/>
      <c r="F72" s="210"/>
      <c r="G72" s="210"/>
      <c r="H72" s="210"/>
      <c r="I72" s="210"/>
      <c r="J72" s="210"/>
      <c r="K72" s="210"/>
      <c r="L72" s="210"/>
      <c r="M72" s="210"/>
      <c r="N72" s="210"/>
      <c r="O72" s="210"/>
      <c r="P72" s="210"/>
      <c r="Q72" s="210"/>
      <c r="R72" s="210"/>
    </row>
    <row r="73" spans="1:19">
      <c r="A73" s="6">
        <v>69</v>
      </c>
      <c r="B73" s="20" t="s">
        <v>239</v>
      </c>
      <c r="C73" s="267">
        <v>5199077</v>
      </c>
      <c r="D73" s="210"/>
      <c r="E73" s="210"/>
      <c r="F73" s="210"/>
      <c r="G73" s="210"/>
      <c r="H73" s="210"/>
      <c r="I73" s="210"/>
      <c r="J73" s="210"/>
      <c r="K73" s="210"/>
      <c r="L73" s="210"/>
      <c r="M73" s="210"/>
      <c r="N73" s="210"/>
      <c r="O73" s="210"/>
      <c r="P73" s="210"/>
      <c r="Q73" s="210"/>
      <c r="R73" s="210"/>
    </row>
    <row r="74" spans="1:19" ht="25.5">
      <c r="A74" s="6">
        <v>70</v>
      </c>
      <c r="B74" s="216" t="s">
        <v>240</v>
      </c>
      <c r="C74" s="267">
        <v>2075385</v>
      </c>
      <c r="D74" s="210"/>
      <c r="E74" s="210"/>
      <c r="F74" s="210"/>
      <c r="G74" s="210"/>
      <c r="H74" s="210"/>
      <c r="I74" s="210"/>
      <c r="J74" s="210"/>
      <c r="K74" s="210"/>
      <c r="L74" s="210"/>
      <c r="M74" s="210"/>
      <c r="N74" s="210"/>
      <c r="O74" s="210"/>
      <c r="P74" s="210"/>
      <c r="Q74" s="210"/>
      <c r="R74" s="210"/>
    </row>
    <row r="75" spans="1:19">
      <c r="A75" s="6">
        <v>71</v>
      </c>
      <c r="B75" s="216" t="s">
        <v>241</v>
      </c>
      <c r="C75" s="6">
        <v>2867095</v>
      </c>
      <c r="D75" s="210"/>
      <c r="E75" s="210"/>
      <c r="F75" s="210"/>
      <c r="G75" s="210"/>
      <c r="H75" s="210"/>
      <c r="I75" s="210"/>
      <c r="J75" s="210"/>
      <c r="K75" s="210"/>
      <c r="L75" s="210"/>
      <c r="M75" s="210"/>
      <c r="N75" s="210"/>
      <c r="O75" s="210"/>
      <c r="P75" s="210"/>
      <c r="Q75" s="210"/>
      <c r="R75" s="210"/>
    </row>
    <row r="76" spans="1:19">
      <c r="A76" s="6">
        <v>72</v>
      </c>
      <c r="B76" s="216" t="s">
        <v>242</v>
      </c>
      <c r="C76" s="6">
        <v>5076285</v>
      </c>
      <c r="D76" s="216" t="s">
        <v>9252</v>
      </c>
      <c r="E76" s="216" t="s">
        <v>8377</v>
      </c>
      <c r="F76" s="216" t="s">
        <v>8377</v>
      </c>
      <c r="G76" s="216"/>
      <c r="H76" s="216">
        <v>0</v>
      </c>
      <c r="I76" s="216">
        <v>0</v>
      </c>
      <c r="J76" s="216">
        <v>4101950</v>
      </c>
      <c r="K76" s="216">
        <v>0</v>
      </c>
      <c r="L76" s="216">
        <v>0</v>
      </c>
      <c r="M76" s="216">
        <v>0</v>
      </c>
      <c r="N76" s="216">
        <v>0</v>
      </c>
      <c r="O76" s="216">
        <v>0</v>
      </c>
      <c r="P76" s="216">
        <v>0</v>
      </c>
      <c r="Q76" s="216">
        <v>0</v>
      </c>
      <c r="R76" s="216">
        <v>0</v>
      </c>
      <c r="S76" s="223"/>
    </row>
    <row r="77" spans="1:19" ht="25.5">
      <c r="A77" s="6">
        <v>73</v>
      </c>
      <c r="B77" s="216" t="s">
        <v>242</v>
      </c>
      <c r="C77" s="6">
        <v>5076285</v>
      </c>
      <c r="D77" s="216" t="s">
        <v>9253</v>
      </c>
      <c r="E77" s="216" t="s">
        <v>8377</v>
      </c>
      <c r="F77" s="216" t="s">
        <v>8377</v>
      </c>
      <c r="G77" s="216"/>
      <c r="H77" s="216">
        <v>0</v>
      </c>
      <c r="I77" s="216">
        <v>0</v>
      </c>
      <c r="J77" s="216">
        <v>0</v>
      </c>
      <c r="K77" s="216">
        <v>529199000</v>
      </c>
      <c r="L77" s="216">
        <v>0</v>
      </c>
      <c r="M77" s="216">
        <v>0</v>
      </c>
      <c r="N77" s="216">
        <v>0</v>
      </c>
      <c r="O77" s="216">
        <v>0</v>
      </c>
      <c r="P77" s="216">
        <v>0</v>
      </c>
      <c r="Q77" s="216">
        <v>0</v>
      </c>
      <c r="R77" s="216">
        <v>0</v>
      </c>
      <c r="S77" s="223"/>
    </row>
    <row r="78" spans="1:19" ht="25.5">
      <c r="A78" s="6">
        <v>74</v>
      </c>
      <c r="B78" s="20" t="s">
        <v>242</v>
      </c>
      <c r="C78" s="267">
        <v>5076285</v>
      </c>
      <c r="D78" s="216" t="s">
        <v>9254</v>
      </c>
      <c r="E78" s="216" t="s">
        <v>8377</v>
      </c>
      <c r="F78" s="216" t="s">
        <v>8377</v>
      </c>
      <c r="G78" s="216"/>
      <c r="H78" s="216">
        <v>0</v>
      </c>
      <c r="I78" s="216">
        <v>0</v>
      </c>
      <c r="J78" s="216">
        <v>11159000</v>
      </c>
      <c r="K78" s="216">
        <v>0</v>
      </c>
      <c r="L78" s="216">
        <v>0</v>
      </c>
      <c r="M78" s="216">
        <v>0</v>
      </c>
      <c r="N78" s="216">
        <v>0</v>
      </c>
      <c r="O78" s="216">
        <v>0</v>
      </c>
      <c r="P78" s="216">
        <v>0</v>
      </c>
      <c r="Q78" s="216">
        <v>0</v>
      </c>
      <c r="R78" s="216">
        <v>0</v>
      </c>
      <c r="S78" s="95"/>
    </row>
    <row r="79" spans="1:19">
      <c r="A79" s="6">
        <v>75</v>
      </c>
      <c r="B79" s="20" t="s">
        <v>243</v>
      </c>
      <c r="C79" s="267">
        <v>5084555</v>
      </c>
      <c r="D79" s="210"/>
      <c r="E79" s="210"/>
      <c r="F79" s="210"/>
      <c r="G79" s="210"/>
      <c r="H79" s="210"/>
      <c r="I79" s="210"/>
      <c r="J79" s="210"/>
      <c r="K79" s="210"/>
      <c r="L79" s="210"/>
      <c r="M79" s="210"/>
      <c r="N79" s="210"/>
      <c r="O79" s="210"/>
      <c r="P79" s="210"/>
      <c r="Q79" s="210"/>
      <c r="R79" s="210"/>
    </row>
    <row r="80" spans="1:19">
      <c r="A80" s="6">
        <v>76</v>
      </c>
      <c r="B80" s="20" t="s">
        <v>244</v>
      </c>
      <c r="C80" s="267">
        <v>5261198</v>
      </c>
      <c r="D80" s="210"/>
      <c r="E80" s="210"/>
      <c r="F80" s="210"/>
      <c r="G80" s="210"/>
      <c r="H80" s="210"/>
      <c r="I80" s="210"/>
      <c r="J80" s="210"/>
      <c r="K80" s="210"/>
      <c r="L80" s="210"/>
      <c r="M80" s="210"/>
      <c r="N80" s="210"/>
      <c r="O80" s="210"/>
      <c r="P80" s="210"/>
      <c r="Q80" s="210"/>
      <c r="R80" s="210"/>
    </row>
    <row r="81" spans="1:19">
      <c r="A81" s="6">
        <v>77</v>
      </c>
      <c r="B81" s="20" t="s">
        <v>246</v>
      </c>
      <c r="C81" s="267">
        <v>5288703</v>
      </c>
      <c r="D81" s="210"/>
      <c r="E81" s="210"/>
      <c r="F81" s="210"/>
      <c r="G81" s="210"/>
      <c r="H81" s="210"/>
      <c r="I81" s="210"/>
      <c r="J81" s="210"/>
      <c r="K81" s="210"/>
      <c r="L81" s="210"/>
      <c r="M81" s="210"/>
      <c r="N81" s="210"/>
      <c r="O81" s="210"/>
      <c r="P81" s="210"/>
      <c r="Q81" s="210"/>
      <c r="R81" s="210"/>
    </row>
    <row r="82" spans="1:19">
      <c r="A82" s="6">
        <v>78</v>
      </c>
      <c r="B82" s="20" t="s">
        <v>248</v>
      </c>
      <c r="C82" s="267">
        <v>6232485</v>
      </c>
      <c r="D82" s="210"/>
      <c r="E82" s="210"/>
      <c r="F82" s="210"/>
      <c r="G82" s="210"/>
      <c r="H82" s="210"/>
      <c r="I82" s="210"/>
      <c r="J82" s="210"/>
      <c r="K82" s="210"/>
      <c r="L82" s="210"/>
      <c r="M82" s="210"/>
      <c r="N82" s="210"/>
      <c r="O82" s="210"/>
      <c r="P82" s="210"/>
      <c r="Q82" s="210"/>
      <c r="R82" s="210"/>
    </row>
    <row r="83" spans="1:19">
      <c r="A83" s="6">
        <v>79</v>
      </c>
      <c r="B83" s="20" t="s">
        <v>249</v>
      </c>
      <c r="C83" s="267">
        <v>6101615</v>
      </c>
      <c r="D83" s="210"/>
      <c r="E83" s="210"/>
      <c r="F83" s="210"/>
      <c r="G83" s="210"/>
      <c r="H83" s="210"/>
      <c r="I83" s="210"/>
      <c r="J83" s="210"/>
      <c r="K83" s="210"/>
      <c r="L83" s="210"/>
      <c r="M83" s="210"/>
      <c r="N83" s="210"/>
      <c r="O83" s="210"/>
      <c r="P83" s="210"/>
      <c r="Q83" s="210"/>
      <c r="R83" s="210"/>
    </row>
    <row r="84" spans="1:19">
      <c r="A84" s="6">
        <v>80</v>
      </c>
      <c r="B84" s="216" t="s">
        <v>250</v>
      </c>
      <c r="C84" s="267">
        <v>5120365</v>
      </c>
      <c r="D84" s="210"/>
      <c r="E84" s="210"/>
      <c r="F84" s="210"/>
      <c r="G84" s="210"/>
      <c r="H84" s="210"/>
      <c r="I84" s="210"/>
      <c r="J84" s="210"/>
      <c r="K84" s="210"/>
      <c r="L84" s="210"/>
      <c r="M84" s="210"/>
      <c r="N84" s="210"/>
      <c r="O84" s="210"/>
      <c r="P84" s="210"/>
      <c r="Q84" s="210"/>
      <c r="R84" s="210"/>
    </row>
    <row r="85" spans="1:19">
      <c r="A85" s="6">
        <v>81</v>
      </c>
      <c r="B85" s="216" t="s">
        <v>251</v>
      </c>
      <c r="C85" s="267">
        <v>2016656</v>
      </c>
      <c r="D85" s="210"/>
      <c r="E85" s="210"/>
      <c r="F85" s="210"/>
      <c r="G85" s="210"/>
      <c r="H85" s="210"/>
      <c r="I85" s="210"/>
      <c r="J85" s="210"/>
      <c r="K85" s="210"/>
      <c r="L85" s="210"/>
      <c r="M85" s="210"/>
      <c r="N85" s="210"/>
      <c r="O85" s="210"/>
      <c r="P85" s="210"/>
      <c r="Q85" s="210"/>
      <c r="R85" s="210"/>
    </row>
    <row r="86" spans="1:19">
      <c r="A86" s="6">
        <v>82</v>
      </c>
      <c r="B86" s="20" t="s">
        <v>253</v>
      </c>
      <c r="C86" s="267">
        <v>5872006</v>
      </c>
      <c r="D86" s="210"/>
      <c r="E86" s="210"/>
      <c r="F86" s="210"/>
      <c r="G86" s="210"/>
      <c r="H86" s="210"/>
      <c r="I86" s="210"/>
      <c r="J86" s="210"/>
      <c r="K86" s="210"/>
      <c r="L86" s="210"/>
      <c r="M86" s="210"/>
      <c r="N86" s="210"/>
      <c r="O86" s="210"/>
      <c r="P86" s="210"/>
      <c r="Q86" s="210"/>
      <c r="R86" s="210"/>
    </row>
    <row r="87" spans="1:19">
      <c r="A87" s="6">
        <v>83</v>
      </c>
      <c r="B87" s="216" t="s">
        <v>254</v>
      </c>
      <c r="C87" s="267">
        <v>5774047</v>
      </c>
      <c r="D87" s="210"/>
      <c r="E87" s="210"/>
      <c r="F87" s="210"/>
      <c r="G87" s="210"/>
      <c r="H87" s="210"/>
      <c r="I87" s="210"/>
      <c r="J87" s="210"/>
      <c r="K87" s="210"/>
      <c r="L87" s="210"/>
      <c r="M87" s="210"/>
      <c r="N87" s="210"/>
      <c r="O87" s="210"/>
      <c r="P87" s="210"/>
      <c r="Q87" s="210"/>
      <c r="R87" s="210"/>
    </row>
    <row r="88" spans="1:19">
      <c r="A88" s="6">
        <v>84</v>
      </c>
      <c r="B88" s="216" t="s">
        <v>257</v>
      </c>
      <c r="C88" s="267">
        <v>5105439</v>
      </c>
      <c r="D88" s="210"/>
      <c r="E88" s="210"/>
      <c r="F88" s="210"/>
      <c r="G88" s="210"/>
      <c r="H88" s="210"/>
      <c r="I88" s="210"/>
      <c r="J88" s="210"/>
      <c r="K88" s="210"/>
      <c r="L88" s="210"/>
      <c r="M88" s="210"/>
      <c r="N88" s="210"/>
      <c r="O88" s="210"/>
      <c r="P88" s="210"/>
      <c r="Q88" s="210"/>
      <c r="R88" s="210"/>
    </row>
    <row r="89" spans="1:19">
      <c r="A89" s="6">
        <v>85</v>
      </c>
      <c r="B89" s="20" t="s">
        <v>258</v>
      </c>
      <c r="C89" s="267">
        <v>2663813</v>
      </c>
      <c r="D89" s="210"/>
      <c r="E89" s="210"/>
      <c r="F89" s="210"/>
      <c r="G89" s="210"/>
      <c r="H89" s="210"/>
      <c r="I89" s="210"/>
      <c r="J89" s="210"/>
      <c r="K89" s="210"/>
      <c r="L89" s="210"/>
      <c r="M89" s="210"/>
      <c r="N89" s="210"/>
      <c r="O89" s="210"/>
      <c r="P89" s="210"/>
      <c r="Q89" s="210"/>
      <c r="R89" s="210"/>
    </row>
    <row r="90" spans="1:19">
      <c r="A90" s="6">
        <v>86</v>
      </c>
      <c r="B90" s="20" t="s">
        <v>260</v>
      </c>
      <c r="C90" s="267">
        <v>2016931</v>
      </c>
      <c r="D90" s="210"/>
      <c r="E90" s="210"/>
      <c r="F90" s="210"/>
      <c r="G90" s="210"/>
      <c r="H90" s="210"/>
      <c r="I90" s="210"/>
      <c r="J90" s="210"/>
      <c r="K90" s="210"/>
      <c r="L90" s="210"/>
      <c r="M90" s="210"/>
      <c r="N90" s="210"/>
      <c r="O90" s="210"/>
      <c r="P90" s="210"/>
      <c r="Q90" s="210"/>
      <c r="R90" s="210"/>
    </row>
    <row r="91" spans="1:19">
      <c r="A91" s="6">
        <v>87</v>
      </c>
      <c r="B91" s="20" t="s">
        <v>263</v>
      </c>
      <c r="C91" s="267">
        <v>5513618</v>
      </c>
      <c r="D91" s="210"/>
      <c r="E91" s="210"/>
      <c r="F91" s="210"/>
      <c r="G91" s="210"/>
      <c r="H91" s="210"/>
      <c r="I91" s="210"/>
      <c r="J91" s="210"/>
      <c r="K91" s="210"/>
      <c r="L91" s="210"/>
      <c r="M91" s="210"/>
      <c r="N91" s="210"/>
      <c r="O91" s="210"/>
      <c r="P91" s="210"/>
      <c r="Q91" s="210"/>
      <c r="R91" s="210"/>
    </row>
    <row r="92" spans="1:19">
      <c r="A92" s="6">
        <v>88</v>
      </c>
      <c r="B92" s="216" t="s">
        <v>264</v>
      </c>
      <c r="C92" s="6">
        <v>2807459</v>
      </c>
      <c r="D92" s="216" t="s">
        <v>9255</v>
      </c>
      <c r="E92" s="216" t="s">
        <v>8377</v>
      </c>
      <c r="F92" s="216" t="s">
        <v>8377</v>
      </c>
      <c r="G92" s="216"/>
      <c r="H92" s="216">
        <v>0</v>
      </c>
      <c r="I92" s="216">
        <v>0</v>
      </c>
      <c r="J92" s="216">
        <v>0</v>
      </c>
      <c r="K92" s="216">
        <v>0</v>
      </c>
      <c r="L92" s="216">
        <v>0</v>
      </c>
      <c r="M92" s="216">
        <v>0</v>
      </c>
      <c r="N92" s="216">
        <v>0</v>
      </c>
      <c r="O92" s="216">
        <v>0</v>
      </c>
      <c r="P92" s="216">
        <v>7527200</v>
      </c>
      <c r="Q92" s="216">
        <v>0</v>
      </c>
      <c r="R92" s="216">
        <v>0</v>
      </c>
      <c r="S92" s="223"/>
    </row>
    <row r="93" spans="1:19">
      <c r="A93" s="6">
        <v>89</v>
      </c>
      <c r="B93" s="20" t="s">
        <v>264</v>
      </c>
      <c r="C93" s="267">
        <v>2807459</v>
      </c>
      <c r="D93" s="216" t="s">
        <v>9256</v>
      </c>
      <c r="E93" s="216" t="s">
        <v>8377</v>
      </c>
      <c r="F93" s="216" t="s">
        <v>8377</v>
      </c>
      <c r="G93" s="216"/>
      <c r="H93" s="216">
        <v>0</v>
      </c>
      <c r="I93" s="216">
        <v>0</v>
      </c>
      <c r="J93" s="216">
        <v>0</v>
      </c>
      <c r="K93" s="216">
        <v>0</v>
      </c>
      <c r="L93" s="216">
        <v>0</v>
      </c>
      <c r="M93" s="216">
        <v>0</v>
      </c>
      <c r="N93" s="216">
        <v>0</v>
      </c>
      <c r="O93" s="216">
        <v>0</v>
      </c>
      <c r="P93" s="216">
        <v>1010000</v>
      </c>
      <c r="Q93" s="216">
        <v>0</v>
      </c>
      <c r="R93" s="216">
        <v>0</v>
      </c>
      <c r="S93" s="95"/>
    </row>
    <row r="94" spans="1:19">
      <c r="A94" s="6">
        <v>90</v>
      </c>
      <c r="B94" s="192" t="s">
        <v>265</v>
      </c>
      <c r="C94" s="267">
        <v>2872943</v>
      </c>
      <c r="D94" s="216" t="s">
        <v>9257</v>
      </c>
      <c r="E94" s="486">
        <v>44927</v>
      </c>
      <c r="F94" s="486">
        <v>45291</v>
      </c>
      <c r="G94" s="216">
        <v>24.7</v>
      </c>
      <c r="H94" s="216">
        <v>0</v>
      </c>
      <c r="I94" s="216">
        <v>0</v>
      </c>
      <c r="J94" s="216">
        <v>198289</v>
      </c>
      <c r="K94" s="216">
        <v>0</v>
      </c>
      <c r="L94" s="216">
        <v>0</v>
      </c>
      <c r="M94" s="216">
        <v>26.47</v>
      </c>
      <c r="N94" s="216">
        <v>0</v>
      </c>
      <c r="O94" s="216">
        <v>0</v>
      </c>
      <c r="P94" s="216">
        <v>396579</v>
      </c>
      <c r="Q94" s="216">
        <v>0</v>
      </c>
      <c r="R94" s="216">
        <v>0</v>
      </c>
    </row>
    <row r="95" spans="1:19">
      <c r="A95" s="6">
        <v>91</v>
      </c>
      <c r="B95" s="216" t="s">
        <v>266</v>
      </c>
      <c r="C95" s="6">
        <v>6268048</v>
      </c>
      <c r="D95" s="216" t="s">
        <v>9258</v>
      </c>
      <c r="E95" s="486">
        <v>44927</v>
      </c>
      <c r="F95" s="486">
        <v>45291</v>
      </c>
      <c r="G95" s="216">
        <v>0.312</v>
      </c>
      <c r="H95" s="216">
        <v>14.456</v>
      </c>
      <c r="I95" s="216">
        <v>0</v>
      </c>
      <c r="J95" s="216">
        <v>5.7359999999999998</v>
      </c>
      <c r="K95" s="216">
        <v>36373.800000000003</v>
      </c>
      <c r="L95" s="216">
        <v>0</v>
      </c>
      <c r="M95" s="216">
        <v>0</v>
      </c>
      <c r="N95" s="216">
        <v>0</v>
      </c>
      <c r="O95" s="216">
        <v>0</v>
      </c>
      <c r="P95" s="216">
        <v>0</v>
      </c>
      <c r="Q95" s="216">
        <v>0</v>
      </c>
      <c r="R95" s="216">
        <v>0</v>
      </c>
      <c r="S95" s="223"/>
    </row>
    <row r="96" spans="1:19" ht="25.5">
      <c r="A96" s="6">
        <v>92</v>
      </c>
      <c r="B96" s="216" t="s">
        <v>266</v>
      </c>
      <c r="C96" s="6">
        <v>6268048</v>
      </c>
      <c r="D96" s="216" t="s">
        <v>9259</v>
      </c>
      <c r="E96" s="486">
        <v>44927</v>
      </c>
      <c r="F96" s="486">
        <v>45291</v>
      </c>
      <c r="G96" s="216"/>
      <c r="H96" s="216">
        <v>0</v>
      </c>
      <c r="I96" s="216">
        <v>0</v>
      </c>
      <c r="J96" s="216">
        <v>0</v>
      </c>
      <c r="K96" s="216">
        <v>0</v>
      </c>
      <c r="L96" s="216">
        <v>0</v>
      </c>
      <c r="M96" s="216">
        <v>0</v>
      </c>
      <c r="N96" s="216">
        <v>29556</v>
      </c>
      <c r="O96" s="216">
        <v>0</v>
      </c>
      <c r="P96" s="216">
        <v>0</v>
      </c>
      <c r="Q96" s="216">
        <v>105504</v>
      </c>
      <c r="R96" s="216">
        <v>0</v>
      </c>
      <c r="S96" s="223"/>
    </row>
    <row r="97" spans="1:19" ht="25.5">
      <c r="A97" s="6">
        <v>93</v>
      </c>
      <c r="B97" s="20" t="s">
        <v>266</v>
      </c>
      <c r="C97" s="267">
        <v>6268048</v>
      </c>
      <c r="D97" s="216" t="s">
        <v>9260</v>
      </c>
      <c r="E97" s="486">
        <v>44834</v>
      </c>
      <c r="F97" s="486">
        <v>45292</v>
      </c>
      <c r="G97" s="216"/>
      <c r="H97" s="216">
        <v>0</v>
      </c>
      <c r="I97" s="216">
        <v>0</v>
      </c>
      <c r="J97" s="216">
        <v>0</v>
      </c>
      <c r="K97" s="216">
        <v>0</v>
      </c>
      <c r="L97" s="216">
        <v>0</v>
      </c>
      <c r="M97" s="216">
        <v>0</v>
      </c>
      <c r="N97" s="216">
        <v>14.388999999999999</v>
      </c>
      <c r="O97" s="216">
        <v>0</v>
      </c>
      <c r="P97" s="216">
        <v>0</v>
      </c>
      <c r="Q97" s="216">
        <v>61407.199999999997</v>
      </c>
      <c r="R97" s="216">
        <v>0</v>
      </c>
      <c r="S97" s="95"/>
    </row>
    <row r="98" spans="1:19">
      <c r="A98" s="6">
        <v>94</v>
      </c>
      <c r="B98" s="20" t="s">
        <v>268</v>
      </c>
      <c r="C98" s="267">
        <v>5874963</v>
      </c>
      <c r="D98" s="210"/>
      <c r="E98" s="210"/>
      <c r="F98" s="210"/>
      <c r="G98" s="210"/>
      <c r="H98" s="210"/>
      <c r="I98" s="210"/>
      <c r="J98" s="210"/>
      <c r="K98" s="210"/>
      <c r="L98" s="210"/>
      <c r="M98" s="210"/>
      <c r="N98" s="210"/>
      <c r="O98" s="210"/>
      <c r="P98" s="210"/>
      <c r="Q98" s="210"/>
      <c r="R98" s="210"/>
    </row>
    <row r="99" spans="1:19">
      <c r="A99" s="6">
        <v>95</v>
      </c>
      <c r="B99" s="20" t="s">
        <v>269</v>
      </c>
      <c r="C99" s="267">
        <v>6636624</v>
      </c>
      <c r="D99" s="210"/>
      <c r="E99" s="210"/>
      <c r="F99" s="210"/>
      <c r="G99" s="210"/>
      <c r="H99" s="210"/>
      <c r="I99" s="210"/>
      <c r="J99" s="210"/>
      <c r="K99" s="210"/>
      <c r="L99" s="210"/>
      <c r="M99" s="210"/>
      <c r="N99" s="210"/>
      <c r="O99" s="210"/>
      <c r="P99" s="210"/>
      <c r="Q99" s="210"/>
      <c r="R99" s="210"/>
    </row>
    <row r="100" spans="1:19">
      <c r="A100" s="6">
        <v>96</v>
      </c>
      <c r="B100" s="20" t="s">
        <v>270</v>
      </c>
      <c r="C100" s="267">
        <v>2839717</v>
      </c>
      <c r="D100" s="216" t="s">
        <v>9261</v>
      </c>
      <c r="E100" s="486">
        <v>44927</v>
      </c>
      <c r="F100" s="486">
        <v>45291</v>
      </c>
      <c r="G100" s="484">
        <v>5500</v>
      </c>
      <c r="H100" s="216">
        <v>13750</v>
      </c>
      <c r="I100" s="216">
        <v>0</v>
      </c>
      <c r="J100" s="216">
        <v>6600000</v>
      </c>
      <c r="K100" s="216">
        <v>36277500</v>
      </c>
      <c r="L100" s="216">
        <v>0</v>
      </c>
      <c r="M100" s="216">
        <v>0</v>
      </c>
      <c r="N100" s="216">
        <v>11000</v>
      </c>
      <c r="O100" s="216">
        <v>0</v>
      </c>
      <c r="P100" s="216">
        <v>0</v>
      </c>
      <c r="Q100" s="216">
        <v>38775000</v>
      </c>
      <c r="R100" s="216">
        <v>0</v>
      </c>
    </row>
    <row r="101" spans="1:19">
      <c r="A101" s="6">
        <v>97</v>
      </c>
      <c r="B101" s="20" t="s">
        <v>271</v>
      </c>
      <c r="C101" s="267">
        <v>2344343</v>
      </c>
      <c r="D101" s="210"/>
      <c r="E101" s="210"/>
      <c r="F101" s="210"/>
      <c r="G101" s="210"/>
      <c r="H101" s="210"/>
      <c r="I101" s="210"/>
      <c r="J101" s="210"/>
      <c r="K101" s="210"/>
      <c r="L101" s="210"/>
      <c r="M101" s="210"/>
      <c r="N101" s="210"/>
      <c r="O101" s="210"/>
      <c r="P101" s="210"/>
      <c r="Q101" s="210"/>
      <c r="R101" s="210"/>
    </row>
    <row r="102" spans="1:19">
      <c r="A102" s="6">
        <v>98</v>
      </c>
      <c r="B102" s="20" t="s">
        <v>273</v>
      </c>
      <c r="C102" s="267">
        <v>2819996</v>
      </c>
      <c r="D102" s="210"/>
      <c r="E102" s="210"/>
      <c r="F102" s="210"/>
      <c r="G102" s="210"/>
      <c r="H102" s="210"/>
      <c r="I102" s="210"/>
      <c r="J102" s="210"/>
      <c r="K102" s="210"/>
      <c r="L102" s="210"/>
      <c r="M102" s="210"/>
      <c r="N102" s="210"/>
      <c r="O102" s="210"/>
      <c r="P102" s="210"/>
      <c r="Q102" s="210"/>
      <c r="R102" s="210"/>
    </row>
    <row r="103" spans="1:19">
      <c r="A103" s="6">
        <v>99</v>
      </c>
      <c r="B103" s="20" t="s">
        <v>277</v>
      </c>
      <c r="C103" s="267">
        <v>2868687</v>
      </c>
      <c r="D103" s="210"/>
      <c r="E103" s="210"/>
      <c r="F103" s="210"/>
      <c r="G103" s="210"/>
      <c r="H103" s="210"/>
      <c r="I103" s="210"/>
      <c r="J103" s="210"/>
      <c r="K103" s="210"/>
      <c r="L103" s="210"/>
      <c r="M103" s="210"/>
      <c r="N103" s="210"/>
      <c r="O103" s="210"/>
      <c r="P103" s="210"/>
      <c r="Q103" s="210"/>
      <c r="R103" s="210"/>
    </row>
    <row r="104" spans="1:19">
      <c r="A104" s="6">
        <v>100</v>
      </c>
      <c r="B104" s="20" t="s">
        <v>279</v>
      </c>
      <c r="C104" s="267">
        <v>5877288</v>
      </c>
      <c r="D104" s="210"/>
      <c r="E104" s="210"/>
      <c r="F104" s="210"/>
      <c r="G104" s="210"/>
      <c r="H104" s="210"/>
      <c r="I104" s="210"/>
      <c r="J104" s="210"/>
      <c r="K104" s="210"/>
      <c r="L104" s="210"/>
      <c r="M104" s="210"/>
      <c r="N104" s="210"/>
      <c r="O104" s="210"/>
      <c r="P104" s="210"/>
      <c r="Q104" s="210"/>
      <c r="R104" s="210"/>
    </row>
    <row r="105" spans="1:19">
      <c r="A105" s="6">
        <v>101</v>
      </c>
      <c r="B105" s="20" t="s">
        <v>281</v>
      </c>
      <c r="C105" s="267">
        <v>6195598</v>
      </c>
      <c r="D105" s="210"/>
      <c r="E105" s="210"/>
      <c r="F105" s="210"/>
      <c r="G105" s="210"/>
      <c r="H105" s="210"/>
      <c r="I105" s="210"/>
      <c r="J105" s="210"/>
      <c r="K105" s="210"/>
      <c r="L105" s="210"/>
      <c r="M105" s="210"/>
      <c r="N105" s="210"/>
      <c r="O105" s="210"/>
      <c r="P105" s="210"/>
      <c r="Q105" s="210"/>
      <c r="R105" s="210"/>
    </row>
    <row r="106" spans="1:19">
      <c r="A106" s="6">
        <v>102</v>
      </c>
      <c r="B106" s="20" t="s">
        <v>282</v>
      </c>
      <c r="C106" s="267">
        <v>6413811</v>
      </c>
      <c r="D106" s="210"/>
      <c r="E106" s="210"/>
      <c r="F106" s="210"/>
      <c r="G106" s="210"/>
      <c r="H106" s="210"/>
      <c r="I106" s="210"/>
      <c r="J106" s="210"/>
      <c r="K106" s="210"/>
      <c r="L106" s="210"/>
      <c r="M106" s="210"/>
      <c r="N106" s="210"/>
      <c r="O106" s="210"/>
      <c r="P106" s="210"/>
      <c r="Q106" s="210"/>
      <c r="R106" s="210"/>
    </row>
    <row r="107" spans="1:19">
      <c r="A107" s="6">
        <v>103</v>
      </c>
      <c r="B107" s="20" t="s">
        <v>283</v>
      </c>
      <c r="C107" s="267">
        <v>2887134</v>
      </c>
      <c r="D107" s="210"/>
      <c r="E107" s="210"/>
      <c r="F107" s="210"/>
      <c r="G107" s="210"/>
      <c r="H107" s="210"/>
      <c r="I107" s="210"/>
      <c r="J107" s="210"/>
      <c r="K107" s="210"/>
      <c r="L107" s="210"/>
      <c r="M107" s="210"/>
      <c r="N107" s="210"/>
      <c r="O107" s="210"/>
      <c r="P107" s="210"/>
      <c r="Q107" s="210"/>
      <c r="R107" s="210"/>
    </row>
    <row r="108" spans="1:19">
      <c r="A108" s="6">
        <v>104</v>
      </c>
      <c r="B108" s="20" t="s">
        <v>284</v>
      </c>
      <c r="C108" s="267">
        <v>2618176</v>
      </c>
      <c r="D108" s="216" t="s">
        <v>9262</v>
      </c>
      <c r="E108" s="486">
        <v>44929</v>
      </c>
      <c r="F108" s="486">
        <v>45289</v>
      </c>
      <c r="G108" s="216"/>
      <c r="H108" s="216">
        <v>0</v>
      </c>
      <c r="I108" s="216">
        <v>0</v>
      </c>
      <c r="J108" s="216">
        <v>38911.9</v>
      </c>
      <c r="K108" s="216">
        <v>20000</v>
      </c>
      <c r="L108" s="216">
        <v>0</v>
      </c>
      <c r="M108" s="216">
        <v>0</v>
      </c>
      <c r="N108" s="216">
        <v>58912</v>
      </c>
      <c r="O108" s="216">
        <v>0</v>
      </c>
      <c r="P108" s="216">
        <v>0</v>
      </c>
      <c r="Q108" s="216">
        <v>0</v>
      </c>
      <c r="R108" s="216">
        <v>0</v>
      </c>
    </row>
    <row r="109" spans="1:19">
      <c r="A109" s="6">
        <v>105</v>
      </c>
      <c r="B109" s="216" t="s">
        <v>285</v>
      </c>
      <c r="C109" s="267">
        <v>5364884</v>
      </c>
      <c r="D109" s="210"/>
      <c r="E109" s="210"/>
      <c r="F109" s="210"/>
      <c r="G109" s="210"/>
      <c r="H109" s="210"/>
      <c r="I109" s="210"/>
      <c r="J109" s="210"/>
      <c r="K109" s="210"/>
      <c r="L109" s="210"/>
      <c r="M109" s="210"/>
      <c r="N109" s="210"/>
      <c r="O109" s="210"/>
      <c r="P109" s="210"/>
      <c r="Q109" s="210"/>
      <c r="R109" s="210"/>
    </row>
    <row r="110" spans="1:19" ht="25.5">
      <c r="A110" s="6">
        <v>106</v>
      </c>
      <c r="B110" s="216" t="s">
        <v>286</v>
      </c>
      <c r="C110" s="6">
        <v>2100231</v>
      </c>
      <c r="D110" s="216" t="s">
        <v>9263</v>
      </c>
      <c r="E110" s="486">
        <v>44927</v>
      </c>
      <c r="F110" s="486">
        <v>45291</v>
      </c>
      <c r="G110" s="216"/>
      <c r="H110" s="216">
        <v>39.700000000000003</v>
      </c>
      <c r="I110" s="216">
        <v>0</v>
      </c>
      <c r="J110" s="216">
        <v>0</v>
      </c>
      <c r="K110" s="216">
        <v>60862</v>
      </c>
      <c r="L110" s="216">
        <v>0</v>
      </c>
      <c r="M110" s="216">
        <v>0</v>
      </c>
      <c r="N110" s="216">
        <v>66.105000000000004</v>
      </c>
      <c r="O110" s="216">
        <v>0</v>
      </c>
      <c r="P110" s="216">
        <v>0</v>
      </c>
      <c r="Q110" s="216">
        <v>413927</v>
      </c>
      <c r="R110" s="216">
        <v>0</v>
      </c>
      <c r="S110" s="223"/>
    </row>
    <row r="111" spans="1:19" ht="25.5">
      <c r="A111" s="6">
        <v>107</v>
      </c>
      <c r="B111" s="20" t="s">
        <v>286</v>
      </c>
      <c r="C111" s="267">
        <v>2100231</v>
      </c>
      <c r="D111" s="216" t="s">
        <v>9263</v>
      </c>
      <c r="E111" s="486">
        <v>44927</v>
      </c>
      <c r="F111" s="486">
        <v>45291</v>
      </c>
      <c r="G111" s="216"/>
      <c r="H111" s="216">
        <v>39.700000000000003</v>
      </c>
      <c r="I111" s="216">
        <v>0</v>
      </c>
      <c r="J111" s="216">
        <v>0</v>
      </c>
      <c r="K111" s="216">
        <v>60862</v>
      </c>
      <c r="L111" s="216">
        <v>0</v>
      </c>
      <c r="M111" s="216">
        <v>0</v>
      </c>
      <c r="N111" s="216">
        <v>66.105000000000004</v>
      </c>
      <c r="O111" s="216">
        <v>0</v>
      </c>
      <c r="P111" s="216">
        <v>0</v>
      </c>
      <c r="Q111" s="216">
        <v>413927</v>
      </c>
      <c r="R111" s="216">
        <v>0</v>
      </c>
      <c r="S111" s="95"/>
    </row>
    <row r="112" spans="1:19">
      <c r="A112" s="6">
        <v>108</v>
      </c>
      <c r="B112" s="20" t="s">
        <v>287</v>
      </c>
      <c r="C112" s="267">
        <v>2661128</v>
      </c>
      <c r="D112" s="210"/>
      <c r="E112" s="210"/>
      <c r="F112" s="210"/>
      <c r="G112" s="210"/>
      <c r="H112" s="210"/>
      <c r="I112" s="210"/>
      <c r="J112" s="210"/>
      <c r="K112" s="210"/>
      <c r="L112" s="210"/>
      <c r="M112" s="210"/>
      <c r="N112" s="210"/>
      <c r="O112" s="210"/>
      <c r="P112" s="210"/>
      <c r="Q112" s="210"/>
      <c r="R112" s="210"/>
    </row>
    <row r="113" spans="1:18">
      <c r="A113" s="6">
        <v>109</v>
      </c>
      <c r="B113" s="20" t="s">
        <v>290</v>
      </c>
      <c r="C113" s="267">
        <v>5878756</v>
      </c>
      <c r="D113" s="210"/>
      <c r="E113" s="210"/>
      <c r="F113" s="210"/>
      <c r="G113" s="210"/>
      <c r="H113" s="210"/>
      <c r="I113" s="210"/>
      <c r="J113" s="210"/>
      <c r="K113" s="210"/>
      <c r="L113" s="210"/>
      <c r="M113" s="210"/>
      <c r="N113" s="210"/>
      <c r="O113" s="210"/>
      <c r="P113" s="210"/>
      <c r="Q113" s="210"/>
      <c r="R113" s="210"/>
    </row>
    <row r="114" spans="1:18">
      <c r="A114" s="6">
        <v>110</v>
      </c>
      <c r="B114" s="20" t="s">
        <v>292</v>
      </c>
      <c r="C114" s="267">
        <v>2166631</v>
      </c>
      <c r="D114" s="210"/>
      <c r="E114" s="210"/>
      <c r="F114" s="210"/>
      <c r="G114" s="210"/>
      <c r="H114" s="210"/>
      <c r="I114" s="210"/>
      <c r="J114" s="210"/>
      <c r="K114" s="210"/>
      <c r="L114" s="210"/>
      <c r="M114" s="210"/>
      <c r="N114" s="210"/>
      <c r="O114" s="210"/>
      <c r="P114" s="210"/>
      <c r="Q114" s="210"/>
      <c r="R114" s="210"/>
    </row>
    <row r="115" spans="1:18">
      <c r="A115" s="6">
        <v>111</v>
      </c>
      <c r="B115" s="20" t="s">
        <v>296</v>
      </c>
      <c r="C115" s="267">
        <v>5671833</v>
      </c>
      <c r="D115" s="210"/>
      <c r="E115" s="210"/>
      <c r="F115" s="210"/>
      <c r="G115" s="210"/>
      <c r="H115" s="210"/>
      <c r="I115" s="210"/>
      <c r="J115" s="210"/>
      <c r="K115" s="210"/>
      <c r="L115" s="210"/>
      <c r="M115" s="210"/>
      <c r="N115" s="210"/>
      <c r="O115" s="210"/>
      <c r="P115" s="210"/>
      <c r="Q115" s="210"/>
      <c r="R115" s="210"/>
    </row>
    <row r="116" spans="1:18">
      <c r="A116" s="6">
        <v>112</v>
      </c>
      <c r="B116" s="216" t="s">
        <v>297</v>
      </c>
      <c r="C116" s="267">
        <v>5104424</v>
      </c>
      <c r="D116" s="210"/>
      <c r="E116" s="210"/>
      <c r="F116" s="210"/>
      <c r="G116" s="210"/>
      <c r="H116" s="210"/>
      <c r="I116" s="210"/>
      <c r="J116" s="210"/>
      <c r="K116" s="210"/>
      <c r="L116" s="210"/>
      <c r="M116" s="210"/>
      <c r="N116" s="210"/>
      <c r="O116" s="210"/>
      <c r="P116" s="210"/>
      <c r="Q116" s="210"/>
      <c r="R116" s="210"/>
    </row>
    <row r="117" spans="1:18" ht="25.5">
      <c r="A117" s="6">
        <v>113</v>
      </c>
      <c r="B117" s="216" t="s">
        <v>298</v>
      </c>
      <c r="C117" s="262">
        <v>2668505</v>
      </c>
      <c r="D117" s="216" t="s">
        <v>9212</v>
      </c>
      <c r="E117" s="486">
        <v>44928</v>
      </c>
      <c r="F117" s="486">
        <v>45291</v>
      </c>
      <c r="G117" s="216">
        <v>14.4</v>
      </c>
      <c r="H117" s="216">
        <v>0</v>
      </c>
      <c r="I117" s="216">
        <v>0</v>
      </c>
      <c r="J117" s="216">
        <v>28800</v>
      </c>
      <c r="K117" s="216">
        <v>0</v>
      </c>
      <c r="L117" s="216">
        <v>0</v>
      </c>
      <c r="M117" s="216">
        <v>3.5</v>
      </c>
      <c r="N117" s="216">
        <v>0</v>
      </c>
      <c r="O117" s="216">
        <v>0</v>
      </c>
      <c r="P117" s="216">
        <v>12500</v>
      </c>
      <c r="Q117" s="216">
        <v>0</v>
      </c>
      <c r="R117" s="216">
        <v>0</v>
      </c>
    </row>
    <row r="118" spans="1:18" ht="25.5">
      <c r="A118" s="6">
        <v>114</v>
      </c>
      <c r="B118" s="216" t="s">
        <v>299</v>
      </c>
      <c r="C118" s="267">
        <v>2697947</v>
      </c>
      <c r="D118" s="210"/>
      <c r="E118" s="210"/>
      <c r="F118" s="210"/>
      <c r="G118" s="210"/>
      <c r="H118" s="210"/>
      <c r="I118" s="210"/>
      <c r="J118" s="210"/>
      <c r="K118" s="210"/>
      <c r="L118" s="210"/>
      <c r="M118" s="210"/>
      <c r="N118" s="210"/>
      <c r="O118" s="210"/>
      <c r="P118" s="210"/>
      <c r="Q118" s="210"/>
      <c r="R118" s="210"/>
    </row>
    <row r="119" spans="1:18">
      <c r="A119" s="6">
        <v>115</v>
      </c>
      <c r="B119" s="20" t="s">
        <v>300</v>
      </c>
      <c r="C119" s="267">
        <v>5352827</v>
      </c>
      <c r="D119" s="210"/>
      <c r="E119" s="210"/>
      <c r="F119" s="210"/>
      <c r="G119" s="210"/>
      <c r="H119" s="210"/>
      <c r="I119" s="210"/>
      <c r="J119" s="210"/>
      <c r="K119" s="210"/>
      <c r="L119" s="210"/>
      <c r="M119" s="210"/>
      <c r="N119" s="210"/>
      <c r="O119" s="210"/>
      <c r="P119" s="210"/>
      <c r="Q119" s="210"/>
      <c r="R119" s="210"/>
    </row>
    <row r="120" spans="1:18">
      <c r="A120" s="6">
        <v>116</v>
      </c>
      <c r="B120" s="20" t="s">
        <v>301</v>
      </c>
      <c r="C120" s="267">
        <v>2548747</v>
      </c>
      <c r="D120" s="210"/>
      <c r="E120" s="210"/>
      <c r="F120" s="210"/>
      <c r="G120" s="210"/>
      <c r="H120" s="210"/>
      <c r="I120" s="210"/>
      <c r="J120" s="210"/>
      <c r="K120" s="210"/>
      <c r="L120" s="210"/>
      <c r="M120" s="210"/>
      <c r="N120" s="210"/>
      <c r="O120" s="210"/>
      <c r="P120" s="210"/>
      <c r="Q120" s="210"/>
      <c r="R120" s="210"/>
    </row>
    <row r="121" spans="1:18">
      <c r="A121" s="6">
        <v>117</v>
      </c>
      <c r="B121" s="216" t="s">
        <v>303</v>
      </c>
      <c r="C121" s="267">
        <v>2641984</v>
      </c>
      <c r="D121" s="210"/>
      <c r="E121" s="210"/>
      <c r="F121" s="210"/>
      <c r="G121" s="210"/>
      <c r="H121" s="210"/>
      <c r="I121" s="210"/>
      <c r="J121" s="210"/>
      <c r="K121" s="210"/>
      <c r="L121" s="210"/>
      <c r="M121" s="210"/>
      <c r="N121" s="210"/>
      <c r="O121" s="210"/>
      <c r="P121" s="210"/>
      <c r="Q121" s="210"/>
      <c r="R121" s="210"/>
    </row>
    <row r="122" spans="1:18">
      <c r="A122" s="6">
        <v>118</v>
      </c>
      <c r="B122" s="20" t="s">
        <v>306</v>
      </c>
      <c r="C122" s="267">
        <v>6342485</v>
      </c>
      <c r="D122" s="210"/>
      <c r="E122" s="210"/>
      <c r="F122" s="210"/>
      <c r="G122" s="210"/>
      <c r="H122" s="210"/>
      <c r="I122" s="210"/>
      <c r="J122" s="210"/>
      <c r="K122" s="210"/>
      <c r="L122" s="210"/>
      <c r="M122" s="210"/>
      <c r="N122" s="210"/>
      <c r="O122" s="210"/>
      <c r="P122" s="210"/>
      <c r="Q122" s="210"/>
      <c r="R122" s="210"/>
    </row>
    <row r="123" spans="1:18">
      <c r="A123" s="6">
        <v>119</v>
      </c>
      <c r="B123" s="20" t="s">
        <v>307</v>
      </c>
      <c r="C123" s="267">
        <v>5166667</v>
      </c>
      <c r="D123" s="210"/>
      <c r="E123" s="210"/>
      <c r="F123" s="210"/>
      <c r="G123" s="210"/>
      <c r="H123" s="210"/>
      <c r="I123" s="210"/>
      <c r="J123" s="210"/>
      <c r="K123" s="210"/>
      <c r="L123" s="210"/>
      <c r="M123" s="210"/>
      <c r="N123" s="210"/>
      <c r="O123" s="210"/>
      <c r="P123" s="210"/>
      <c r="Q123" s="210"/>
      <c r="R123" s="210"/>
    </row>
    <row r="124" spans="1:18">
      <c r="A124" s="6">
        <v>120</v>
      </c>
      <c r="B124" s="20" t="s">
        <v>308</v>
      </c>
      <c r="C124" s="267">
        <v>5482046</v>
      </c>
      <c r="D124" s="210"/>
      <c r="E124" s="210"/>
      <c r="F124" s="210"/>
      <c r="G124" s="210"/>
      <c r="H124" s="210"/>
      <c r="I124" s="210"/>
      <c r="J124" s="210"/>
      <c r="K124" s="210"/>
      <c r="L124" s="210"/>
      <c r="M124" s="210"/>
      <c r="N124" s="210"/>
      <c r="O124" s="210"/>
      <c r="P124" s="210"/>
      <c r="Q124" s="210"/>
      <c r="R124" s="210"/>
    </row>
    <row r="125" spans="1:18">
      <c r="A125" s="6">
        <v>121</v>
      </c>
      <c r="B125" s="20" t="s">
        <v>309</v>
      </c>
      <c r="C125" s="267">
        <v>2050374</v>
      </c>
      <c r="D125" s="210"/>
      <c r="E125" s="210"/>
      <c r="F125" s="210"/>
      <c r="G125" s="210"/>
      <c r="H125" s="210"/>
      <c r="I125" s="210"/>
      <c r="J125" s="210"/>
      <c r="K125" s="210"/>
      <c r="L125" s="210"/>
      <c r="M125" s="210"/>
      <c r="N125" s="210"/>
      <c r="O125" s="210"/>
      <c r="P125" s="210"/>
      <c r="Q125" s="210"/>
      <c r="R125" s="210"/>
    </row>
    <row r="126" spans="1:18">
      <c r="A126" s="6">
        <v>122</v>
      </c>
      <c r="B126" s="20" t="s">
        <v>311</v>
      </c>
      <c r="C126" s="267">
        <v>2004879</v>
      </c>
      <c r="D126" s="210"/>
      <c r="E126" s="210"/>
      <c r="F126" s="210"/>
      <c r="G126" s="210"/>
      <c r="H126" s="210"/>
      <c r="I126" s="210"/>
      <c r="J126" s="210"/>
      <c r="K126" s="210"/>
      <c r="L126" s="210"/>
      <c r="M126" s="210"/>
      <c r="N126" s="210"/>
      <c r="O126" s="210"/>
      <c r="P126" s="210"/>
      <c r="Q126" s="210"/>
      <c r="R126" s="210"/>
    </row>
    <row r="127" spans="1:18">
      <c r="A127" s="6">
        <v>123</v>
      </c>
      <c r="B127" s="216" t="s">
        <v>314</v>
      </c>
      <c r="C127" s="267">
        <v>2830213</v>
      </c>
      <c r="D127" s="210"/>
      <c r="E127" s="210"/>
      <c r="F127" s="210"/>
      <c r="G127" s="210"/>
      <c r="H127" s="210"/>
      <c r="I127" s="210"/>
      <c r="J127" s="210"/>
      <c r="K127" s="210"/>
      <c r="L127" s="210"/>
      <c r="M127" s="210"/>
      <c r="N127" s="210"/>
      <c r="O127" s="210"/>
      <c r="P127" s="210"/>
      <c r="Q127" s="210"/>
      <c r="R127" s="210"/>
    </row>
    <row r="128" spans="1:18">
      <c r="A128" s="6">
        <v>124</v>
      </c>
      <c r="B128" s="20" t="s">
        <v>315</v>
      </c>
      <c r="C128" s="267">
        <v>5320607</v>
      </c>
      <c r="D128" s="210"/>
      <c r="E128" s="210"/>
      <c r="F128" s="210"/>
      <c r="G128" s="210"/>
      <c r="H128" s="210"/>
      <c r="I128" s="210"/>
      <c r="J128" s="210"/>
      <c r="K128" s="210"/>
      <c r="L128" s="210"/>
      <c r="M128" s="210"/>
      <c r="N128" s="210"/>
      <c r="O128" s="210"/>
      <c r="P128" s="210"/>
      <c r="Q128" s="210"/>
      <c r="R128" s="210"/>
    </row>
    <row r="129" spans="1:19">
      <c r="A129" s="6">
        <v>125</v>
      </c>
      <c r="B129" s="216" t="s">
        <v>316</v>
      </c>
      <c r="C129" s="267">
        <v>5586119</v>
      </c>
      <c r="D129" s="210"/>
      <c r="E129" s="210"/>
      <c r="F129" s="210"/>
      <c r="G129" s="210"/>
      <c r="H129" s="210"/>
      <c r="I129" s="210"/>
      <c r="J129" s="210"/>
      <c r="K129" s="210"/>
      <c r="L129" s="210"/>
      <c r="M129" s="210"/>
      <c r="N129" s="210"/>
      <c r="O129" s="210"/>
      <c r="P129" s="210"/>
      <c r="Q129" s="210"/>
      <c r="R129" s="210"/>
    </row>
    <row r="130" spans="1:19">
      <c r="A130" s="6">
        <v>126</v>
      </c>
      <c r="B130" s="20" t="s">
        <v>317</v>
      </c>
      <c r="C130" s="267">
        <v>5015243</v>
      </c>
      <c r="D130" s="210"/>
      <c r="E130" s="210"/>
      <c r="F130" s="210"/>
      <c r="G130" s="210"/>
      <c r="H130" s="210"/>
      <c r="I130" s="210"/>
      <c r="J130" s="210"/>
      <c r="K130" s="210"/>
      <c r="L130" s="210"/>
      <c r="M130" s="210"/>
      <c r="N130" s="210"/>
      <c r="O130" s="210"/>
      <c r="P130" s="210"/>
      <c r="Q130" s="210"/>
      <c r="R130" s="210"/>
    </row>
    <row r="131" spans="1:19">
      <c r="A131" s="6">
        <v>127</v>
      </c>
      <c r="B131" s="20" t="s">
        <v>318</v>
      </c>
      <c r="C131" s="267">
        <v>5452503</v>
      </c>
      <c r="D131" s="210"/>
      <c r="E131" s="210"/>
      <c r="F131" s="210"/>
      <c r="G131" s="210"/>
      <c r="H131" s="210"/>
      <c r="I131" s="210"/>
      <c r="J131" s="210"/>
      <c r="K131" s="210"/>
      <c r="L131" s="210"/>
      <c r="M131" s="210"/>
      <c r="N131" s="210"/>
      <c r="O131" s="210"/>
      <c r="P131" s="210"/>
      <c r="Q131" s="210"/>
      <c r="R131" s="210"/>
    </row>
    <row r="132" spans="1:19" ht="25.5">
      <c r="A132" s="6">
        <v>128</v>
      </c>
      <c r="B132" s="216" t="s">
        <v>319</v>
      </c>
      <c r="C132" s="6">
        <v>2887746</v>
      </c>
      <c r="D132" s="216" t="s">
        <v>9264</v>
      </c>
      <c r="E132" s="486">
        <v>44927</v>
      </c>
      <c r="F132" s="486">
        <v>45291</v>
      </c>
      <c r="G132" s="216"/>
      <c r="H132" s="216">
        <v>250.9</v>
      </c>
      <c r="I132" s="216">
        <v>0</v>
      </c>
      <c r="J132" s="216">
        <v>0</v>
      </c>
      <c r="K132" s="216">
        <v>599665</v>
      </c>
      <c r="L132" s="216">
        <v>0</v>
      </c>
      <c r="M132" s="216">
        <v>0</v>
      </c>
      <c r="N132" s="216">
        <v>0</v>
      </c>
      <c r="O132" s="216">
        <v>0</v>
      </c>
      <c r="P132" s="216">
        <v>0</v>
      </c>
      <c r="Q132" s="216">
        <v>0</v>
      </c>
      <c r="R132" s="216">
        <v>0</v>
      </c>
      <c r="S132" s="223"/>
    </row>
    <row r="133" spans="1:19">
      <c r="A133" s="6">
        <v>129</v>
      </c>
      <c r="B133" s="216" t="s">
        <v>319</v>
      </c>
      <c r="C133" s="6">
        <v>2887746</v>
      </c>
      <c r="D133" s="216" t="s">
        <v>9265</v>
      </c>
      <c r="E133" s="486">
        <v>45078</v>
      </c>
      <c r="F133" s="486">
        <v>45291</v>
      </c>
      <c r="G133" s="216"/>
      <c r="H133" s="216">
        <v>60.5</v>
      </c>
      <c r="I133" s="216">
        <v>0</v>
      </c>
      <c r="J133" s="216">
        <v>0</v>
      </c>
      <c r="K133" s="216">
        <v>390700</v>
      </c>
      <c r="L133" s="216">
        <v>0</v>
      </c>
      <c r="M133" s="216">
        <v>0</v>
      </c>
      <c r="N133" s="216">
        <v>0</v>
      </c>
      <c r="O133" s="216">
        <v>0</v>
      </c>
      <c r="P133" s="216">
        <v>0</v>
      </c>
      <c r="Q133" s="216">
        <v>0</v>
      </c>
      <c r="R133" s="216">
        <v>0</v>
      </c>
      <c r="S133" s="223"/>
    </row>
    <row r="134" spans="1:19">
      <c r="A134" s="6">
        <v>130</v>
      </c>
      <c r="B134" s="216" t="s">
        <v>319</v>
      </c>
      <c r="C134" s="6">
        <v>2887746</v>
      </c>
      <c r="D134" s="216" t="s">
        <v>9266</v>
      </c>
      <c r="E134" s="486">
        <v>44927</v>
      </c>
      <c r="F134" s="486">
        <v>45291</v>
      </c>
      <c r="G134" s="216"/>
      <c r="H134" s="216">
        <v>34.700000000000003</v>
      </c>
      <c r="I134" s="216">
        <v>0</v>
      </c>
      <c r="J134" s="216">
        <v>0</v>
      </c>
      <c r="K134" s="216">
        <v>242308</v>
      </c>
      <c r="L134" s="216">
        <v>0</v>
      </c>
      <c r="M134" s="216">
        <v>0</v>
      </c>
      <c r="N134" s="216">
        <v>0</v>
      </c>
      <c r="O134" s="216">
        <v>0</v>
      </c>
      <c r="P134" s="216">
        <v>0</v>
      </c>
      <c r="Q134" s="216">
        <v>0</v>
      </c>
      <c r="R134" s="216">
        <v>0</v>
      </c>
      <c r="S134" s="223"/>
    </row>
    <row r="135" spans="1:19">
      <c r="A135" s="6">
        <v>131</v>
      </c>
      <c r="B135" s="216" t="s">
        <v>319</v>
      </c>
      <c r="C135" s="6">
        <v>2887746</v>
      </c>
      <c r="D135" s="216" t="s">
        <v>9267</v>
      </c>
      <c r="E135" s="216" t="s">
        <v>8377</v>
      </c>
      <c r="F135" s="216" t="s">
        <v>8377</v>
      </c>
      <c r="G135" s="216">
        <v>0.25</v>
      </c>
      <c r="H135" s="216">
        <v>0</v>
      </c>
      <c r="I135" s="216">
        <v>0</v>
      </c>
      <c r="J135" s="216">
        <v>136.4</v>
      </c>
      <c r="K135" s="216">
        <v>0</v>
      </c>
      <c r="L135" s="216">
        <v>0</v>
      </c>
      <c r="M135" s="216">
        <v>0</v>
      </c>
      <c r="N135" s="216">
        <v>0</v>
      </c>
      <c r="O135" s="216">
        <v>0</v>
      </c>
      <c r="P135" s="216">
        <v>0</v>
      </c>
      <c r="Q135" s="216">
        <v>0</v>
      </c>
      <c r="R135" s="216">
        <v>0</v>
      </c>
      <c r="S135" s="223"/>
    </row>
    <row r="136" spans="1:19">
      <c r="A136" s="6">
        <v>132</v>
      </c>
      <c r="B136" s="216" t="s">
        <v>319</v>
      </c>
      <c r="C136" s="6">
        <v>2887746</v>
      </c>
      <c r="D136" s="216" t="s">
        <v>9268</v>
      </c>
      <c r="E136" s="486">
        <v>44562</v>
      </c>
      <c r="F136" s="486">
        <v>45291</v>
      </c>
      <c r="G136" s="216"/>
      <c r="H136" s="216">
        <v>0</v>
      </c>
      <c r="I136" s="216">
        <v>0</v>
      </c>
      <c r="J136" s="216">
        <v>0</v>
      </c>
      <c r="K136" s="216">
        <v>0</v>
      </c>
      <c r="L136" s="216">
        <v>0</v>
      </c>
      <c r="M136" s="216">
        <v>1119.5</v>
      </c>
      <c r="N136" s="216">
        <v>0</v>
      </c>
      <c r="O136" s="216">
        <v>0</v>
      </c>
      <c r="P136" s="216">
        <v>2127</v>
      </c>
      <c r="Q136" s="216">
        <v>0</v>
      </c>
      <c r="R136" s="216">
        <v>0</v>
      </c>
      <c r="S136" s="223"/>
    </row>
    <row r="137" spans="1:19" ht="25.5">
      <c r="A137" s="6">
        <v>133</v>
      </c>
      <c r="B137" s="216" t="s">
        <v>319</v>
      </c>
      <c r="C137" s="6">
        <v>2887746</v>
      </c>
      <c r="D137" s="216" t="s">
        <v>9269</v>
      </c>
      <c r="E137" s="486">
        <v>44927</v>
      </c>
      <c r="F137" s="486">
        <v>45291</v>
      </c>
      <c r="G137" s="216"/>
      <c r="H137" s="216">
        <v>0</v>
      </c>
      <c r="I137" s="216">
        <v>0</v>
      </c>
      <c r="J137" s="216">
        <v>0</v>
      </c>
      <c r="K137" s="216">
        <v>0</v>
      </c>
      <c r="L137" s="216">
        <v>0</v>
      </c>
      <c r="M137" s="216">
        <v>0</v>
      </c>
      <c r="N137" s="216">
        <v>51.7</v>
      </c>
      <c r="O137" s="216">
        <v>0</v>
      </c>
      <c r="P137" s="216">
        <v>0</v>
      </c>
      <c r="Q137" s="216">
        <v>107307</v>
      </c>
      <c r="R137" s="216">
        <v>0</v>
      </c>
      <c r="S137" s="223"/>
    </row>
    <row r="138" spans="1:19">
      <c r="A138" s="6">
        <v>134</v>
      </c>
      <c r="B138" s="216" t="s">
        <v>319</v>
      </c>
      <c r="C138" s="6">
        <v>2887746</v>
      </c>
      <c r="D138" s="216" t="s">
        <v>9245</v>
      </c>
      <c r="E138" s="486">
        <v>44927</v>
      </c>
      <c r="F138" s="486">
        <v>45291</v>
      </c>
      <c r="G138" s="216"/>
      <c r="H138" s="216">
        <v>0</v>
      </c>
      <c r="I138" s="216">
        <v>0</v>
      </c>
      <c r="J138" s="216">
        <v>0</v>
      </c>
      <c r="K138" s="216">
        <v>0</v>
      </c>
      <c r="L138" s="216">
        <v>0</v>
      </c>
      <c r="M138" s="216">
        <v>0</v>
      </c>
      <c r="N138" s="216">
        <v>13.3</v>
      </c>
      <c r="O138" s="216">
        <v>0</v>
      </c>
      <c r="P138" s="216">
        <v>0</v>
      </c>
      <c r="Q138" s="216">
        <v>29001</v>
      </c>
      <c r="R138" s="216">
        <v>0</v>
      </c>
      <c r="S138" s="223"/>
    </row>
    <row r="139" spans="1:19">
      <c r="A139" s="6">
        <v>135</v>
      </c>
      <c r="B139" s="216" t="s">
        <v>319</v>
      </c>
      <c r="C139" s="6">
        <v>2887746</v>
      </c>
      <c r="D139" s="216" t="s">
        <v>9270</v>
      </c>
      <c r="E139" s="486">
        <v>44927</v>
      </c>
      <c r="F139" s="486">
        <v>45291</v>
      </c>
      <c r="G139" s="216"/>
      <c r="H139" s="216">
        <v>0</v>
      </c>
      <c r="I139" s="216">
        <v>0</v>
      </c>
      <c r="J139" s="216">
        <v>0</v>
      </c>
      <c r="K139" s="216">
        <v>0</v>
      </c>
      <c r="L139" s="216">
        <v>0</v>
      </c>
      <c r="M139" s="216">
        <v>0</v>
      </c>
      <c r="N139" s="216">
        <v>35.200000000000003</v>
      </c>
      <c r="O139" s="216">
        <v>0</v>
      </c>
      <c r="P139" s="216">
        <v>0</v>
      </c>
      <c r="Q139" s="216">
        <v>163874</v>
      </c>
      <c r="R139" s="216">
        <v>0</v>
      </c>
      <c r="S139" s="223"/>
    </row>
    <row r="140" spans="1:19">
      <c r="A140" s="6">
        <v>136</v>
      </c>
      <c r="B140" s="20" t="s">
        <v>319</v>
      </c>
      <c r="C140" s="267">
        <v>2887746</v>
      </c>
      <c r="D140" s="216" t="s">
        <v>9271</v>
      </c>
      <c r="E140" s="486">
        <v>44927</v>
      </c>
      <c r="F140" s="486">
        <v>45291</v>
      </c>
      <c r="G140" s="216"/>
      <c r="H140" s="216">
        <v>0</v>
      </c>
      <c r="I140" s="216">
        <v>0</v>
      </c>
      <c r="J140" s="216">
        <v>0</v>
      </c>
      <c r="K140" s="216">
        <v>0</v>
      </c>
      <c r="L140" s="216">
        <v>0</v>
      </c>
      <c r="M140" s="216">
        <v>0</v>
      </c>
      <c r="N140" s="216">
        <v>34.1</v>
      </c>
      <c r="O140" s="216">
        <v>0</v>
      </c>
      <c r="P140" s="216">
        <v>0</v>
      </c>
      <c r="Q140" s="216">
        <v>93139.199999999997</v>
      </c>
      <c r="R140" s="216">
        <v>0</v>
      </c>
      <c r="S140" s="95"/>
    </row>
    <row r="141" spans="1:19">
      <c r="A141" s="6">
        <v>137</v>
      </c>
      <c r="B141" s="20" t="s">
        <v>320</v>
      </c>
      <c r="C141" s="267">
        <v>5618339</v>
      </c>
      <c r="D141" s="210"/>
      <c r="E141" s="210"/>
      <c r="F141" s="210"/>
      <c r="G141" s="210"/>
      <c r="H141" s="210"/>
      <c r="I141" s="210"/>
      <c r="J141" s="210"/>
      <c r="K141" s="210"/>
      <c r="L141" s="210"/>
      <c r="M141" s="210"/>
      <c r="N141" s="210"/>
      <c r="O141" s="210"/>
      <c r="P141" s="210"/>
      <c r="Q141" s="210"/>
      <c r="R141" s="210"/>
    </row>
    <row r="142" spans="1:19">
      <c r="A142" s="6">
        <v>138</v>
      </c>
      <c r="B142" s="20" t="s">
        <v>321</v>
      </c>
      <c r="C142" s="267">
        <v>2718243</v>
      </c>
      <c r="D142" s="210"/>
      <c r="E142" s="210"/>
      <c r="F142" s="210"/>
      <c r="G142" s="210"/>
      <c r="H142" s="210"/>
      <c r="I142" s="210"/>
      <c r="J142" s="210"/>
      <c r="K142" s="210"/>
      <c r="L142" s="210"/>
      <c r="M142" s="210"/>
      <c r="N142" s="210"/>
      <c r="O142" s="210"/>
      <c r="P142" s="210"/>
      <c r="Q142" s="210"/>
      <c r="R142" s="210"/>
    </row>
    <row r="143" spans="1:19">
      <c r="A143" s="6">
        <v>139</v>
      </c>
      <c r="B143" s="20" t="s">
        <v>322</v>
      </c>
      <c r="C143" s="267">
        <v>6896197</v>
      </c>
      <c r="D143" s="210"/>
      <c r="E143" s="210"/>
      <c r="F143" s="210"/>
      <c r="G143" s="210"/>
      <c r="H143" s="210"/>
      <c r="I143" s="210"/>
      <c r="J143" s="210"/>
      <c r="K143" s="210"/>
      <c r="L143" s="210"/>
      <c r="M143" s="210"/>
      <c r="N143" s="210"/>
      <c r="O143" s="210"/>
      <c r="P143" s="210"/>
      <c r="Q143" s="210"/>
      <c r="R143" s="210"/>
    </row>
    <row r="144" spans="1:19">
      <c r="A144" s="6">
        <v>140</v>
      </c>
      <c r="B144" s="20" t="s">
        <v>323</v>
      </c>
      <c r="C144" s="267">
        <v>5435528</v>
      </c>
      <c r="D144" s="210"/>
      <c r="E144" s="210"/>
      <c r="F144" s="210"/>
      <c r="G144" s="210"/>
      <c r="H144" s="210"/>
      <c r="I144" s="210"/>
      <c r="J144" s="210"/>
      <c r="K144" s="210"/>
      <c r="L144" s="210"/>
      <c r="M144" s="210"/>
      <c r="N144" s="210"/>
      <c r="O144" s="210"/>
      <c r="P144" s="210"/>
      <c r="Q144" s="210"/>
      <c r="R144" s="210"/>
    </row>
    <row r="145" spans="1:19" ht="25.5">
      <c r="A145" s="6">
        <v>141</v>
      </c>
      <c r="B145" s="216" t="s">
        <v>324</v>
      </c>
      <c r="C145" s="267">
        <v>5824826</v>
      </c>
      <c r="D145" s="210"/>
      <c r="E145" s="210"/>
      <c r="F145" s="210"/>
      <c r="G145" s="210"/>
      <c r="H145" s="210"/>
      <c r="I145" s="210"/>
      <c r="J145" s="210"/>
      <c r="K145" s="210"/>
      <c r="L145" s="210"/>
      <c r="M145" s="210"/>
      <c r="N145" s="210"/>
      <c r="O145" s="210"/>
      <c r="P145" s="210"/>
      <c r="Q145" s="210"/>
      <c r="R145" s="210"/>
    </row>
    <row r="146" spans="1:19">
      <c r="A146" s="6">
        <v>142</v>
      </c>
      <c r="B146" s="20" t="s">
        <v>325</v>
      </c>
      <c r="C146" s="267">
        <v>6141536</v>
      </c>
      <c r="D146" s="210"/>
      <c r="E146" s="210"/>
      <c r="F146" s="210"/>
      <c r="G146" s="210"/>
      <c r="H146" s="210"/>
      <c r="I146" s="210"/>
      <c r="J146" s="210"/>
      <c r="K146" s="210"/>
      <c r="L146" s="210"/>
      <c r="M146" s="210"/>
      <c r="N146" s="210"/>
      <c r="O146" s="210"/>
      <c r="P146" s="210"/>
      <c r="Q146" s="210"/>
      <c r="R146" s="210"/>
    </row>
    <row r="147" spans="1:19">
      <c r="A147" s="6">
        <v>143</v>
      </c>
      <c r="B147" s="216" t="s">
        <v>326</v>
      </c>
      <c r="C147" s="262">
        <v>5124913</v>
      </c>
      <c r="D147" s="210"/>
      <c r="E147" s="210"/>
      <c r="F147" s="210"/>
      <c r="G147" s="210"/>
      <c r="H147" s="210"/>
      <c r="I147" s="210"/>
      <c r="J147" s="210"/>
      <c r="K147" s="210"/>
      <c r="L147" s="210"/>
      <c r="M147" s="210"/>
      <c r="N147" s="210"/>
      <c r="O147" s="210"/>
      <c r="P147" s="210"/>
      <c r="Q147" s="210"/>
      <c r="R147" s="210"/>
    </row>
    <row r="148" spans="1:19" ht="25.5">
      <c r="A148" s="6">
        <v>144</v>
      </c>
      <c r="B148" s="216" t="s">
        <v>327</v>
      </c>
      <c r="C148" s="6">
        <v>2074192</v>
      </c>
      <c r="D148" s="216" t="s">
        <v>9226</v>
      </c>
      <c r="E148" s="486">
        <v>45043</v>
      </c>
      <c r="F148" s="486">
        <v>45288</v>
      </c>
      <c r="G148" s="484">
        <v>2135</v>
      </c>
      <c r="H148" s="216">
        <v>0</v>
      </c>
      <c r="I148" s="216">
        <v>0</v>
      </c>
      <c r="J148" s="216">
        <v>36645</v>
      </c>
      <c r="K148" s="216">
        <v>0</v>
      </c>
      <c r="L148" s="216">
        <v>0</v>
      </c>
      <c r="M148" s="216">
        <v>0</v>
      </c>
      <c r="N148" s="216">
        <v>0</v>
      </c>
      <c r="O148" s="216">
        <v>0</v>
      </c>
      <c r="P148" s="216">
        <v>0</v>
      </c>
      <c r="Q148" s="216">
        <v>0</v>
      </c>
      <c r="R148" s="216">
        <v>0</v>
      </c>
      <c r="S148" s="223"/>
    </row>
    <row r="149" spans="1:19" ht="25.5">
      <c r="A149" s="6">
        <v>145</v>
      </c>
      <c r="B149" s="216" t="s">
        <v>327</v>
      </c>
      <c r="C149" s="6">
        <v>2074192</v>
      </c>
      <c r="D149" s="216" t="s">
        <v>9272</v>
      </c>
      <c r="E149" s="486">
        <v>45082</v>
      </c>
      <c r="F149" s="486">
        <v>45323</v>
      </c>
      <c r="G149" s="484">
        <v>26363</v>
      </c>
      <c r="H149" s="216">
        <v>0</v>
      </c>
      <c r="I149" s="216">
        <v>0</v>
      </c>
      <c r="J149" s="216">
        <v>72737.600000000006</v>
      </c>
      <c r="K149" s="216">
        <v>0</v>
      </c>
      <c r="L149" s="216">
        <v>0</v>
      </c>
      <c r="M149" s="216">
        <v>0</v>
      </c>
      <c r="N149" s="216">
        <v>0</v>
      </c>
      <c r="O149" s="216">
        <v>0</v>
      </c>
      <c r="P149" s="216">
        <v>0</v>
      </c>
      <c r="Q149" s="216">
        <v>0</v>
      </c>
      <c r="R149" s="216">
        <v>0</v>
      </c>
      <c r="S149" s="223"/>
    </row>
    <row r="150" spans="1:19">
      <c r="A150" s="6">
        <v>146</v>
      </c>
      <c r="B150" s="216" t="s">
        <v>327</v>
      </c>
      <c r="C150" s="6">
        <v>2074192</v>
      </c>
      <c r="D150" s="216" t="s">
        <v>9273</v>
      </c>
      <c r="E150" s="486">
        <v>45082</v>
      </c>
      <c r="F150" s="486">
        <v>45505</v>
      </c>
      <c r="G150" s="484">
        <v>26363</v>
      </c>
      <c r="H150" s="216">
        <v>0</v>
      </c>
      <c r="I150" s="216">
        <v>0</v>
      </c>
      <c r="J150" s="216">
        <v>72737.600000000006</v>
      </c>
      <c r="K150" s="216">
        <v>0</v>
      </c>
      <c r="L150" s="216">
        <v>0</v>
      </c>
      <c r="M150" s="216">
        <v>0</v>
      </c>
      <c r="N150" s="216">
        <v>0</v>
      </c>
      <c r="O150" s="216">
        <v>0</v>
      </c>
      <c r="P150" s="216">
        <v>0</v>
      </c>
      <c r="Q150" s="216">
        <v>0</v>
      </c>
      <c r="R150" s="216">
        <v>0</v>
      </c>
      <c r="S150" s="223"/>
    </row>
    <row r="151" spans="1:19" ht="38.25">
      <c r="A151" s="6">
        <v>147</v>
      </c>
      <c r="B151" s="216" t="s">
        <v>327</v>
      </c>
      <c r="C151" s="6">
        <v>2074192</v>
      </c>
      <c r="D151" s="216" t="s">
        <v>9274</v>
      </c>
      <c r="E151" s="486">
        <v>45082</v>
      </c>
      <c r="F151" s="486">
        <v>45323</v>
      </c>
      <c r="G151" s="484">
        <v>26363</v>
      </c>
      <c r="H151" s="216">
        <v>0</v>
      </c>
      <c r="I151" s="216">
        <v>0</v>
      </c>
      <c r="J151" s="216">
        <v>72737.600000000006</v>
      </c>
      <c r="K151" s="216">
        <v>0</v>
      </c>
      <c r="L151" s="216">
        <v>0</v>
      </c>
      <c r="M151" s="216">
        <v>0</v>
      </c>
      <c r="N151" s="216">
        <v>0</v>
      </c>
      <c r="O151" s="216">
        <v>0</v>
      </c>
      <c r="P151" s="216">
        <v>0</v>
      </c>
      <c r="Q151" s="216">
        <v>0</v>
      </c>
      <c r="R151" s="216">
        <v>0</v>
      </c>
      <c r="S151" s="223"/>
    </row>
    <row r="152" spans="1:19" ht="38.25">
      <c r="A152" s="6">
        <v>148</v>
      </c>
      <c r="B152" s="216" t="s">
        <v>327</v>
      </c>
      <c r="C152" s="6">
        <v>2074192</v>
      </c>
      <c r="D152" s="216" t="s">
        <v>9275</v>
      </c>
      <c r="E152" s="486">
        <v>45082</v>
      </c>
      <c r="F152" s="486">
        <v>45323</v>
      </c>
      <c r="G152" s="484">
        <v>26363</v>
      </c>
      <c r="H152" s="216">
        <v>0</v>
      </c>
      <c r="I152" s="216">
        <v>0</v>
      </c>
      <c r="J152" s="216">
        <v>72737.600000000006</v>
      </c>
      <c r="K152" s="216">
        <v>0</v>
      </c>
      <c r="L152" s="216">
        <v>0</v>
      </c>
      <c r="M152" s="216">
        <v>0</v>
      </c>
      <c r="N152" s="216">
        <v>0</v>
      </c>
      <c r="O152" s="216">
        <v>0</v>
      </c>
      <c r="P152" s="216">
        <v>0</v>
      </c>
      <c r="Q152" s="216">
        <v>0</v>
      </c>
      <c r="R152" s="216">
        <v>0</v>
      </c>
      <c r="S152" s="223"/>
    </row>
    <row r="153" spans="1:19" ht="38.25">
      <c r="A153" s="6">
        <v>149</v>
      </c>
      <c r="B153" s="216" t="s">
        <v>327</v>
      </c>
      <c r="C153" s="6">
        <v>2074192</v>
      </c>
      <c r="D153" s="216" t="s">
        <v>9276</v>
      </c>
      <c r="E153" s="486">
        <v>45082</v>
      </c>
      <c r="F153" s="486">
        <v>45330</v>
      </c>
      <c r="G153" s="484">
        <v>26363</v>
      </c>
      <c r="H153" s="216">
        <v>0</v>
      </c>
      <c r="I153" s="216">
        <v>0</v>
      </c>
      <c r="J153" s="216">
        <v>72737.600000000006</v>
      </c>
      <c r="K153" s="216">
        <v>0</v>
      </c>
      <c r="L153" s="216">
        <v>0</v>
      </c>
      <c r="M153" s="216">
        <v>0</v>
      </c>
      <c r="N153" s="216">
        <v>0</v>
      </c>
      <c r="O153" s="216">
        <v>0</v>
      </c>
      <c r="P153" s="216">
        <v>0</v>
      </c>
      <c r="Q153" s="216">
        <v>0</v>
      </c>
      <c r="R153" s="216">
        <v>0</v>
      </c>
      <c r="S153" s="223"/>
    </row>
    <row r="154" spans="1:19">
      <c r="A154" s="6">
        <v>150</v>
      </c>
      <c r="B154" s="216" t="s">
        <v>327</v>
      </c>
      <c r="C154" s="6">
        <v>2074192</v>
      </c>
      <c r="D154" s="216" t="s">
        <v>9277</v>
      </c>
      <c r="E154" s="486">
        <v>45082</v>
      </c>
      <c r="F154" s="486">
        <v>45505</v>
      </c>
      <c r="G154" s="484">
        <v>32957</v>
      </c>
      <c r="H154" s="216">
        <v>0</v>
      </c>
      <c r="I154" s="216">
        <v>0</v>
      </c>
      <c r="J154" s="216">
        <v>133312</v>
      </c>
      <c r="K154" s="216">
        <v>0</v>
      </c>
      <c r="L154" s="216">
        <v>0</v>
      </c>
      <c r="M154" s="216">
        <v>0</v>
      </c>
      <c r="N154" s="216">
        <v>0</v>
      </c>
      <c r="O154" s="216">
        <v>0</v>
      </c>
      <c r="P154" s="216">
        <v>0</v>
      </c>
      <c r="Q154" s="216">
        <v>0</v>
      </c>
      <c r="R154" s="216">
        <v>0</v>
      </c>
      <c r="S154" s="223"/>
    </row>
    <row r="155" spans="1:19">
      <c r="A155" s="6">
        <v>151</v>
      </c>
      <c r="B155" s="216" t="s">
        <v>327</v>
      </c>
      <c r="C155" s="6">
        <v>2074192</v>
      </c>
      <c r="D155" s="216" t="s">
        <v>9278</v>
      </c>
      <c r="E155" s="486">
        <v>45043</v>
      </c>
      <c r="F155" s="486">
        <v>45288</v>
      </c>
      <c r="G155" s="484">
        <v>3596</v>
      </c>
      <c r="H155" s="216">
        <v>0</v>
      </c>
      <c r="I155" s="216">
        <v>0</v>
      </c>
      <c r="J155" s="216">
        <v>37955.5</v>
      </c>
      <c r="K155" s="216">
        <v>0</v>
      </c>
      <c r="L155" s="216">
        <v>0</v>
      </c>
      <c r="M155" s="216">
        <v>0</v>
      </c>
      <c r="N155" s="216">
        <v>0</v>
      </c>
      <c r="O155" s="216">
        <v>0</v>
      </c>
      <c r="P155" s="216">
        <v>0</v>
      </c>
      <c r="Q155" s="216">
        <v>0</v>
      </c>
      <c r="R155" s="216">
        <v>0</v>
      </c>
      <c r="S155" s="223"/>
    </row>
    <row r="156" spans="1:19">
      <c r="A156" s="6">
        <v>152</v>
      </c>
      <c r="B156" s="216" t="s">
        <v>327</v>
      </c>
      <c r="C156" s="6">
        <v>2074192</v>
      </c>
      <c r="D156" s="216" t="s">
        <v>9279</v>
      </c>
      <c r="E156" s="486">
        <v>45155</v>
      </c>
      <c r="F156" s="486">
        <v>45520</v>
      </c>
      <c r="G156" s="216"/>
      <c r="H156" s="216">
        <v>16073</v>
      </c>
      <c r="I156" s="216">
        <v>0</v>
      </c>
      <c r="J156" s="216">
        <v>0</v>
      </c>
      <c r="K156" s="216">
        <v>200575</v>
      </c>
      <c r="L156" s="216">
        <v>0</v>
      </c>
      <c r="M156" s="216">
        <v>0</v>
      </c>
      <c r="N156" s="216">
        <v>0</v>
      </c>
      <c r="O156" s="216">
        <v>0</v>
      </c>
      <c r="P156" s="216">
        <v>0</v>
      </c>
      <c r="Q156" s="216">
        <v>0</v>
      </c>
      <c r="R156" s="216">
        <v>0</v>
      </c>
      <c r="S156" s="223"/>
    </row>
    <row r="157" spans="1:19">
      <c r="A157" s="6">
        <v>153</v>
      </c>
      <c r="B157" s="216" t="s">
        <v>327</v>
      </c>
      <c r="C157" s="6">
        <v>2074192</v>
      </c>
      <c r="D157" s="216" t="s">
        <v>9280</v>
      </c>
      <c r="E157" s="486">
        <v>45063</v>
      </c>
      <c r="F157" s="486">
        <v>45291</v>
      </c>
      <c r="G157" s="216"/>
      <c r="H157" s="216">
        <v>29626</v>
      </c>
      <c r="I157" s="216">
        <v>0</v>
      </c>
      <c r="J157" s="216">
        <v>0</v>
      </c>
      <c r="K157" s="216">
        <v>341822</v>
      </c>
      <c r="L157" s="216">
        <v>0</v>
      </c>
      <c r="M157" s="216">
        <v>0</v>
      </c>
      <c r="N157" s="216">
        <v>0</v>
      </c>
      <c r="O157" s="216">
        <v>0</v>
      </c>
      <c r="P157" s="216">
        <v>0</v>
      </c>
      <c r="Q157" s="216">
        <v>0</v>
      </c>
      <c r="R157" s="216">
        <v>0</v>
      </c>
      <c r="S157" s="223"/>
    </row>
    <row r="158" spans="1:19">
      <c r="A158" s="6">
        <v>154</v>
      </c>
      <c r="B158" s="20" t="s">
        <v>327</v>
      </c>
      <c r="C158" s="267">
        <v>2074192</v>
      </c>
      <c r="D158" s="216" t="s">
        <v>9281</v>
      </c>
      <c r="E158" s="486">
        <v>45082</v>
      </c>
      <c r="F158" s="486">
        <v>45596</v>
      </c>
      <c r="G158" s="216"/>
      <c r="H158" s="216">
        <v>0</v>
      </c>
      <c r="I158" s="216">
        <v>0</v>
      </c>
      <c r="J158" s="216">
        <v>0</v>
      </c>
      <c r="K158" s="216">
        <v>0</v>
      </c>
      <c r="L158" s="216">
        <v>0</v>
      </c>
      <c r="M158" s="216">
        <v>4255</v>
      </c>
      <c r="N158" s="216">
        <v>0</v>
      </c>
      <c r="O158" s="216">
        <v>0</v>
      </c>
      <c r="P158" s="216">
        <v>0</v>
      </c>
      <c r="Q158" s="216">
        <v>43401</v>
      </c>
      <c r="R158" s="216">
        <v>0</v>
      </c>
      <c r="S158" s="95"/>
    </row>
    <row r="159" spans="1:19">
      <c r="A159" s="6">
        <v>155</v>
      </c>
      <c r="B159" s="216" t="s">
        <v>331</v>
      </c>
      <c r="C159" s="267">
        <v>2861224</v>
      </c>
      <c r="D159" s="210"/>
      <c r="E159" s="210"/>
      <c r="F159" s="210"/>
      <c r="G159" s="210"/>
      <c r="H159" s="210"/>
      <c r="I159" s="210"/>
      <c r="J159" s="210"/>
      <c r="K159" s="210"/>
      <c r="L159" s="210"/>
      <c r="M159" s="210"/>
      <c r="N159" s="210"/>
      <c r="O159" s="210"/>
      <c r="P159" s="210"/>
      <c r="Q159" s="210"/>
      <c r="R159" s="210"/>
    </row>
    <row r="160" spans="1:19">
      <c r="A160" s="6">
        <v>156</v>
      </c>
      <c r="B160" s="20" t="s">
        <v>332</v>
      </c>
      <c r="C160" s="267">
        <v>5137977</v>
      </c>
      <c r="D160" s="216" t="s">
        <v>9282</v>
      </c>
      <c r="E160" s="216" t="s">
        <v>8377</v>
      </c>
      <c r="F160" s="216" t="s">
        <v>8377</v>
      </c>
      <c r="G160" s="216"/>
      <c r="H160" s="216">
        <v>0</v>
      </c>
      <c r="I160" s="216">
        <v>0</v>
      </c>
      <c r="J160" s="216">
        <v>0</v>
      </c>
      <c r="K160" s="216">
        <v>0</v>
      </c>
      <c r="L160" s="216">
        <v>0</v>
      </c>
      <c r="M160" s="216">
        <v>0</v>
      </c>
      <c r="N160" s="216">
        <v>0</v>
      </c>
      <c r="O160" s="216">
        <v>0</v>
      </c>
      <c r="P160" s="216">
        <v>0</v>
      </c>
      <c r="Q160" s="216">
        <v>396504000</v>
      </c>
      <c r="R160" s="216">
        <v>0</v>
      </c>
    </row>
  </sheetData>
  <mergeCells count="11">
    <mergeCell ref="M2:R2"/>
    <mergeCell ref="E2:F3"/>
    <mergeCell ref="G3:I3"/>
    <mergeCell ref="J3:L3"/>
    <mergeCell ref="M3:O3"/>
    <mergeCell ref="P3:R3"/>
    <mergeCell ref="A2:A4"/>
    <mergeCell ref="B2:B4"/>
    <mergeCell ref="C2:C4"/>
    <mergeCell ref="D2:D4"/>
    <mergeCell ref="G2:L2"/>
  </mergeCells>
  <conditionalFormatting sqref="B5 B8:B13 B15:B17 B19:B20 B22">
    <cfRule type="duplicateValues" dxfId="173" priority="8"/>
  </conditionalFormatting>
  <conditionalFormatting sqref="B23">
    <cfRule type="duplicateValues" dxfId="172" priority="10"/>
  </conditionalFormatting>
  <conditionalFormatting sqref="B27:B32 B36 B40:B41">
    <cfRule type="duplicateValues" dxfId="171" priority="7"/>
  </conditionalFormatting>
  <conditionalFormatting sqref="B43:B44 B46:B54 B56:B61">
    <cfRule type="duplicateValues" dxfId="170" priority="6"/>
  </conditionalFormatting>
  <conditionalFormatting sqref="B62">
    <cfRule type="duplicateValues" dxfId="169" priority="9"/>
  </conditionalFormatting>
  <conditionalFormatting sqref="B63:B65 B67 B69:B73 B78:B83 B86 B89:B91 B93:B94">
    <cfRule type="duplicateValues" dxfId="168" priority="3"/>
  </conditionalFormatting>
  <conditionalFormatting sqref="B97">
    <cfRule type="duplicateValues" dxfId="167" priority="1"/>
  </conditionalFormatting>
  <conditionalFormatting sqref="B98:B101">
    <cfRule type="duplicateValues" dxfId="166" priority="2"/>
  </conditionalFormatting>
  <conditionalFormatting sqref="B102">
    <cfRule type="duplicateValues" dxfId="165" priority="4"/>
  </conditionalFormatting>
  <conditionalFormatting sqref="B103:B108 B111:B115 B119:B120 B122:B126 B128 B130:B131 B140:B144 B146 B158 B160">
    <cfRule type="duplicateValues" dxfId="164" priority="5"/>
  </conditionalFormatting>
  <conditionalFormatting sqref="C42:C74 C78:C91 C93:C94">
    <cfRule type="duplicateValues" dxfId="163" priority="16"/>
  </conditionalFormatting>
  <conditionalFormatting sqref="C97">
    <cfRule type="duplicateValues" dxfId="162" priority="15"/>
  </conditionalFormatting>
  <conditionalFormatting sqref="C98">
    <cfRule type="duplicateValues" dxfId="161" priority="14"/>
  </conditionalFormatting>
  <conditionalFormatting sqref="C99">
    <cfRule type="duplicateValues" dxfId="160" priority="13"/>
  </conditionalFormatting>
  <conditionalFormatting sqref="C100">
    <cfRule type="duplicateValues" dxfId="159" priority="12"/>
  </conditionalFormatting>
  <conditionalFormatting sqref="C101">
    <cfRule type="duplicateValues" dxfId="158" priority="11"/>
  </conditionalFormatting>
  <conditionalFormatting sqref="C102 C5:C6 C8:C17 C19:C23 C27:C34 C36:C38 C40:C41">
    <cfRule type="duplicateValues" dxfId="157" priority="17"/>
  </conditionalFormatting>
  <conditionalFormatting sqref="C103:C109 C111:C131 C140:C147 C158:C160">
    <cfRule type="duplicateValues" dxfId="156" priority="18"/>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D68C7-C3C7-41FC-B67F-F26B7FA27F2C}">
  <sheetPr>
    <tabColor rgb="FF006432"/>
  </sheetPr>
  <dimension ref="A1:P296"/>
  <sheetViews>
    <sheetView workbookViewId="0">
      <pane xSplit="1" ySplit="4" topLeftCell="B5" activePane="bottomRight" state="frozen"/>
      <selection pane="bottomRight" activeCell="N17" sqref="N17"/>
      <selection pane="bottomLeft" activeCell="A5" sqref="A5"/>
      <selection pane="topRight" activeCell="B1" sqref="B1"/>
    </sheetView>
  </sheetViews>
  <sheetFormatPr defaultRowHeight="15"/>
  <cols>
    <col min="1" max="1" width="4.5703125" customWidth="1"/>
    <col min="2" max="2" width="23" customWidth="1"/>
    <col min="3" max="3" width="15" customWidth="1"/>
    <col min="4" max="4" width="19.42578125" customWidth="1"/>
    <col min="5" max="6" width="13.28515625" customWidth="1"/>
    <col min="7" max="7" width="14.28515625" bestFit="1" customWidth="1"/>
    <col min="8" max="8" width="14" bestFit="1" customWidth="1"/>
    <col min="9" max="9" width="12" bestFit="1" customWidth="1"/>
    <col min="10" max="10" width="14.28515625" bestFit="1" customWidth="1"/>
    <col min="11" max="11" width="14" bestFit="1" customWidth="1"/>
    <col min="12" max="12" width="12" bestFit="1" customWidth="1"/>
    <col min="13" max="13" width="18.5703125" bestFit="1" customWidth="1"/>
    <col min="14" max="14" width="22.5703125" bestFit="1" customWidth="1"/>
    <col min="15" max="15" width="18.42578125" bestFit="1" customWidth="1"/>
    <col min="16" max="16" width="11" bestFit="1" customWidth="1"/>
  </cols>
  <sheetData>
    <row r="1" spans="1:16" ht="16.5" thickBot="1">
      <c r="A1" s="26" t="s">
        <v>9283</v>
      </c>
      <c r="B1" s="103"/>
      <c r="C1" s="26"/>
      <c r="D1" s="26"/>
      <c r="E1" s="26"/>
      <c r="F1" s="63"/>
      <c r="G1" s="64"/>
      <c r="H1" s="64"/>
      <c r="I1" s="64"/>
      <c r="J1" s="64"/>
      <c r="K1" s="64"/>
      <c r="L1" s="64"/>
      <c r="M1" s="64"/>
      <c r="N1" s="64"/>
      <c r="O1" s="64"/>
    </row>
    <row r="2" spans="1:16" ht="27" customHeight="1" thickTop="1">
      <c r="A2" s="584" t="s">
        <v>114</v>
      </c>
      <c r="B2" s="584" t="s">
        <v>115</v>
      </c>
      <c r="C2" s="584" t="s">
        <v>621</v>
      </c>
      <c r="D2" s="584" t="s">
        <v>9011</v>
      </c>
      <c r="E2" s="584" t="s">
        <v>9012</v>
      </c>
      <c r="F2" s="584"/>
      <c r="G2" s="591" t="s">
        <v>9284</v>
      </c>
      <c r="H2" s="592"/>
      <c r="I2" s="592"/>
      <c r="J2" s="592"/>
      <c r="K2" s="592"/>
      <c r="L2" s="593"/>
      <c r="M2" s="594" t="s">
        <v>9285</v>
      </c>
      <c r="N2" s="595"/>
      <c r="O2" s="596"/>
    </row>
    <row r="3" spans="1:16" ht="27" customHeight="1">
      <c r="A3" s="584"/>
      <c r="B3" s="584"/>
      <c r="C3" s="584"/>
      <c r="D3" s="584"/>
      <c r="E3" s="584"/>
      <c r="F3" s="584"/>
      <c r="G3" s="591" t="s">
        <v>9286</v>
      </c>
      <c r="H3" s="592"/>
      <c r="I3" s="593"/>
      <c r="J3" s="591" t="s">
        <v>9287</v>
      </c>
      <c r="K3" s="592"/>
      <c r="L3" s="593"/>
      <c r="M3" s="597"/>
      <c r="N3" s="598"/>
      <c r="O3" s="599"/>
    </row>
    <row r="4" spans="1:16" ht="26.25" customHeight="1">
      <c r="A4" s="584"/>
      <c r="B4" s="584"/>
      <c r="C4" s="584"/>
      <c r="D4" s="584"/>
      <c r="E4" s="225" t="s">
        <v>9015</v>
      </c>
      <c r="F4" s="225" t="s">
        <v>9016</v>
      </c>
      <c r="G4" s="225" t="s">
        <v>9189</v>
      </c>
      <c r="H4" s="225" t="s">
        <v>9190</v>
      </c>
      <c r="I4" s="225" t="s">
        <v>9191</v>
      </c>
      <c r="J4" s="225" t="s">
        <v>9189</v>
      </c>
      <c r="K4" s="225" t="s">
        <v>9190</v>
      </c>
      <c r="L4" s="225" t="s">
        <v>9191</v>
      </c>
      <c r="M4" s="225" t="s">
        <v>9189</v>
      </c>
      <c r="N4" s="225" t="s">
        <v>9190</v>
      </c>
      <c r="O4" s="225" t="s">
        <v>9191</v>
      </c>
    </row>
    <row r="5" spans="1:16">
      <c r="A5" s="209">
        <v>1</v>
      </c>
      <c r="B5" s="214" t="s">
        <v>121</v>
      </c>
      <c r="C5" s="215">
        <v>2011239</v>
      </c>
      <c r="D5" s="210"/>
      <c r="E5" s="210"/>
      <c r="F5" s="210"/>
      <c r="G5" s="210"/>
      <c r="H5" s="210"/>
      <c r="I5" s="210"/>
      <c r="J5" s="210"/>
      <c r="K5" s="210"/>
      <c r="L5" s="210"/>
      <c r="M5" s="210"/>
      <c r="N5" s="210"/>
      <c r="O5" s="210"/>
    </row>
    <row r="6" spans="1:16">
      <c r="A6" s="209">
        <v>2</v>
      </c>
      <c r="B6" s="216" t="s">
        <v>126</v>
      </c>
      <c r="C6" s="215">
        <v>5097517</v>
      </c>
      <c r="D6" s="210"/>
      <c r="E6" s="210"/>
      <c r="F6" s="210"/>
      <c r="G6" s="210"/>
      <c r="H6" s="210"/>
      <c r="I6" s="210"/>
      <c r="J6" s="210"/>
      <c r="K6" s="210"/>
      <c r="L6" s="210"/>
      <c r="M6" s="210"/>
      <c r="N6" s="210"/>
      <c r="O6" s="210"/>
    </row>
    <row r="7" spans="1:16">
      <c r="A7" s="209">
        <v>3</v>
      </c>
      <c r="B7" s="216" t="s">
        <v>131</v>
      </c>
      <c r="C7" s="209">
        <v>5809797</v>
      </c>
      <c r="D7" s="216" t="s">
        <v>9288</v>
      </c>
      <c r="E7" s="216" t="s">
        <v>8377</v>
      </c>
      <c r="F7" s="216" t="s">
        <v>8377</v>
      </c>
      <c r="G7" s="484">
        <v>21700</v>
      </c>
      <c r="H7" s="216">
        <v>0</v>
      </c>
      <c r="I7" s="216">
        <v>0</v>
      </c>
      <c r="J7" s="216">
        <v>0</v>
      </c>
      <c r="K7" s="216">
        <v>0</v>
      </c>
      <c r="L7" s="216">
        <v>0</v>
      </c>
      <c r="M7" s="216">
        <v>0</v>
      </c>
      <c r="N7" s="216">
        <v>0</v>
      </c>
      <c r="O7" s="216">
        <v>0</v>
      </c>
      <c r="P7" s="208"/>
    </row>
    <row r="8" spans="1:16">
      <c r="A8" s="209">
        <v>4</v>
      </c>
      <c r="B8" s="214" t="s">
        <v>131</v>
      </c>
      <c r="C8" s="215">
        <v>5809797</v>
      </c>
      <c r="D8" s="216" t="s">
        <v>9289</v>
      </c>
      <c r="E8" s="216" t="s">
        <v>8377</v>
      </c>
      <c r="F8" s="216" t="s">
        <v>8377</v>
      </c>
      <c r="G8" s="216"/>
      <c r="H8" s="216">
        <v>0</v>
      </c>
      <c r="I8" s="216">
        <v>0</v>
      </c>
      <c r="J8" s="216">
        <v>0</v>
      </c>
      <c r="K8" s="216">
        <v>85818</v>
      </c>
      <c r="L8" s="216">
        <v>0</v>
      </c>
      <c r="M8" s="216">
        <v>0</v>
      </c>
      <c r="N8" s="216">
        <v>96196.800000000003</v>
      </c>
      <c r="O8" s="216">
        <v>0</v>
      </c>
      <c r="P8" s="95"/>
    </row>
    <row r="9" spans="1:16">
      <c r="A9" s="209">
        <v>5</v>
      </c>
      <c r="B9" s="214" t="s">
        <v>133</v>
      </c>
      <c r="C9" s="215">
        <v>5118344</v>
      </c>
      <c r="D9" s="210"/>
      <c r="E9" s="210"/>
      <c r="F9" s="210"/>
      <c r="G9" s="210"/>
      <c r="H9" s="210"/>
      <c r="I9" s="210"/>
      <c r="J9" s="210"/>
      <c r="K9" s="210"/>
      <c r="L9" s="210"/>
      <c r="M9" s="210"/>
      <c r="N9" s="210"/>
      <c r="O9" s="210"/>
    </row>
    <row r="10" spans="1:16" ht="25.5">
      <c r="A10" s="209">
        <v>6</v>
      </c>
      <c r="B10" s="216" t="s">
        <v>136</v>
      </c>
      <c r="C10" s="209">
        <v>5095549</v>
      </c>
      <c r="D10" s="216" t="s">
        <v>9290</v>
      </c>
      <c r="E10" s="216" t="s">
        <v>8377</v>
      </c>
      <c r="F10" s="216" t="s">
        <v>8377</v>
      </c>
      <c r="G10" s="216"/>
      <c r="H10" s="216">
        <v>42671.9</v>
      </c>
      <c r="I10" s="216">
        <v>0</v>
      </c>
      <c r="J10" s="216">
        <v>0</v>
      </c>
      <c r="K10" s="216">
        <v>0</v>
      </c>
      <c r="L10" s="216">
        <v>0</v>
      </c>
      <c r="M10" s="216">
        <v>0</v>
      </c>
      <c r="N10" s="216">
        <v>2151.5</v>
      </c>
      <c r="O10" s="216">
        <v>0</v>
      </c>
      <c r="P10" s="208"/>
    </row>
    <row r="11" spans="1:16" ht="25.5">
      <c r="A11" s="209">
        <v>7</v>
      </c>
      <c r="B11" s="214" t="s">
        <v>136</v>
      </c>
      <c r="C11" s="215">
        <v>5095549</v>
      </c>
      <c r="D11" s="216" t="s">
        <v>9291</v>
      </c>
      <c r="E11" s="216" t="s">
        <v>8377</v>
      </c>
      <c r="F11" s="216" t="s">
        <v>8377</v>
      </c>
      <c r="G11" s="216"/>
      <c r="H11" s="216">
        <v>1188</v>
      </c>
      <c r="I11" s="216">
        <v>0</v>
      </c>
      <c r="J11" s="216">
        <v>0</v>
      </c>
      <c r="K11" s="216">
        <v>0</v>
      </c>
      <c r="L11" s="216">
        <v>0</v>
      </c>
      <c r="M11" s="216">
        <v>0</v>
      </c>
      <c r="N11" s="216">
        <v>0</v>
      </c>
      <c r="O11" s="216">
        <v>0</v>
      </c>
      <c r="P11" s="95"/>
    </row>
    <row r="12" spans="1:16">
      <c r="A12" s="209">
        <v>8</v>
      </c>
      <c r="B12" s="214" t="s">
        <v>140</v>
      </c>
      <c r="C12" s="215">
        <v>2784165</v>
      </c>
      <c r="D12" s="210"/>
      <c r="E12" s="210"/>
      <c r="F12" s="210"/>
      <c r="G12" s="210"/>
      <c r="H12" s="210"/>
      <c r="I12" s="210"/>
      <c r="J12" s="210"/>
      <c r="K12" s="210"/>
      <c r="L12" s="210"/>
      <c r="M12" s="210"/>
      <c r="N12" s="210"/>
      <c r="O12" s="210"/>
    </row>
    <row r="13" spans="1:16">
      <c r="A13" s="209">
        <v>9</v>
      </c>
      <c r="B13" s="214" t="s">
        <v>143</v>
      </c>
      <c r="C13" s="215">
        <v>5133351</v>
      </c>
      <c r="D13" s="210"/>
      <c r="E13" s="210"/>
      <c r="F13" s="210"/>
      <c r="G13" s="210"/>
      <c r="H13" s="210"/>
      <c r="I13" s="210"/>
      <c r="J13" s="210"/>
      <c r="K13" s="210"/>
      <c r="L13" s="210"/>
      <c r="M13" s="210"/>
      <c r="N13" s="210"/>
      <c r="O13" s="210"/>
    </row>
    <row r="14" spans="1:16">
      <c r="A14" s="209">
        <v>10</v>
      </c>
      <c r="B14" s="214" t="s">
        <v>144</v>
      </c>
      <c r="C14" s="215">
        <v>6172768</v>
      </c>
      <c r="D14" s="210"/>
      <c r="E14" s="210"/>
      <c r="F14" s="210"/>
      <c r="G14" s="210"/>
      <c r="H14" s="210"/>
      <c r="I14" s="210"/>
      <c r="J14" s="210"/>
      <c r="K14" s="210"/>
      <c r="L14" s="210"/>
      <c r="M14" s="210"/>
      <c r="N14" s="210"/>
      <c r="O14" s="210"/>
    </row>
    <row r="15" spans="1:16">
      <c r="A15" s="209">
        <v>11</v>
      </c>
      <c r="B15" s="216" t="s">
        <v>146</v>
      </c>
      <c r="C15" s="215">
        <v>2788705</v>
      </c>
      <c r="D15" s="210"/>
      <c r="E15" s="210"/>
      <c r="F15" s="210"/>
      <c r="G15" s="210"/>
      <c r="H15" s="210"/>
      <c r="I15" s="210"/>
      <c r="J15" s="210"/>
      <c r="K15" s="210"/>
      <c r="L15" s="210"/>
      <c r="M15" s="210"/>
      <c r="N15" s="210"/>
      <c r="O15" s="210"/>
    </row>
    <row r="16" spans="1:16">
      <c r="A16" s="209">
        <v>12</v>
      </c>
      <c r="B16" s="214" t="s">
        <v>629</v>
      </c>
      <c r="C16" s="215">
        <v>5439183</v>
      </c>
      <c r="D16" s="210"/>
      <c r="E16" s="210"/>
      <c r="F16" s="210"/>
      <c r="G16" s="210"/>
      <c r="H16" s="210"/>
      <c r="I16" s="210"/>
      <c r="J16" s="210"/>
      <c r="K16" s="210"/>
      <c r="L16" s="210"/>
      <c r="M16" s="210"/>
      <c r="N16" s="210"/>
      <c r="O16" s="210"/>
    </row>
    <row r="17" spans="1:16">
      <c r="A17" s="209">
        <v>13</v>
      </c>
      <c r="B17" s="216" t="s">
        <v>152</v>
      </c>
      <c r="C17" s="209">
        <v>2008572</v>
      </c>
      <c r="D17" s="216" t="s">
        <v>9292</v>
      </c>
      <c r="E17" s="486">
        <v>45066</v>
      </c>
      <c r="F17" s="486">
        <v>45127</v>
      </c>
      <c r="G17" s="216"/>
      <c r="H17" s="216">
        <v>108735</v>
      </c>
      <c r="I17" s="216">
        <v>0</v>
      </c>
      <c r="J17" s="216">
        <v>0</v>
      </c>
      <c r="K17" s="216">
        <v>0</v>
      </c>
      <c r="L17" s="216">
        <v>0</v>
      </c>
      <c r="M17" s="216">
        <v>0</v>
      </c>
      <c r="N17" s="216">
        <v>0</v>
      </c>
      <c r="O17" s="216">
        <v>0</v>
      </c>
      <c r="P17" s="208"/>
    </row>
    <row r="18" spans="1:16" ht="25.5">
      <c r="A18" s="209">
        <v>14</v>
      </c>
      <c r="B18" s="216" t="s">
        <v>152</v>
      </c>
      <c r="C18" s="209">
        <v>2008572</v>
      </c>
      <c r="D18" s="216" t="s">
        <v>9293</v>
      </c>
      <c r="E18" s="486">
        <v>45077</v>
      </c>
      <c r="F18" s="486">
        <v>45138</v>
      </c>
      <c r="G18" s="216"/>
      <c r="H18" s="216">
        <v>0</v>
      </c>
      <c r="I18" s="216">
        <v>0</v>
      </c>
      <c r="J18" s="216">
        <v>0</v>
      </c>
      <c r="K18" s="216">
        <v>283195</v>
      </c>
      <c r="L18" s="216">
        <v>0</v>
      </c>
      <c r="M18" s="216">
        <v>0</v>
      </c>
      <c r="N18" s="216">
        <v>0</v>
      </c>
      <c r="O18" s="216">
        <v>0</v>
      </c>
      <c r="P18" s="208"/>
    </row>
    <row r="19" spans="1:16">
      <c r="A19" s="209">
        <v>15</v>
      </c>
      <c r="B19" s="216" t="s">
        <v>152</v>
      </c>
      <c r="C19" s="209">
        <v>2008572</v>
      </c>
      <c r="D19" s="216" t="s">
        <v>9294</v>
      </c>
      <c r="E19" s="486">
        <v>45076</v>
      </c>
      <c r="F19" s="486">
        <v>45137</v>
      </c>
      <c r="G19" s="216"/>
      <c r="H19" s="216">
        <v>0</v>
      </c>
      <c r="I19" s="216">
        <v>0</v>
      </c>
      <c r="J19" s="216">
        <v>0</v>
      </c>
      <c r="K19" s="216">
        <v>72767</v>
      </c>
      <c r="L19" s="216">
        <v>0</v>
      </c>
      <c r="M19" s="216">
        <v>0</v>
      </c>
      <c r="N19" s="216">
        <v>0</v>
      </c>
      <c r="O19" s="216">
        <v>0</v>
      </c>
      <c r="P19" s="208"/>
    </row>
    <row r="20" spans="1:16">
      <c r="A20" s="209">
        <v>16</v>
      </c>
      <c r="B20" s="216" t="s">
        <v>152</v>
      </c>
      <c r="C20" s="209">
        <v>2008572</v>
      </c>
      <c r="D20" s="216" t="s">
        <v>9295</v>
      </c>
      <c r="E20" s="486">
        <v>45082</v>
      </c>
      <c r="F20" s="486">
        <v>45143</v>
      </c>
      <c r="G20" s="216"/>
      <c r="H20" s="216">
        <v>136862</v>
      </c>
      <c r="I20" s="216">
        <v>0</v>
      </c>
      <c r="J20" s="216">
        <v>0</v>
      </c>
      <c r="K20" s="216">
        <v>0</v>
      </c>
      <c r="L20" s="216">
        <v>0</v>
      </c>
      <c r="M20" s="216">
        <v>0</v>
      </c>
      <c r="N20" s="216">
        <v>0</v>
      </c>
      <c r="O20" s="216">
        <v>0</v>
      </c>
      <c r="P20" s="208"/>
    </row>
    <row r="21" spans="1:16">
      <c r="A21" s="209">
        <v>17</v>
      </c>
      <c r="B21" s="216" t="s">
        <v>152</v>
      </c>
      <c r="C21" s="209">
        <v>2008572</v>
      </c>
      <c r="D21" s="216" t="s">
        <v>9296</v>
      </c>
      <c r="E21" s="486">
        <v>45113</v>
      </c>
      <c r="F21" s="486">
        <v>45175</v>
      </c>
      <c r="G21" s="216"/>
      <c r="H21" s="216">
        <v>106860</v>
      </c>
      <c r="I21" s="216">
        <v>0</v>
      </c>
      <c r="J21" s="216">
        <v>0</v>
      </c>
      <c r="K21" s="216">
        <v>0</v>
      </c>
      <c r="L21" s="216">
        <v>0</v>
      </c>
      <c r="M21" s="216">
        <v>0</v>
      </c>
      <c r="N21" s="216">
        <v>0</v>
      </c>
      <c r="O21" s="216">
        <v>0</v>
      </c>
      <c r="P21" s="208"/>
    </row>
    <row r="22" spans="1:16" ht="25.5">
      <c r="A22" s="209">
        <v>18</v>
      </c>
      <c r="B22" s="216" t="s">
        <v>152</v>
      </c>
      <c r="C22" s="209">
        <v>2008572</v>
      </c>
      <c r="D22" s="216" t="s">
        <v>9297</v>
      </c>
      <c r="E22" s="486">
        <v>45160</v>
      </c>
      <c r="F22" s="486">
        <v>45221</v>
      </c>
      <c r="G22" s="488">
        <v>126797.59</v>
      </c>
      <c r="H22" s="216">
        <v>0</v>
      </c>
      <c r="I22" s="216">
        <v>0</v>
      </c>
      <c r="J22" s="216">
        <v>0</v>
      </c>
      <c r="K22" s="216">
        <v>0</v>
      </c>
      <c r="L22" s="216">
        <v>0</v>
      </c>
      <c r="M22" s="216">
        <v>0</v>
      </c>
      <c r="N22" s="216">
        <v>0</v>
      </c>
      <c r="O22" s="216">
        <v>0</v>
      </c>
      <c r="P22" s="208"/>
    </row>
    <row r="23" spans="1:16">
      <c r="A23" s="209">
        <v>19</v>
      </c>
      <c r="B23" s="216" t="s">
        <v>152</v>
      </c>
      <c r="C23" s="209">
        <v>2008572</v>
      </c>
      <c r="D23" s="216" t="s">
        <v>9298</v>
      </c>
      <c r="E23" s="486">
        <v>45175</v>
      </c>
      <c r="F23" s="486">
        <v>45236</v>
      </c>
      <c r="G23" s="216"/>
      <c r="H23" s="216">
        <v>0</v>
      </c>
      <c r="I23" s="216">
        <v>0</v>
      </c>
      <c r="J23" s="216">
        <v>0</v>
      </c>
      <c r="K23" s="216">
        <v>108871</v>
      </c>
      <c r="L23" s="216">
        <v>0</v>
      </c>
      <c r="M23" s="216">
        <v>0</v>
      </c>
      <c r="N23" s="216">
        <v>0</v>
      </c>
      <c r="O23" s="216">
        <v>0</v>
      </c>
      <c r="P23" s="208"/>
    </row>
    <row r="24" spans="1:16">
      <c r="A24" s="209">
        <v>20</v>
      </c>
      <c r="B24" s="216" t="s">
        <v>152</v>
      </c>
      <c r="C24" s="209">
        <v>2008572</v>
      </c>
      <c r="D24" s="216" t="s">
        <v>9299</v>
      </c>
      <c r="E24" s="486">
        <v>45173</v>
      </c>
      <c r="F24" s="486">
        <v>45234</v>
      </c>
      <c r="G24" s="216"/>
      <c r="H24" s="216">
        <v>24966.5</v>
      </c>
      <c r="I24" s="216">
        <v>0</v>
      </c>
      <c r="J24" s="216">
        <v>0</v>
      </c>
      <c r="K24" s="216">
        <v>0</v>
      </c>
      <c r="L24" s="216">
        <v>0</v>
      </c>
      <c r="M24" s="216">
        <v>0</v>
      </c>
      <c r="N24" s="216">
        <v>0</v>
      </c>
      <c r="O24" s="216">
        <v>0</v>
      </c>
      <c r="P24" s="208"/>
    </row>
    <row r="25" spans="1:16">
      <c r="A25" s="209">
        <v>21</v>
      </c>
      <c r="B25" s="216" t="s">
        <v>152</v>
      </c>
      <c r="C25" s="209">
        <v>2008572</v>
      </c>
      <c r="D25" s="216" t="s">
        <v>9292</v>
      </c>
      <c r="E25" s="486">
        <v>45182</v>
      </c>
      <c r="F25" s="486">
        <v>45243</v>
      </c>
      <c r="G25" s="216"/>
      <c r="H25" s="216">
        <v>119730</v>
      </c>
      <c r="I25" s="216">
        <v>0</v>
      </c>
      <c r="J25" s="216">
        <v>0</v>
      </c>
      <c r="K25" s="216">
        <v>0</v>
      </c>
      <c r="L25" s="216">
        <v>0</v>
      </c>
      <c r="M25" s="216">
        <v>0</v>
      </c>
      <c r="N25" s="216">
        <v>0</v>
      </c>
      <c r="O25" s="216">
        <v>0</v>
      </c>
      <c r="P25" s="208"/>
    </row>
    <row r="26" spans="1:16">
      <c r="A26" s="209">
        <v>22</v>
      </c>
      <c r="B26" s="216" t="s">
        <v>152</v>
      </c>
      <c r="C26" s="209">
        <v>2008572</v>
      </c>
      <c r="D26" s="216" t="s">
        <v>9300</v>
      </c>
      <c r="E26" s="486">
        <v>45205</v>
      </c>
      <c r="F26" s="486">
        <v>45266</v>
      </c>
      <c r="G26" s="216"/>
      <c r="H26" s="216">
        <v>0</v>
      </c>
      <c r="I26" s="216">
        <v>0</v>
      </c>
      <c r="J26" s="216">
        <v>0</v>
      </c>
      <c r="K26" s="216">
        <v>148615</v>
      </c>
      <c r="L26" s="216">
        <v>0</v>
      </c>
      <c r="M26" s="216">
        <v>0</v>
      </c>
      <c r="N26" s="216">
        <v>0</v>
      </c>
      <c r="O26" s="216">
        <v>0</v>
      </c>
      <c r="P26" s="208"/>
    </row>
    <row r="27" spans="1:16">
      <c r="A27" s="209">
        <v>23</v>
      </c>
      <c r="B27" s="214" t="s">
        <v>152</v>
      </c>
      <c r="C27" s="215">
        <v>2008572</v>
      </c>
      <c r="D27" s="216" t="s">
        <v>9301</v>
      </c>
      <c r="E27" s="486">
        <v>45274</v>
      </c>
      <c r="F27" s="486">
        <v>45336</v>
      </c>
      <c r="G27" s="216"/>
      <c r="H27" s="216">
        <v>0</v>
      </c>
      <c r="I27" s="216">
        <v>0</v>
      </c>
      <c r="J27" s="216">
        <v>0</v>
      </c>
      <c r="K27" s="216">
        <v>195172</v>
      </c>
      <c r="L27" s="216">
        <v>0</v>
      </c>
      <c r="M27" s="216">
        <v>0</v>
      </c>
      <c r="N27" s="216">
        <v>0</v>
      </c>
      <c r="O27" s="216">
        <v>0</v>
      </c>
      <c r="P27" s="95"/>
    </row>
    <row r="28" spans="1:16">
      <c r="A28" s="209">
        <v>24</v>
      </c>
      <c r="B28" s="214" t="s">
        <v>155</v>
      </c>
      <c r="C28" s="215">
        <v>5215919</v>
      </c>
      <c r="D28" s="210"/>
      <c r="E28" s="210"/>
      <c r="F28" s="210"/>
      <c r="G28" s="210"/>
      <c r="H28" s="210"/>
      <c r="I28" s="210"/>
      <c r="J28" s="210"/>
      <c r="K28" s="210"/>
      <c r="L28" s="210"/>
      <c r="M28" s="210"/>
      <c r="N28" s="210"/>
      <c r="O28" s="210"/>
    </row>
    <row r="29" spans="1:16">
      <c r="A29" s="209">
        <v>25</v>
      </c>
      <c r="B29" s="214" t="s">
        <v>157</v>
      </c>
      <c r="C29" s="215">
        <v>5502977</v>
      </c>
      <c r="D29" s="210"/>
      <c r="E29" s="210"/>
      <c r="F29" s="210"/>
      <c r="G29" s="210"/>
      <c r="H29" s="210"/>
      <c r="I29" s="210"/>
      <c r="J29" s="210"/>
      <c r="K29" s="210"/>
      <c r="L29" s="210"/>
      <c r="M29" s="210"/>
      <c r="N29" s="210"/>
      <c r="O29" s="210"/>
    </row>
    <row r="30" spans="1:16">
      <c r="A30" s="209">
        <v>26</v>
      </c>
      <c r="B30" s="214" t="s">
        <v>159</v>
      </c>
      <c r="C30" s="215">
        <v>2708701</v>
      </c>
      <c r="D30" s="210"/>
      <c r="E30" s="210"/>
      <c r="F30" s="210"/>
      <c r="G30" s="210"/>
      <c r="H30" s="210"/>
      <c r="I30" s="210"/>
      <c r="J30" s="210"/>
      <c r="K30" s="210"/>
      <c r="L30" s="210"/>
      <c r="M30" s="210"/>
      <c r="N30" s="210"/>
      <c r="O30" s="210"/>
    </row>
    <row r="31" spans="1:16">
      <c r="A31" s="209">
        <v>27</v>
      </c>
      <c r="B31" s="216" t="s">
        <v>161</v>
      </c>
      <c r="C31" s="215">
        <v>2014491</v>
      </c>
      <c r="D31" s="210"/>
      <c r="E31" s="210"/>
      <c r="F31" s="210"/>
      <c r="G31" s="210"/>
      <c r="H31" s="210"/>
      <c r="I31" s="210"/>
      <c r="J31" s="210"/>
      <c r="K31" s="210"/>
      <c r="L31" s="210"/>
      <c r="M31" s="210"/>
      <c r="N31" s="210"/>
      <c r="O31" s="210"/>
    </row>
    <row r="32" spans="1:16">
      <c r="A32" s="209">
        <v>28</v>
      </c>
      <c r="B32" s="214" t="s">
        <v>165</v>
      </c>
      <c r="C32" s="215">
        <v>6414877</v>
      </c>
      <c r="D32" s="210"/>
      <c r="E32" s="210"/>
      <c r="F32" s="210"/>
      <c r="G32" s="210"/>
      <c r="H32" s="210"/>
      <c r="I32" s="210"/>
      <c r="J32" s="210"/>
      <c r="K32" s="210"/>
      <c r="L32" s="210"/>
      <c r="M32" s="210"/>
      <c r="N32" s="210"/>
      <c r="O32" s="210"/>
    </row>
    <row r="33" spans="1:16">
      <c r="A33" s="209">
        <v>29</v>
      </c>
      <c r="B33" s="214" t="s">
        <v>168</v>
      </c>
      <c r="C33" s="215">
        <v>5369223</v>
      </c>
      <c r="D33" s="216" t="s">
        <v>9302</v>
      </c>
      <c r="E33" s="486">
        <v>44927</v>
      </c>
      <c r="F33" s="486">
        <v>45291</v>
      </c>
      <c r="G33" s="216"/>
      <c r="H33" s="216">
        <v>52145</v>
      </c>
      <c r="I33" s="216">
        <v>0</v>
      </c>
      <c r="J33" s="216">
        <v>0</v>
      </c>
      <c r="K33" s="216">
        <v>41314</v>
      </c>
      <c r="L33" s="216">
        <v>0</v>
      </c>
      <c r="M33" s="216">
        <v>0</v>
      </c>
      <c r="N33" s="216">
        <v>93459</v>
      </c>
      <c r="O33" s="216">
        <v>0</v>
      </c>
    </row>
    <row r="34" spans="1:16">
      <c r="A34" s="209">
        <v>30</v>
      </c>
      <c r="B34" s="216" t="s">
        <v>169</v>
      </c>
      <c r="C34" s="209">
        <v>5294088</v>
      </c>
      <c r="D34" s="216" t="s">
        <v>9303</v>
      </c>
      <c r="E34" s="486">
        <v>45008</v>
      </c>
      <c r="F34" s="486">
        <v>45008</v>
      </c>
      <c r="G34" s="216"/>
      <c r="H34" s="216">
        <v>165000</v>
      </c>
      <c r="I34" s="216">
        <v>0</v>
      </c>
      <c r="J34" s="216">
        <v>0</v>
      </c>
      <c r="K34" s="216">
        <v>0</v>
      </c>
      <c r="L34" s="216">
        <v>0</v>
      </c>
      <c r="M34" s="216">
        <v>0</v>
      </c>
      <c r="N34" s="216">
        <v>0</v>
      </c>
      <c r="O34" s="216">
        <v>0</v>
      </c>
      <c r="P34" s="208"/>
    </row>
    <row r="35" spans="1:16">
      <c r="A35" s="209">
        <v>31</v>
      </c>
      <c r="B35" s="214" t="s">
        <v>169</v>
      </c>
      <c r="C35" s="215">
        <v>5294088</v>
      </c>
      <c r="D35" s="216" t="s">
        <v>9304</v>
      </c>
      <c r="E35" s="486">
        <v>44897</v>
      </c>
      <c r="F35" s="486">
        <v>44897</v>
      </c>
      <c r="G35" s="216"/>
      <c r="H35" s="216">
        <v>528000</v>
      </c>
      <c r="I35" s="216">
        <v>0</v>
      </c>
      <c r="J35" s="216">
        <v>0</v>
      </c>
      <c r="K35" s="216">
        <v>0</v>
      </c>
      <c r="L35" s="216">
        <v>0</v>
      </c>
      <c r="M35" s="216">
        <v>0</v>
      </c>
      <c r="N35" s="216">
        <v>0</v>
      </c>
      <c r="O35" s="216">
        <v>0</v>
      </c>
      <c r="P35" s="95"/>
    </row>
    <row r="36" spans="1:16">
      <c r="A36" s="209">
        <v>32</v>
      </c>
      <c r="B36" s="214" t="s">
        <v>173</v>
      </c>
      <c r="C36" s="215">
        <v>2855119</v>
      </c>
      <c r="D36" s="210"/>
      <c r="E36" s="210"/>
      <c r="F36" s="210"/>
      <c r="G36" s="210"/>
      <c r="H36" s="210"/>
      <c r="I36" s="210"/>
      <c r="J36" s="210"/>
      <c r="K36" s="210"/>
      <c r="L36" s="210"/>
      <c r="M36" s="210"/>
      <c r="N36" s="210"/>
      <c r="O36" s="210"/>
    </row>
    <row r="37" spans="1:16">
      <c r="A37" s="209">
        <v>33</v>
      </c>
      <c r="B37" s="216" t="s">
        <v>174</v>
      </c>
      <c r="C37" s="209">
        <v>2094533</v>
      </c>
      <c r="D37" s="216" t="s">
        <v>9305</v>
      </c>
      <c r="E37" s="216" t="s">
        <v>8377</v>
      </c>
      <c r="F37" s="216" t="s">
        <v>8377</v>
      </c>
      <c r="G37" s="216"/>
      <c r="H37" s="216">
        <v>139095</v>
      </c>
      <c r="I37" s="216">
        <v>0</v>
      </c>
      <c r="J37" s="216">
        <v>0</v>
      </c>
      <c r="K37" s="216">
        <v>0</v>
      </c>
      <c r="L37" s="216">
        <v>0</v>
      </c>
      <c r="M37" s="216">
        <v>0</v>
      </c>
      <c r="N37" s="216">
        <v>0</v>
      </c>
      <c r="O37" s="216">
        <v>0</v>
      </c>
      <c r="P37" s="208"/>
    </row>
    <row r="38" spans="1:16" ht="25.5">
      <c r="A38" s="209">
        <v>34</v>
      </c>
      <c r="B38" s="216" t="s">
        <v>174</v>
      </c>
      <c r="C38" s="209">
        <v>2094533</v>
      </c>
      <c r="D38" s="216" t="s">
        <v>9306</v>
      </c>
      <c r="E38" s="216" t="s">
        <v>8377</v>
      </c>
      <c r="F38" s="216" t="s">
        <v>8377</v>
      </c>
      <c r="G38" s="216"/>
      <c r="H38" s="216">
        <v>39071</v>
      </c>
      <c r="I38" s="216">
        <v>0</v>
      </c>
      <c r="J38" s="216">
        <v>0</v>
      </c>
      <c r="K38" s="216">
        <v>0</v>
      </c>
      <c r="L38" s="216">
        <v>0</v>
      </c>
      <c r="M38" s="216">
        <v>0</v>
      </c>
      <c r="N38" s="216">
        <v>0</v>
      </c>
      <c r="O38" s="216">
        <v>0</v>
      </c>
      <c r="P38" s="208"/>
    </row>
    <row r="39" spans="1:16" ht="25.5">
      <c r="A39" s="209">
        <v>35</v>
      </c>
      <c r="B39" s="216" t="s">
        <v>174</v>
      </c>
      <c r="C39" s="209">
        <v>2094533</v>
      </c>
      <c r="D39" s="216" t="s">
        <v>9307</v>
      </c>
      <c r="E39" s="216" t="s">
        <v>8377</v>
      </c>
      <c r="F39" s="216" t="s">
        <v>8377</v>
      </c>
      <c r="G39" s="216"/>
      <c r="H39" s="216">
        <v>7076</v>
      </c>
      <c r="I39" s="216">
        <v>0</v>
      </c>
      <c r="J39" s="216">
        <v>0</v>
      </c>
      <c r="K39" s="216">
        <v>0</v>
      </c>
      <c r="L39" s="216">
        <v>0</v>
      </c>
      <c r="M39" s="216">
        <v>0</v>
      </c>
      <c r="N39" s="216">
        <v>0</v>
      </c>
      <c r="O39" s="216">
        <v>0</v>
      </c>
      <c r="P39" s="208"/>
    </row>
    <row r="40" spans="1:16">
      <c r="A40" s="209">
        <v>36</v>
      </c>
      <c r="B40" s="216" t="s">
        <v>174</v>
      </c>
      <c r="C40" s="209">
        <v>2094533</v>
      </c>
      <c r="D40" s="216" t="s">
        <v>9308</v>
      </c>
      <c r="E40" s="216" t="s">
        <v>8377</v>
      </c>
      <c r="F40" s="216" t="s">
        <v>8377</v>
      </c>
      <c r="G40" s="216"/>
      <c r="H40" s="216">
        <v>11840</v>
      </c>
      <c r="I40" s="216">
        <v>0</v>
      </c>
      <c r="J40" s="216">
        <v>0</v>
      </c>
      <c r="K40" s="216">
        <v>0</v>
      </c>
      <c r="L40" s="216">
        <v>0</v>
      </c>
      <c r="M40" s="216">
        <v>0</v>
      </c>
      <c r="N40" s="216">
        <v>0</v>
      </c>
      <c r="O40" s="216">
        <v>0</v>
      </c>
      <c r="P40" s="208"/>
    </row>
    <row r="41" spans="1:16" ht="38.25">
      <c r="A41" s="209">
        <v>37</v>
      </c>
      <c r="B41" s="216" t="s">
        <v>174</v>
      </c>
      <c r="C41" s="209">
        <v>2094533</v>
      </c>
      <c r="D41" s="216" t="s">
        <v>9309</v>
      </c>
      <c r="E41" s="216" t="s">
        <v>8377</v>
      </c>
      <c r="F41" s="216" t="s">
        <v>8377</v>
      </c>
      <c r="G41" s="216"/>
      <c r="H41" s="216">
        <v>27907</v>
      </c>
      <c r="I41" s="216">
        <v>0</v>
      </c>
      <c r="J41" s="216">
        <v>0</v>
      </c>
      <c r="K41" s="216">
        <v>0</v>
      </c>
      <c r="L41" s="216">
        <v>0</v>
      </c>
      <c r="M41" s="216">
        <v>0</v>
      </c>
      <c r="N41" s="216">
        <v>0</v>
      </c>
      <c r="O41" s="216">
        <v>0</v>
      </c>
      <c r="P41" s="208"/>
    </row>
    <row r="42" spans="1:16" ht="25.5">
      <c r="A42" s="209">
        <v>38</v>
      </c>
      <c r="B42" s="216" t="s">
        <v>174</v>
      </c>
      <c r="C42" s="209">
        <v>2094533</v>
      </c>
      <c r="D42" s="216" t="s">
        <v>9310</v>
      </c>
      <c r="E42" s="216" t="s">
        <v>8377</v>
      </c>
      <c r="F42" s="216" t="s">
        <v>8377</v>
      </c>
      <c r="G42" s="216"/>
      <c r="H42" s="216">
        <v>0</v>
      </c>
      <c r="I42" s="216">
        <v>0</v>
      </c>
      <c r="J42" s="216">
        <v>0</v>
      </c>
      <c r="K42" s="216">
        <v>9900</v>
      </c>
      <c r="L42" s="216">
        <v>0</v>
      </c>
      <c r="M42" s="216">
        <v>0</v>
      </c>
      <c r="N42" s="216">
        <v>0</v>
      </c>
      <c r="O42" s="216">
        <v>0</v>
      </c>
      <c r="P42" s="208"/>
    </row>
    <row r="43" spans="1:16" ht="25.5">
      <c r="A43" s="209">
        <v>39</v>
      </c>
      <c r="B43" s="216" t="s">
        <v>174</v>
      </c>
      <c r="C43" s="209">
        <v>2094533</v>
      </c>
      <c r="D43" s="216" t="s">
        <v>9311</v>
      </c>
      <c r="E43" s="216" t="s">
        <v>8377</v>
      </c>
      <c r="F43" s="216" t="s">
        <v>8377</v>
      </c>
      <c r="G43" s="216"/>
      <c r="H43" s="216">
        <v>0</v>
      </c>
      <c r="I43" s="216">
        <v>0</v>
      </c>
      <c r="J43" s="216">
        <v>0</v>
      </c>
      <c r="K43" s="216">
        <v>307400</v>
      </c>
      <c r="L43" s="216">
        <v>0</v>
      </c>
      <c r="M43" s="216">
        <v>0</v>
      </c>
      <c r="N43" s="216">
        <v>0</v>
      </c>
      <c r="O43" s="216">
        <v>0</v>
      </c>
      <c r="P43" s="208"/>
    </row>
    <row r="44" spans="1:16">
      <c r="A44" s="209">
        <v>40</v>
      </c>
      <c r="B44" s="216" t="s">
        <v>174</v>
      </c>
      <c r="C44" s="209">
        <v>2094533</v>
      </c>
      <c r="D44" s="216" t="s">
        <v>9312</v>
      </c>
      <c r="E44" s="216" t="s">
        <v>8377</v>
      </c>
      <c r="F44" s="216" t="s">
        <v>8377</v>
      </c>
      <c r="G44" s="216"/>
      <c r="H44" s="216">
        <v>0</v>
      </c>
      <c r="I44" s="216">
        <v>0</v>
      </c>
      <c r="J44" s="216">
        <v>0</v>
      </c>
      <c r="K44" s="216">
        <v>66000</v>
      </c>
      <c r="L44" s="216">
        <v>0</v>
      </c>
      <c r="M44" s="216">
        <v>0</v>
      </c>
      <c r="N44" s="216">
        <v>0</v>
      </c>
      <c r="O44" s="216">
        <v>0</v>
      </c>
      <c r="P44" s="208"/>
    </row>
    <row r="45" spans="1:16">
      <c r="A45" s="209">
        <v>41</v>
      </c>
      <c r="B45" s="216" t="s">
        <v>174</v>
      </c>
      <c r="C45" s="209">
        <v>2094533</v>
      </c>
      <c r="D45" s="216" t="s">
        <v>9313</v>
      </c>
      <c r="E45" s="216" t="s">
        <v>8377</v>
      </c>
      <c r="F45" s="216" t="s">
        <v>8377</v>
      </c>
      <c r="G45" s="216"/>
      <c r="H45" s="216">
        <v>0</v>
      </c>
      <c r="I45" s="216">
        <v>0</v>
      </c>
      <c r="J45" s="216">
        <v>0</v>
      </c>
      <c r="K45" s="216">
        <v>37458.699999999997</v>
      </c>
      <c r="L45" s="216">
        <v>0</v>
      </c>
      <c r="M45" s="216">
        <v>0</v>
      </c>
      <c r="N45" s="216">
        <v>0</v>
      </c>
      <c r="O45" s="216">
        <v>0</v>
      </c>
      <c r="P45" s="208"/>
    </row>
    <row r="46" spans="1:16">
      <c r="A46" s="209">
        <v>42</v>
      </c>
      <c r="B46" s="216" t="s">
        <v>174</v>
      </c>
      <c r="C46" s="209">
        <v>2094533</v>
      </c>
      <c r="D46" s="216" t="s">
        <v>9314</v>
      </c>
      <c r="E46" s="216" t="s">
        <v>8377</v>
      </c>
      <c r="F46" s="216" t="s">
        <v>8377</v>
      </c>
      <c r="G46" s="216"/>
      <c r="H46" s="216">
        <v>0</v>
      </c>
      <c r="I46" s="216">
        <v>0</v>
      </c>
      <c r="J46" s="216">
        <v>0</v>
      </c>
      <c r="K46" s="216">
        <v>7092</v>
      </c>
      <c r="L46" s="216">
        <v>0</v>
      </c>
      <c r="M46" s="216">
        <v>0</v>
      </c>
      <c r="N46" s="216">
        <v>0</v>
      </c>
      <c r="O46" s="216">
        <v>0</v>
      </c>
      <c r="P46" s="208"/>
    </row>
    <row r="47" spans="1:16">
      <c r="A47" s="209">
        <v>43</v>
      </c>
      <c r="B47" s="216" t="s">
        <v>174</v>
      </c>
      <c r="C47" s="209">
        <v>2094533</v>
      </c>
      <c r="D47" s="216" t="s">
        <v>9315</v>
      </c>
      <c r="E47" s="216" t="s">
        <v>8377</v>
      </c>
      <c r="F47" s="216" t="s">
        <v>8377</v>
      </c>
      <c r="G47" s="216"/>
      <c r="H47" s="216">
        <v>0</v>
      </c>
      <c r="I47" s="216">
        <v>0</v>
      </c>
      <c r="J47" s="216">
        <v>0</v>
      </c>
      <c r="K47" s="216">
        <v>45561.8</v>
      </c>
      <c r="L47" s="216">
        <v>0</v>
      </c>
      <c r="M47" s="216">
        <v>0</v>
      </c>
      <c r="N47" s="216">
        <v>0</v>
      </c>
      <c r="O47" s="216">
        <v>0</v>
      </c>
      <c r="P47" s="208"/>
    </row>
    <row r="48" spans="1:16">
      <c r="A48" s="209">
        <v>44</v>
      </c>
      <c r="B48" s="216" t="s">
        <v>174</v>
      </c>
      <c r="C48" s="209">
        <v>2094533</v>
      </c>
      <c r="D48" s="216" t="s">
        <v>9316</v>
      </c>
      <c r="E48" s="216" t="s">
        <v>8377</v>
      </c>
      <c r="F48" s="216" t="s">
        <v>8377</v>
      </c>
      <c r="G48" s="216"/>
      <c r="H48" s="216">
        <v>0</v>
      </c>
      <c r="I48" s="216">
        <v>0</v>
      </c>
      <c r="J48" s="216">
        <v>0</v>
      </c>
      <c r="K48" s="216">
        <v>8120</v>
      </c>
      <c r="L48" s="216">
        <v>0</v>
      </c>
      <c r="M48" s="216">
        <v>0</v>
      </c>
      <c r="N48" s="216">
        <v>0</v>
      </c>
      <c r="O48" s="216">
        <v>0</v>
      </c>
      <c r="P48" s="208"/>
    </row>
    <row r="49" spans="1:16" ht="25.5">
      <c r="A49" s="209">
        <v>45</v>
      </c>
      <c r="B49" s="216" t="s">
        <v>174</v>
      </c>
      <c r="C49" s="209">
        <v>2094533</v>
      </c>
      <c r="D49" s="216" t="s">
        <v>9317</v>
      </c>
      <c r="E49" s="216" t="s">
        <v>8377</v>
      </c>
      <c r="F49" s="216" t="s">
        <v>8377</v>
      </c>
      <c r="G49" s="216"/>
      <c r="H49" s="216">
        <v>0</v>
      </c>
      <c r="I49" s="216">
        <v>0</v>
      </c>
      <c r="J49" s="216">
        <v>0</v>
      </c>
      <c r="K49" s="216">
        <v>0</v>
      </c>
      <c r="L49" s="216">
        <v>31332</v>
      </c>
      <c r="M49" s="216">
        <v>0</v>
      </c>
      <c r="N49" s="216">
        <v>0</v>
      </c>
      <c r="O49" s="216">
        <v>0</v>
      </c>
      <c r="P49" s="208"/>
    </row>
    <row r="50" spans="1:16">
      <c r="A50" s="209">
        <v>46</v>
      </c>
      <c r="B50" s="216" t="s">
        <v>174</v>
      </c>
      <c r="C50" s="209">
        <v>2094533</v>
      </c>
      <c r="D50" s="216" t="s">
        <v>9318</v>
      </c>
      <c r="E50" s="216" t="s">
        <v>8377</v>
      </c>
      <c r="F50" s="216" t="s">
        <v>8377</v>
      </c>
      <c r="G50" s="216"/>
      <c r="H50" s="216">
        <v>0</v>
      </c>
      <c r="I50" s="216">
        <v>0</v>
      </c>
      <c r="J50" s="216">
        <v>0</v>
      </c>
      <c r="K50" s="216">
        <v>1100</v>
      </c>
      <c r="L50" s="216">
        <v>0</v>
      </c>
      <c r="M50" s="216">
        <v>0</v>
      </c>
      <c r="N50" s="216">
        <v>0</v>
      </c>
      <c r="O50" s="216">
        <v>0</v>
      </c>
      <c r="P50" s="208"/>
    </row>
    <row r="51" spans="1:16">
      <c r="A51" s="209">
        <v>47</v>
      </c>
      <c r="B51" s="244" t="s">
        <v>174</v>
      </c>
      <c r="C51" s="215">
        <v>2094533</v>
      </c>
      <c r="D51" s="216" t="s">
        <v>9319</v>
      </c>
      <c r="E51" s="216" t="s">
        <v>8377</v>
      </c>
      <c r="F51" s="216" t="s">
        <v>8377</v>
      </c>
      <c r="G51" s="216"/>
      <c r="H51" s="216">
        <v>0</v>
      </c>
      <c r="I51" s="216">
        <v>0</v>
      </c>
      <c r="J51" s="216">
        <v>0</v>
      </c>
      <c r="K51" s="216">
        <v>5500</v>
      </c>
      <c r="L51" s="216">
        <v>0</v>
      </c>
      <c r="M51" s="216">
        <v>0</v>
      </c>
      <c r="N51" s="216">
        <v>0</v>
      </c>
      <c r="O51" s="216">
        <v>0</v>
      </c>
      <c r="P51" s="95"/>
    </row>
    <row r="52" spans="1:16">
      <c r="A52" s="209">
        <v>48</v>
      </c>
      <c r="B52" s="214" t="s">
        <v>175</v>
      </c>
      <c r="C52" s="215">
        <v>5722942</v>
      </c>
      <c r="D52" s="216"/>
      <c r="E52" s="216"/>
      <c r="F52" s="216"/>
      <c r="G52" s="216"/>
      <c r="H52" s="216"/>
      <c r="I52" s="216"/>
      <c r="J52" s="216"/>
      <c r="K52" s="216"/>
      <c r="L52" s="216"/>
      <c r="M52" s="216"/>
      <c r="N52" s="216"/>
      <c r="O52" s="216"/>
      <c r="P52" s="95"/>
    </row>
    <row r="53" spans="1:16">
      <c r="A53" s="209">
        <v>49</v>
      </c>
      <c r="B53" s="214" t="s">
        <v>176</v>
      </c>
      <c r="C53" s="215">
        <v>2867494</v>
      </c>
      <c r="D53" s="210"/>
      <c r="E53" s="210"/>
      <c r="F53" s="210"/>
      <c r="G53" s="210"/>
      <c r="H53" s="210"/>
      <c r="I53" s="210"/>
      <c r="J53" s="210"/>
      <c r="K53" s="210"/>
      <c r="L53" s="210"/>
      <c r="M53" s="210"/>
      <c r="N53" s="210"/>
      <c r="O53" s="210"/>
    </row>
    <row r="54" spans="1:16" ht="25.5">
      <c r="A54" s="209">
        <v>50</v>
      </c>
      <c r="B54" s="216" t="s">
        <v>177</v>
      </c>
      <c r="C54" s="215">
        <v>6463932</v>
      </c>
      <c r="D54" s="210"/>
      <c r="E54" s="210"/>
      <c r="F54" s="210"/>
      <c r="G54" s="210"/>
      <c r="H54" s="210"/>
      <c r="I54" s="210"/>
      <c r="J54" s="210"/>
      <c r="K54" s="210"/>
      <c r="L54" s="210"/>
      <c r="M54" s="210"/>
      <c r="N54" s="210"/>
      <c r="O54" s="210"/>
    </row>
    <row r="55" spans="1:16">
      <c r="A55" s="209">
        <v>51</v>
      </c>
      <c r="B55" s="216" t="s">
        <v>178</v>
      </c>
      <c r="C55" s="215">
        <v>5260833</v>
      </c>
      <c r="D55" s="210"/>
      <c r="E55" s="210"/>
      <c r="F55" s="210"/>
      <c r="G55" s="210"/>
      <c r="H55" s="210"/>
      <c r="I55" s="210"/>
      <c r="J55" s="210"/>
      <c r="K55" s="210"/>
      <c r="L55" s="210"/>
      <c r="M55" s="210"/>
      <c r="N55" s="210"/>
      <c r="O55" s="210"/>
    </row>
    <row r="56" spans="1:16" ht="25.5">
      <c r="A56" s="209">
        <v>52</v>
      </c>
      <c r="B56" s="216" t="s">
        <v>179</v>
      </c>
      <c r="C56" s="215">
        <v>2051303</v>
      </c>
      <c r="D56" s="210"/>
      <c r="E56" s="210"/>
      <c r="F56" s="210"/>
      <c r="G56" s="210"/>
      <c r="H56" s="210"/>
      <c r="I56" s="210"/>
      <c r="J56" s="210"/>
      <c r="K56" s="210"/>
      <c r="L56" s="210"/>
      <c r="M56" s="210"/>
      <c r="N56" s="210"/>
      <c r="O56" s="210"/>
    </row>
    <row r="57" spans="1:16" ht="25.5">
      <c r="A57" s="209">
        <v>53</v>
      </c>
      <c r="B57" s="216" t="s">
        <v>183</v>
      </c>
      <c r="C57" s="209">
        <v>2061848</v>
      </c>
      <c r="D57" s="216" t="s">
        <v>9320</v>
      </c>
      <c r="E57" s="486">
        <v>44986</v>
      </c>
      <c r="F57" s="486">
        <v>45014</v>
      </c>
      <c r="G57" s="216"/>
      <c r="H57" s="216">
        <v>13587</v>
      </c>
      <c r="I57" s="216">
        <v>0</v>
      </c>
      <c r="J57" s="216">
        <v>0</v>
      </c>
      <c r="K57" s="216">
        <v>0</v>
      </c>
      <c r="L57" s="216">
        <v>0</v>
      </c>
      <c r="M57" s="216">
        <v>0</v>
      </c>
      <c r="N57" s="216">
        <v>0</v>
      </c>
      <c r="O57" s="216">
        <v>0</v>
      </c>
      <c r="P57" s="208"/>
    </row>
    <row r="58" spans="1:16">
      <c r="A58" s="209">
        <v>54</v>
      </c>
      <c r="B58" s="216" t="s">
        <v>183</v>
      </c>
      <c r="C58" s="209">
        <v>2061848</v>
      </c>
      <c r="D58" s="216" t="s">
        <v>9321</v>
      </c>
      <c r="E58" s="486">
        <v>44986</v>
      </c>
      <c r="F58" s="486">
        <v>44986</v>
      </c>
      <c r="G58" s="216"/>
      <c r="H58" s="216">
        <v>28980</v>
      </c>
      <c r="I58" s="216">
        <v>0</v>
      </c>
      <c r="J58" s="216">
        <v>0</v>
      </c>
      <c r="K58" s="216">
        <v>0</v>
      </c>
      <c r="L58" s="216">
        <v>0</v>
      </c>
      <c r="M58" s="216">
        <v>0</v>
      </c>
      <c r="N58" s="216">
        <v>0</v>
      </c>
      <c r="O58" s="216">
        <v>0</v>
      </c>
      <c r="P58" s="208"/>
    </row>
    <row r="59" spans="1:16" ht="25.5">
      <c r="A59" s="209">
        <v>55</v>
      </c>
      <c r="B59" s="216" t="s">
        <v>183</v>
      </c>
      <c r="C59" s="209">
        <v>2061848</v>
      </c>
      <c r="D59" s="216" t="s">
        <v>9322</v>
      </c>
      <c r="E59" s="486">
        <v>45112</v>
      </c>
      <c r="F59" s="486">
        <v>45112</v>
      </c>
      <c r="G59" s="216"/>
      <c r="H59" s="216">
        <v>0</v>
      </c>
      <c r="I59" s="216">
        <v>0</v>
      </c>
      <c r="J59" s="216">
        <v>0</v>
      </c>
      <c r="K59" s="216">
        <v>0</v>
      </c>
      <c r="L59" s="216">
        <v>0</v>
      </c>
      <c r="M59" s="216">
        <v>0</v>
      </c>
      <c r="N59" s="216">
        <v>843.2</v>
      </c>
      <c r="O59" s="216">
        <v>0</v>
      </c>
      <c r="P59" s="208"/>
    </row>
    <row r="60" spans="1:16" ht="25.5">
      <c r="A60" s="209">
        <v>56</v>
      </c>
      <c r="B60" s="214" t="s">
        <v>183</v>
      </c>
      <c r="C60" s="215">
        <v>2061848</v>
      </c>
      <c r="D60" s="216" t="s">
        <v>9323</v>
      </c>
      <c r="E60" s="486">
        <v>44986</v>
      </c>
      <c r="F60" s="486">
        <v>45352</v>
      </c>
      <c r="G60" s="216"/>
      <c r="H60" s="216">
        <v>13586.9</v>
      </c>
      <c r="I60" s="216">
        <v>0</v>
      </c>
      <c r="J60" s="216">
        <v>0</v>
      </c>
      <c r="K60" s="216">
        <v>0</v>
      </c>
      <c r="L60" s="216">
        <v>0</v>
      </c>
      <c r="M60" s="216">
        <v>0</v>
      </c>
      <c r="N60" s="216">
        <v>0</v>
      </c>
      <c r="O60" s="216">
        <v>0</v>
      </c>
      <c r="P60" s="95"/>
    </row>
    <row r="61" spans="1:16" ht="25.5">
      <c r="A61" s="209">
        <v>57</v>
      </c>
      <c r="B61" s="216" t="s">
        <v>185</v>
      </c>
      <c r="C61" s="215">
        <v>2766337</v>
      </c>
      <c r="D61" s="210"/>
      <c r="E61" s="210"/>
      <c r="F61" s="210"/>
      <c r="G61" s="210"/>
      <c r="H61" s="210"/>
      <c r="I61" s="210"/>
      <c r="J61" s="210"/>
      <c r="K61" s="210"/>
      <c r="L61" s="210"/>
      <c r="M61" s="210"/>
      <c r="N61" s="210"/>
      <c r="O61" s="210"/>
    </row>
    <row r="62" spans="1:16" ht="25.5">
      <c r="A62" s="209">
        <v>58</v>
      </c>
      <c r="B62" s="216" t="s">
        <v>187</v>
      </c>
      <c r="C62" s="215">
        <v>5810086</v>
      </c>
      <c r="D62" s="210"/>
      <c r="E62" s="210"/>
      <c r="F62" s="210"/>
      <c r="G62" s="210"/>
      <c r="H62" s="210"/>
      <c r="I62" s="210"/>
      <c r="J62" s="210"/>
      <c r="K62" s="210"/>
      <c r="L62" s="210"/>
      <c r="M62" s="210"/>
      <c r="N62" s="210"/>
      <c r="O62" s="210"/>
    </row>
    <row r="63" spans="1:16">
      <c r="A63" s="209">
        <v>59</v>
      </c>
      <c r="B63" s="216" t="s">
        <v>188</v>
      </c>
      <c r="C63" s="209">
        <v>5217652</v>
      </c>
      <c r="D63" s="216" t="s">
        <v>9324</v>
      </c>
      <c r="E63" s="216" t="s">
        <v>8623</v>
      </c>
      <c r="F63" s="216" t="s">
        <v>8623</v>
      </c>
      <c r="G63" s="216"/>
      <c r="H63" s="216">
        <v>0</v>
      </c>
      <c r="I63" s="216">
        <v>0</v>
      </c>
      <c r="J63" s="216">
        <v>0</v>
      </c>
      <c r="K63" s="216">
        <v>0</v>
      </c>
      <c r="L63" s="216">
        <v>0</v>
      </c>
      <c r="M63" s="216">
        <v>9645920</v>
      </c>
      <c r="N63" s="216">
        <v>0</v>
      </c>
      <c r="O63" s="216">
        <v>0</v>
      </c>
      <c r="P63" s="208"/>
    </row>
    <row r="64" spans="1:16">
      <c r="A64" s="209">
        <v>60</v>
      </c>
      <c r="B64" s="216" t="s">
        <v>188</v>
      </c>
      <c r="C64" s="209">
        <v>5217652</v>
      </c>
      <c r="D64" s="216" t="s">
        <v>9325</v>
      </c>
      <c r="E64" s="216" t="s">
        <v>8623</v>
      </c>
      <c r="F64" s="216" t="s">
        <v>8623</v>
      </c>
      <c r="G64" s="484">
        <v>30752700</v>
      </c>
      <c r="H64" s="216">
        <v>0</v>
      </c>
      <c r="I64" s="216">
        <v>0</v>
      </c>
      <c r="J64" s="216">
        <v>0</v>
      </c>
      <c r="K64" s="216">
        <v>0</v>
      </c>
      <c r="L64" s="216">
        <v>0</v>
      </c>
      <c r="M64" s="216">
        <v>0</v>
      </c>
      <c r="N64" s="216">
        <v>0</v>
      </c>
      <c r="O64" s="216">
        <v>0</v>
      </c>
      <c r="P64" s="208"/>
    </row>
    <row r="65" spans="1:16">
      <c r="A65" s="209">
        <v>61</v>
      </c>
      <c r="B65" s="216" t="s">
        <v>188</v>
      </c>
      <c r="C65" s="209">
        <v>5217652</v>
      </c>
      <c r="D65" s="216" t="s">
        <v>9326</v>
      </c>
      <c r="E65" s="216" t="s">
        <v>8623</v>
      </c>
      <c r="F65" s="216" t="s">
        <v>8623</v>
      </c>
      <c r="G65" s="216"/>
      <c r="H65" s="216">
        <v>0</v>
      </c>
      <c r="I65" s="216">
        <v>0</v>
      </c>
      <c r="J65" s="216">
        <v>0</v>
      </c>
      <c r="K65" s="216">
        <v>4048000</v>
      </c>
      <c r="L65" s="216">
        <v>0</v>
      </c>
      <c r="M65" s="216">
        <v>0</v>
      </c>
      <c r="N65" s="216">
        <v>0</v>
      </c>
      <c r="O65" s="216">
        <v>0</v>
      </c>
      <c r="P65" s="208"/>
    </row>
    <row r="66" spans="1:16" ht="25.5">
      <c r="A66" s="209">
        <v>62</v>
      </c>
      <c r="B66" s="216" t="s">
        <v>188</v>
      </c>
      <c r="C66" s="209">
        <v>5217652</v>
      </c>
      <c r="D66" s="216" t="s">
        <v>9327</v>
      </c>
      <c r="E66" s="216" t="s">
        <v>8623</v>
      </c>
      <c r="F66" s="216" t="s">
        <v>8623</v>
      </c>
      <c r="G66" s="216"/>
      <c r="H66" s="216">
        <v>0</v>
      </c>
      <c r="I66" s="216">
        <v>0</v>
      </c>
      <c r="J66" s="216">
        <v>0</v>
      </c>
      <c r="K66" s="216">
        <v>6120000</v>
      </c>
      <c r="L66" s="216">
        <v>0</v>
      </c>
      <c r="M66" s="216">
        <v>0</v>
      </c>
      <c r="N66" s="216">
        <v>0</v>
      </c>
      <c r="O66" s="216">
        <v>0</v>
      </c>
      <c r="P66" s="208"/>
    </row>
    <row r="67" spans="1:16">
      <c r="A67" s="209">
        <v>63</v>
      </c>
      <c r="B67" s="214" t="s">
        <v>188</v>
      </c>
      <c r="C67" s="215">
        <v>5217652</v>
      </c>
      <c r="D67" s="216" t="s">
        <v>9328</v>
      </c>
      <c r="E67" s="216" t="s">
        <v>8623</v>
      </c>
      <c r="F67" s="216" t="s">
        <v>8623</v>
      </c>
      <c r="G67" s="216"/>
      <c r="H67" s="216">
        <v>0</v>
      </c>
      <c r="I67" s="216">
        <v>0</v>
      </c>
      <c r="J67" s="216">
        <v>0</v>
      </c>
      <c r="K67" s="216">
        <v>2615800</v>
      </c>
      <c r="L67" s="216">
        <v>0</v>
      </c>
      <c r="M67" s="216">
        <v>0</v>
      </c>
      <c r="N67" s="216">
        <v>0</v>
      </c>
      <c r="O67" s="216">
        <v>0</v>
      </c>
      <c r="P67" s="95"/>
    </row>
    <row r="68" spans="1:16">
      <c r="A68" s="209">
        <v>64</v>
      </c>
      <c r="B68" s="214" t="s">
        <v>189</v>
      </c>
      <c r="C68" s="215">
        <v>2780518</v>
      </c>
      <c r="D68" s="210"/>
      <c r="E68" s="210"/>
      <c r="F68" s="210"/>
      <c r="G68" s="210"/>
      <c r="H68" s="210"/>
      <c r="I68" s="210"/>
      <c r="J68" s="210"/>
      <c r="K68" s="210"/>
      <c r="L68" s="210"/>
      <c r="M68" s="210"/>
      <c r="N68" s="210"/>
      <c r="O68" s="210"/>
    </row>
    <row r="69" spans="1:16">
      <c r="A69" s="209">
        <v>65</v>
      </c>
      <c r="B69" s="216" t="s">
        <v>193</v>
      </c>
      <c r="C69" s="215">
        <v>5272378</v>
      </c>
      <c r="D69" s="210"/>
      <c r="E69" s="210"/>
      <c r="F69" s="210"/>
      <c r="G69" s="210"/>
      <c r="H69" s="210"/>
      <c r="I69" s="210"/>
      <c r="J69" s="210"/>
      <c r="K69" s="210"/>
      <c r="L69" s="210"/>
      <c r="M69" s="210"/>
      <c r="N69" s="210"/>
      <c r="O69" s="210"/>
    </row>
    <row r="70" spans="1:16">
      <c r="A70" s="209">
        <v>66</v>
      </c>
      <c r="B70" s="214" t="s">
        <v>194</v>
      </c>
      <c r="C70" s="215">
        <v>5467268</v>
      </c>
      <c r="D70" s="210"/>
      <c r="E70" s="210"/>
      <c r="F70" s="210"/>
      <c r="G70" s="210"/>
      <c r="H70" s="210"/>
      <c r="I70" s="210"/>
      <c r="J70" s="210"/>
      <c r="K70" s="210"/>
      <c r="L70" s="210"/>
      <c r="M70" s="210"/>
      <c r="N70" s="210"/>
      <c r="O70" s="210"/>
    </row>
    <row r="71" spans="1:16" ht="25.5">
      <c r="A71" s="209">
        <v>67</v>
      </c>
      <c r="B71" s="214" t="s">
        <v>196</v>
      </c>
      <c r="C71" s="215">
        <v>5522935</v>
      </c>
      <c r="D71" s="216" t="s">
        <v>9329</v>
      </c>
      <c r="E71" s="216" t="s">
        <v>8377</v>
      </c>
      <c r="F71" s="216" t="s">
        <v>8377</v>
      </c>
      <c r="G71" s="216"/>
      <c r="H71" s="216">
        <v>106494000</v>
      </c>
      <c r="I71" s="216">
        <v>0</v>
      </c>
      <c r="J71" s="216">
        <v>0</v>
      </c>
      <c r="K71" s="216">
        <v>0</v>
      </c>
      <c r="L71" s="216">
        <v>0</v>
      </c>
      <c r="M71" s="216">
        <v>0</v>
      </c>
      <c r="N71" s="216">
        <v>0</v>
      </c>
      <c r="O71" s="216">
        <v>0</v>
      </c>
    </row>
    <row r="72" spans="1:16">
      <c r="A72" s="209">
        <v>68</v>
      </c>
      <c r="B72" s="216" t="s">
        <v>197</v>
      </c>
      <c r="C72" s="215">
        <v>5528089</v>
      </c>
      <c r="D72" s="210"/>
      <c r="E72" s="210"/>
      <c r="F72" s="210"/>
      <c r="G72" s="210"/>
      <c r="H72" s="210"/>
      <c r="I72" s="210"/>
      <c r="J72" s="210"/>
      <c r="K72" s="210"/>
      <c r="L72" s="210"/>
      <c r="M72" s="210"/>
      <c r="N72" s="210"/>
      <c r="O72" s="210"/>
    </row>
    <row r="73" spans="1:16">
      <c r="A73" s="209">
        <v>69</v>
      </c>
      <c r="B73" s="214" t="s">
        <v>198</v>
      </c>
      <c r="C73" s="215">
        <v>5396662</v>
      </c>
      <c r="D73" s="210"/>
      <c r="E73" s="210"/>
      <c r="F73" s="210"/>
      <c r="G73" s="210"/>
      <c r="H73" s="210"/>
      <c r="I73" s="210"/>
      <c r="J73" s="210"/>
      <c r="K73" s="210"/>
      <c r="L73" s="210"/>
      <c r="M73" s="210"/>
      <c r="N73" s="210"/>
      <c r="O73" s="210"/>
    </row>
    <row r="74" spans="1:16">
      <c r="A74" s="209">
        <v>70</v>
      </c>
      <c r="B74" s="214" t="s">
        <v>199</v>
      </c>
      <c r="C74" s="215">
        <v>5830974</v>
      </c>
      <c r="D74" s="210"/>
      <c r="E74" s="210"/>
      <c r="F74" s="210"/>
      <c r="G74" s="210"/>
      <c r="H74" s="210"/>
      <c r="I74" s="210"/>
      <c r="J74" s="210"/>
      <c r="K74" s="210"/>
      <c r="L74" s="210"/>
      <c r="M74" s="210"/>
      <c r="N74" s="210"/>
      <c r="O74" s="210"/>
    </row>
    <row r="75" spans="1:16">
      <c r="A75" s="209">
        <v>71</v>
      </c>
      <c r="B75" s="214" t="s">
        <v>201</v>
      </c>
      <c r="C75" s="215">
        <v>2057573</v>
      </c>
      <c r="D75" s="210"/>
      <c r="E75" s="210"/>
      <c r="F75" s="210"/>
      <c r="G75" s="210"/>
      <c r="H75" s="210"/>
      <c r="I75" s="210"/>
      <c r="J75" s="210"/>
      <c r="K75" s="210"/>
      <c r="L75" s="210"/>
      <c r="M75" s="210"/>
      <c r="N75" s="210"/>
      <c r="O75" s="210"/>
    </row>
    <row r="76" spans="1:16">
      <c r="A76" s="209">
        <v>72</v>
      </c>
      <c r="B76" s="214" t="s">
        <v>202</v>
      </c>
      <c r="C76" s="215">
        <v>5699134</v>
      </c>
      <c r="D76" s="210"/>
      <c r="E76" s="210"/>
      <c r="F76" s="210"/>
      <c r="G76" s="210"/>
      <c r="H76" s="210"/>
      <c r="I76" s="210"/>
      <c r="J76" s="210"/>
      <c r="K76" s="210"/>
      <c r="L76" s="210"/>
      <c r="M76" s="210"/>
      <c r="N76" s="210"/>
      <c r="O76" s="210"/>
    </row>
    <row r="77" spans="1:16">
      <c r="A77" s="209">
        <v>73</v>
      </c>
      <c r="B77" s="214" t="s">
        <v>203</v>
      </c>
      <c r="C77" s="215">
        <v>5412153</v>
      </c>
      <c r="D77" s="210"/>
      <c r="E77" s="210"/>
      <c r="F77" s="210"/>
      <c r="G77" s="210"/>
      <c r="H77" s="210"/>
      <c r="I77" s="210"/>
      <c r="J77" s="210"/>
      <c r="K77" s="210"/>
      <c r="L77" s="210"/>
      <c r="M77" s="210"/>
      <c r="N77" s="210"/>
      <c r="O77" s="210"/>
    </row>
    <row r="78" spans="1:16">
      <c r="A78" s="209">
        <v>74</v>
      </c>
      <c r="B78" s="214" t="s">
        <v>204</v>
      </c>
      <c r="C78" s="215">
        <v>2034859</v>
      </c>
      <c r="D78" s="216" t="s">
        <v>9132</v>
      </c>
      <c r="E78" s="486">
        <v>44928</v>
      </c>
      <c r="F78" s="486">
        <v>45291</v>
      </c>
      <c r="G78" s="216"/>
      <c r="H78" s="216">
        <v>48823.6</v>
      </c>
      <c r="I78" s="216">
        <v>0</v>
      </c>
      <c r="J78" s="216">
        <v>0</v>
      </c>
      <c r="K78" s="216">
        <v>0</v>
      </c>
      <c r="L78" s="216">
        <v>0</v>
      </c>
      <c r="M78" s="216">
        <v>0</v>
      </c>
      <c r="N78" s="216">
        <v>300040</v>
      </c>
      <c r="O78" s="216">
        <v>0</v>
      </c>
    </row>
    <row r="79" spans="1:16">
      <c r="A79" s="209">
        <v>75</v>
      </c>
      <c r="B79" s="214" t="s">
        <v>208</v>
      </c>
      <c r="C79" s="215">
        <v>5253535</v>
      </c>
      <c r="D79" s="210"/>
      <c r="E79" s="210"/>
      <c r="F79" s="210"/>
      <c r="G79" s="210"/>
      <c r="H79" s="210"/>
      <c r="I79" s="210"/>
      <c r="J79" s="210"/>
      <c r="K79" s="210"/>
      <c r="L79" s="210"/>
      <c r="M79" s="210"/>
      <c r="N79" s="210"/>
      <c r="O79" s="210"/>
    </row>
    <row r="80" spans="1:16">
      <c r="A80" s="209">
        <v>76</v>
      </c>
      <c r="B80" s="214" t="s">
        <v>210</v>
      </c>
      <c r="C80" s="215">
        <v>5150884</v>
      </c>
      <c r="D80" s="210"/>
      <c r="E80" s="210"/>
      <c r="F80" s="210"/>
      <c r="G80" s="210"/>
      <c r="H80" s="210"/>
      <c r="I80" s="210"/>
      <c r="J80" s="210"/>
      <c r="K80" s="210"/>
      <c r="L80" s="210"/>
      <c r="M80" s="210"/>
      <c r="N80" s="210"/>
      <c r="O80" s="210"/>
    </row>
    <row r="81" spans="1:16">
      <c r="A81" s="209">
        <v>77</v>
      </c>
      <c r="B81" s="214" t="s">
        <v>211</v>
      </c>
      <c r="C81" s="215">
        <v>5051304</v>
      </c>
      <c r="D81" s="210"/>
      <c r="E81" s="210"/>
      <c r="F81" s="210"/>
      <c r="G81" s="210"/>
      <c r="H81" s="210"/>
      <c r="I81" s="210"/>
      <c r="J81" s="210"/>
      <c r="K81" s="210"/>
      <c r="L81" s="210"/>
      <c r="M81" s="210"/>
      <c r="N81" s="210"/>
      <c r="O81" s="210"/>
    </row>
    <row r="82" spans="1:16" ht="25.5">
      <c r="A82" s="209">
        <v>78</v>
      </c>
      <c r="B82" s="216" t="s">
        <v>213</v>
      </c>
      <c r="C82" s="215">
        <v>5401801</v>
      </c>
      <c r="D82" s="210"/>
      <c r="E82" s="210"/>
      <c r="F82" s="210"/>
      <c r="G82" s="210"/>
      <c r="H82" s="210"/>
      <c r="I82" s="210"/>
      <c r="J82" s="210"/>
      <c r="K82" s="210"/>
      <c r="L82" s="210"/>
      <c r="M82" s="210"/>
      <c r="N82" s="210"/>
      <c r="O82" s="210"/>
    </row>
    <row r="83" spans="1:16">
      <c r="A83" s="209">
        <v>79</v>
      </c>
      <c r="B83" s="216" t="s">
        <v>214</v>
      </c>
      <c r="C83" s="209">
        <v>2550466</v>
      </c>
      <c r="D83" s="216" t="s">
        <v>9330</v>
      </c>
      <c r="E83" s="486">
        <v>44886</v>
      </c>
      <c r="F83" s="486">
        <v>45251</v>
      </c>
      <c r="G83" s="216"/>
      <c r="H83" s="216">
        <v>276842</v>
      </c>
      <c r="I83" s="216">
        <v>0</v>
      </c>
      <c r="J83" s="216">
        <v>0</v>
      </c>
      <c r="K83" s="216">
        <v>0</v>
      </c>
      <c r="L83" s="216">
        <v>0</v>
      </c>
      <c r="M83" s="216">
        <v>0</v>
      </c>
      <c r="N83" s="216">
        <v>0</v>
      </c>
      <c r="O83" s="216">
        <v>0</v>
      </c>
      <c r="P83" s="208"/>
    </row>
    <row r="84" spans="1:16" ht="25.5">
      <c r="A84" s="209">
        <v>80</v>
      </c>
      <c r="B84" s="216" t="s">
        <v>214</v>
      </c>
      <c r="C84" s="209">
        <v>2550466</v>
      </c>
      <c r="D84" s="216" t="s">
        <v>9331</v>
      </c>
      <c r="E84" s="486">
        <v>44826</v>
      </c>
      <c r="F84" s="486">
        <v>45191</v>
      </c>
      <c r="G84" s="216"/>
      <c r="H84" s="216">
        <v>137930</v>
      </c>
      <c r="I84" s="216">
        <v>0</v>
      </c>
      <c r="J84" s="216">
        <v>0</v>
      </c>
      <c r="K84" s="216">
        <v>0</v>
      </c>
      <c r="L84" s="216">
        <v>0</v>
      </c>
      <c r="M84" s="216">
        <v>0</v>
      </c>
      <c r="N84" s="216">
        <v>0</v>
      </c>
      <c r="O84" s="216">
        <v>0</v>
      </c>
      <c r="P84" s="208"/>
    </row>
    <row r="85" spans="1:16">
      <c r="A85" s="209">
        <v>81</v>
      </c>
      <c r="B85" s="216" t="s">
        <v>214</v>
      </c>
      <c r="C85" s="209">
        <v>2550466</v>
      </c>
      <c r="D85" s="216" t="s">
        <v>9332</v>
      </c>
      <c r="E85" s="486">
        <v>44916</v>
      </c>
      <c r="F85" s="486">
        <v>45281</v>
      </c>
      <c r="G85" s="216"/>
      <c r="H85" s="216">
        <v>0</v>
      </c>
      <c r="I85" s="216">
        <v>0</v>
      </c>
      <c r="J85" s="216">
        <v>0</v>
      </c>
      <c r="K85" s="216">
        <v>99750</v>
      </c>
      <c r="L85" s="216">
        <v>0</v>
      </c>
      <c r="M85" s="216">
        <v>0</v>
      </c>
      <c r="N85" s="216">
        <v>0</v>
      </c>
      <c r="O85" s="216">
        <v>0</v>
      </c>
      <c r="P85" s="208"/>
    </row>
    <row r="86" spans="1:16">
      <c r="A86" s="209">
        <v>82</v>
      </c>
      <c r="B86" s="216" t="s">
        <v>214</v>
      </c>
      <c r="C86" s="209">
        <v>2550466</v>
      </c>
      <c r="D86" s="216" t="s">
        <v>9333</v>
      </c>
      <c r="E86" s="486">
        <v>44742</v>
      </c>
      <c r="F86" s="486">
        <v>45107</v>
      </c>
      <c r="G86" s="216"/>
      <c r="H86" s="216">
        <v>0</v>
      </c>
      <c r="I86" s="216">
        <v>0</v>
      </c>
      <c r="J86" s="216">
        <v>0</v>
      </c>
      <c r="K86" s="216">
        <v>54142</v>
      </c>
      <c r="L86" s="216">
        <v>0</v>
      </c>
      <c r="M86" s="216">
        <v>0</v>
      </c>
      <c r="N86" s="216">
        <v>0</v>
      </c>
      <c r="O86" s="216">
        <v>0</v>
      </c>
      <c r="P86" s="208"/>
    </row>
    <row r="87" spans="1:16">
      <c r="A87" s="209">
        <v>83</v>
      </c>
      <c r="B87" s="216" t="s">
        <v>214</v>
      </c>
      <c r="C87" s="209">
        <v>2550466</v>
      </c>
      <c r="D87" s="216" t="s">
        <v>9334</v>
      </c>
      <c r="E87" s="486">
        <v>45114</v>
      </c>
      <c r="F87" s="486">
        <v>45291</v>
      </c>
      <c r="G87" s="216"/>
      <c r="H87" s="216">
        <v>0</v>
      </c>
      <c r="I87" s="216">
        <v>0</v>
      </c>
      <c r="J87" s="216">
        <v>0</v>
      </c>
      <c r="K87" s="216">
        <v>60574</v>
      </c>
      <c r="L87" s="216">
        <v>0</v>
      </c>
      <c r="M87" s="216">
        <v>0</v>
      </c>
      <c r="N87" s="216">
        <v>0</v>
      </c>
      <c r="O87" s="216">
        <v>0</v>
      </c>
      <c r="P87" s="208"/>
    </row>
    <row r="88" spans="1:16">
      <c r="A88" s="209">
        <v>84</v>
      </c>
      <c r="B88" s="216" t="s">
        <v>214</v>
      </c>
      <c r="C88" s="209">
        <v>2550466</v>
      </c>
      <c r="D88" s="216" t="s">
        <v>9335</v>
      </c>
      <c r="E88" s="486">
        <v>45050</v>
      </c>
      <c r="F88" s="486">
        <v>45416</v>
      </c>
      <c r="G88" s="216"/>
      <c r="H88" s="216">
        <v>0</v>
      </c>
      <c r="I88" s="216">
        <v>0</v>
      </c>
      <c r="J88" s="216">
        <v>0</v>
      </c>
      <c r="K88" s="216">
        <v>308610</v>
      </c>
      <c r="L88" s="216">
        <v>0</v>
      </c>
      <c r="M88" s="216">
        <v>0</v>
      </c>
      <c r="N88" s="216">
        <v>0</v>
      </c>
      <c r="O88" s="216">
        <v>0</v>
      </c>
      <c r="P88" s="208"/>
    </row>
    <row r="89" spans="1:16" ht="25.5">
      <c r="A89" s="209">
        <v>85</v>
      </c>
      <c r="B89" s="216" t="s">
        <v>214</v>
      </c>
      <c r="C89" s="209">
        <v>2550466</v>
      </c>
      <c r="D89" s="216" t="s">
        <v>9336</v>
      </c>
      <c r="E89" s="486">
        <v>44995</v>
      </c>
      <c r="F89" s="486">
        <v>45204</v>
      </c>
      <c r="G89" s="216"/>
      <c r="H89" s="216">
        <v>0</v>
      </c>
      <c r="I89" s="216">
        <v>0</v>
      </c>
      <c r="J89" s="216">
        <v>0</v>
      </c>
      <c r="K89" s="216">
        <v>407448</v>
      </c>
      <c r="L89" s="216">
        <v>0</v>
      </c>
      <c r="M89" s="216">
        <v>0</v>
      </c>
      <c r="N89" s="216">
        <v>0</v>
      </c>
      <c r="O89" s="216">
        <v>0</v>
      </c>
      <c r="P89" s="208"/>
    </row>
    <row r="90" spans="1:16" ht="25.5">
      <c r="A90" s="209">
        <v>86</v>
      </c>
      <c r="B90" s="216" t="s">
        <v>214</v>
      </c>
      <c r="C90" s="209">
        <v>2550466</v>
      </c>
      <c r="D90" s="216" t="s">
        <v>9337</v>
      </c>
      <c r="E90" s="486">
        <v>44678</v>
      </c>
      <c r="F90" s="486">
        <v>45444</v>
      </c>
      <c r="G90" s="216"/>
      <c r="H90" s="216">
        <v>0</v>
      </c>
      <c r="I90" s="216">
        <v>0</v>
      </c>
      <c r="J90" s="216">
        <v>0</v>
      </c>
      <c r="K90" s="216">
        <v>1186020</v>
      </c>
      <c r="L90" s="216">
        <v>0</v>
      </c>
      <c r="M90" s="216">
        <v>0</v>
      </c>
      <c r="N90" s="216">
        <v>0</v>
      </c>
      <c r="O90" s="216">
        <v>0</v>
      </c>
      <c r="P90" s="208"/>
    </row>
    <row r="91" spans="1:16" ht="25.5">
      <c r="A91" s="209">
        <v>87</v>
      </c>
      <c r="B91" s="216" t="s">
        <v>214</v>
      </c>
      <c r="C91" s="209">
        <v>2550466</v>
      </c>
      <c r="D91" s="216" t="s">
        <v>9336</v>
      </c>
      <c r="E91" s="486">
        <v>44995</v>
      </c>
      <c r="F91" s="486">
        <v>45204</v>
      </c>
      <c r="G91" s="216"/>
      <c r="H91" s="216">
        <v>0</v>
      </c>
      <c r="I91" s="216">
        <v>0</v>
      </c>
      <c r="J91" s="216">
        <v>0</v>
      </c>
      <c r="K91" s="216">
        <v>407448</v>
      </c>
      <c r="L91" s="216">
        <v>0</v>
      </c>
      <c r="M91" s="216">
        <v>0</v>
      </c>
      <c r="N91" s="216">
        <v>0</v>
      </c>
      <c r="O91" s="216">
        <v>0</v>
      </c>
      <c r="P91" s="208"/>
    </row>
    <row r="92" spans="1:16" ht="25.5">
      <c r="A92" s="209">
        <v>88</v>
      </c>
      <c r="B92" s="216" t="s">
        <v>214</v>
      </c>
      <c r="C92" s="209">
        <v>2550466</v>
      </c>
      <c r="D92" s="216" t="s">
        <v>9337</v>
      </c>
      <c r="E92" s="486">
        <v>44678</v>
      </c>
      <c r="F92" s="486">
        <v>45444</v>
      </c>
      <c r="G92" s="216"/>
      <c r="H92" s="216">
        <v>0</v>
      </c>
      <c r="I92" s="216">
        <v>0</v>
      </c>
      <c r="J92" s="216">
        <v>0</v>
      </c>
      <c r="K92" s="216">
        <v>1186020</v>
      </c>
      <c r="L92" s="216">
        <v>0</v>
      </c>
      <c r="M92" s="216">
        <v>0</v>
      </c>
      <c r="N92" s="216">
        <v>0</v>
      </c>
      <c r="O92" s="216">
        <v>0</v>
      </c>
      <c r="P92" s="208"/>
    </row>
    <row r="93" spans="1:16" ht="25.5">
      <c r="A93" s="209">
        <v>89</v>
      </c>
      <c r="B93" s="216" t="s">
        <v>214</v>
      </c>
      <c r="C93" s="209">
        <v>2550466</v>
      </c>
      <c r="D93" s="216" t="s">
        <v>9336</v>
      </c>
      <c r="E93" s="486">
        <v>44995</v>
      </c>
      <c r="F93" s="486">
        <v>45204</v>
      </c>
      <c r="G93" s="216"/>
      <c r="H93" s="216">
        <v>0</v>
      </c>
      <c r="I93" s="216">
        <v>0</v>
      </c>
      <c r="J93" s="216">
        <v>0</v>
      </c>
      <c r="K93" s="216">
        <v>407448</v>
      </c>
      <c r="L93" s="216">
        <v>0</v>
      </c>
      <c r="M93" s="216">
        <v>0</v>
      </c>
      <c r="N93" s="216">
        <v>0</v>
      </c>
      <c r="O93" s="216">
        <v>0</v>
      </c>
      <c r="P93" s="208"/>
    </row>
    <row r="94" spans="1:16" ht="25.5">
      <c r="A94" s="209">
        <v>90</v>
      </c>
      <c r="B94" s="244" t="s">
        <v>214</v>
      </c>
      <c r="C94" s="215">
        <v>2550466</v>
      </c>
      <c r="D94" s="216" t="s">
        <v>9337</v>
      </c>
      <c r="E94" s="486">
        <v>44678</v>
      </c>
      <c r="F94" s="486">
        <v>45444</v>
      </c>
      <c r="G94" s="216"/>
      <c r="H94" s="216">
        <v>0</v>
      </c>
      <c r="I94" s="216">
        <v>0</v>
      </c>
      <c r="J94" s="216">
        <v>0</v>
      </c>
      <c r="K94" s="216">
        <v>1186020</v>
      </c>
      <c r="L94" s="216">
        <v>0</v>
      </c>
      <c r="M94" s="216">
        <v>0</v>
      </c>
      <c r="N94" s="216">
        <v>0</v>
      </c>
      <c r="O94" s="216">
        <v>0</v>
      </c>
      <c r="P94" s="95"/>
    </row>
    <row r="95" spans="1:16">
      <c r="A95" s="209">
        <v>91</v>
      </c>
      <c r="B95" s="214" t="s">
        <v>216</v>
      </c>
      <c r="C95" s="215">
        <v>5051134</v>
      </c>
      <c r="D95" s="216" t="s">
        <v>9338</v>
      </c>
      <c r="E95" s="486">
        <v>44927</v>
      </c>
      <c r="F95" s="486">
        <v>45291</v>
      </c>
      <c r="G95" s="216"/>
      <c r="H95" s="216">
        <v>600000</v>
      </c>
      <c r="I95" s="216">
        <v>0</v>
      </c>
      <c r="J95" s="216">
        <v>0</v>
      </c>
      <c r="K95" s="216">
        <v>17000</v>
      </c>
      <c r="L95" s="216">
        <v>0</v>
      </c>
      <c r="M95" s="216">
        <v>0</v>
      </c>
      <c r="N95" s="216">
        <v>467</v>
      </c>
      <c r="O95" s="216">
        <v>0</v>
      </c>
    </row>
    <row r="96" spans="1:16">
      <c r="A96" s="209">
        <v>92</v>
      </c>
      <c r="B96" s="214" t="s">
        <v>217</v>
      </c>
      <c r="C96" s="209">
        <v>2095025</v>
      </c>
      <c r="D96" s="210"/>
      <c r="E96" s="210"/>
      <c r="F96" s="210"/>
      <c r="G96" s="210"/>
      <c r="H96" s="210"/>
      <c r="I96" s="210"/>
      <c r="J96" s="210"/>
      <c r="K96" s="210"/>
      <c r="L96" s="210"/>
      <c r="M96" s="210"/>
      <c r="N96" s="210"/>
      <c r="O96" s="210"/>
    </row>
    <row r="97" spans="1:16">
      <c r="A97" s="209">
        <v>93</v>
      </c>
      <c r="B97" s="214" t="s">
        <v>218</v>
      </c>
      <c r="C97" s="215">
        <v>2045931</v>
      </c>
      <c r="D97" s="210"/>
      <c r="E97" s="210"/>
      <c r="F97" s="210"/>
      <c r="G97" s="210"/>
      <c r="H97" s="210"/>
      <c r="I97" s="210"/>
      <c r="J97" s="210"/>
      <c r="K97" s="210"/>
      <c r="L97" s="210"/>
      <c r="M97" s="210"/>
      <c r="N97" s="210"/>
      <c r="O97" s="210"/>
    </row>
    <row r="98" spans="1:16">
      <c r="A98" s="209">
        <v>94</v>
      </c>
      <c r="B98" s="244" t="s">
        <v>219</v>
      </c>
      <c r="C98" s="215">
        <v>2029278</v>
      </c>
      <c r="D98" s="210"/>
      <c r="E98" s="210"/>
      <c r="F98" s="210"/>
      <c r="G98" s="210"/>
      <c r="H98" s="210"/>
      <c r="I98" s="210"/>
      <c r="J98" s="210"/>
      <c r="K98" s="210"/>
      <c r="L98" s="210"/>
      <c r="M98" s="210"/>
      <c r="N98" s="210"/>
      <c r="O98" s="210"/>
    </row>
    <row r="99" spans="1:16" ht="25.5">
      <c r="A99" s="209">
        <v>95</v>
      </c>
      <c r="B99" s="216" t="s">
        <v>220</v>
      </c>
      <c r="C99" s="209">
        <v>5106567</v>
      </c>
      <c r="D99" s="216" t="s">
        <v>9339</v>
      </c>
      <c r="E99" s="486">
        <v>44927</v>
      </c>
      <c r="F99" s="486">
        <v>45291</v>
      </c>
      <c r="G99" s="216"/>
      <c r="H99" s="216">
        <v>140559000</v>
      </c>
      <c r="I99" s="216">
        <v>0</v>
      </c>
      <c r="J99" s="216">
        <v>0</v>
      </c>
      <c r="K99" s="216">
        <v>0</v>
      </c>
      <c r="L99" s="216">
        <v>0</v>
      </c>
      <c r="M99" s="216">
        <v>0</v>
      </c>
      <c r="N99" s="216">
        <v>30000000</v>
      </c>
      <c r="O99" s="216">
        <v>0</v>
      </c>
      <c r="P99" s="208"/>
    </row>
    <row r="100" spans="1:16" ht="25.5">
      <c r="A100" s="209">
        <v>96</v>
      </c>
      <c r="B100" s="216" t="s">
        <v>220</v>
      </c>
      <c r="C100" s="215">
        <v>5106567</v>
      </c>
      <c r="D100" s="216" t="s">
        <v>9340</v>
      </c>
      <c r="E100" s="486">
        <v>44927</v>
      </c>
      <c r="F100" s="486">
        <v>45291</v>
      </c>
      <c r="G100" s="216"/>
      <c r="H100" s="216">
        <v>36800000</v>
      </c>
      <c r="I100" s="216">
        <v>0</v>
      </c>
      <c r="J100" s="216">
        <v>0</v>
      </c>
      <c r="K100" s="216">
        <v>0</v>
      </c>
      <c r="L100" s="216">
        <v>0</v>
      </c>
      <c r="M100" s="216">
        <v>0</v>
      </c>
      <c r="N100" s="216">
        <v>0</v>
      </c>
      <c r="O100" s="216">
        <v>0</v>
      </c>
      <c r="P100" s="95"/>
    </row>
    <row r="101" spans="1:16" ht="38.25">
      <c r="A101" s="209">
        <v>97</v>
      </c>
      <c r="B101" s="216" t="s">
        <v>222</v>
      </c>
      <c r="C101" s="209">
        <v>5141583</v>
      </c>
      <c r="D101" s="216" t="s">
        <v>9341</v>
      </c>
      <c r="E101" s="486">
        <v>44927</v>
      </c>
      <c r="F101" s="486">
        <v>45291</v>
      </c>
      <c r="G101" s="216"/>
      <c r="H101" s="216">
        <v>0</v>
      </c>
      <c r="I101" s="216">
        <v>0</v>
      </c>
      <c r="J101" s="216">
        <v>154969000</v>
      </c>
      <c r="K101" s="216">
        <v>0</v>
      </c>
      <c r="L101" s="216">
        <v>0</v>
      </c>
      <c r="M101" s="216">
        <v>0</v>
      </c>
      <c r="N101" s="216">
        <v>0</v>
      </c>
      <c r="O101" s="216">
        <v>0</v>
      </c>
      <c r="P101" s="208"/>
    </row>
    <row r="102" spans="1:16" ht="38.25">
      <c r="A102" s="209">
        <v>98</v>
      </c>
      <c r="B102" s="216" t="s">
        <v>222</v>
      </c>
      <c r="C102" s="209">
        <v>5141583</v>
      </c>
      <c r="D102" s="216" t="s">
        <v>9342</v>
      </c>
      <c r="E102" s="486">
        <v>44927</v>
      </c>
      <c r="F102" s="486">
        <v>45291</v>
      </c>
      <c r="G102" s="216"/>
      <c r="H102" s="216">
        <v>0</v>
      </c>
      <c r="I102" s="216">
        <v>0</v>
      </c>
      <c r="J102" s="216">
        <v>0</v>
      </c>
      <c r="K102" s="216">
        <v>1188870000</v>
      </c>
      <c r="L102" s="216">
        <v>0</v>
      </c>
      <c r="M102" s="216">
        <v>0</v>
      </c>
      <c r="N102" s="216">
        <v>0</v>
      </c>
      <c r="O102" s="216">
        <v>0</v>
      </c>
      <c r="P102" s="208"/>
    </row>
    <row r="103" spans="1:16" ht="51">
      <c r="A103" s="209">
        <v>99</v>
      </c>
      <c r="B103" s="216" t="s">
        <v>222</v>
      </c>
      <c r="C103" s="209">
        <v>5141583</v>
      </c>
      <c r="D103" s="216" t="s">
        <v>9343</v>
      </c>
      <c r="E103" s="486">
        <v>44927</v>
      </c>
      <c r="F103" s="486">
        <v>45291</v>
      </c>
      <c r="G103" s="484">
        <v>523963000</v>
      </c>
      <c r="H103" s="216">
        <v>0</v>
      </c>
      <c r="I103" s="216">
        <v>0</v>
      </c>
      <c r="J103" s="216">
        <v>0</v>
      </c>
      <c r="K103" s="216">
        <v>0</v>
      </c>
      <c r="L103" s="216">
        <v>0</v>
      </c>
      <c r="M103" s="216">
        <v>0</v>
      </c>
      <c r="N103" s="216">
        <v>0</v>
      </c>
      <c r="O103" s="216">
        <v>0</v>
      </c>
      <c r="P103" s="208"/>
    </row>
    <row r="104" spans="1:16" ht="51">
      <c r="A104" s="209">
        <v>100</v>
      </c>
      <c r="B104" s="216" t="s">
        <v>222</v>
      </c>
      <c r="C104" s="209">
        <v>5141583</v>
      </c>
      <c r="D104" s="216" t="s">
        <v>9344</v>
      </c>
      <c r="E104" s="486">
        <v>44927</v>
      </c>
      <c r="F104" s="486">
        <v>45291</v>
      </c>
      <c r="G104" s="216"/>
      <c r="H104" s="216">
        <v>0</v>
      </c>
      <c r="I104" s="216">
        <v>0</v>
      </c>
      <c r="J104" s="216">
        <v>0</v>
      </c>
      <c r="K104" s="216">
        <v>0</v>
      </c>
      <c r="L104" s="216">
        <v>0</v>
      </c>
      <c r="M104" s="216">
        <v>199754000000</v>
      </c>
      <c r="N104" s="216">
        <v>0</v>
      </c>
      <c r="O104" s="216">
        <v>0</v>
      </c>
      <c r="P104" s="208"/>
    </row>
    <row r="105" spans="1:16" ht="51">
      <c r="A105" s="209">
        <v>101</v>
      </c>
      <c r="B105" s="216" t="s">
        <v>222</v>
      </c>
      <c r="C105" s="209">
        <v>5141583</v>
      </c>
      <c r="D105" s="216" t="s">
        <v>9345</v>
      </c>
      <c r="E105" s="486">
        <v>44927</v>
      </c>
      <c r="F105" s="486">
        <v>45291</v>
      </c>
      <c r="G105" s="216"/>
      <c r="H105" s="216">
        <v>0</v>
      </c>
      <c r="I105" s="216">
        <v>0</v>
      </c>
      <c r="J105" s="216">
        <v>0</v>
      </c>
      <c r="K105" s="216">
        <v>0</v>
      </c>
      <c r="L105" s="216">
        <v>0</v>
      </c>
      <c r="M105" s="216">
        <v>0</v>
      </c>
      <c r="N105" s="216">
        <v>39645200000</v>
      </c>
      <c r="O105" s="216">
        <v>0</v>
      </c>
      <c r="P105" s="208"/>
    </row>
    <row r="106" spans="1:16" ht="38.25">
      <c r="A106" s="209">
        <v>102</v>
      </c>
      <c r="B106" s="216" t="s">
        <v>222</v>
      </c>
      <c r="C106" s="209">
        <v>5141583</v>
      </c>
      <c r="D106" s="216" t="s">
        <v>9346</v>
      </c>
      <c r="E106" s="486">
        <v>44927</v>
      </c>
      <c r="F106" s="486">
        <v>45291</v>
      </c>
      <c r="G106" s="216"/>
      <c r="H106" s="216">
        <v>0</v>
      </c>
      <c r="I106" s="216">
        <v>0</v>
      </c>
      <c r="J106" s="216">
        <v>0</v>
      </c>
      <c r="K106" s="216">
        <v>0</v>
      </c>
      <c r="L106" s="216">
        <v>0</v>
      </c>
      <c r="M106" s="216">
        <v>0</v>
      </c>
      <c r="N106" s="216">
        <v>0</v>
      </c>
      <c r="O106" s="216">
        <v>5130160000</v>
      </c>
      <c r="P106" s="208"/>
    </row>
    <row r="107" spans="1:16" ht="38.25">
      <c r="A107" s="209">
        <v>103</v>
      </c>
      <c r="B107" s="214" t="s">
        <v>222</v>
      </c>
      <c r="C107" s="215">
        <v>5141583</v>
      </c>
      <c r="D107" s="216" t="s">
        <v>9347</v>
      </c>
      <c r="E107" s="486">
        <v>44927</v>
      </c>
      <c r="F107" s="486">
        <v>45291</v>
      </c>
      <c r="G107" s="216"/>
      <c r="H107" s="216">
        <v>0</v>
      </c>
      <c r="I107" s="216">
        <v>0</v>
      </c>
      <c r="J107" s="216">
        <v>0</v>
      </c>
      <c r="K107" s="216">
        <v>0</v>
      </c>
      <c r="L107" s="216">
        <v>0</v>
      </c>
      <c r="M107" s="216">
        <v>218162000000</v>
      </c>
      <c r="N107" s="216">
        <v>0</v>
      </c>
      <c r="O107" s="216">
        <v>0</v>
      </c>
      <c r="P107" s="95"/>
    </row>
    <row r="108" spans="1:16">
      <c r="A108" s="209">
        <v>104</v>
      </c>
      <c r="B108" s="244" t="s">
        <v>223</v>
      </c>
      <c r="C108" s="215">
        <v>5118115</v>
      </c>
      <c r="D108" s="210"/>
      <c r="E108" s="210"/>
      <c r="F108" s="210"/>
      <c r="G108" s="210"/>
      <c r="H108" s="210"/>
      <c r="I108" s="210"/>
      <c r="J108" s="210"/>
      <c r="K108" s="210"/>
      <c r="L108" s="210"/>
      <c r="M108" s="210"/>
      <c r="N108" s="210"/>
      <c r="O108" s="210"/>
    </row>
    <row r="109" spans="1:16">
      <c r="A109" s="209">
        <v>105</v>
      </c>
      <c r="B109" s="214" t="s">
        <v>224</v>
      </c>
      <c r="C109" s="215">
        <v>5106656</v>
      </c>
      <c r="D109" s="210"/>
      <c r="E109" s="210"/>
      <c r="F109" s="210"/>
      <c r="G109" s="210"/>
      <c r="H109" s="210"/>
      <c r="I109" s="210"/>
      <c r="J109" s="210"/>
      <c r="K109" s="210"/>
      <c r="L109" s="210"/>
      <c r="M109" s="210"/>
      <c r="N109" s="210"/>
      <c r="O109" s="210"/>
    </row>
    <row r="110" spans="1:16">
      <c r="A110" s="209">
        <v>106</v>
      </c>
      <c r="B110" s="214" t="s">
        <v>225</v>
      </c>
      <c r="C110" s="215">
        <v>2010895</v>
      </c>
      <c r="D110" s="216" t="s">
        <v>9348</v>
      </c>
      <c r="E110" s="486">
        <v>44928</v>
      </c>
      <c r="F110" s="486">
        <v>45289</v>
      </c>
      <c r="G110" s="484">
        <v>46008000</v>
      </c>
      <c r="H110" s="216">
        <v>0</v>
      </c>
      <c r="I110" s="216">
        <v>0</v>
      </c>
      <c r="J110" s="216">
        <v>29155000</v>
      </c>
      <c r="K110" s="216">
        <v>0</v>
      </c>
      <c r="L110" s="216">
        <v>0</v>
      </c>
      <c r="M110" s="216">
        <v>0</v>
      </c>
      <c r="N110" s="216">
        <v>0</v>
      </c>
      <c r="O110" s="216">
        <v>0</v>
      </c>
    </row>
    <row r="111" spans="1:16" ht="25.5">
      <c r="A111" s="209">
        <v>107</v>
      </c>
      <c r="B111" s="216" t="s">
        <v>227</v>
      </c>
      <c r="C111" s="215">
        <v>5295858</v>
      </c>
      <c r="D111" s="210"/>
      <c r="E111" s="210"/>
      <c r="F111" s="210"/>
      <c r="G111" s="210"/>
      <c r="H111" s="210"/>
      <c r="I111" s="210"/>
      <c r="J111" s="210"/>
      <c r="K111" s="210"/>
      <c r="L111" s="210"/>
      <c r="M111" s="210"/>
      <c r="N111" s="210"/>
      <c r="O111" s="210"/>
    </row>
    <row r="112" spans="1:16">
      <c r="A112" s="209"/>
      <c r="B112" s="216"/>
      <c r="C112" s="215"/>
      <c r="D112" s="210"/>
      <c r="E112" s="210"/>
      <c r="F112" s="210"/>
      <c r="G112" s="210"/>
      <c r="H112" s="210"/>
      <c r="I112" s="210"/>
      <c r="J112" s="210"/>
      <c r="K112" s="210"/>
      <c r="L112" s="210"/>
      <c r="M112" s="210"/>
      <c r="N112" s="210"/>
      <c r="O112" s="210"/>
    </row>
    <row r="113" spans="1:15">
      <c r="A113" s="209"/>
      <c r="B113" s="216"/>
      <c r="C113" s="215"/>
      <c r="D113" s="210"/>
      <c r="E113" s="210"/>
      <c r="F113" s="210"/>
      <c r="G113" s="210"/>
      <c r="H113" s="210"/>
      <c r="I113" s="210"/>
      <c r="J113" s="210"/>
      <c r="K113" s="210"/>
      <c r="L113" s="210"/>
      <c r="M113" s="210"/>
      <c r="N113" s="210"/>
      <c r="O113" s="210"/>
    </row>
    <row r="114" spans="1:15">
      <c r="A114" s="209"/>
      <c r="B114" s="216"/>
      <c r="C114" s="215"/>
      <c r="D114" s="210"/>
      <c r="E114" s="210"/>
      <c r="F114" s="210"/>
      <c r="G114" s="210"/>
      <c r="H114" s="210"/>
      <c r="I114" s="210"/>
      <c r="J114" s="210"/>
      <c r="K114" s="210"/>
      <c r="L114" s="210"/>
      <c r="M114" s="210"/>
      <c r="N114" s="210"/>
      <c r="O114" s="210"/>
    </row>
    <row r="115" spans="1:15">
      <c r="A115" s="209"/>
      <c r="B115" s="216"/>
      <c r="C115" s="215"/>
      <c r="D115" s="210"/>
      <c r="E115" s="210"/>
      <c r="F115" s="210"/>
      <c r="G115" s="210"/>
      <c r="H115" s="210"/>
      <c r="I115" s="210"/>
      <c r="J115" s="210"/>
      <c r="K115" s="210"/>
      <c r="L115" s="210"/>
      <c r="M115" s="210"/>
      <c r="N115" s="210"/>
      <c r="O115" s="210"/>
    </row>
    <row r="116" spans="1:15">
      <c r="A116" s="209"/>
      <c r="B116" s="216"/>
      <c r="C116" s="215"/>
      <c r="D116" s="210"/>
      <c r="E116" s="210"/>
      <c r="F116" s="210"/>
      <c r="G116" s="210"/>
      <c r="H116" s="210"/>
      <c r="I116" s="210"/>
      <c r="J116" s="210"/>
      <c r="K116" s="210"/>
      <c r="L116" s="210"/>
      <c r="M116" s="210"/>
      <c r="N116" s="210"/>
      <c r="O116" s="210"/>
    </row>
    <row r="117" spans="1:15">
      <c r="A117" s="209"/>
      <c r="B117" s="216"/>
      <c r="C117" s="215"/>
      <c r="D117" s="210"/>
      <c r="E117" s="210"/>
      <c r="F117" s="210"/>
      <c r="G117" s="210"/>
      <c r="H117" s="210"/>
      <c r="I117" s="210"/>
      <c r="J117" s="210"/>
      <c r="K117" s="210"/>
      <c r="L117" s="210"/>
      <c r="M117" s="210"/>
      <c r="N117" s="210"/>
      <c r="O117" s="210"/>
    </row>
    <row r="118" spans="1:15">
      <c r="A118" s="209"/>
      <c r="B118" s="216"/>
      <c r="C118" s="215"/>
      <c r="D118" s="210"/>
      <c r="E118" s="210"/>
      <c r="F118" s="210"/>
      <c r="G118" s="210"/>
      <c r="H118" s="210"/>
      <c r="I118" s="210"/>
      <c r="J118" s="210"/>
      <c r="K118" s="210"/>
      <c r="L118" s="210"/>
      <c r="M118" s="210"/>
      <c r="N118" s="210"/>
      <c r="O118" s="210"/>
    </row>
    <row r="119" spans="1:15">
      <c r="A119" s="209"/>
      <c r="B119" s="216"/>
      <c r="C119" s="215"/>
      <c r="D119" s="210"/>
      <c r="E119" s="210"/>
      <c r="F119" s="210"/>
      <c r="G119" s="210"/>
      <c r="H119" s="210"/>
      <c r="I119" s="210"/>
      <c r="J119" s="210"/>
      <c r="K119" s="210"/>
      <c r="L119" s="210"/>
      <c r="M119" s="210"/>
      <c r="N119" s="210"/>
      <c r="O119" s="210"/>
    </row>
    <row r="120" spans="1:15">
      <c r="A120" s="209"/>
      <c r="B120" s="216"/>
      <c r="C120" s="215"/>
      <c r="D120" s="210"/>
      <c r="E120" s="210"/>
      <c r="F120" s="210"/>
      <c r="G120" s="210"/>
      <c r="H120" s="210"/>
      <c r="I120" s="210"/>
      <c r="J120" s="210"/>
      <c r="K120" s="210"/>
      <c r="L120" s="210"/>
      <c r="M120" s="210"/>
      <c r="N120" s="210"/>
      <c r="O120" s="210"/>
    </row>
    <row r="121" spans="1:15">
      <c r="A121" s="209"/>
      <c r="B121" s="216"/>
      <c r="C121" s="215"/>
      <c r="D121" s="210"/>
      <c r="E121" s="210"/>
      <c r="F121" s="210"/>
      <c r="G121" s="210"/>
      <c r="H121" s="210"/>
      <c r="I121" s="210"/>
      <c r="J121" s="210"/>
      <c r="K121" s="210"/>
      <c r="L121" s="210"/>
      <c r="M121" s="210"/>
      <c r="N121" s="210"/>
      <c r="O121" s="210"/>
    </row>
    <row r="122" spans="1:15">
      <c r="A122" s="209"/>
      <c r="B122" s="216"/>
      <c r="C122" s="215"/>
      <c r="D122" s="210"/>
      <c r="E122" s="210"/>
      <c r="F122" s="210"/>
      <c r="G122" s="210"/>
      <c r="H122" s="210"/>
      <c r="I122" s="210"/>
      <c r="J122" s="210"/>
      <c r="K122" s="210"/>
      <c r="L122" s="210"/>
      <c r="M122" s="210"/>
      <c r="N122" s="210"/>
      <c r="O122" s="210"/>
    </row>
    <row r="123" spans="1:15">
      <c r="A123" s="209"/>
      <c r="B123" s="216"/>
      <c r="C123" s="215"/>
      <c r="D123" s="210"/>
      <c r="E123" s="210"/>
      <c r="F123" s="210"/>
      <c r="G123" s="210"/>
      <c r="H123" s="210"/>
      <c r="I123" s="210"/>
      <c r="J123" s="210"/>
      <c r="K123" s="210"/>
      <c r="L123" s="210"/>
      <c r="M123" s="210"/>
      <c r="N123" s="210"/>
      <c r="O123" s="210"/>
    </row>
    <row r="124" spans="1:15">
      <c r="A124" s="209"/>
      <c r="B124" s="216"/>
      <c r="C124" s="215"/>
      <c r="D124" s="210"/>
      <c r="E124" s="210"/>
      <c r="F124" s="210"/>
      <c r="G124" s="210"/>
      <c r="H124" s="210"/>
      <c r="I124" s="210"/>
      <c r="J124" s="210"/>
      <c r="K124" s="210"/>
      <c r="L124" s="210"/>
      <c r="M124" s="210"/>
      <c r="N124" s="210"/>
      <c r="O124" s="210"/>
    </row>
    <row r="125" spans="1:15">
      <c r="A125" s="209"/>
      <c r="B125" s="216"/>
      <c r="C125" s="215"/>
      <c r="D125" s="210"/>
      <c r="E125" s="210"/>
      <c r="F125" s="210"/>
      <c r="G125" s="210"/>
      <c r="H125" s="210"/>
      <c r="I125" s="210"/>
      <c r="J125" s="210"/>
      <c r="K125" s="210"/>
      <c r="L125" s="210"/>
      <c r="M125" s="210"/>
      <c r="N125" s="210"/>
      <c r="O125" s="210"/>
    </row>
    <row r="126" spans="1:15">
      <c r="A126" s="209"/>
      <c r="B126" s="216"/>
      <c r="C126" s="215"/>
      <c r="D126" s="210"/>
      <c r="E126" s="210"/>
      <c r="F126" s="210"/>
      <c r="G126" s="210"/>
      <c r="H126" s="210"/>
      <c r="I126" s="210"/>
      <c r="J126" s="210"/>
      <c r="K126" s="210"/>
      <c r="L126" s="210"/>
      <c r="M126" s="210"/>
      <c r="N126" s="210"/>
      <c r="O126" s="210"/>
    </row>
    <row r="127" spans="1:15">
      <c r="A127" s="209"/>
      <c r="B127" s="216"/>
      <c r="C127" s="215"/>
      <c r="D127" s="210"/>
      <c r="E127" s="210"/>
      <c r="F127" s="210"/>
      <c r="G127" s="210"/>
      <c r="H127" s="210"/>
      <c r="I127" s="210"/>
      <c r="J127" s="210"/>
      <c r="K127" s="210"/>
      <c r="L127" s="210"/>
      <c r="M127" s="210"/>
      <c r="N127" s="210"/>
      <c r="O127" s="210"/>
    </row>
    <row r="128" spans="1:15">
      <c r="A128" s="209"/>
      <c r="B128" s="216"/>
      <c r="C128" s="215"/>
      <c r="D128" s="210"/>
      <c r="E128" s="210"/>
      <c r="F128" s="210"/>
      <c r="G128" s="210"/>
      <c r="H128" s="210"/>
      <c r="I128" s="210"/>
      <c r="J128" s="210"/>
      <c r="K128" s="210"/>
      <c r="L128" s="210"/>
      <c r="M128" s="210"/>
      <c r="N128" s="210"/>
      <c r="O128" s="210"/>
    </row>
    <row r="129" spans="1:15">
      <c r="A129" s="209"/>
      <c r="B129" s="216"/>
      <c r="C129" s="215"/>
      <c r="D129" s="210"/>
      <c r="E129" s="210"/>
      <c r="F129" s="210"/>
      <c r="G129" s="210"/>
      <c r="H129" s="210"/>
      <c r="I129" s="210"/>
      <c r="J129" s="210"/>
      <c r="K129" s="210"/>
      <c r="L129" s="210"/>
      <c r="M129" s="210"/>
      <c r="N129" s="210"/>
      <c r="O129" s="210"/>
    </row>
    <row r="130" spans="1:15">
      <c r="A130" s="209"/>
      <c r="B130" s="216"/>
      <c r="C130" s="215"/>
      <c r="D130" s="210"/>
      <c r="E130" s="210"/>
      <c r="F130" s="210"/>
      <c r="G130" s="210"/>
      <c r="H130" s="210"/>
      <c r="I130" s="210"/>
      <c r="J130" s="210"/>
      <c r="K130" s="210"/>
      <c r="L130" s="210"/>
      <c r="M130" s="210"/>
      <c r="N130" s="210"/>
      <c r="O130" s="210"/>
    </row>
    <row r="131" spans="1:15">
      <c r="A131" s="209"/>
      <c r="B131" s="216"/>
      <c r="C131" s="215"/>
      <c r="D131" s="210"/>
      <c r="E131" s="210"/>
      <c r="F131" s="210"/>
      <c r="G131" s="210"/>
      <c r="H131" s="210"/>
      <c r="I131" s="210"/>
      <c r="J131" s="210"/>
      <c r="K131" s="210"/>
      <c r="L131" s="210"/>
      <c r="M131" s="210"/>
      <c r="N131" s="210"/>
      <c r="O131" s="210"/>
    </row>
    <row r="132" spans="1:15">
      <c r="A132" s="209"/>
      <c r="B132" s="216"/>
      <c r="C132" s="215"/>
      <c r="D132" s="210"/>
      <c r="E132" s="210"/>
      <c r="F132" s="210"/>
      <c r="G132" s="210"/>
      <c r="H132" s="210"/>
      <c r="I132" s="210"/>
      <c r="J132" s="210"/>
      <c r="K132" s="210"/>
      <c r="L132" s="210"/>
      <c r="M132" s="210"/>
      <c r="N132" s="210"/>
      <c r="O132" s="210"/>
    </row>
    <row r="133" spans="1:15">
      <c r="A133" s="209"/>
      <c r="B133" s="216"/>
      <c r="C133" s="215"/>
      <c r="D133" s="210"/>
      <c r="E133" s="210"/>
      <c r="F133" s="210"/>
      <c r="G133" s="210"/>
      <c r="H133" s="210"/>
      <c r="I133" s="210"/>
      <c r="J133" s="210"/>
      <c r="K133" s="210"/>
      <c r="L133" s="210"/>
      <c r="M133" s="210"/>
      <c r="N133" s="210"/>
      <c r="O133" s="210"/>
    </row>
    <row r="134" spans="1:15">
      <c r="A134" s="209"/>
      <c r="B134" s="216"/>
      <c r="C134" s="215"/>
      <c r="D134" s="210"/>
      <c r="E134" s="210"/>
      <c r="F134" s="210"/>
      <c r="G134" s="210"/>
      <c r="H134" s="210"/>
      <c r="I134" s="210"/>
      <c r="J134" s="210"/>
      <c r="K134" s="210"/>
      <c r="L134" s="210"/>
      <c r="M134" s="210"/>
      <c r="N134" s="210"/>
      <c r="O134" s="210"/>
    </row>
    <row r="135" spans="1:15">
      <c r="A135" s="209"/>
      <c r="B135" s="216"/>
      <c r="C135" s="215"/>
      <c r="D135" s="210"/>
      <c r="E135" s="210"/>
      <c r="F135" s="210"/>
      <c r="G135" s="210"/>
      <c r="H135" s="210"/>
      <c r="I135" s="210"/>
      <c r="J135" s="210"/>
      <c r="K135" s="210"/>
      <c r="L135" s="210"/>
      <c r="M135" s="210"/>
      <c r="N135" s="210"/>
      <c r="O135" s="210"/>
    </row>
    <row r="136" spans="1:15">
      <c r="A136" s="209"/>
      <c r="B136" s="216"/>
      <c r="C136" s="215"/>
      <c r="D136" s="210"/>
      <c r="E136" s="210"/>
      <c r="F136" s="210"/>
      <c r="G136" s="210"/>
      <c r="H136" s="210"/>
      <c r="I136" s="210"/>
      <c r="J136" s="210"/>
      <c r="K136" s="210"/>
      <c r="L136" s="210"/>
      <c r="M136" s="210"/>
      <c r="N136" s="210"/>
      <c r="O136" s="210"/>
    </row>
    <row r="137" spans="1:15">
      <c r="A137" s="209"/>
      <c r="B137" s="216"/>
      <c r="C137" s="215"/>
      <c r="D137" s="210"/>
      <c r="E137" s="210"/>
      <c r="F137" s="210"/>
      <c r="G137" s="210"/>
      <c r="H137" s="210"/>
      <c r="I137" s="210"/>
      <c r="J137" s="210"/>
      <c r="K137" s="210"/>
      <c r="L137" s="210"/>
      <c r="M137" s="210"/>
      <c r="N137" s="210"/>
      <c r="O137" s="210"/>
    </row>
    <row r="138" spans="1:15">
      <c r="A138" s="209"/>
      <c r="B138" s="216"/>
      <c r="C138" s="215"/>
      <c r="D138" s="210"/>
      <c r="E138" s="210"/>
      <c r="F138" s="210"/>
      <c r="G138" s="210"/>
      <c r="H138" s="210"/>
      <c r="I138" s="210"/>
      <c r="J138" s="210"/>
      <c r="K138" s="210"/>
      <c r="L138" s="210"/>
      <c r="M138" s="210"/>
      <c r="N138" s="210"/>
      <c r="O138" s="210"/>
    </row>
    <row r="139" spans="1:15">
      <c r="A139" s="209"/>
      <c r="B139" s="216"/>
      <c r="C139" s="215"/>
      <c r="D139" s="210"/>
      <c r="E139" s="210"/>
      <c r="F139" s="210"/>
      <c r="G139" s="210"/>
      <c r="H139" s="210"/>
      <c r="I139" s="210"/>
      <c r="J139" s="210"/>
      <c r="K139" s="210"/>
      <c r="L139" s="210"/>
      <c r="M139" s="210"/>
      <c r="N139" s="210"/>
      <c r="O139" s="210"/>
    </row>
    <row r="140" spans="1:15">
      <c r="A140" s="209"/>
      <c r="B140" s="216"/>
      <c r="C140" s="215"/>
      <c r="D140" s="210"/>
      <c r="E140" s="210"/>
      <c r="F140" s="210"/>
      <c r="G140" s="210"/>
      <c r="H140" s="210"/>
      <c r="I140" s="210"/>
      <c r="J140" s="210"/>
      <c r="K140" s="210"/>
      <c r="L140" s="210"/>
      <c r="M140" s="210"/>
      <c r="N140" s="210"/>
      <c r="O140" s="210"/>
    </row>
    <row r="141" spans="1:15">
      <c r="A141" s="209"/>
      <c r="B141" s="216"/>
      <c r="C141" s="215"/>
      <c r="D141" s="210"/>
      <c r="E141" s="210"/>
      <c r="F141" s="210"/>
      <c r="G141" s="210"/>
      <c r="H141" s="210"/>
      <c r="I141" s="210"/>
      <c r="J141" s="210"/>
      <c r="K141" s="210"/>
      <c r="L141" s="210"/>
      <c r="M141" s="210"/>
      <c r="N141" s="210"/>
      <c r="O141" s="210"/>
    </row>
    <row r="142" spans="1:15">
      <c r="A142" s="209"/>
      <c r="B142" s="216"/>
      <c r="C142" s="215"/>
      <c r="D142" s="210"/>
      <c r="E142" s="210"/>
      <c r="F142" s="210"/>
      <c r="G142" s="210"/>
      <c r="H142" s="210"/>
      <c r="I142" s="210"/>
      <c r="J142" s="210"/>
      <c r="K142" s="210"/>
      <c r="L142" s="210"/>
      <c r="M142" s="210"/>
      <c r="N142" s="210"/>
      <c r="O142" s="210"/>
    </row>
    <row r="143" spans="1:15">
      <c r="A143" s="209"/>
      <c r="B143" s="216"/>
      <c r="C143" s="215"/>
      <c r="D143" s="210"/>
      <c r="E143" s="210"/>
      <c r="F143" s="210"/>
      <c r="G143" s="210"/>
      <c r="H143" s="210"/>
      <c r="I143" s="210"/>
      <c r="J143" s="210"/>
      <c r="K143" s="210"/>
      <c r="L143" s="210"/>
      <c r="M143" s="210"/>
      <c r="N143" s="210"/>
      <c r="O143" s="210"/>
    </row>
    <row r="144" spans="1:15">
      <c r="A144" s="209"/>
      <c r="B144" s="216"/>
      <c r="C144" s="215"/>
      <c r="D144" s="210"/>
      <c r="E144" s="210"/>
      <c r="F144" s="210"/>
      <c r="G144" s="210"/>
      <c r="H144" s="210"/>
      <c r="I144" s="210"/>
      <c r="J144" s="210"/>
      <c r="K144" s="210"/>
      <c r="L144" s="210"/>
      <c r="M144" s="210"/>
      <c r="N144" s="210"/>
      <c r="O144" s="210"/>
    </row>
    <row r="145" spans="1:15">
      <c r="A145" s="209"/>
      <c r="B145" s="216"/>
      <c r="C145" s="215"/>
      <c r="D145" s="210"/>
      <c r="E145" s="210"/>
      <c r="F145" s="210"/>
      <c r="G145" s="210"/>
      <c r="H145" s="210"/>
      <c r="I145" s="210"/>
      <c r="J145" s="210"/>
      <c r="K145" s="210"/>
      <c r="L145" s="210"/>
      <c r="M145" s="210"/>
      <c r="N145" s="210"/>
      <c r="O145" s="210"/>
    </row>
    <row r="146" spans="1:15">
      <c r="A146" s="209"/>
      <c r="B146" s="216"/>
      <c r="C146" s="215"/>
      <c r="D146" s="210"/>
      <c r="E146" s="210"/>
      <c r="F146" s="210"/>
      <c r="G146" s="210"/>
      <c r="H146" s="210"/>
      <c r="I146" s="210"/>
      <c r="J146" s="210"/>
      <c r="K146" s="210"/>
      <c r="L146" s="210"/>
      <c r="M146" s="210"/>
      <c r="N146" s="210"/>
      <c r="O146" s="210"/>
    </row>
    <row r="147" spans="1:15">
      <c r="A147" s="209"/>
      <c r="B147" s="216"/>
      <c r="C147" s="215"/>
      <c r="D147" s="210"/>
      <c r="E147" s="210"/>
      <c r="F147" s="210"/>
      <c r="G147" s="210"/>
      <c r="H147" s="210"/>
      <c r="I147" s="210"/>
      <c r="J147" s="210"/>
      <c r="K147" s="210"/>
      <c r="L147" s="210"/>
      <c r="M147" s="210"/>
      <c r="N147" s="210"/>
      <c r="O147" s="210"/>
    </row>
    <row r="148" spans="1:15">
      <c r="A148" s="209"/>
      <c r="B148" s="216"/>
      <c r="C148" s="215"/>
      <c r="D148" s="210"/>
      <c r="E148" s="210"/>
      <c r="F148" s="210"/>
      <c r="G148" s="210"/>
      <c r="H148" s="210"/>
      <c r="I148" s="210"/>
      <c r="J148" s="210"/>
      <c r="K148" s="210"/>
      <c r="L148" s="210"/>
      <c r="M148" s="210"/>
      <c r="N148" s="210"/>
      <c r="O148" s="210"/>
    </row>
    <row r="149" spans="1:15">
      <c r="A149" s="209"/>
      <c r="B149" s="216"/>
      <c r="C149" s="215"/>
      <c r="D149" s="210"/>
      <c r="E149" s="210"/>
      <c r="F149" s="210"/>
      <c r="G149" s="210"/>
      <c r="H149" s="210"/>
      <c r="I149" s="210"/>
      <c r="J149" s="210"/>
      <c r="K149" s="210"/>
      <c r="L149" s="210"/>
      <c r="M149" s="210"/>
      <c r="N149" s="210"/>
      <c r="O149" s="210"/>
    </row>
    <row r="150" spans="1:15">
      <c r="A150" s="209"/>
      <c r="B150" s="216"/>
      <c r="C150" s="215"/>
      <c r="D150" s="210"/>
      <c r="E150" s="210"/>
      <c r="F150" s="210"/>
      <c r="G150" s="210"/>
      <c r="H150" s="210"/>
      <c r="I150" s="210"/>
      <c r="J150" s="210"/>
      <c r="K150" s="210"/>
      <c r="L150" s="210"/>
      <c r="M150" s="210"/>
      <c r="N150" s="210"/>
      <c r="O150" s="210"/>
    </row>
    <row r="151" spans="1:15">
      <c r="A151" s="209"/>
      <c r="B151" s="216"/>
      <c r="C151" s="215"/>
      <c r="D151" s="210"/>
      <c r="E151" s="210"/>
      <c r="F151" s="210"/>
      <c r="G151" s="210"/>
      <c r="H151" s="210"/>
      <c r="I151" s="210"/>
      <c r="J151" s="210"/>
      <c r="K151" s="210"/>
      <c r="L151" s="210"/>
      <c r="M151" s="210"/>
      <c r="N151" s="210"/>
      <c r="O151" s="210"/>
    </row>
    <row r="152" spans="1:15">
      <c r="A152" s="209"/>
      <c r="B152" s="216"/>
      <c r="C152" s="215"/>
      <c r="D152" s="210"/>
      <c r="E152" s="210"/>
      <c r="F152" s="210"/>
      <c r="G152" s="210"/>
      <c r="H152" s="210"/>
      <c r="I152" s="210"/>
      <c r="J152" s="210"/>
      <c r="K152" s="210"/>
      <c r="L152" s="210"/>
      <c r="M152" s="210"/>
      <c r="N152" s="210"/>
      <c r="O152" s="210"/>
    </row>
    <row r="153" spans="1:15">
      <c r="A153" s="209"/>
      <c r="B153" s="216"/>
      <c r="C153" s="215"/>
      <c r="D153" s="210"/>
      <c r="E153" s="210"/>
      <c r="F153" s="210"/>
      <c r="G153" s="210"/>
      <c r="H153" s="210"/>
      <c r="I153" s="210"/>
      <c r="J153" s="210"/>
      <c r="K153" s="210"/>
      <c r="L153" s="210"/>
      <c r="M153" s="210"/>
      <c r="N153" s="210"/>
      <c r="O153" s="210"/>
    </row>
    <row r="154" spans="1:15">
      <c r="A154" s="209"/>
      <c r="B154" s="216"/>
      <c r="C154" s="215"/>
      <c r="D154" s="210"/>
      <c r="E154" s="210"/>
      <c r="F154" s="210"/>
      <c r="G154" s="210"/>
      <c r="H154" s="210"/>
      <c r="I154" s="210"/>
      <c r="J154" s="210"/>
      <c r="K154" s="210"/>
      <c r="L154" s="210"/>
      <c r="M154" s="210"/>
      <c r="N154" s="210"/>
      <c r="O154" s="210"/>
    </row>
    <row r="155" spans="1:15">
      <c r="A155" s="209"/>
      <c r="B155" s="216"/>
      <c r="C155" s="215"/>
      <c r="D155" s="210"/>
      <c r="E155" s="210"/>
      <c r="F155" s="210"/>
      <c r="G155" s="210"/>
      <c r="H155" s="210"/>
      <c r="I155" s="210"/>
      <c r="J155" s="210"/>
      <c r="K155" s="210"/>
      <c r="L155" s="210"/>
      <c r="M155" s="210"/>
      <c r="N155" s="210"/>
      <c r="O155" s="210"/>
    </row>
    <row r="156" spans="1:15">
      <c r="A156" s="209"/>
      <c r="B156" s="216"/>
      <c r="C156" s="215"/>
      <c r="D156" s="210"/>
      <c r="E156" s="210"/>
      <c r="F156" s="210"/>
      <c r="G156" s="210"/>
      <c r="H156" s="210"/>
      <c r="I156" s="210"/>
      <c r="J156" s="210"/>
      <c r="K156" s="210"/>
      <c r="L156" s="210"/>
      <c r="M156" s="210"/>
      <c r="N156" s="210"/>
      <c r="O156" s="210"/>
    </row>
    <row r="157" spans="1:15">
      <c r="A157" s="209"/>
      <c r="B157" s="216"/>
      <c r="C157" s="215"/>
      <c r="D157" s="210"/>
      <c r="E157" s="210"/>
      <c r="F157" s="210"/>
      <c r="G157" s="210"/>
      <c r="H157" s="210"/>
      <c r="I157" s="210"/>
      <c r="J157" s="210"/>
      <c r="K157" s="210"/>
      <c r="L157" s="210"/>
      <c r="M157" s="210"/>
      <c r="N157" s="210"/>
      <c r="O157" s="210"/>
    </row>
    <row r="158" spans="1:15">
      <c r="A158" s="209"/>
      <c r="B158" s="216"/>
      <c r="C158" s="215"/>
      <c r="D158" s="210"/>
      <c r="E158" s="210"/>
      <c r="F158" s="210"/>
      <c r="G158" s="210"/>
      <c r="H158" s="210"/>
      <c r="I158" s="210"/>
      <c r="J158" s="210"/>
      <c r="K158" s="210"/>
      <c r="L158" s="210"/>
      <c r="M158" s="210"/>
      <c r="N158" s="210"/>
      <c r="O158" s="210"/>
    </row>
    <row r="159" spans="1:15">
      <c r="A159" s="209"/>
      <c r="B159" s="216"/>
      <c r="C159" s="215"/>
      <c r="D159" s="210"/>
      <c r="E159" s="210"/>
      <c r="F159" s="210"/>
      <c r="G159" s="210"/>
      <c r="H159" s="210"/>
      <c r="I159" s="210"/>
      <c r="J159" s="210"/>
      <c r="K159" s="210"/>
      <c r="L159" s="210"/>
      <c r="M159" s="210"/>
      <c r="N159" s="210"/>
      <c r="O159" s="210"/>
    </row>
    <row r="160" spans="1:15">
      <c r="A160" s="209"/>
      <c r="B160" s="216"/>
      <c r="C160" s="215"/>
      <c r="D160" s="210"/>
      <c r="E160" s="210"/>
      <c r="F160" s="210"/>
      <c r="G160" s="210"/>
      <c r="H160" s="210"/>
      <c r="I160" s="210"/>
      <c r="J160" s="210"/>
      <c r="K160" s="210"/>
      <c r="L160" s="210"/>
      <c r="M160" s="210"/>
      <c r="N160" s="210"/>
      <c r="O160" s="210"/>
    </row>
    <row r="161" spans="1:16">
      <c r="A161" s="209"/>
      <c r="B161" s="216"/>
      <c r="C161" s="215"/>
      <c r="D161" s="210"/>
      <c r="E161" s="210"/>
      <c r="F161" s="210"/>
      <c r="G161" s="210"/>
      <c r="H161" s="210"/>
      <c r="I161" s="210"/>
      <c r="J161" s="210"/>
      <c r="K161" s="210"/>
      <c r="L161" s="210"/>
      <c r="M161" s="210"/>
      <c r="N161" s="210"/>
      <c r="O161" s="210"/>
    </row>
    <row r="162" spans="1:16">
      <c r="A162" s="209">
        <v>108</v>
      </c>
      <c r="B162" s="214" t="s">
        <v>228</v>
      </c>
      <c r="C162" s="215">
        <v>6287727</v>
      </c>
      <c r="D162" s="210"/>
      <c r="E162" s="210"/>
      <c r="F162" s="210"/>
      <c r="G162" s="210"/>
      <c r="H162" s="210"/>
      <c r="I162" s="210"/>
      <c r="J162" s="210"/>
      <c r="K162" s="210"/>
      <c r="L162" s="210"/>
      <c r="M162" s="210"/>
      <c r="N162" s="210"/>
      <c r="O162" s="210"/>
    </row>
    <row r="163" spans="1:16">
      <c r="A163" s="209">
        <v>109</v>
      </c>
      <c r="B163" s="216" t="s">
        <v>229</v>
      </c>
      <c r="C163" s="215">
        <v>2659603</v>
      </c>
      <c r="D163" s="210"/>
      <c r="E163" s="210"/>
      <c r="F163" s="210"/>
      <c r="G163" s="210"/>
      <c r="H163" s="210"/>
      <c r="I163" s="210"/>
      <c r="J163" s="210"/>
      <c r="K163" s="210"/>
      <c r="L163" s="210"/>
      <c r="M163" s="210"/>
      <c r="N163" s="210"/>
      <c r="O163" s="210"/>
    </row>
    <row r="164" spans="1:16">
      <c r="A164" s="209">
        <v>110</v>
      </c>
      <c r="B164" s="214" t="s">
        <v>230</v>
      </c>
      <c r="C164" s="215">
        <v>2678187</v>
      </c>
      <c r="D164" s="210"/>
      <c r="E164" s="210"/>
      <c r="F164" s="210"/>
      <c r="G164" s="210"/>
      <c r="H164" s="210"/>
      <c r="I164" s="210"/>
      <c r="J164" s="210"/>
      <c r="K164" s="210"/>
      <c r="L164" s="210"/>
      <c r="M164" s="210"/>
      <c r="N164" s="210"/>
      <c r="O164" s="210"/>
    </row>
    <row r="165" spans="1:16">
      <c r="A165" s="209">
        <v>111</v>
      </c>
      <c r="B165" s="216" t="s">
        <v>231</v>
      </c>
      <c r="C165" s="209">
        <v>2657457</v>
      </c>
      <c r="D165" s="216" t="s">
        <v>9121</v>
      </c>
      <c r="E165" s="486">
        <v>43435</v>
      </c>
      <c r="F165" s="486">
        <v>46357</v>
      </c>
      <c r="G165" s="216"/>
      <c r="H165" s="216">
        <v>0</v>
      </c>
      <c r="I165" s="216">
        <v>0</v>
      </c>
      <c r="J165" s="216">
        <v>0</v>
      </c>
      <c r="K165" s="216">
        <v>198011</v>
      </c>
      <c r="L165" s="216">
        <v>0</v>
      </c>
      <c r="M165" s="216">
        <v>0</v>
      </c>
      <c r="N165" s="216">
        <v>0</v>
      </c>
      <c r="O165" s="216">
        <v>0</v>
      </c>
      <c r="P165" s="208"/>
    </row>
    <row r="166" spans="1:16">
      <c r="A166" s="209">
        <v>112</v>
      </c>
      <c r="B166" s="216" t="s">
        <v>231</v>
      </c>
      <c r="C166" s="209">
        <v>2657457</v>
      </c>
      <c r="D166" s="216" t="s">
        <v>9349</v>
      </c>
      <c r="E166" s="486">
        <v>44348</v>
      </c>
      <c r="F166" s="486">
        <v>45444</v>
      </c>
      <c r="G166" s="484">
        <v>12586124</v>
      </c>
      <c r="H166" s="216">
        <v>7651290</v>
      </c>
      <c r="I166" s="216">
        <v>0</v>
      </c>
      <c r="J166" s="216">
        <v>0</v>
      </c>
      <c r="K166" s="216">
        <v>0</v>
      </c>
      <c r="L166" s="216">
        <v>0</v>
      </c>
      <c r="M166" s="216">
        <v>0</v>
      </c>
      <c r="N166" s="216">
        <v>0</v>
      </c>
      <c r="O166" s="216">
        <v>0</v>
      </c>
      <c r="P166" s="208"/>
    </row>
    <row r="167" spans="1:16">
      <c r="A167" s="209">
        <v>113</v>
      </c>
      <c r="B167" s="216" t="s">
        <v>231</v>
      </c>
      <c r="C167" s="209">
        <v>2657457</v>
      </c>
      <c r="D167" s="216" t="s">
        <v>9120</v>
      </c>
      <c r="E167" s="486">
        <v>43619</v>
      </c>
      <c r="F167" s="486">
        <v>45436</v>
      </c>
      <c r="G167" s="484">
        <v>12392616</v>
      </c>
      <c r="H167" s="216">
        <v>0</v>
      </c>
      <c r="I167" s="216">
        <v>0</v>
      </c>
      <c r="J167" s="216">
        <v>0</v>
      </c>
      <c r="K167" s="216">
        <v>0</v>
      </c>
      <c r="L167" s="216">
        <v>0</v>
      </c>
      <c r="M167" s="216">
        <v>0</v>
      </c>
      <c r="N167" s="216">
        <v>0</v>
      </c>
      <c r="O167" s="216">
        <v>0</v>
      </c>
      <c r="P167" s="208"/>
    </row>
    <row r="168" spans="1:16">
      <c r="A168" s="209">
        <v>114</v>
      </c>
      <c r="B168" s="216" t="s">
        <v>231</v>
      </c>
      <c r="C168" s="209">
        <v>2657457</v>
      </c>
      <c r="D168" s="216" t="s">
        <v>9119</v>
      </c>
      <c r="E168" s="486">
        <v>43132</v>
      </c>
      <c r="F168" s="486">
        <v>46082</v>
      </c>
      <c r="G168" s="484">
        <v>13725788</v>
      </c>
      <c r="H168" s="216">
        <v>6168870</v>
      </c>
      <c r="I168" s="216">
        <v>0</v>
      </c>
      <c r="J168" s="216">
        <v>0</v>
      </c>
      <c r="K168" s="216">
        <v>0</v>
      </c>
      <c r="L168" s="216">
        <v>0</v>
      </c>
      <c r="M168" s="216">
        <v>0</v>
      </c>
      <c r="N168" s="216">
        <v>0</v>
      </c>
      <c r="O168" s="216">
        <v>0</v>
      </c>
      <c r="P168" s="208"/>
    </row>
    <row r="169" spans="1:16">
      <c r="A169" s="209">
        <v>115</v>
      </c>
      <c r="B169" s="214" t="s">
        <v>231</v>
      </c>
      <c r="C169" s="215">
        <v>2657457</v>
      </c>
      <c r="D169" s="216" t="s">
        <v>9350</v>
      </c>
      <c r="E169" s="486">
        <v>43840</v>
      </c>
      <c r="F169" s="486">
        <v>45667</v>
      </c>
      <c r="G169" s="216"/>
      <c r="H169" s="216">
        <v>0</v>
      </c>
      <c r="I169" s="216">
        <v>0</v>
      </c>
      <c r="J169" s="216">
        <v>0</v>
      </c>
      <c r="K169" s="216">
        <v>0</v>
      </c>
      <c r="L169" s="216">
        <v>93818500</v>
      </c>
      <c r="M169" s="216">
        <v>0</v>
      </c>
      <c r="N169" s="216">
        <v>0</v>
      </c>
      <c r="O169" s="216">
        <v>0</v>
      </c>
      <c r="P169" s="95"/>
    </row>
    <row r="170" spans="1:16" ht="25.5">
      <c r="A170" s="209">
        <v>116</v>
      </c>
      <c r="B170" s="214" t="s">
        <v>232</v>
      </c>
      <c r="C170" s="215">
        <v>3615243</v>
      </c>
      <c r="D170" s="216" t="s">
        <v>9351</v>
      </c>
      <c r="E170" s="486">
        <v>44927</v>
      </c>
      <c r="F170" s="486">
        <v>45291</v>
      </c>
      <c r="G170" s="484">
        <v>4100000</v>
      </c>
      <c r="H170" s="216">
        <v>0</v>
      </c>
      <c r="I170" s="216">
        <v>0</v>
      </c>
      <c r="J170" s="216">
        <v>0</v>
      </c>
      <c r="K170" s="216">
        <v>0</v>
      </c>
      <c r="L170" s="216">
        <v>0</v>
      </c>
      <c r="M170" s="216">
        <v>0</v>
      </c>
      <c r="N170" s="216">
        <v>0</v>
      </c>
      <c r="O170" s="216">
        <v>0</v>
      </c>
    </row>
    <row r="171" spans="1:16">
      <c r="A171" s="209">
        <v>117</v>
      </c>
      <c r="B171" s="214" t="s">
        <v>236</v>
      </c>
      <c r="C171" s="215">
        <v>3623955</v>
      </c>
      <c r="D171" s="210"/>
      <c r="E171" s="210"/>
      <c r="F171" s="210"/>
      <c r="G171" s="210"/>
      <c r="H171" s="210"/>
      <c r="I171" s="210"/>
      <c r="J171" s="210"/>
      <c r="K171" s="210"/>
      <c r="L171" s="210"/>
      <c r="M171" s="210"/>
      <c r="N171" s="210"/>
      <c r="O171" s="210"/>
    </row>
    <row r="172" spans="1:16">
      <c r="A172" s="209">
        <v>118</v>
      </c>
      <c r="B172" s="216" t="s">
        <v>239</v>
      </c>
      <c r="C172" s="215">
        <v>5199077</v>
      </c>
      <c r="D172" s="210"/>
      <c r="E172" s="210"/>
      <c r="F172" s="210"/>
      <c r="G172" s="210"/>
      <c r="H172" s="210"/>
      <c r="I172" s="210"/>
      <c r="J172" s="210"/>
      <c r="K172" s="210"/>
      <c r="L172" s="210"/>
      <c r="M172" s="210"/>
      <c r="N172" s="210"/>
      <c r="O172" s="210"/>
    </row>
    <row r="173" spans="1:16" ht="25.5">
      <c r="A173" s="209">
        <v>119</v>
      </c>
      <c r="B173" s="216" t="s">
        <v>240</v>
      </c>
      <c r="C173" s="215">
        <v>2075385</v>
      </c>
      <c r="D173" s="210"/>
      <c r="E173" s="210"/>
      <c r="F173" s="210"/>
      <c r="G173" s="210"/>
      <c r="H173" s="210"/>
      <c r="I173" s="210"/>
      <c r="J173" s="210"/>
      <c r="K173" s="210"/>
      <c r="L173" s="210"/>
      <c r="M173" s="210"/>
      <c r="N173" s="210"/>
      <c r="O173" s="210"/>
    </row>
    <row r="174" spans="1:16">
      <c r="A174" s="209">
        <v>120</v>
      </c>
      <c r="B174" s="216" t="s">
        <v>241</v>
      </c>
      <c r="C174" s="215">
        <v>2867095</v>
      </c>
      <c r="D174" s="210"/>
      <c r="E174" s="210"/>
      <c r="F174" s="210"/>
      <c r="G174" s="210"/>
      <c r="H174" s="210"/>
      <c r="I174" s="210"/>
      <c r="J174" s="210"/>
      <c r="K174" s="210"/>
      <c r="L174" s="210"/>
      <c r="M174" s="210"/>
      <c r="N174" s="210"/>
      <c r="O174" s="210"/>
    </row>
    <row r="175" spans="1:16">
      <c r="A175" s="209">
        <v>121</v>
      </c>
      <c r="B175" s="216" t="s">
        <v>242</v>
      </c>
      <c r="C175" s="209">
        <v>5076285</v>
      </c>
      <c r="D175" s="216" t="s">
        <v>9352</v>
      </c>
      <c r="E175" s="216" t="s">
        <v>8377</v>
      </c>
      <c r="F175" s="216" t="s">
        <v>8377</v>
      </c>
      <c r="G175" s="216"/>
      <c r="H175" s="216">
        <v>24640000</v>
      </c>
      <c r="I175" s="216">
        <v>0</v>
      </c>
      <c r="J175" s="216">
        <v>0</v>
      </c>
      <c r="K175" s="216">
        <v>0</v>
      </c>
      <c r="L175" s="216">
        <v>0</v>
      </c>
      <c r="M175" s="216">
        <v>0</v>
      </c>
      <c r="N175" s="216">
        <v>0</v>
      </c>
      <c r="O175" s="216">
        <v>0</v>
      </c>
      <c r="P175" s="208"/>
    </row>
    <row r="176" spans="1:16" ht="25.5">
      <c r="A176" s="209">
        <v>122</v>
      </c>
      <c r="B176" s="216" t="s">
        <v>242</v>
      </c>
      <c r="C176" s="209">
        <v>5076285</v>
      </c>
      <c r="D176" s="216" t="s">
        <v>9353</v>
      </c>
      <c r="E176" s="216" t="s">
        <v>8377</v>
      </c>
      <c r="F176" s="216" t="s">
        <v>8377</v>
      </c>
      <c r="G176" s="216"/>
      <c r="H176" s="216">
        <v>8525000</v>
      </c>
      <c r="I176" s="216">
        <v>0</v>
      </c>
      <c r="J176" s="216">
        <v>0</v>
      </c>
      <c r="K176" s="216">
        <v>0</v>
      </c>
      <c r="L176" s="216">
        <v>0</v>
      </c>
      <c r="M176" s="216">
        <v>0</v>
      </c>
      <c r="N176" s="216">
        <v>0</v>
      </c>
      <c r="O176" s="216">
        <v>0</v>
      </c>
      <c r="P176" s="208"/>
    </row>
    <row r="177" spans="1:16" ht="25.5">
      <c r="A177" s="209">
        <v>123</v>
      </c>
      <c r="B177" s="216" t="s">
        <v>242</v>
      </c>
      <c r="C177" s="209">
        <v>5076285</v>
      </c>
      <c r="D177" s="216" t="s">
        <v>9354</v>
      </c>
      <c r="E177" s="216" t="s">
        <v>8377</v>
      </c>
      <c r="F177" s="216" t="s">
        <v>8377</v>
      </c>
      <c r="G177" s="216"/>
      <c r="H177" s="216">
        <v>1155000</v>
      </c>
      <c r="I177" s="216">
        <v>0</v>
      </c>
      <c r="J177" s="216">
        <v>0</v>
      </c>
      <c r="K177" s="216">
        <v>0</v>
      </c>
      <c r="L177" s="216">
        <v>0</v>
      </c>
      <c r="M177" s="216">
        <v>0</v>
      </c>
      <c r="N177" s="216">
        <v>0</v>
      </c>
      <c r="O177" s="216">
        <v>0</v>
      </c>
      <c r="P177" s="208"/>
    </row>
    <row r="178" spans="1:16">
      <c r="A178" s="209">
        <v>124</v>
      </c>
      <c r="B178" s="214" t="s">
        <v>242</v>
      </c>
      <c r="C178" s="215">
        <v>5076285</v>
      </c>
      <c r="D178" s="216" t="s">
        <v>9355</v>
      </c>
      <c r="E178" s="216" t="s">
        <v>8377</v>
      </c>
      <c r="F178" s="216" t="s">
        <v>8377</v>
      </c>
      <c r="G178" s="484">
        <v>5943575</v>
      </c>
      <c r="H178" s="216">
        <v>0</v>
      </c>
      <c r="I178" s="216">
        <v>0</v>
      </c>
      <c r="J178" s="216">
        <v>0</v>
      </c>
      <c r="K178" s="216">
        <v>0</v>
      </c>
      <c r="L178" s="216">
        <v>0</v>
      </c>
      <c r="M178" s="216">
        <v>0</v>
      </c>
      <c r="N178" s="216">
        <v>0</v>
      </c>
      <c r="O178" s="216">
        <v>0</v>
      </c>
      <c r="P178" s="95"/>
    </row>
    <row r="179" spans="1:16" ht="25.5">
      <c r="A179" s="209">
        <v>125</v>
      </c>
      <c r="B179" s="216" t="s">
        <v>243</v>
      </c>
      <c r="C179" s="209">
        <v>5084555</v>
      </c>
      <c r="D179" s="216" t="s">
        <v>9356</v>
      </c>
      <c r="E179" s="216" t="s">
        <v>8377</v>
      </c>
      <c r="F179" s="216" t="s">
        <v>8377</v>
      </c>
      <c r="G179" s="216"/>
      <c r="H179" s="216">
        <v>0</v>
      </c>
      <c r="I179" s="216">
        <v>0</v>
      </c>
      <c r="J179" s="216">
        <v>0</v>
      </c>
      <c r="K179" s="216">
        <v>39792.6</v>
      </c>
      <c r="L179" s="216">
        <v>0</v>
      </c>
      <c r="M179" s="216">
        <v>0</v>
      </c>
      <c r="N179" s="216">
        <v>0</v>
      </c>
      <c r="O179" s="216">
        <v>0</v>
      </c>
      <c r="P179" s="208"/>
    </row>
    <row r="180" spans="1:16" ht="25.5">
      <c r="A180" s="209">
        <v>126</v>
      </c>
      <c r="B180" s="216" t="s">
        <v>243</v>
      </c>
      <c r="C180" s="209">
        <v>5084555</v>
      </c>
      <c r="D180" s="216" t="s">
        <v>9357</v>
      </c>
      <c r="E180" s="216" t="s">
        <v>8377</v>
      </c>
      <c r="F180" s="216" t="s">
        <v>8377</v>
      </c>
      <c r="G180" s="216"/>
      <c r="H180" s="216">
        <v>0</v>
      </c>
      <c r="I180" s="216">
        <v>0</v>
      </c>
      <c r="J180" s="216">
        <v>0</v>
      </c>
      <c r="K180" s="216">
        <v>126834</v>
      </c>
      <c r="L180" s="216">
        <v>0</v>
      </c>
      <c r="M180" s="216">
        <v>0</v>
      </c>
      <c r="N180" s="216">
        <v>0</v>
      </c>
      <c r="O180" s="216">
        <v>0</v>
      </c>
      <c r="P180" s="208"/>
    </row>
    <row r="181" spans="1:16">
      <c r="A181" s="209">
        <v>127</v>
      </c>
      <c r="B181" s="216" t="s">
        <v>243</v>
      </c>
      <c r="C181" s="209">
        <v>5084555</v>
      </c>
      <c r="D181" s="216" t="s">
        <v>9358</v>
      </c>
      <c r="E181" s="216" t="s">
        <v>8377</v>
      </c>
      <c r="F181" s="216" t="s">
        <v>8377</v>
      </c>
      <c r="G181" s="216"/>
      <c r="H181" s="216">
        <v>0</v>
      </c>
      <c r="I181" s="216">
        <v>0</v>
      </c>
      <c r="J181" s="216">
        <v>0</v>
      </c>
      <c r="K181" s="216">
        <v>102000</v>
      </c>
      <c r="L181" s="216">
        <v>0</v>
      </c>
      <c r="M181" s="216">
        <v>0</v>
      </c>
      <c r="N181" s="216">
        <v>0</v>
      </c>
      <c r="O181" s="216">
        <v>0</v>
      </c>
      <c r="P181" s="208"/>
    </row>
    <row r="182" spans="1:16" ht="25.5">
      <c r="A182" s="209">
        <v>128</v>
      </c>
      <c r="B182" s="216" t="s">
        <v>243</v>
      </c>
      <c r="C182" s="209">
        <v>5084555</v>
      </c>
      <c r="D182" s="216" t="s">
        <v>9359</v>
      </c>
      <c r="E182" s="216" t="s">
        <v>8377</v>
      </c>
      <c r="F182" s="216" t="s">
        <v>8377</v>
      </c>
      <c r="G182" s="216"/>
      <c r="H182" s="216">
        <v>0</v>
      </c>
      <c r="I182" s="216">
        <v>0</v>
      </c>
      <c r="J182" s="216">
        <v>0</v>
      </c>
      <c r="K182" s="216">
        <v>25700</v>
      </c>
      <c r="L182" s="216">
        <v>0</v>
      </c>
      <c r="M182" s="216">
        <v>0</v>
      </c>
      <c r="N182" s="216">
        <v>0</v>
      </c>
      <c r="O182" s="216">
        <v>0</v>
      </c>
      <c r="P182" s="208"/>
    </row>
    <row r="183" spans="1:16" ht="25.5">
      <c r="A183" s="209">
        <v>129</v>
      </c>
      <c r="B183" s="216" t="s">
        <v>243</v>
      </c>
      <c r="C183" s="209">
        <v>5084555</v>
      </c>
      <c r="D183" s="216" t="s">
        <v>9360</v>
      </c>
      <c r="E183" s="216" t="s">
        <v>8377</v>
      </c>
      <c r="F183" s="216" t="s">
        <v>8377</v>
      </c>
      <c r="G183" s="216"/>
      <c r="H183" s="216">
        <v>0</v>
      </c>
      <c r="I183" s="216">
        <v>0</v>
      </c>
      <c r="J183" s="216">
        <v>0</v>
      </c>
      <c r="K183" s="216">
        <v>49649</v>
      </c>
      <c r="L183" s="216">
        <v>0</v>
      </c>
      <c r="M183" s="216">
        <v>0</v>
      </c>
      <c r="N183" s="216">
        <v>0</v>
      </c>
      <c r="O183" s="216">
        <v>0</v>
      </c>
      <c r="P183" s="208"/>
    </row>
    <row r="184" spans="1:16">
      <c r="A184" s="209">
        <v>130</v>
      </c>
      <c r="B184" s="216" t="s">
        <v>243</v>
      </c>
      <c r="C184" s="209">
        <v>5084555</v>
      </c>
      <c r="D184" s="216" t="s">
        <v>9361</v>
      </c>
      <c r="E184" s="216" t="s">
        <v>8377</v>
      </c>
      <c r="F184" s="216" t="s">
        <v>8377</v>
      </c>
      <c r="G184" s="216"/>
      <c r="H184" s="216">
        <v>0</v>
      </c>
      <c r="I184" s="216">
        <v>0</v>
      </c>
      <c r="J184" s="216">
        <v>0</v>
      </c>
      <c r="K184" s="216">
        <v>20044</v>
      </c>
      <c r="L184" s="216">
        <v>0</v>
      </c>
      <c r="M184" s="216">
        <v>0</v>
      </c>
      <c r="N184" s="216">
        <v>0</v>
      </c>
      <c r="O184" s="216">
        <v>0</v>
      </c>
      <c r="P184" s="208"/>
    </row>
    <row r="185" spans="1:16" ht="25.5">
      <c r="A185" s="209">
        <v>131</v>
      </c>
      <c r="B185" s="216" t="s">
        <v>243</v>
      </c>
      <c r="C185" s="209">
        <v>5084555</v>
      </c>
      <c r="D185" s="216" t="s">
        <v>9362</v>
      </c>
      <c r="E185" s="216" t="s">
        <v>8377</v>
      </c>
      <c r="F185" s="216" t="s">
        <v>8377</v>
      </c>
      <c r="G185" s="216"/>
      <c r="H185" s="216">
        <v>0</v>
      </c>
      <c r="I185" s="216">
        <v>0</v>
      </c>
      <c r="J185" s="216">
        <v>0</v>
      </c>
      <c r="K185" s="216">
        <v>0</v>
      </c>
      <c r="L185" s="216">
        <v>0</v>
      </c>
      <c r="M185" s="216">
        <v>0</v>
      </c>
      <c r="N185" s="216">
        <v>12363</v>
      </c>
      <c r="O185" s="216">
        <v>0</v>
      </c>
      <c r="P185" s="208"/>
    </row>
    <row r="186" spans="1:16" ht="25.5">
      <c r="A186" s="209">
        <v>132</v>
      </c>
      <c r="B186" s="216" t="s">
        <v>243</v>
      </c>
      <c r="C186" s="209">
        <v>5084555</v>
      </c>
      <c r="D186" s="216" t="s">
        <v>9363</v>
      </c>
      <c r="E186" s="216" t="s">
        <v>8377</v>
      </c>
      <c r="F186" s="216" t="s">
        <v>8377</v>
      </c>
      <c r="G186" s="216"/>
      <c r="H186" s="216">
        <v>0</v>
      </c>
      <c r="I186" s="216">
        <v>0</v>
      </c>
      <c r="J186" s="216">
        <v>0</v>
      </c>
      <c r="K186" s="216">
        <v>0</v>
      </c>
      <c r="L186" s="216">
        <v>0</v>
      </c>
      <c r="M186" s="216">
        <v>0</v>
      </c>
      <c r="N186" s="216">
        <v>56000</v>
      </c>
      <c r="O186" s="216">
        <v>0</v>
      </c>
      <c r="P186" s="208"/>
    </row>
    <row r="187" spans="1:16" ht="38.25">
      <c r="A187" s="209">
        <v>133</v>
      </c>
      <c r="B187" s="216" t="s">
        <v>243</v>
      </c>
      <c r="C187" s="209">
        <v>5084555</v>
      </c>
      <c r="D187" s="216" t="s">
        <v>9364</v>
      </c>
      <c r="E187" s="216" t="s">
        <v>8377</v>
      </c>
      <c r="F187" s="216" t="s">
        <v>8377</v>
      </c>
      <c r="G187" s="216"/>
      <c r="H187" s="216">
        <v>0</v>
      </c>
      <c r="I187" s="216">
        <v>0</v>
      </c>
      <c r="J187" s="216">
        <v>0</v>
      </c>
      <c r="K187" s="216">
        <v>27300</v>
      </c>
      <c r="L187" s="216">
        <v>0</v>
      </c>
      <c r="M187" s="216">
        <v>0</v>
      </c>
      <c r="N187" s="216">
        <v>0</v>
      </c>
      <c r="O187" s="216">
        <v>0</v>
      </c>
      <c r="P187" s="208"/>
    </row>
    <row r="188" spans="1:16">
      <c r="A188" s="209">
        <v>134</v>
      </c>
      <c r="B188" s="216" t="s">
        <v>243</v>
      </c>
      <c r="C188" s="209">
        <v>5084555</v>
      </c>
      <c r="D188" s="216" t="s">
        <v>9365</v>
      </c>
      <c r="E188" s="216" t="s">
        <v>8377</v>
      </c>
      <c r="F188" s="216" t="s">
        <v>8377</v>
      </c>
      <c r="G188" s="216"/>
      <c r="H188" s="216">
        <v>0</v>
      </c>
      <c r="I188" s="216">
        <v>0</v>
      </c>
      <c r="J188" s="216">
        <v>0</v>
      </c>
      <c r="K188" s="216">
        <v>0</v>
      </c>
      <c r="L188" s="216">
        <v>0</v>
      </c>
      <c r="M188" s="216">
        <v>0</v>
      </c>
      <c r="N188" s="216">
        <v>276340</v>
      </c>
      <c r="O188" s="216">
        <v>0</v>
      </c>
      <c r="P188" s="208"/>
    </row>
    <row r="189" spans="1:16" ht="25.5">
      <c r="A189" s="209">
        <v>135</v>
      </c>
      <c r="B189" s="216" t="s">
        <v>243</v>
      </c>
      <c r="C189" s="209">
        <v>5084555</v>
      </c>
      <c r="D189" s="216" t="s">
        <v>9366</v>
      </c>
      <c r="E189" s="216" t="s">
        <v>8377</v>
      </c>
      <c r="F189" s="216" t="s">
        <v>8377</v>
      </c>
      <c r="G189" s="488">
        <v>90666.040999999997</v>
      </c>
      <c r="H189" s="216">
        <v>0</v>
      </c>
      <c r="I189" s="216">
        <v>0</v>
      </c>
      <c r="J189" s="216">
        <v>0</v>
      </c>
      <c r="K189" s="216">
        <v>0</v>
      </c>
      <c r="L189" s="216">
        <v>0</v>
      </c>
      <c r="M189" s="216">
        <v>0</v>
      </c>
      <c r="N189" s="216">
        <v>0</v>
      </c>
      <c r="O189" s="216">
        <v>0</v>
      </c>
      <c r="P189" s="208"/>
    </row>
    <row r="190" spans="1:16" ht="25.5">
      <c r="A190" s="209">
        <v>136</v>
      </c>
      <c r="B190" s="216" t="s">
        <v>243</v>
      </c>
      <c r="C190" s="209">
        <v>5084555</v>
      </c>
      <c r="D190" s="216" t="s">
        <v>9367</v>
      </c>
      <c r="E190" s="216" t="s">
        <v>8377</v>
      </c>
      <c r="F190" s="216" t="s">
        <v>8377</v>
      </c>
      <c r="G190" s="216"/>
      <c r="H190" s="216">
        <v>299914</v>
      </c>
      <c r="I190" s="216">
        <v>0</v>
      </c>
      <c r="J190" s="216">
        <v>0</v>
      </c>
      <c r="K190" s="216">
        <v>0</v>
      </c>
      <c r="L190" s="216">
        <v>0</v>
      </c>
      <c r="M190" s="216">
        <v>0</v>
      </c>
      <c r="N190" s="216">
        <v>0</v>
      </c>
      <c r="O190" s="216">
        <v>0</v>
      </c>
      <c r="P190" s="208"/>
    </row>
    <row r="191" spans="1:16">
      <c r="A191" s="209">
        <v>137</v>
      </c>
      <c r="B191" s="216" t="s">
        <v>243</v>
      </c>
      <c r="C191" s="209">
        <v>5084555</v>
      </c>
      <c r="D191" s="216" t="s">
        <v>9368</v>
      </c>
      <c r="E191" s="216" t="s">
        <v>8377</v>
      </c>
      <c r="F191" s="216" t="s">
        <v>8377</v>
      </c>
      <c r="G191" s="484">
        <v>246752</v>
      </c>
      <c r="H191" s="216">
        <v>0</v>
      </c>
      <c r="I191" s="216">
        <v>0</v>
      </c>
      <c r="J191" s="216">
        <v>0</v>
      </c>
      <c r="K191" s="216">
        <v>0</v>
      </c>
      <c r="L191" s="216">
        <v>0</v>
      </c>
      <c r="M191" s="216">
        <v>0</v>
      </c>
      <c r="N191" s="216">
        <v>0</v>
      </c>
      <c r="O191" s="216">
        <v>0</v>
      </c>
      <c r="P191" s="208"/>
    </row>
    <row r="192" spans="1:16">
      <c r="A192" s="209">
        <v>138</v>
      </c>
      <c r="B192" s="214" t="s">
        <v>243</v>
      </c>
      <c r="C192" s="215">
        <v>5084555</v>
      </c>
      <c r="D192" s="216" t="s">
        <v>9369</v>
      </c>
      <c r="E192" s="216" t="s">
        <v>8377</v>
      </c>
      <c r="F192" s="216" t="s">
        <v>8377</v>
      </c>
      <c r="G192" s="216"/>
      <c r="H192" s="216">
        <v>64000</v>
      </c>
      <c r="I192" s="216">
        <v>0</v>
      </c>
      <c r="J192" s="216">
        <v>0</v>
      </c>
      <c r="K192" s="216">
        <v>0</v>
      </c>
      <c r="L192" s="216">
        <v>0</v>
      </c>
      <c r="M192" s="216">
        <v>0</v>
      </c>
      <c r="N192" s="216">
        <v>0</v>
      </c>
      <c r="O192" s="216">
        <v>0</v>
      </c>
      <c r="P192" s="95"/>
    </row>
    <row r="193" spans="1:16">
      <c r="A193" s="209">
        <v>139</v>
      </c>
      <c r="B193" s="214" t="s">
        <v>244</v>
      </c>
      <c r="C193" s="215">
        <v>5261198</v>
      </c>
      <c r="D193" s="210"/>
      <c r="E193" s="210"/>
      <c r="F193" s="210"/>
      <c r="G193" s="210"/>
      <c r="H193" s="210"/>
      <c r="I193" s="210"/>
      <c r="J193" s="210"/>
      <c r="K193" s="210"/>
      <c r="L193" s="210"/>
      <c r="M193" s="210"/>
      <c r="N193" s="210"/>
      <c r="O193" s="210"/>
    </row>
    <row r="194" spans="1:16">
      <c r="A194" s="209">
        <v>140</v>
      </c>
      <c r="B194" s="214" t="s">
        <v>246</v>
      </c>
      <c r="C194" s="215">
        <v>5288703</v>
      </c>
      <c r="D194" s="216" t="s">
        <v>9370</v>
      </c>
      <c r="E194" s="486">
        <v>44927</v>
      </c>
      <c r="F194" s="486">
        <v>45291</v>
      </c>
      <c r="G194" s="488">
        <v>26960536.359999999</v>
      </c>
      <c r="H194" s="216">
        <v>0</v>
      </c>
      <c r="I194" s="216">
        <v>0</v>
      </c>
      <c r="J194" s="216">
        <v>26960500</v>
      </c>
      <c r="K194" s="216">
        <v>0</v>
      </c>
      <c r="L194" s="216">
        <v>0</v>
      </c>
      <c r="M194" s="216">
        <v>0</v>
      </c>
      <c r="N194" s="216">
        <v>0</v>
      </c>
      <c r="O194" s="216">
        <v>0</v>
      </c>
    </row>
    <row r="195" spans="1:16">
      <c r="A195" s="209">
        <v>141</v>
      </c>
      <c r="B195" s="214" t="s">
        <v>248</v>
      </c>
      <c r="C195" s="215">
        <v>6232485</v>
      </c>
      <c r="D195" s="210"/>
      <c r="E195" s="210"/>
      <c r="F195" s="210"/>
      <c r="G195" s="210"/>
      <c r="H195" s="210"/>
      <c r="I195" s="210"/>
      <c r="J195" s="210"/>
      <c r="K195" s="210"/>
      <c r="L195" s="210"/>
      <c r="M195" s="210"/>
      <c r="N195" s="210"/>
      <c r="O195" s="210"/>
    </row>
    <row r="196" spans="1:16">
      <c r="A196" s="209">
        <v>142</v>
      </c>
      <c r="B196" s="214" t="s">
        <v>249</v>
      </c>
      <c r="C196" s="215">
        <v>6101615</v>
      </c>
      <c r="D196" s="210"/>
      <c r="E196" s="210"/>
      <c r="F196" s="210"/>
      <c r="G196" s="210"/>
      <c r="H196" s="210"/>
      <c r="I196" s="210"/>
      <c r="J196" s="210"/>
      <c r="K196" s="210"/>
      <c r="L196" s="210"/>
      <c r="M196" s="210"/>
      <c r="N196" s="210"/>
      <c r="O196" s="210"/>
    </row>
    <row r="197" spans="1:16">
      <c r="A197" s="209">
        <v>143</v>
      </c>
      <c r="B197" s="216" t="s">
        <v>250</v>
      </c>
      <c r="C197" s="215">
        <v>5120365</v>
      </c>
      <c r="D197" s="210"/>
      <c r="E197" s="210"/>
      <c r="F197" s="210"/>
      <c r="G197" s="210"/>
      <c r="H197" s="210"/>
      <c r="I197" s="210"/>
      <c r="J197" s="210"/>
      <c r="K197" s="210"/>
      <c r="L197" s="210"/>
      <c r="M197" s="210"/>
      <c r="N197" s="210"/>
      <c r="O197" s="210"/>
    </row>
    <row r="198" spans="1:16">
      <c r="A198" s="209">
        <v>144</v>
      </c>
      <c r="B198" s="216" t="s">
        <v>251</v>
      </c>
      <c r="C198" s="215">
        <v>2016656</v>
      </c>
      <c r="D198" s="210"/>
      <c r="E198" s="210"/>
      <c r="F198" s="210"/>
      <c r="G198" s="210"/>
      <c r="H198" s="210"/>
      <c r="I198" s="210"/>
      <c r="J198" s="210"/>
      <c r="K198" s="210"/>
      <c r="L198" s="210"/>
      <c r="M198" s="210"/>
      <c r="N198" s="210"/>
      <c r="O198" s="210"/>
    </row>
    <row r="199" spans="1:16">
      <c r="A199" s="209">
        <v>145</v>
      </c>
      <c r="B199" s="214" t="s">
        <v>253</v>
      </c>
      <c r="C199" s="215">
        <v>5872006</v>
      </c>
      <c r="D199" s="210"/>
      <c r="E199" s="210"/>
      <c r="F199" s="210"/>
      <c r="G199" s="210"/>
      <c r="H199" s="210"/>
      <c r="I199" s="210"/>
      <c r="J199" s="210"/>
      <c r="K199" s="210"/>
      <c r="L199" s="210"/>
      <c r="M199" s="210"/>
      <c r="N199" s="210"/>
      <c r="O199" s="210"/>
    </row>
    <row r="200" spans="1:16">
      <c r="A200" s="209">
        <v>146</v>
      </c>
      <c r="B200" s="216" t="s">
        <v>254</v>
      </c>
      <c r="C200" s="215">
        <v>5774047</v>
      </c>
      <c r="D200" s="210"/>
      <c r="E200" s="210"/>
      <c r="F200" s="210"/>
      <c r="G200" s="210"/>
      <c r="H200" s="210"/>
      <c r="I200" s="210"/>
      <c r="J200" s="210"/>
      <c r="K200" s="210"/>
      <c r="L200" s="210"/>
      <c r="M200" s="210"/>
      <c r="N200" s="210"/>
      <c r="O200" s="210"/>
    </row>
    <row r="201" spans="1:16">
      <c r="A201" s="209">
        <v>147</v>
      </c>
      <c r="B201" s="216" t="s">
        <v>257</v>
      </c>
      <c r="C201" s="215">
        <v>5105439</v>
      </c>
      <c r="D201" s="210"/>
      <c r="E201" s="210"/>
      <c r="F201" s="210"/>
      <c r="G201" s="210"/>
      <c r="H201" s="210"/>
      <c r="I201" s="210"/>
      <c r="J201" s="210"/>
      <c r="K201" s="210"/>
      <c r="L201" s="210"/>
      <c r="M201" s="210"/>
      <c r="N201" s="210"/>
      <c r="O201" s="210"/>
    </row>
    <row r="202" spans="1:16">
      <c r="A202" s="209">
        <v>148</v>
      </c>
      <c r="B202" s="214" t="s">
        <v>258</v>
      </c>
      <c r="C202" s="215">
        <v>2663813</v>
      </c>
      <c r="D202" s="210"/>
      <c r="E202" s="210"/>
      <c r="F202" s="210"/>
      <c r="G202" s="210"/>
      <c r="H202" s="210"/>
      <c r="I202" s="210"/>
      <c r="J202" s="210"/>
      <c r="K202" s="210"/>
      <c r="L202" s="210"/>
      <c r="M202" s="210"/>
      <c r="N202" s="210"/>
      <c r="O202" s="210"/>
    </row>
    <row r="203" spans="1:16">
      <c r="A203" s="209">
        <v>149</v>
      </c>
      <c r="B203" s="214" t="s">
        <v>260</v>
      </c>
      <c r="C203" s="215">
        <v>2016931</v>
      </c>
      <c r="D203" s="210"/>
      <c r="E203" s="210"/>
      <c r="F203" s="210"/>
      <c r="G203" s="210"/>
      <c r="H203" s="210"/>
      <c r="I203" s="210"/>
      <c r="J203" s="210"/>
      <c r="K203" s="210"/>
      <c r="L203" s="210"/>
      <c r="M203" s="210"/>
      <c r="N203" s="210"/>
      <c r="O203" s="210"/>
    </row>
    <row r="204" spans="1:16">
      <c r="A204" s="209">
        <v>150</v>
      </c>
      <c r="B204" s="214" t="s">
        <v>263</v>
      </c>
      <c r="C204" s="215">
        <v>5513618</v>
      </c>
      <c r="D204" s="210"/>
      <c r="E204" s="210"/>
      <c r="F204" s="210"/>
      <c r="G204" s="210"/>
      <c r="H204" s="210"/>
      <c r="I204" s="210"/>
      <c r="J204" s="210"/>
      <c r="K204" s="210"/>
      <c r="L204" s="210"/>
      <c r="M204" s="210"/>
      <c r="N204" s="210"/>
      <c r="O204" s="210"/>
    </row>
    <row r="205" spans="1:16" ht="25.5">
      <c r="A205" s="209">
        <v>151</v>
      </c>
      <c r="B205" s="216" t="s">
        <v>264</v>
      </c>
      <c r="C205" s="209">
        <v>2807459</v>
      </c>
      <c r="D205" s="216" t="s">
        <v>9371</v>
      </c>
      <c r="E205" s="216" t="s">
        <v>8377</v>
      </c>
      <c r="F205" s="216" t="s">
        <v>8377</v>
      </c>
      <c r="G205" s="484">
        <v>1597400</v>
      </c>
      <c r="H205" s="216">
        <v>0</v>
      </c>
      <c r="I205" s="216">
        <v>0</v>
      </c>
      <c r="J205" s="216">
        <v>0</v>
      </c>
      <c r="K205" s="216">
        <v>0</v>
      </c>
      <c r="L205" s="216">
        <v>0</v>
      </c>
      <c r="M205" s="216">
        <v>0</v>
      </c>
      <c r="N205" s="216">
        <v>0</v>
      </c>
      <c r="O205" s="216">
        <v>0</v>
      </c>
      <c r="P205" s="208"/>
    </row>
    <row r="206" spans="1:16">
      <c r="A206" s="209">
        <v>152</v>
      </c>
      <c r="B206" s="214" t="s">
        <v>264</v>
      </c>
      <c r="C206" s="215">
        <v>2807459</v>
      </c>
      <c r="D206" s="216" t="s">
        <v>9372</v>
      </c>
      <c r="E206" s="216" t="s">
        <v>8377</v>
      </c>
      <c r="F206" s="216" t="s">
        <v>8377</v>
      </c>
      <c r="G206" s="484">
        <v>370000</v>
      </c>
      <c r="H206" s="216">
        <v>0</v>
      </c>
      <c r="I206" s="216">
        <v>0</v>
      </c>
      <c r="J206" s="216">
        <v>0</v>
      </c>
      <c r="K206" s="216">
        <v>0</v>
      </c>
      <c r="L206" s="216">
        <v>0</v>
      </c>
      <c r="M206" s="216">
        <v>0</v>
      </c>
      <c r="N206" s="216">
        <v>0</v>
      </c>
      <c r="O206" s="216">
        <v>0</v>
      </c>
      <c r="P206" s="95"/>
    </row>
    <row r="207" spans="1:16">
      <c r="A207" s="209">
        <v>153</v>
      </c>
      <c r="B207" s="244" t="s">
        <v>265</v>
      </c>
      <c r="C207" s="215">
        <v>2872943</v>
      </c>
      <c r="D207" s="216" t="s">
        <v>9373</v>
      </c>
      <c r="E207" s="486">
        <v>44927</v>
      </c>
      <c r="F207" s="486">
        <v>45291</v>
      </c>
      <c r="G207" s="488">
        <v>219570.37</v>
      </c>
      <c r="H207" s="216">
        <v>0</v>
      </c>
      <c r="I207" s="216">
        <v>0</v>
      </c>
      <c r="J207" s="216">
        <v>0</v>
      </c>
      <c r="K207" s="216">
        <v>0</v>
      </c>
      <c r="L207" s="216">
        <v>0</v>
      </c>
      <c r="M207" s="216">
        <v>0</v>
      </c>
      <c r="N207" s="216">
        <v>0</v>
      </c>
      <c r="O207" s="216">
        <v>0</v>
      </c>
    </row>
    <row r="208" spans="1:16">
      <c r="A208" s="209">
        <v>154</v>
      </c>
      <c r="B208" s="216" t="s">
        <v>266</v>
      </c>
      <c r="C208" s="209">
        <v>6268048</v>
      </c>
      <c r="D208" s="216" t="s">
        <v>9374</v>
      </c>
      <c r="E208" s="486">
        <v>44927</v>
      </c>
      <c r="F208" s="486">
        <v>45291</v>
      </c>
      <c r="G208" s="216"/>
      <c r="H208" s="216">
        <v>0</v>
      </c>
      <c r="I208" s="216">
        <v>0</v>
      </c>
      <c r="J208" s="216">
        <v>0</v>
      </c>
      <c r="K208" s="216">
        <v>125</v>
      </c>
      <c r="L208" s="216">
        <v>0</v>
      </c>
      <c r="M208" s="216">
        <v>0</v>
      </c>
      <c r="N208" s="216">
        <v>9465000</v>
      </c>
      <c r="O208" s="216">
        <v>0</v>
      </c>
      <c r="P208" s="208"/>
    </row>
    <row r="209" spans="1:16">
      <c r="A209" s="209">
        <v>155</v>
      </c>
      <c r="B209" s="216" t="s">
        <v>266</v>
      </c>
      <c r="C209" s="209">
        <v>6268048</v>
      </c>
      <c r="D209" s="216" t="s">
        <v>9375</v>
      </c>
      <c r="E209" s="486">
        <v>44927</v>
      </c>
      <c r="F209" s="486">
        <v>45291</v>
      </c>
      <c r="G209" s="216"/>
      <c r="H209" s="216">
        <v>350</v>
      </c>
      <c r="I209" s="216">
        <v>0</v>
      </c>
      <c r="J209" s="216">
        <v>0</v>
      </c>
      <c r="K209" s="216">
        <v>0</v>
      </c>
      <c r="L209" s="216">
        <v>0</v>
      </c>
      <c r="M209" s="216">
        <v>0</v>
      </c>
      <c r="N209" s="216">
        <v>44736400</v>
      </c>
      <c r="O209" s="216">
        <v>0</v>
      </c>
      <c r="P209" s="208"/>
    </row>
    <row r="210" spans="1:16">
      <c r="A210" s="209">
        <v>156</v>
      </c>
      <c r="B210" s="214" t="s">
        <v>266</v>
      </c>
      <c r="C210" s="215">
        <v>6268048</v>
      </c>
      <c r="D210" s="216" t="s">
        <v>9376</v>
      </c>
      <c r="E210" s="486">
        <v>44927</v>
      </c>
      <c r="F210" s="486">
        <v>45291</v>
      </c>
      <c r="G210" s="216"/>
      <c r="H210" s="216">
        <v>0</v>
      </c>
      <c r="I210" s="216">
        <v>0</v>
      </c>
      <c r="J210" s="216">
        <v>0</v>
      </c>
      <c r="K210" s="216">
        <v>55730</v>
      </c>
      <c r="L210" s="216">
        <v>0</v>
      </c>
      <c r="M210" s="216">
        <v>0</v>
      </c>
      <c r="N210" s="216">
        <v>50728200</v>
      </c>
      <c r="O210" s="216">
        <v>0</v>
      </c>
      <c r="P210" s="95"/>
    </row>
    <row r="211" spans="1:16">
      <c r="A211" s="209">
        <v>157</v>
      </c>
      <c r="B211" s="214" t="s">
        <v>268</v>
      </c>
      <c r="C211" s="215">
        <v>5874963</v>
      </c>
      <c r="D211" s="216" t="s">
        <v>9377</v>
      </c>
      <c r="E211" s="486">
        <v>44927</v>
      </c>
      <c r="F211" s="486">
        <v>45291</v>
      </c>
      <c r="G211" s="216"/>
      <c r="H211" s="216">
        <v>10151500</v>
      </c>
      <c r="I211" s="216">
        <v>0</v>
      </c>
      <c r="J211" s="216">
        <v>0</v>
      </c>
      <c r="K211" s="216">
        <v>0</v>
      </c>
      <c r="L211" s="216">
        <v>0</v>
      </c>
      <c r="M211" s="216">
        <v>0</v>
      </c>
      <c r="N211" s="216">
        <v>29985200</v>
      </c>
      <c r="O211" s="216">
        <v>0</v>
      </c>
    </row>
    <row r="212" spans="1:16">
      <c r="A212" s="209">
        <v>158</v>
      </c>
      <c r="B212" s="214" t="s">
        <v>269</v>
      </c>
      <c r="C212" s="215">
        <v>6636624</v>
      </c>
      <c r="D212" s="210"/>
      <c r="E212" s="210"/>
      <c r="F212" s="210"/>
      <c r="G212" s="210"/>
      <c r="H212" s="210"/>
      <c r="I212" s="210"/>
      <c r="J212" s="210"/>
      <c r="K212" s="210"/>
      <c r="L212" s="210"/>
      <c r="M212" s="210"/>
      <c r="N212" s="210"/>
      <c r="O212" s="210"/>
    </row>
    <row r="213" spans="1:16">
      <c r="A213" s="209">
        <v>159</v>
      </c>
      <c r="B213" s="214" t="s">
        <v>270</v>
      </c>
      <c r="C213" s="215">
        <v>2839717</v>
      </c>
      <c r="D213" s="216" t="s">
        <v>9378</v>
      </c>
      <c r="E213" s="486">
        <v>44927</v>
      </c>
      <c r="F213" s="486">
        <v>45291</v>
      </c>
      <c r="G213" s="216"/>
      <c r="H213" s="216">
        <v>0</v>
      </c>
      <c r="I213" s="216">
        <v>43700800</v>
      </c>
      <c r="J213" s="216">
        <v>0</v>
      </c>
      <c r="K213" s="216">
        <v>0</v>
      </c>
      <c r="L213" s="216">
        <v>4846000</v>
      </c>
      <c r="M213" s="216">
        <v>0</v>
      </c>
      <c r="N213" s="216">
        <v>10896.4</v>
      </c>
      <c r="O213" s="216">
        <v>0</v>
      </c>
    </row>
    <row r="214" spans="1:16">
      <c r="A214" s="209">
        <v>160</v>
      </c>
      <c r="B214" s="214" t="s">
        <v>271</v>
      </c>
      <c r="C214" s="215">
        <v>2344343</v>
      </c>
      <c r="D214" s="210"/>
      <c r="E214" s="210"/>
      <c r="F214" s="210"/>
      <c r="G214" s="210"/>
      <c r="H214" s="210"/>
      <c r="I214" s="210"/>
      <c r="J214" s="210"/>
      <c r="K214" s="210"/>
      <c r="L214" s="210"/>
      <c r="M214" s="210"/>
      <c r="N214" s="210"/>
      <c r="O214" s="210"/>
    </row>
    <row r="215" spans="1:16">
      <c r="A215" s="209">
        <v>161</v>
      </c>
      <c r="B215" s="214" t="s">
        <v>273</v>
      </c>
      <c r="C215" s="215">
        <v>2819996</v>
      </c>
      <c r="D215" s="210"/>
      <c r="E215" s="210"/>
      <c r="F215" s="210"/>
      <c r="G215" s="210"/>
      <c r="H215" s="210"/>
      <c r="I215" s="210"/>
      <c r="J215" s="210"/>
      <c r="K215" s="210"/>
      <c r="L215" s="210"/>
      <c r="M215" s="210"/>
      <c r="N215" s="210"/>
      <c r="O215" s="210"/>
    </row>
    <row r="216" spans="1:16">
      <c r="A216" s="209">
        <v>162</v>
      </c>
      <c r="B216" s="214" t="s">
        <v>277</v>
      </c>
      <c r="C216" s="215">
        <v>2868687</v>
      </c>
      <c r="D216" s="210"/>
      <c r="E216" s="210"/>
      <c r="F216" s="210"/>
      <c r="G216" s="210"/>
      <c r="H216" s="210"/>
      <c r="I216" s="210"/>
      <c r="J216" s="210"/>
      <c r="K216" s="210"/>
      <c r="L216" s="210"/>
      <c r="M216" s="210"/>
      <c r="N216" s="210"/>
      <c r="O216" s="210"/>
    </row>
    <row r="217" spans="1:16">
      <c r="A217" s="209">
        <v>163</v>
      </c>
      <c r="B217" s="214" t="s">
        <v>279</v>
      </c>
      <c r="C217" s="215">
        <v>5877288</v>
      </c>
      <c r="D217" s="210"/>
      <c r="E217" s="210"/>
      <c r="F217" s="210"/>
      <c r="G217" s="210"/>
      <c r="H217" s="210"/>
      <c r="I217" s="210"/>
      <c r="J217" s="210"/>
      <c r="K217" s="210"/>
      <c r="L217" s="210"/>
      <c r="M217" s="210"/>
      <c r="N217" s="210"/>
      <c r="O217" s="210"/>
    </row>
    <row r="218" spans="1:16">
      <c r="A218" s="209">
        <v>164</v>
      </c>
      <c r="B218" s="214" t="s">
        <v>281</v>
      </c>
      <c r="C218" s="215">
        <v>6195598</v>
      </c>
      <c r="D218" s="210"/>
      <c r="E218" s="210"/>
      <c r="F218" s="210"/>
      <c r="G218" s="210"/>
      <c r="H218" s="210"/>
      <c r="I218" s="210"/>
      <c r="J218" s="210"/>
      <c r="K218" s="210"/>
      <c r="L218" s="210"/>
      <c r="M218" s="210"/>
      <c r="N218" s="210"/>
      <c r="O218" s="210"/>
    </row>
    <row r="219" spans="1:16">
      <c r="A219" s="209">
        <v>165</v>
      </c>
      <c r="B219" s="214" t="s">
        <v>282</v>
      </c>
      <c r="C219" s="215">
        <v>6413811</v>
      </c>
      <c r="D219" s="216" t="s">
        <v>9379</v>
      </c>
      <c r="E219" s="486">
        <v>44927</v>
      </c>
      <c r="F219" s="486">
        <v>45291</v>
      </c>
      <c r="G219" s="216"/>
      <c r="H219" s="216">
        <v>1164530000</v>
      </c>
      <c r="I219" s="216">
        <v>0</v>
      </c>
      <c r="J219" s="216">
        <v>0</v>
      </c>
      <c r="K219" s="216">
        <v>0</v>
      </c>
      <c r="L219" s="216">
        <v>0</v>
      </c>
      <c r="M219" s="216">
        <v>0</v>
      </c>
      <c r="N219" s="216">
        <v>0</v>
      </c>
      <c r="O219" s="216">
        <v>0</v>
      </c>
    </row>
    <row r="220" spans="1:16">
      <c r="A220" s="209">
        <v>166</v>
      </c>
      <c r="B220" s="214" t="s">
        <v>283</v>
      </c>
      <c r="C220" s="215">
        <v>2887134</v>
      </c>
      <c r="D220" s="210"/>
      <c r="E220" s="210"/>
      <c r="F220" s="210"/>
      <c r="G220" s="210"/>
      <c r="H220" s="210"/>
      <c r="I220" s="210"/>
      <c r="J220" s="210"/>
      <c r="K220" s="210"/>
      <c r="L220" s="210"/>
      <c r="M220" s="210"/>
      <c r="N220" s="210"/>
      <c r="O220" s="210"/>
    </row>
    <row r="221" spans="1:16">
      <c r="A221" s="209">
        <v>167</v>
      </c>
      <c r="B221" s="216" t="s">
        <v>284</v>
      </c>
      <c r="C221" s="209">
        <v>2618176</v>
      </c>
      <c r="D221" s="216" t="s">
        <v>9380</v>
      </c>
      <c r="E221" s="486">
        <v>44958</v>
      </c>
      <c r="F221" s="486">
        <v>45287</v>
      </c>
      <c r="G221" s="216"/>
      <c r="H221" s="216">
        <v>0</v>
      </c>
      <c r="I221" s="216">
        <v>0</v>
      </c>
      <c r="J221" s="216">
        <v>0</v>
      </c>
      <c r="K221" s="216">
        <v>0</v>
      </c>
      <c r="L221" s="216">
        <v>0</v>
      </c>
      <c r="M221" s="216">
        <v>0</v>
      </c>
      <c r="N221" s="216">
        <v>21306.9</v>
      </c>
      <c r="O221" s="216">
        <v>0</v>
      </c>
      <c r="P221" s="208"/>
    </row>
    <row r="222" spans="1:16">
      <c r="A222" s="209">
        <v>168</v>
      </c>
      <c r="B222" s="214" t="s">
        <v>284</v>
      </c>
      <c r="C222" s="215">
        <v>2618176</v>
      </c>
      <c r="D222" s="216" t="s">
        <v>9380</v>
      </c>
      <c r="E222" s="486">
        <v>44928</v>
      </c>
      <c r="F222" s="486">
        <v>45289</v>
      </c>
      <c r="G222" s="216"/>
      <c r="H222" s="216">
        <v>7112.5</v>
      </c>
      <c r="I222" s="216">
        <v>0</v>
      </c>
      <c r="J222" s="216">
        <v>0</v>
      </c>
      <c r="K222" s="216">
        <v>7112.55</v>
      </c>
      <c r="L222" s="216">
        <v>0</v>
      </c>
      <c r="M222" s="216">
        <v>0</v>
      </c>
      <c r="N222" s="216">
        <v>0</v>
      </c>
      <c r="O222" s="216">
        <v>0</v>
      </c>
      <c r="P222" s="95"/>
    </row>
    <row r="223" spans="1:16">
      <c r="A223" s="209">
        <v>169</v>
      </c>
      <c r="B223" s="216" t="s">
        <v>285</v>
      </c>
      <c r="C223" s="215">
        <v>5364884</v>
      </c>
      <c r="D223" s="210"/>
      <c r="E223" s="210"/>
      <c r="F223" s="210"/>
      <c r="G223" s="210"/>
      <c r="H223" s="210"/>
      <c r="I223" s="210"/>
      <c r="J223" s="210"/>
      <c r="K223" s="210"/>
      <c r="L223" s="210"/>
      <c r="M223" s="210"/>
      <c r="N223" s="210"/>
      <c r="O223" s="210"/>
    </row>
    <row r="224" spans="1:16" ht="25.5">
      <c r="A224" s="209">
        <v>170</v>
      </c>
      <c r="B224" s="214" t="s">
        <v>286</v>
      </c>
      <c r="C224" s="215">
        <v>2100231</v>
      </c>
      <c r="D224" s="216" t="s">
        <v>9381</v>
      </c>
      <c r="E224" s="486">
        <v>44986</v>
      </c>
      <c r="F224" s="486">
        <v>45245</v>
      </c>
      <c r="G224" s="216"/>
      <c r="H224" s="216">
        <v>180000</v>
      </c>
      <c r="I224" s="216">
        <v>0</v>
      </c>
      <c r="J224" s="216">
        <v>0</v>
      </c>
      <c r="K224" s="216">
        <v>230137</v>
      </c>
      <c r="L224" s="216">
        <v>0</v>
      </c>
      <c r="M224" s="216">
        <v>0</v>
      </c>
      <c r="N224" s="216">
        <v>120000</v>
      </c>
      <c r="O224" s="216">
        <v>0</v>
      </c>
    </row>
    <row r="225" spans="1:16">
      <c r="A225" s="209">
        <v>171</v>
      </c>
      <c r="B225" s="214" t="s">
        <v>287</v>
      </c>
      <c r="C225" s="215">
        <v>2661128</v>
      </c>
      <c r="D225" s="210"/>
      <c r="E225" s="210"/>
      <c r="F225" s="210"/>
      <c r="G225" s="210"/>
      <c r="H225" s="210"/>
      <c r="I225" s="210"/>
      <c r="J225" s="210"/>
      <c r="K225" s="210"/>
      <c r="L225" s="210"/>
      <c r="M225" s="210"/>
      <c r="N225" s="210"/>
      <c r="O225" s="210"/>
    </row>
    <row r="226" spans="1:16">
      <c r="A226" s="209">
        <v>172</v>
      </c>
      <c r="B226" s="214" t="s">
        <v>290</v>
      </c>
      <c r="C226" s="215">
        <v>5878756</v>
      </c>
      <c r="D226" s="210"/>
      <c r="E226" s="210"/>
      <c r="F226" s="210"/>
      <c r="G226" s="210"/>
      <c r="H226" s="210"/>
      <c r="I226" s="210"/>
      <c r="J226" s="210"/>
      <c r="K226" s="210"/>
      <c r="L226" s="210"/>
      <c r="M226" s="210"/>
      <c r="N226" s="210"/>
      <c r="O226" s="210"/>
    </row>
    <row r="227" spans="1:16">
      <c r="A227" s="209">
        <v>173</v>
      </c>
      <c r="B227" s="214" t="s">
        <v>292</v>
      </c>
      <c r="C227" s="215">
        <v>2166631</v>
      </c>
      <c r="D227" s="210"/>
      <c r="E227" s="210"/>
      <c r="F227" s="210"/>
      <c r="G227" s="210"/>
      <c r="H227" s="210"/>
      <c r="I227" s="210"/>
      <c r="J227" s="210"/>
      <c r="K227" s="210"/>
      <c r="L227" s="210"/>
      <c r="M227" s="210"/>
      <c r="N227" s="210"/>
      <c r="O227" s="210"/>
    </row>
    <row r="228" spans="1:16">
      <c r="A228" s="209">
        <v>174</v>
      </c>
      <c r="B228" s="214" t="s">
        <v>296</v>
      </c>
      <c r="C228" s="215">
        <v>5671833</v>
      </c>
      <c r="D228" s="210"/>
      <c r="E228" s="210"/>
      <c r="F228" s="210"/>
      <c r="G228" s="210"/>
      <c r="H228" s="210"/>
      <c r="I228" s="210"/>
      <c r="J228" s="210"/>
      <c r="K228" s="210"/>
      <c r="L228" s="210"/>
      <c r="M228" s="210"/>
      <c r="N228" s="210"/>
      <c r="O228" s="210"/>
    </row>
    <row r="229" spans="1:16">
      <c r="A229" s="209">
        <v>175</v>
      </c>
      <c r="B229" s="216" t="s">
        <v>297</v>
      </c>
      <c r="C229" s="215">
        <v>5104424</v>
      </c>
      <c r="D229" s="210"/>
      <c r="E229" s="210"/>
      <c r="F229" s="210"/>
      <c r="G229" s="210"/>
      <c r="H229" s="210"/>
      <c r="I229" s="210"/>
      <c r="J229" s="210"/>
      <c r="K229" s="210"/>
      <c r="L229" s="210"/>
      <c r="M229" s="210"/>
      <c r="N229" s="210"/>
      <c r="O229" s="210"/>
    </row>
    <row r="230" spans="1:16" ht="25.5">
      <c r="A230" s="209">
        <v>176</v>
      </c>
      <c r="B230" s="216" t="s">
        <v>298</v>
      </c>
      <c r="C230" s="215">
        <v>2668505</v>
      </c>
      <c r="D230" s="216" t="s">
        <v>9212</v>
      </c>
      <c r="E230" s="486">
        <v>44928</v>
      </c>
      <c r="F230" s="486">
        <v>45291</v>
      </c>
      <c r="G230" s="216"/>
      <c r="H230" s="216">
        <v>15525</v>
      </c>
      <c r="I230" s="216">
        <v>0</v>
      </c>
      <c r="J230" s="216">
        <v>118850</v>
      </c>
      <c r="K230" s="216">
        <v>0</v>
      </c>
      <c r="L230" s="216">
        <v>0</v>
      </c>
      <c r="M230" s="216">
        <v>0</v>
      </c>
      <c r="N230" s="216">
        <v>0</v>
      </c>
      <c r="O230" s="216">
        <v>0</v>
      </c>
    </row>
    <row r="231" spans="1:16" ht="25.5">
      <c r="A231" s="209">
        <v>177</v>
      </c>
      <c r="B231" s="216" t="s">
        <v>299</v>
      </c>
      <c r="C231" s="215">
        <v>2697947</v>
      </c>
      <c r="D231" s="210"/>
      <c r="E231" s="210"/>
      <c r="F231" s="210"/>
      <c r="G231" s="210"/>
      <c r="H231" s="210"/>
      <c r="I231" s="210"/>
      <c r="J231" s="210"/>
      <c r="K231" s="210"/>
      <c r="L231" s="210"/>
      <c r="M231" s="210"/>
      <c r="N231" s="210"/>
      <c r="O231" s="210"/>
    </row>
    <row r="232" spans="1:16">
      <c r="A232" s="209">
        <v>178</v>
      </c>
      <c r="B232" s="214" t="s">
        <v>300</v>
      </c>
      <c r="C232" s="215">
        <v>5352827</v>
      </c>
      <c r="D232" s="210"/>
      <c r="E232" s="210"/>
      <c r="F232" s="210"/>
      <c r="G232" s="210"/>
      <c r="H232" s="210"/>
      <c r="I232" s="210"/>
      <c r="J232" s="210"/>
      <c r="K232" s="210"/>
      <c r="L232" s="210"/>
      <c r="M232" s="210"/>
      <c r="N232" s="210"/>
      <c r="O232" s="210"/>
    </row>
    <row r="233" spans="1:16">
      <c r="A233" s="209">
        <v>179</v>
      </c>
      <c r="B233" s="214" t="s">
        <v>301</v>
      </c>
      <c r="C233" s="215">
        <v>2548747</v>
      </c>
      <c r="D233" s="210"/>
      <c r="E233" s="210"/>
      <c r="F233" s="210"/>
      <c r="G233" s="210"/>
      <c r="H233" s="210"/>
      <c r="I233" s="210"/>
      <c r="J233" s="210"/>
      <c r="K233" s="210"/>
      <c r="L233" s="210"/>
      <c r="M233" s="210"/>
      <c r="N233" s="210"/>
      <c r="O233" s="210"/>
    </row>
    <row r="234" spans="1:16">
      <c r="A234" s="209">
        <v>180</v>
      </c>
      <c r="B234" s="216" t="s">
        <v>303</v>
      </c>
      <c r="C234" s="215">
        <v>2641984</v>
      </c>
      <c r="D234" s="210"/>
      <c r="E234" s="210"/>
      <c r="F234" s="210"/>
      <c r="G234" s="210"/>
      <c r="H234" s="210"/>
      <c r="I234" s="210"/>
      <c r="J234" s="210"/>
      <c r="K234" s="210"/>
      <c r="L234" s="210"/>
      <c r="M234" s="210"/>
      <c r="N234" s="210"/>
      <c r="O234" s="210"/>
    </row>
    <row r="235" spans="1:16">
      <c r="A235" s="209">
        <v>181</v>
      </c>
      <c r="B235" s="214" t="s">
        <v>306</v>
      </c>
      <c r="C235" s="215">
        <v>6342485</v>
      </c>
      <c r="D235" s="210"/>
      <c r="E235" s="210"/>
      <c r="F235" s="210"/>
      <c r="G235" s="210"/>
      <c r="H235" s="210"/>
      <c r="I235" s="210"/>
      <c r="J235" s="210"/>
      <c r="K235" s="210"/>
      <c r="L235" s="210"/>
      <c r="M235" s="210"/>
      <c r="N235" s="210"/>
      <c r="O235" s="210"/>
    </row>
    <row r="236" spans="1:16">
      <c r="A236" s="209">
        <v>182</v>
      </c>
      <c r="B236" s="214" t="s">
        <v>307</v>
      </c>
      <c r="C236" s="215">
        <v>5166667</v>
      </c>
      <c r="D236" s="210"/>
      <c r="E236" s="210"/>
      <c r="F236" s="210"/>
      <c r="G236" s="210"/>
      <c r="H236" s="210"/>
      <c r="I236" s="210"/>
      <c r="J236" s="210"/>
      <c r="K236" s="210"/>
      <c r="L236" s="210"/>
      <c r="M236" s="210"/>
      <c r="N236" s="210"/>
      <c r="O236" s="210"/>
    </row>
    <row r="237" spans="1:16">
      <c r="A237" s="209">
        <v>183</v>
      </c>
      <c r="B237" s="214" t="s">
        <v>308</v>
      </c>
      <c r="C237" s="215">
        <v>5482046</v>
      </c>
      <c r="D237" s="210"/>
      <c r="E237" s="210"/>
      <c r="F237" s="210"/>
      <c r="G237" s="210"/>
      <c r="H237" s="210"/>
      <c r="I237" s="210"/>
      <c r="J237" s="210"/>
      <c r="K237" s="210"/>
      <c r="L237" s="210"/>
      <c r="M237" s="210"/>
      <c r="N237" s="210"/>
      <c r="O237" s="210"/>
    </row>
    <row r="238" spans="1:16">
      <c r="A238" s="209">
        <v>184</v>
      </c>
      <c r="B238" s="216" t="s">
        <v>309</v>
      </c>
      <c r="C238" s="209">
        <v>2050374</v>
      </c>
      <c r="D238" s="216" t="s">
        <v>9382</v>
      </c>
      <c r="E238" s="486">
        <v>44927</v>
      </c>
      <c r="F238" s="486">
        <v>45291</v>
      </c>
      <c r="G238" s="216"/>
      <c r="H238" s="216">
        <v>109841</v>
      </c>
      <c r="I238" s="216">
        <v>0</v>
      </c>
      <c r="J238" s="216">
        <v>0</v>
      </c>
      <c r="K238" s="216">
        <v>0</v>
      </c>
      <c r="L238" s="216">
        <v>0</v>
      </c>
      <c r="M238" s="216">
        <v>0</v>
      </c>
      <c r="N238" s="216">
        <v>0</v>
      </c>
      <c r="O238" s="216">
        <v>0</v>
      </c>
      <c r="P238" s="208"/>
    </row>
    <row r="239" spans="1:16">
      <c r="A239" s="209">
        <v>185</v>
      </c>
      <c r="B239" s="216" t="s">
        <v>309</v>
      </c>
      <c r="C239" s="209">
        <v>2050374</v>
      </c>
      <c r="D239" s="216" t="s">
        <v>9332</v>
      </c>
      <c r="E239" s="486">
        <v>44927</v>
      </c>
      <c r="F239" s="486">
        <v>45291</v>
      </c>
      <c r="G239" s="216"/>
      <c r="H239" s="216">
        <v>112820</v>
      </c>
      <c r="I239" s="216">
        <v>0</v>
      </c>
      <c r="J239" s="216">
        <v>0</v>
      </c>
      <c r="K239" s="216">
        <v>0</v>
      </c>
      <c r="L239" s="216">
        <v>0</v>
      </c>
      <c r="M239" s="216">
        <v>0</v>
      </c>
      <c r="N239" s="216">
        <v>0</v>
      </c>
      <c r="O239" s="216">
        <v>0</v>
      </c>
      <c r="P239" s="208"/>
    </row>
    <row r="240" spans="1:16">
      <c r="A240" s="209">
        <v>186</v>
      </c>
      <c r="B240" s="214" t="s">
        <v>309</v>
      </c>
      <c r="C240" s="215">
        <v>2050374</v>
      </c>
      <c r="D240" s="216" t="s">
        <v>9132</v>
      </c>
      <c r="E240" s="216" t="s">
        <v>8377</v>
      </c>
      <c r="F240" s="216" t="s">
        <v>8377</v>
      </c>
      <c r="G240" s="216"/>
      <c r="H240" s="216">
        <v>0</v>
      </c>
      <c r="I240" s="216">
        <v>0</v>
      </c>
      <c r="J240" s="216">
        <v>0</v>
      </c>
      <c r="K240" s="216">
        <v>223011</v>
      </c>
      <c r="L240" s="216">
        <v>0</v>
      </c>
      <c r="M240" s="216">
        <v>0</v>
      </c>
      <c r="N240" s="216">
        <v>0</v>
      </c>
      <c r="O240" s="216">
        <v>0</v>
      </c>
      <c r="P240" s="95"/>
    </row>
    <row r="241" spans="1:16">
      <c r="A241" s="209">
        <v>187</v>
      </c>
      <c r="B241" s="214" t="s">
        <v>311</v>
      </c>
      <c r="C241" s="215">
        <v>2004879</v>
      </c>
      <c r="D241" s="210"/>
      <c r="E241" s="210"/>
      <c r="F241" s="210"/>
      <c r="G241" s="210"/>
      <c r="H241" s="210"/>
      <c r="I241" s="210"/>
      <c r="J241" s="210"/>
      <c r="K241" s="210"/>
      <c r="L241" s="210"/>
      <c r="M241" s="210"/>
      <c r="N241" s="210"/>
      <c r="O241" s="210"/>
    </row>
    <row r="242" spans="1:16">
      <c r="A242" s="209">
        <v>188</v>
      </c>
      <c r="B242" s="216" t="s">
        <v>314</v>
      </c>
      <c r="C242" s="215">
        <v>2830213</v>
      </c>
      <c r="D242" s="210"/>
      <c r="E242" s="210"/>
      <c r="F242" s="210"/>
      <c r="G242" s="210"/>
      <c r="H242" s="210"/>
      <c r="I242" s="210"/>
      <c r="J242" s="210"/>
      <c r="K242" s="210"/>
      <c r="L242" s="210"/>
      <c r="M242" s="210"/>
      <c r="N242" s="210"/>
      <c r="O242" s="210"/>
    </row>
    <row r="243" spans="1:16">
      <c r="A243" s="209">
        <v>189</v>
      </c>
      <c r="B243" s="214" t="s">
        <v>315</v>
      </c>
      <c r="C243" s="215">
        <v>5320607</v>
      </c>
      <c r="D243" s="210"/>
      <c r="E243" s="210"/>
      <c r="F243" s="210"/>
      <c r="G243" s="210"/>
      <c r="H243" s="210"/>
      <c r="I243" s="210"/>
      <c r="J243" s="210"/>
      <c r="K243" s="210"/>
      <c r="L243" s="210"/>
      <c r="M243" s="210"/>
      <c r="N243" s="210"/>
      <c r="O243" s="210"/>
    </row>
    <row r="244" spans="1:16">
      <c r="A244" s="209">
        <v>190</v>
      </c>
      <c r="B244" s="216" t="s">
        <v>316</v>
      </c>
      <c r="C244" s="215">
        <v>5586119</v>
      </c>
      <c r="D244" s="210"/>
      <c r="E244" s="210"/>
      <c r="F244" s="210"/>
      <c r="G244" s="210"/>
      <c r="H244" s="210"/>
      <c r="I244" s="210"/>
      <c r="J244" s="210"/>
      <c r="K244" s="210"/>
      <c r="L244" s="210"/>
      <c r="M244" s="210"/>
      <c r="N244" s="210"/>
      <c r="O244" s="210"/>
    </row>
    <row r="245" spans="1:16">
      <c r="A245" s="209">
        <v>191</v>
      </c>
      <c r="B245" s="214" t="s">
        <v>317</v>
      </c>
      <c r="C245" s="215">
        <v>5015243</v>
      </c>
      <c r="D245" s="210"/>
      <c r="E245" s="210"/>
      <c r="F245" s="210"/>
      <c r="G245" s="210"/>
      <c r="H245" s="210"/>
      <c r="I245" s="210"/>
      <c r="J245" s="210"/>
      <c r="K245" s="210"/>
      <c r="L245" s="210"/>
      <c r="M245" s="210"/>
      <c r="N245" s="210"/>
      <c r="O245" s="210"/>
    </row>
    <row r="246" spans="1:16">
      <c r="A246" s="209">
        <v>192</v>
      </c>
      <c r="B246" s="216" t="s">
        <v>318</v>
      </c>
      <c r="C246" s="215">
        <v>5452503</v>
      </c>
      <c r="D246" s="210"/>
      <c r="E246" s="210"/>
      <c r="F246" s="210"/>
      <c r="G246" s="210"/>
      <c r="H246" s="210"/>
      <c r="I246" s="210"/>
      <c r="J246" s="210"/>
      <c r="K246" s="210"/>
      <c r="L246" s="210"/>
      <c r="M246" s="210"/>
      <c r="N246" s="210"/>
      <c r="O246" s="210"/>
    </row>
    <row r="247" spans="1:16">
      <c r="A247" s="209">
        <v>193</v>
      </c>
      <c r="B247" s="216" t="s">
        <v>319</v>
      </c>
      <c r="C247" s="209">
        <v>2887746</v>
      </c>
      <c r="D247" s="216" t="s">
        <v>9383</v>
      </c>
      <c r="E247" s="486">
        <v>45174</v>
      </c>
      <c r="F247" s="486">
        <v>45904</v>
      </c>
      <c r="G247" s="488">
        <v>454700.9</v>
      </c>
      <c r="H247" s="216">
        <v>0</v>
      </c>
      <c r="I247" s="216">
        <v>0</v>
      </c>
      <c r="J247" s="216">
        <v>0</v>
      </c>
      <c r="K247" s="216">
        <v>0</v>
      </c>
      <c r="L247" s="216">
        <v>0</v>
      </c>
      <c r="M247" s="216">
        <v>0</v>
      </c>
      <c r="N247" s="216">
        <v>0</v>
      </c>
      <c r="O247" s="216">
        <v>0</v>
      </c>
      <c r="P247" s="208"/>
    </row>
    <row r="248" spans="1:16" ht="25.5">
      <c r="A248" s="209">
        <v>194</v>
      </c>
      <c r="B248" s="216" t="s">
        <v>319</v>
      </c>
      <c r="C248" s="209">
        <v>2887746</v>
      </c>
      <c r="D248" s="216" t="s">
        <v>9384</v>
      </c>
      <c r="E248" s="486">
        <v>45174</v>
      </c>
      <c r="F248" s="486">
        <v>45904</v>
      </c>
      <c r="G248" s="488">
        <v>543341.5</v>
      </c>
      <c r="H248" s="216">
        <v>0</v>
      </c>
      <c r="I248" s="216">
        <v>0</v>
      </c>
      <c r="J248" s="216">
        <v>0</v>
      </c>
      <c r="K248" s="216">
        <v>0</v>
      </c>
      <c r="L248" s="216">
        <v>0</v>
      </c>
      <c r="M248" s="216">
        <v>0</v>
      </c>
      <c r="N248" s="216">
        <v>0</v>
      </c>
      <c r="O248" s="216">
        <v>0</v>
      </c>
      <c r="P248" s="208"/>
    </row>
    <row r="249" spans="1:16" ht="25.5">
      <c r="A249" s="209">
        <v>195</v>
      </c>
      <c r="B249" s="216" t="s">
        <v>319</v>
      </c>
      <c r="C249" s="209">
        <v>2887746</v>
      </c>
      <c r="D249" s="216" t="s">
        <v>9385</v>
      </c>
      <c r="E249" s="486">
        <v>45174</v>
      </c>
      <c r="F249" s="486">
        <v>45904</v>
      </c>
      <c r="G249" s="216"/>
      <c r="H249" s="216">
        <v>406438</v>
      </c>
      <c r="I249" s="216">
        <v>0</v>
      </c>
      <c r="J249" s="216">
        <v>0</v>
      </c>
      <c r="K249" s="216">
        <v>0</v>
      </c>
      <c r="L249" s="216">
        <v>0</v>
      </c>
      <c r="M249" s="216">
        <v>0</v>
      </c>
      <c r="N249" s="216">
        <v>0</v>
      </c>
      <c r="O249" s="216">
        <v>0</v>
      </c>
      <c r="P249" s="208"/>
    </row>
    <row r="250" spans="1:16">
      <c r="A250" s="209">
        <v>196</v>
      </c>
      <c r="B250" s="216" t="s">
        <v>319</v>
      </c>
      <c r="C250" s="209">
        <v>2887746</v>
      </c>
      <c r="D250" s="216" t="s">
        <v>9386</v>
      </c>
      <c r="E250" s="486">
        <v>45174</v>
      </c>
      <c r="F250" s="486">
        <v>45173</v>
      </c>
      <c r="G250" s="488">
        <v>205318.18</v>
      </c>
      <c r="H250" s="216">
        <v>0</v>
      </c>
      <c r="I250" s="216">
        <v>0</v>
      </c>
      <c r="J250" s="216">
        <v>0</v>
      </c>
      <c r="K250" s="216">
        <v>0</v>
      </c>
      <c r="L250" s="216">
        <v>0</v>
      </c>
      <c r="M250" s="216">
        <v>0</v>
      </c>
      <c r="N250" s="216">
        <v>0</v>
      </c>
      <c r="O250" s="216">
        <v>0</v>
      </c>
      <c r="P250" s="208"/>
    </row>
    <row r="251" spans="1:16">
      <c r="A251" s="209">
        <v>197</v>
      </c>
      <c r="B251" s="216" t="s">
        <v>319</v>
      </c>
      <c r="C251" s="209">
        <v>2887746</v>
      </c>
      <c r="D251" s="216" t="s">
        <v>9387</v>
      </c>
      <c r="E251" s="216" t="s">
        <v>8377</v>
      </c>
      <c r="F251" s="216" t="s">
        <v>8377</v>
      </c>
      <c r="G251" s="216"/>
      <c r="H251" s="216">
        <v>80000</v>
      </c>
      <c r="I251" s="216">
        <v>0</v>
      </c>
      <c r="J251" s="216">
        <v>0</v>
      </c>
      <c r="K251" s="216">
        <v>0</v>
      </c>
      <c r="L251" s="216">
        <v>0</v>
      </c>
      <c r="M251" s="216">
        <v>0</v>
      </c>
      <c r="N251" s="216">
        <v>0</v>
      </c>
      <c r="O251" s="216">
        <v>0</v>
      </c>
      <c r="P251" s="208"/>
    </row>
    <row r="252" spans="1:16">
      <c r="A252" s="209">
        <v>198</v>
      </c>
      <c r="B252" s="216" t="s">
        <v>319</v>
      </c>
      <c r="C252" s="209">
        <v>2887746</v>
      </c>
      <c r="D252" s="216" t="s">
        <v>9388</v>
      </c>
      <c r="E252" s="216" t="s">
        <v>8377</v>
      </c>
      <c r="F252" s="216" t="s">
        <v>8377</v>
      </c>
      <c r="G252" s="216"/>
      <c r="H252" s="216">
        <v>353785</v>
      </c>
      <c r="I252" s="216">
        <v>0</v>
      </c>
      <c r="J252" s="216">
        <v>0</v>
      </c>
      <c r="K252" s="216">
        <v>0</v>
      </c>
      <c r="L252" s="216">
        <v>0</v>
      </c>
      <c r="M252" s="216">
        <v>0</v>
      </c>
      <c r="N252" s="216">
        <v>0</v>
      </c>
      <c r="O252" s="216">
        <v>0</v>
      </c>
      <c r="P252" s="208"/>
    </row>
    <row r="253" spans="1:16">
      <c r="A253" s="209">
        <v>199</v>
      </c>
      <c r="B253" s="216" t="s">
        <v>319</v>
      </c>
      <c r="C253" s="209">
        <v>2887746</v>
      </c>
      <c r="D253" s="216" t="s">
        <v>9389</v>
      </c>
      <c r="E253" s="486">
        <v>45246</v>
      </c>
      <c r="F253" s="486">
        <v>45612</v>
      </c>
      <c r="G253" s="216"/>
      <c r="H253" s="216">
        <v>172005</v>
      </c>
      <c r="I253" s="216">
        <v>0</v>
      </c>
      <c r="J253" s="216">
        <v>0</v>
      </c>
      <c r="K253" s="216">
        <v>0</v>
      </c>
      <c r="L253" s="216">
        <v>0</v>
      </c>
      <c r="M253" s="216">
        <v>0</v>
      </c>
      <c r="N253" s="216">
        <v>0</v>
      </c>
      <c r="O253" s="216">
        <v>0</v>
      </c>
      <c r="P253" s="208"/>
    </row>
    <row r="254" spans="1:16">
      <c r="A254" s="209">
        <v>200</v>
      </c>
      <c r="B254" s="216" t="s">
        <v>319</v>
      </c>
      <c r="C254" s="209">
        <v>2887746</v>
      </c>
      <c r="D254" s="216" t="s">
        <v>9390</v>
      </c>
      <c r="E254" s="486">
        <v>45246</v>
      </c>
      <c r="F254" s="486">
        <v>45612</v>
      </c>
      <c r="G254" s="216"/>
      <c r="H254" s="216">
        <v>252921</v>
      </c>
      <c r="I254" s="216">
        <v>0</v>
      </c>
      <c r="J254" s="216">
        <v>0</v>
      </c>
      <c r="K254" s="216">
        <v>0</v>
      </c>
      <c r="L254" s="216">
        <v>0</v>
      </c>
      <c r="M254" s="216">
        <v>0</v>
      </c>
      <c r="N254" s="216">
        <v>0</v>
      </c>
      <c r="O254" s="216">
        <v>0</v>
      </c>
      <c r="P254" s="208"/>
    </row>
    <row r="255" spans="1:16">
      <c r="A255" s="209">
        <v>201</v>
      </c>
      <c r="B255" s="216" t="s">
        <v>319</v>
      </c>
      <c r="C255" s="209">
        <v>2887746</v>
      </c>
      <c r="D255" s="216" t="s">
        <v>9391</v>
      </c>
      <c r="E255" s="216" t="s">
        <v>8377</v>
      </c>
      <c r="F255" s="216" t="s">
        <v>8377</v>
      </c>
      <c r="G255" s="216"/>
      <c r="H255" s="216">
        <v>0</v>
      </c>
      <c r="I255" s="216">
        <v>0</v>
      </c>
      <c r="J255" s="216">
        <v>115830</v>
      </c>
      <c r="K255" s="216">
        <v>0</v>
      </c>
      <c r="L255" s="216">
        <v>0</v>
      </c>
      <c r="M255" s="216">
        <v>0</v>
      </c>
      <c r="N255" s="216">
        <v>0</v>
      </c>
      <c r="O255" s="216">
        <v>0</v>
      </c>
      <c r="P255" s="208"/>
    </row>
    <row r="256" spans="1:16">
      <c r="A256" s="209">
        <v>202</v>
      </c>
      <c r="B256" s="216" t="s">
        <v>319</v>
      </c>
      <c r="C256" s="209">
        <v>2887746</v>
      </c>
      <c r="D256" s="216" t="s">
        <v>9392</v>
      </c>
      <c r="E256" s="216" t="s">
        <v>8377</v>
      </c>
      <c r="F256" s="216" t="s">
        <v>8377</v>
      </c>
      <c r="G256" s="216"/>
      <c r="H256" s="216">
        <v>0</v>
      </c>
      <c r="I256" s="216">
        <v>0</v>
      </c>
      <c r="J256" s="216">
        <v>0</v>
      </c>
      <c r="K256" s="216">
        <v>753556</v>
      </c>
      <c r="L256" s="216">
        <v>0</v>
      </c>
      <c r="M256" s="216">
        <v>0</v>
      </c>
      <c r="N256" s="216">
        <v>0</v>
      </c>
      <c r="O256" s="216">
        <v>0</v>
      </c>
      <c r="P256" s="208"/>
    </row>
    <row r="257" spans="1:16">
      <c r="A257" s="209">
        <v>203</v>
      </c>
      <c r="B257" s="216" t="s">
        <v>319</v>
      </c>
      <c r="C257" s="209">
        <v>2887746</v>
      </c>
      <c r="D257" s="216" t="s">
        <v>9393</v>
      </c>
      <c r="E257" s="216" t="s">
        <v>8377</v>
      </c>
      <c r="F257" s="216" t="s">
        <v>8377</v>
      </c>
      <c r="G257" s="216"/>
      <c r="H257" s="216">
        <v>0</v>
      </c>
      <c r="I257" s="216">
        <v>0</v>
      </c>
      <c r="J257" s="216">
        <v>0</v>
      </c>
      <c r="K257" s="216">
        <v>626840</v>
      </c>
      <c r="L257" s="216">
        <v>0</v>
      </c>
      <c r="M257" s="216">
        <v>0</v>
      </c>
      <c r="N257" s="216">
        <v>0</v>
      </c>
      <c r="O257" s="216">
        <v>0</v>
      </c>
      <c r="P257" s="208"/>
    </row>
    <row r="258" spans="1:16" ht="25.5">
      <c r="A258" s="209">
        <v>204</v>
      </c>
      <c r="B258" s="216" t="s">
        <v>319</v>
      </c>
      <c r="C258" s="209">
        <v>2887746</v>
      </c>
      <c r="D258" s="216" t="s">
        <v>9394</v>
      </c>
      <c r="E258" s="216" t="s">
        <v>8377</v>
      </c>
      <c r="F258" s="216" t="s">
        <v>8377</v>
      </c>
      <c r="G258" s="216"/>
      <c r="H258" s="216">
        <v>0</v>
      </c>
      <c r="I258" s="216">
        <v>0</v>
      </c>
      <c r="J258" s="216">
        <v>0</v>
      </c>
      <c r="K258" s="216">
        <v>330907</v>
      </c>
      <c r="L258" s="216">
        <v>0</v>
      </c>
      <c r="M258" s="216">
        <v>0</v>
      </c>
      <c r="N258" s="216">
        <v>0</v>
      </c>
      <c r="O258" s="216">
        <v>0</v>
      </c>
      <c r="P258" s="208"/>
    </row>
    <row r="259" spans="1:16">
      <c r="A259" s="209">
        <v>205</v>
      </c>
      <c r="B259" s="216" t="s">
        <v>319</v>
      </c>
      <c r="C259" s="209">
        <v>2887746</v>
      </c>
      <c r="D259" s="216" t="s">
        <v>9395</v>
      </c>
      <c r="E259" s="216" t="s">
        <v>8377</v>
      </c>
      <c r="F259" s="216" t="s">
        <v>8377</v>
      </c>
      <c r="G259" s="216"/>
      <c r="H259" s="216">
        <v>0</v>
      </c>
      <c r="I259" s="216">
        <v>0</v>
      </c>
      <c r="J259" s="216">
        <v>0</v>
      </c>
      <c r="K259" s="216">
        <v>187950</v>
      </c>
      <c r="L259" s="216">
        <v>0</v>
      </c>
      <c r="M259" s="216">
        <v>0</v>
      </c>
      <c r="N259" s="216">
        <v>0</v>
      </c>
      <c r="O259" s="216">
        <v>0</v>
      </c>
      <c r="P259" s="208"/>
    </row>
    <row r="260" spans="1:16" ht="25.5">
      <c r="A260" s="209">
        <v>206</v>
      </c>
      <c r="B260" s="216" t="s">
        <v>319</v>
      </c>
      <c r="C260" s="209">
        <v>2887746</v>
      </c>
      <c r="D260" s="216" t="s">
        <v>9396</v>
      </c>
      <c r="E260" s="216" t="s">
        <v>8377</v>
      </c>
      <c r="F260" s="216" t="s">
        <v>8377</v>
      </c>
      <c r="G260" s="216"/>
      <c r="H260" s="216">
        <v>0</v>
      </c>
      <c r="I260" s="216">
        <v>0</v>
      </c>
      <c r="J260" s="216">
        <v>0</v>
      </c>
      <c r="K260" s="216">
        <v>130435</v>
      </c>
      <c r="L260" s="216">
        <v>0</v>
      </c>
      <c r="M260" s="216">
        <v>0</v>
      </c>
      <c r="N260" s="216">
        <v>0</v>
      </c>
      <c r="O260" s="216">
        <v>0</v>
      </c>
      <c r="P260" s="208"/>
    </row>
    <row r="261" spans="1:16" ht="25.5">
      <c r="A261" s="209">
        <v>207</v>
      </c>
      <c r="B261" s="214" t="s">
        <v>319</v>
      </c>
      <c r="C261" s="215">
        <v>2887746</v>
      </c>
      <c r="D261" s="216" t="s">
        <v>9397</v>
      </c>
      <c r="E261" s="216" t="s">
        <v>8377</v>
      </c>
      <c r="F261" s="216" t="s">
        <v>8377</v>
      </c>
      <c r="G261" s="216"/>
      <c r="H261" s="216">
        <v>0</v>
      </c>
      <c r="I261" s="216">
        <v>0</v>
      </c>
      <c r="J261" s="216">
        <v>0</v>
      </c>
      <c r="K261" s="216">
        <v>18262.7</v>
      </c>
      <c r="L261" s="216">
        <v>0</v>
      </c>
      <c r="M261" s="216">
        <v>0</v>
      </c>
      <c r="N261" s="216">
        <v>0</v>
      </c>
      <c r="O261" s="216">
        <v>0</v>
      </c>
      <c r="P261" s="95"/>
    </row>
    <row r="262" spans="1:16">
      <c r="A262" s="209">
        <v>208</v>
      </c>
      <c r="B262" s="214" t="s">
        <v>320</v>
      </c>
      <c r="C262" s="209">
        <v>5618339</v>
      </c>
      <c r="D262" s="210"/>
      <c r="E262" s="210"/>
      <c r="F262" s="210"/>
      <c r="G262" s="210"/>
      <c r="H262" s="210"/>
      <c r="I262" s="210"/>
      <c r="J262" s="210"/>
      <c r="K262" s="210"/>
      <c r="L262" s="210"/>
      <c r="M262" s="210"/>
      <c r="N262" s="210"/>
      <c r="O262" s="210"/>
    </row>
    <row r="263" spans="1:16">
      <c r="A263" s="209">
        <v>209</v>
      </c>
      <c r="B263" s="216" t="s">
        <v>321</v>
      </c>
      <c r="C263" s="209">
        <v>2718243</v>
      </c>
      <c r="D263" s="216" t="s">
        <v>9398</v>
      </c>
      <c r="E263" s="486">
        <v>44986</v>
      </c>
      <c r="F263" s="486">
        <v>45717</v>
      </c>
      <c r="G263" s="216"/>
      <c r="H263" s="216">
        <v>1296</v>
      </c>
      <c r="I263" s="216">
        <v>0</v>
      </c>
      <c r="J263" s="216">
        <v>0</v>
      </c>
      <c r="K263" s="216">
        <v>17496</v>
      </c>
      <c r="L263" s="216">
        <v>0</v>
      </c>
      <c r="M263" s="216">
        <v>0</v>
      </c>
      <c r="N263" s="216">
        <v>0</v>
      </c>
      <c r="O263" s="216">
        <v>0</v>
      </c>
      <c r="P263" s="208"/>
    </row>
    <row r="264" spans="1:16">
      <c r="A264" s="209">
        <v>210</v>
      </c>
      <c r="B264" s="216" t="s">
        <v>321</v>
      </c>
      <c r="C264" s="209">
        <v>2718243</v>
      </c>
      <c r="D264" s="216" t="s">
        <v>9399</v>
      </c>
      <c r="E264" s="486">
        <v>45291</v>
      </c>
      <c r="F264" s="486">
        <v>45291</v>
      </c>
      <c r="G264" s="216"/>
      <c r="H264" s="216">
        <v>25856</v>
      </c>
      <c r="I264" s="216">
        <v>0</v>
      </c>
      <c r="J264" s="216">
        <v>0</v>
      </c>
      <c r="K264" s="216">
        <v>0</v>
      </c>
      <c r="L264" s="216">
        <v>0</v>
      </c>
      <c r="M264" s="216">
        <v>0</v>
      </c>
      <c r="N264" s="216">
        <v>0</v>
      </c>
      <c r="O264" s="216">
        <v>0</v>
      </c>
      <c r="P264" s="208"/>
    </row>
    <row r="265" spans="1:16">
      <c r="A265" s="209">
        <v>211</v>
      </c>
      <c r="B265" s="216" t="s">
        <v>321</v>
      </c>
      <c r="C265" s="209">
        <v>2718243</v>
      </c>
      <c r="D265" s="216" t="s">
        <v>9400</v>
      </c>
      <c r="E265" s="486">
        <v>44927</v>
      </c>
      <c r="F265" s="486">
        <v>45291</v>
      </c>
      <c r="G265" s="216"/>
      <c r="H265" s="216">
        <v>0</v>
      </c>
      <c r="I265" s="216">
        <v>0</v>
      </c>
      <c r="J265" s="216">
        <v>0</v>
      </c>
      <c r="K265" s="216">
        <v>15276</v>
      </c>
      <c r="L265" s="216">
        <v>0</v>
      </c>
      <c r="M265" s="216">
        <v>0</v>
      </c>
      <c r="N265" s="216">
        <v>0</v>
      </c>
      <c r="O265" s="216">
        <v>0</v>
      </c>
      <c r="P265" s="208"/>
    </row>
    <row r="266" spans="1:16">
      <c r="A266" s="209">
        <v>212</v>
      </c>
      <c r="B266" s="216" t="s">
        <v>321</v>
      </c>
      <c r="C266" s="209">
        <v>2718243</v>
      </c>
      <c r="D266" s="216" t="s">
        <v>9401</v>
      </c>
      <c r="E266" s="486">
        <v>45291</v>
      </c>
      <c r="F266" s="486">
        <v>45291</v>
      </c>
      <c r="G266" s="216"/>
      <c r="H266" s="216">
        <v>16563.900000000001</v>
      </c>
      <c r="I266" s="216">
        <v>0</v>
      </c>
      <c r="J266" s="216">
        <v>0</v>
      </c>
      <c r="K266" s="216">
        <v>0</v>
      </c>
      <c r="L266" s="216">
        <v>0</v>
      </c>
      <c r="M266" s="216">
        <v>0</v>
      </c>
      <c r="N266" s="216">
        <v>0</v>
      </c>
      <c r="O266" s="216">
        <v>0</v>
      </c>
      <c r="P266" s="208"/>
    </row>
    <row r="267" spans="1:16">
      <c r="A267" s="209">
        <v>213</v>
      </c>
      <c r="B267" s="216" t="s">
        <v>321</v>
      </c>
      <c r="C267" s="209">
        <v>2718243</v>
      </c>
      <c r="D267" s="216" t="s">
        <v>9402</v>
      </c>
      <c r="E267" s="486">
        <v>45016</v>
      </c>
      <c r="F267" s="486">
        <v>45027</v>
      </c>
      <c r="G267" s="216"/>
      <c r="H267" s="216">
        <v>0</v>
      </c>
      <c r="I267" s="216">
        <v>0</v>
      </c>
      <c r="J267" s="216">
        <v>0</v>
      </c>
      <c r="K267" s="216">
        <v>15238.3</v>
      </c>
      <c r="L267" s="216">
        <v>0</v>
      </c>
      <c r="M267" s="216">
        <v>0</v>
      </c>
      <c r="N267" s="216">
        <v>0</v>
      </c>
      <c r="O267" s="216">
        <v>0</v>
      </c>
      <c r="P267" s="208"/>
    </row>
    <row r="268" spans="1:16" ht="25.5">
      <c r="A268" s="209">
        <v>214</v>
      </c>
      <c r="B268" s="216" t="s">
        <v>321</v>
      </c>
      <c r="C268" s="209">
        <v>2718243</v>
      </c>
      <c r="D268" s="216" t="s">
        <v>9403</v>
      </c>
      <c r="E268" s="486">
        <v>44927</v>
      </c>
      <c r="F268" s="486">
        <v>45291</v>
      </c>
      <c r="G268" s="216"/>
      <c r="H268" s="216">
        <v>0</v>
      </c>
      <c r="I268" s="216">
        <v>0</v>
      </c>
      <c r="J268" s="216">
        <v>0</v>
      </c>
      <c r="K268" s="216">
        <v>3973.2</v>
      </c>
      <c r="L268" s="216">
        <v>0</v>
      </c>
      <c r="M268" s="216">
        <v>0</v>
      </c>
      <c r="N268" s="216">
        <v>0</v>
      </c>
      <c r="O268" s="216">
        <v>0</v>
      </c>
      <c r="P268" s="208"/>
    </row>
    <row r="269" spans="1:16">
      <c r="A269" s="209">
        <v>215</v>
      </c>
      <c r="B269" s="216" t="s">
        <v>321</v>
      </c>
      <c r="C269" s="209">
        <v>2718243</v>
      </c>
      <c r="D269" s="216" t="s">
        <v>9404</v>
      </c>
      <c r="E269" s="486">
        <v>44927</v>
      </c>
      <c r="F269" s="486">
        <v>45291</v>
      </c>
      <c r="G269" s="216"/>
      <c r="H269" s="216">
        <v>0</v>
      </c>
      <c r="I269" s="216">
        <v>0</v>
      </c>
      <c r="J269" s="216">
        <v>0</v>
      </c>
      <c r="K269" s="216">
        <v>5158.67</v>
      </c>
      <c r="L269" s="216">
        <v>0</v>
      </c>
      <c r="M269" s="216">
        <v>0</v>
      </c>
      <c r="N269" s="216">
        <v>0</v>
      </c>
      <c r="O269" s="216">
        <v>0</v>
      </c>
      <c r="P269" s="208"/>
    </row>
    <row r="270" spans="1:16">
      <c r="A270" s="209">
        <v>216</v>
      </c>
      <c r="B270" s="216" t="s">
        <v>321</v>
      </c>
      <c r="C270" s="209">
        <v>2718243</v>
      </c>
      <c r="D270" s="216" t="s">
        <v>9405</v>
      </c>
      <c r="E270" s="486">
        <v>44927</v>
      </c>
      <c r="F270" s="486">
        <v>45291</v>
      </c>
      <c r="G270" s="216"/>
      <c r="H270" s="216">
        <v>0</v>
      </c>
      <c r="I270" s="216">
        <v>0</v>
      </c>
      <c r="J270" s="216">
        <v>0</v>
      </c>
      <c r="K270" s="216">
        <v>3280</v>
      </c>
      <c r="L270" s="216">
        <v>0</v>
      </c>
      <c r="M270" s="216">
        <v>0</v>
      </c>
      <c r="N270" s="216">
        <v>0</v>
      </c>
      <c r="O270" s="216">
        <v>0</v>
      </c>
      <c r="P270" s="208"/>
    </row>
    <row r="271" spans="1:16">
      <c r="A271" s="209">
        <v>217</v>
      </c>
      <c r="B271" s="216" t="s">
        <v>321</v>
      </c>
      <c r="C271" s="209">
        <v>2718243</v>
      </c>
      <c r="D271" s="216" t="s">
        <v>9406</v>
      </c>
      <c r="E271" s="486">
        <v>44927</v>
      </c>
      <c r="F271" s="486">
        <v>45291</v>
      </c>
      <c r="G271" s="216"/>
      <c r="H271" s="216">
        <v>1647.91</v>
      </c>
      <c r="I271" s="216">
        <v>0</v>
      </c>
      <c r="J271" s="216">
        <v>0</v>
      </c>
      <c r="K271" s="216">
        <v>0</v>
      </c>
      <c r="L271" s="216">
        <v>0</v>
      </c>
      <c r="M271" s="216">
        <v>0</v>
      </c>
      <c r="N271" s="216">
        <v>0</v>
      </c>
      <c r="O271" s="216">
        <v>0</v>
      </c>
      <c r="P271" s="208"/>
    </row>
    <row r="272" spans="1:16">
      <c r="A272" s="209">
        <v>218</v>
      </c>
      <c r="B272" s="216" t="s">
        <v>321</v>
      </c>
      <c r="C272" s="209">
        <v>2718243</v>
      </c>
      <c r="D272" s="216" t="s">
        <v>9407</v>
      </c>
      <c r="E272" s="486">
        <v>44927</v>
      </c>
      <c r="F272" s="486">
        <v>45291</v>
      </c>
      <c r="G272" s="216"/>
      <c r="H272" s="216">
        <v>0</v>
      </c>
      <c r="I272" s="216">
        <v>0</v>
      </c>
      <c r="J272" s="216">
        <v>0</v>
      </c>
      <c r="K272" s="216">
        <v>6105.58</v>
      </c>
      <c r="L272" s="216">
        <v>0</v>
      </c>
      <c r="M272" s="216">
        <v>0</v>
      </c>
      <c r="N272" s="216">
        <v>0</v>
      </c>
      <c r="O272" s="216">
        <v>0</v>
      </c>
      <c r="P272" s="208"/>
    </row>
    <row r="273" spans="1:16">
      <c r="A273" s="209">
        <v>219</v>
      </c>
      <c r="B273" s="216" t="s">
        <v>321</v>
      </c>
      <c r="C273" s="209">
        <v>2718243</v>
      </c>
      <c r="D273" s="216" t="s">
        <v>9408</v>
      </c>
      <c r="E273" s="486">
        <v>44927</v>
      </c>
      <c r="F273" s="486">
        <v>45291</v>
      </c>
      <c r="G273" s="216"/>
      <c r="H273" s="216">
        <v>0</v>
      </c>
      <c r="I273" s="216">
        <v>0</v>
      </c>
      <c r="J273" s="216">
        <v>0</v>
      </c>
      <c r="K273" s="216">
        <v>4281.6000000000004</v>
      </c>
      <c r="L273" s="216">
        <v>0</v>
      </c>
      <c r="M273" s="216">
        <v>0</v>
      </c>
      <c r="N273" s="216">
        <v>0</v>
      </c>
      <c r="O273" s="216">
        <v>0</v>
      </c>
      <c r="P273" s="208"/>
    </row>
    <row r="274" spans="1:16" ht="25.5">
      <c r="A274" s="209">
        <v>220</v>
      </c>
      <c r="B274" s="216" t="s">
        <v>321</v>
      </c>
      <c r="C274" s="209">
        <v>2718243</v>
      </c>
      <c r="D274" s="216" t="s">
        <v>9409</v>
      </c>
      <c r="E274" s="486">
        <v>44927</v>
      </c>
      <c r="F274" s="486">
        <v>45291</v>
      </c>
      <c r="G274" s="216"/>
      <c r="H274" s="216">
        <v>0</v>
      </c>
      <c r="I274" s="216">
        <v>0</v>
      </c>
      <c r="J274" s="216">
        <v>0</v>
      </c>
      <c r="K274" s="216">
        <v>7963.76</v>
      </c>
      <c r="L274" s="216">
        <v>0</v>
      </c>
      <c r="M274" s="216">
        <v>0</v>
      </c>
      <c r="N274" s="216">
        <v>0</v>
      </c>
      <c r="O274" s="216">
        <v>0</v>
      </c>
      <c r="P274" s="208"/>
    </row>
    <row r="275" spans="1:16">
      <c r="A275" s="209">
        <v>221</v>
      </c>
      <c r="B275" s="214" t="s">
        <v>321</v>
      </c>
      <c r="C275" s="215">
        <v>2718243</v>
      </c>
      <c r="D275" s="216" t="s">
        <v>9410</v>
      </c>
      <c r="E275" s="486">
        <v>44927</v>
      </c>
      <c r="F275" s="486">
        <v>45291</v>
      </c>
      <c r="G275" s="216"/>
      <c r="H275" s="216">
        <v>25575</v>
      </c>
      <c r="I275" s="216">
        <v>0</v>
      </c>
      <c r="J275" s="216">
        <v>0</v>
      </c>
      <c r="K275" s="216">
        <v>0</v>
      </c>
      <c r="L275" s="216">
        <v>0</v>
      </c>
      <c r="M275" s="216">
        <v>0</v>
      </c>
      <c r="N275" s="216">
        <v>0</v>
      </c>
      <c r="O275" s="216">
        <v>0</v>
      </c>
      <c r="P275" s="95"/>
    </row>
    <row r="276" spans="1:16">
      <c r="A276" s="209">
        <v>222</v>
      </c>
      <c r="B276" s="214" t="s">
        <v>322</v>
      </c>
      <c r="C276" s="215">
        <v>6896197</v>
      </c>
      <c r="D276" s="216"/>
      <c r="E276" s="486"/>
      <c r="F276" s="486"/>
      <c r="G276" s="216"/>
      <c r="H276" s="216"/>
      <c r="I276" s="216"/>
      <c r="J276" s="216"/>
      <c r="K276" s="216"/>
      <c r="L276" s="216"/>
      <c r="M276" s="216"/>
      <c r="N276" s="216"/>
      <c r="O276" s="216"/>
      <c r="P276" s="95"/>
    </row>
    <row r="277" spans="1:16" ht="25.5">
      <c r="A277" s="209">
        <v>223</v>
      </c>
      <c r="B277" s="216" t="s">
        <v>323</v>
      </c>
      <c r="C277" s="209">
        <v>5435528</v>
      </c>
      <c r="D277" s="216" t="s">
        <v>9411</v>
      </c>
      <c r="E277" s="486">
        <v>44386</v>
      </c>
      <c r="F277" s="486">
        <v>45482</v>
      </c>
      <c r="G277" s="216"/>
      <c r="H277" s="216">
        <v>459671</v>
      </c>
      <c r="I277" s="216">
        <v>0</v>
      </c>
      <c r="J277" s="216">
        <v>0</v>
      </c>
      <c r="K277" s="216">
        <v>0</v>
      </c>
      <c r="L277" s="216">
        <v>0</v>
      </c>
      <c r="M277" s="216">
        <v>0</v>
      </c>
      <c r="N277" s="216">
        <v>0</v>
      </c>
      <c r="O277" s="216">
        <v>0</v>
      </c>
      <c r="P277" s="208"/>
    </row>
    <row r="278" spans="1:16" ht="25.5">
      <c r="A278" s="209">
        <v>224</v>
      </c>
      <c r="B278" s="216" t="s">
        <v>323</v>
      </c>
      <c r="C278" s="209">
        <v>5435528</v>
      </c>
      <c r="D278" s="216" t="s">
        <v>9412</v>
      </c>
      <c r="E278" s="486">
        <v>44377</v>
      </c>
      <c r="F278" s="486">
        <v>45473</v>
      </c>
      <c r="G278" s="216"/>
      <c r="H278" s="216">
        <v>356580</v>
      </c>
      <c r="I278" s="216">
        <v>0</v>
      </c>
      <c r="J278" s="216">
        <v>0</v>
      </c>
      <c r="K278" s="216">
        <v>0</v>
      </c>
      <c r="L278" s="216">
        <v>0</v>
      </c>
      <c r="M278" s="216">
        <v>0</v>
      </c>
      <c r="N278" s="216">
        <v>0</v>
      </c>
      <c r="O278" s="216">
        <v>0</v>
      </c>
      <c r="P278" s="208"/>
    </row>
    <row r="279" spans="1:16" ht="25.5">
      <c r="A279" s="209">
        <v>225</v>
      </c>
      <c r="B279" s="216" t="s">
        <v>323</v>
      </c>
      <c r="C279" s="209">
        <v>5435528</v>
      </c>
      <c r="D279" s="216" t="s">
        <v>9413</v>
      </c>
      <c r="E279" s="486">
        <v>45176</v>
      </c>
      <c r="F279" s="486">
        <v>45542</v>
      </c>
      <c r="G279" s="216"/>
      <c r="H279" s="216">
        <v>137440</v>
      </c>
      <c r="I279" s="216">
        <v>0</v>
      </c>
      <c r="J279" s="216">
        <v>0</v>
      </c>
      <c r="K279" s="216">
        <v>0</v>
      </c>
      <c r="L279" s="216">
        <v>0</v>
      </c>
      <c r="M279" s="216">
        <v>0</v>
      </c>
      <c r="N279" s="216">
        <v>0</v>
      </c>
      <c r="O279" s="216">
        <v>0</v>
      </c>
      <c r="P279" s="208"/>
    </row>
    <row r="280" spans="1:16" ht="25.5">
      <c r="A280" s="209">
        <v>226</v>
      </c>
      <c r="B280" s="216" t="s">
        <v>323</v>
      </c>
      <c r="C280" s="209">
        <v>5435528</v>
      </c>
      <c r="D280" s="216" t="s">
        <v>9414</v>
      </c>
      <c r="E280" s="486">
        <v>44386</v>
      </c>
      <c r="F280" s="486">
        <v>45482</v>
      </c>
      <c r="G280" s="216"/>
      <c r="H280" s="216">
        <v>130735</v>
      </c>
      <c r="I280" s="216">
        <v>0</v>
      </c>
      <c r="J280" s="216">
        <v>0</v>
      </c>
      <c r="K280" s="216">
        <v>0</v>
      </c>
      <c r="L280" s="216">
        <v>0</v>
      </c>
      <c r="M280" s="216">
        <v>0</v>
      </c>
      <c r="N280" s="216">
        <v>0</v>
      </c>
      <c r="O280" s="216">
        <v>0</v>
      </c>
      <c r="P280" s="208"/>
    </row>
    <row r="281" spans="1:16" ht="25.5">
      <c r="A281" s="209">
        <v>227</v>
      </c>
      <c r="B281" s="216" t="s">
        <v>323</v>
      </c>
      <c r="C281" s="209">
        <v>5435528</v>
      </c>
      <c r="D281" s="216" t="s">
        <v>9415</v>
      </c>
      <c r="E281" s="486">
        <v>45176</v>
      </c>
      <c r="F281" s="486">
        <v>45542</v>
      </c>
      <c r="G281" s="216"/>
      <c r="H281" s="216">
        <v>0</v>
      </c>
      <c r="I281" s="216">
        <v>0</v>
      </c>
      <c r="J281" s="216">
        <v>0</v>
      </c>
      <c r="K281" s="216">
        <v>32750</v>
      </c>
      <c r="L281" s="216">
        <v>0</v>
      </c>
      <c r="M281" s="216">
        <v>0</v>
      </c>
      <c r="N281" s="216">
        <v>0</v>
      </c>
      <c r="O281" s="216">
        <v>0</v>
      </c>
      <c r="P281" s="208"/>
    </row>
    <row r="282" spans="1:16">
      <c r="A282" s="209">
        <v>228</v>
      </c>
      <c r="B282" s="214" t="s">
        <v>323</v>
      </c>
      <c r="C282" s="215">
        <v>5435528</v>
      </c>
      <c r="D282" s="216" t="s">
        <v>9416</v>
      </c>
      <c r="E282" s="486">
        <v>44638</v>
      </c>
      <c r="F282" s="486">
        <v>45734</v>
      </c>
      <c r="G282" s="216"/>
      <c r="H282" s="216">
        <v>0</v>
      </c>
      <c r="I282" s="216">
        <v>0</v>
      </c>
      <c r="J282" s="216">
        <v>0</v>
      </c>
      <c r="K282" s="216">
        <v>23512.5</v>
      </c>
      <c r="L282" s="216">
        <v>0</v>
      </c>
      <c r="M282" s="216">
        <v>0</v>
      </c>
      <c r="N282" s="216">
        <v>0</v>
      </c>
      <c r="O282" s="216">
        <v>0</v>
      </c>
      <c r="P282" s="95"/>
    </row>
    <row r="283" spans="1:16" ht="25.5">
      <c r="A283" s="209">
        <v>229</v>
      </c>
      <c r="B283" s="216" t="s">
        <v>324</v>
      </c>
      <c r="C283" s="215">
        <v>5824826</v>
      </c>
      <c r="D283" s="210"/>
      <c r="E283" s="210"/>
      <c r="F283" s="210"/>
      <c r="G283" s="210"/>
      <c r="H283" s="210"/>
      <c r="I283" s="210"/>
      <c r="J283" s="210"/>
      <c r="K283" s="210"/>
      <c r="L283" s="210"/>
      <c r="M283" s="210"/>
      <c r="N283" s="210"/>
      <c r="O283" s="210"/>
    </row>
    <row r="284" spans="1:16">
      <c r="A284" s="209">
        <v>230</v>
      </c>
      <c r="B284" s="214" t="s">
        <v>325</v>
      </c>
      <c r="C284" s="215">
        <v>6141536</v>
      </c>
      <c r="D284" s="210"/>
      <c r="E284" s="210"/>
      <c r="F284" s="210"/>
      <c r="G284" s="210"/>
      <c r="H284" s="210"/>
      <c r="I284" s="210"/>
      <c r="J284" s="210"/>
      <c r="K284" s="210"/>
      <c r="L284" s="210"/>
      <c r="M284" s="210"/>
      <c r="N284" s="210"/>
      <c r="O284" s="210"/>
    </row>
    <row r="285" spans="1:16">
      <c r="A285" s="209">
        <v>231</v>
      </c>
      <c r="B285" s="216" t="s">
        <v>326</v>
      </c>
      <c r="C285" s="215">
        <v>5124913</v>
      </c>
      <c r="D285" s="210"/>
      <c r="E285" s="210"/>
      <c r="F285" s="210"/>
      <c r="G285" s="210"/>
      <c r="H285" s="210"/>
      <c r="I285" s="210"/>
      <c r="J285" s="210"/>
      <c r="K285" s="210"/>
      <c r="L285" s="210"/>
      <c r="M285" s="210"/>
      <c r="N285" s="210"/>
      <c r="O285" s="210"/>
    </row>
    <row r="286" spans="1:16">
      <c r="A286" s="209">
        <v>232</v>
      </c>
      <c r="B286" s="216" t="s">
        <v>327</v>
      </c>
      <c r="C286" s="209">
        <v>2074192</v>
      </c>
      <c r="D286" s="216" t="s">
        <v>9417</v>
      </c>
      <c r="E286" s="486">
        <v>44999</v>
      </c>
      <c r="F286" s="486">
        <v>45425</v>
      </c>
      <c r="G286" s="488">
        <v>38628.5</v>
      </c>
      <c r="H286" s="216">
        <v>0</v>
      </c>
      <c r="I286" s="216">
        <v>0</v>
      </c>
      <c r="J286" s="216">
        <v>0</v>
      </c>
      <c r="K286" s="216">
        <v>0</v>
      </c>
      <c r="L286" s="216">
        <v>0</v>
      </c>
      <c r="M286" s="216">
        <v>0</v>
      </c>
      <c r="N286" s="216">
        <v>0</v>
      </c>
      <c r="O286" s="216">
        <v>0</v>
      </c>
      <c r="P286" s="208"/>
    </row>
    <row r="287" spans="1:16">
      <c r="A287" s="209">
        <v>233</v>
      </c>
      <c r="B287" s="216" t="s">
        <v>327</v>
      </c>
      <c r="C287" s="209">
        <v>2074192</v>
      </c>
      <c r="D287" s="216" t="s">
        <v>9418</v>
      </c>
      <c r="E287" s="486">
        <v>45239</v>
      </c>
      <c r="F287" s="486">
        <v>45269</v>
      </c>
      <c r="G287" s="488">
        <v>69539.5</v>
      </c>
      <c r="H287" s="216">
        <v>0</v>
      </c>
      <c r="I287" s="216">
        <v>0</v>
      </c>
      <c r="J287" s="216">
        <v>0</v>
      </c>
      <c r="K287" s="216">
        <v>0</v>
      </c>
      <c r="L287" s="216">
        <v>0</v>
      </c>
      <c r="M287" s="216">
        <v>0</v>
      </c>
      <c r="N287" s="216">
        <v>0</v>
      </c>
      <c r="O287" s="216">
        <v>0</v>
      </c>
      <c r="P287" s="208"/>
    </row>
    <row r="288" spans="1:16">
      <c r="A288" s="209">
        <v>234</v>
      </c>
      <c r="B288" s="216" t="s">
        <v>327</v>
      </c>
      <c r="C288" s="209">
        <v>2074192</v>
      </c>
      <c r="D288" s="216" t="s">
        <v>9419</v>
      </c>
      <c r="E288" s="486">
        <v>45030</v>
      </c>
      <c r="F288" s="486">
        <v>45350</v>
      </c>
      <c r="G288" s="484">
        <v>72600</v>
      </c>
      <c r="H288" s="216">
        <v>0</v>
      </c>
      <c r="I288" s="216">
        <v>0</v>
      </c>
      <c r="J288" s="216">
        <v>0</v>
      </c>
      <c r="K288" s="216">
        <v>0</v>
      </c>
      <c r="L288" s="216">
        <v>0</v>
      </c>
      <c r="M288" s="216">
        <v>0</v>
      </c>
      <c r="N288" s="216">
        <v>0</v>
      </c>
      <c r="O288" s="216">
        <v>0</v>
      </c>
      <c r="P288" s="208"/>
    </row>
    <row r="289" spans="1:16">
      <c r="A289" s="209">
        <v>235</v>
      </c>
      <c r="B289" s="216" t="s">
        <v>327</v>
      </c>
      <c r="C289" s="209">
        <v>2074192</v>
      </c>
      <c r="D289" s="216" t="s">
        <v>9420</v>
      </c>
      <c r="E289" s="486">
        <v>45100</v>
      </c>
      <c r="F289" s="486">
        <v>45160</v>
      </c>
      <c r="G289" s="484">
        <v>619989</v>
      </c>
      <c r="H289" s="216">
        <v>0</v>
      </c>
      <c r="I289" s="216">
        <v>0</v>
      </c>
      <c r="J289" s="216">
        <v>0</v>
      </c>
      <c r="K289" s="216">
        <v>0</v>
      </c>
      <c r="L289" s="216">
        <v>0</v>
      </c>
      <c r="M289" s="216">
        <v>0</v>
      </c>
      <c r="N289" s="216">
        <v>0</v>
      </c>
      <c r="O289" s="216">
        <v>0</v>
      </c>
      <c r="P289" s="208"/>
    </row>
    <row r="290" spans="1:16">
      <c r="A290" s="209">
        <v>236</v>
      </c>
      <c r="B290" s="216" t="s">
        <v>327</v>
      </c>
      <c r="C290" s="209">
        <v>2074192</v>
      </c>
      <c r="D290" s="216" t="s">
        <v>9421</v>
      </c>
      <c r="E290" s="486">
        <v>44950</v>
      </c>
      <c r="F290" s="486">
        <v>45291</v>
      </c>
      <c r="G290" s="216"/>
      <c r="H290" s="216">
        <v>254100</v>
      </c>
      <c r="I290" s="216">
        <v>0</v>
      </c>
      <c r="J290" s="216">
        <v>0</v>
      </c>
      <c r="K290" s="216">
        <v>0</v>
      </c>
      <c r="L290" s="216">
        <v>0</v>
      </c>
      <c r="M290" s="216">
        <v>0</v>
      </c>
      <c r="N290" s="216">
        <v>0</v>
      </c>
      <c r="O290" s="216">
        <v>0</v>
      </c>
      <c r="P290" s="208"/>
    </row>
    <row r="291" spans="1:16">
      <c r="A291" s="209">
        <v>237</v>
      </c>
      <c r="B291" s="216" t="s">
        <v>327</v>
      </c>
      <c r="C291" s="209">
        <v>2074192</v>
      </c>
      <c r="D291" s="216" t="s">
        <v>9412</v>
      </c>
      <c r="E291" s="486">
        <v>45161</v>
      </c>
      <c r="F291" s="486">
        <v>45221</v>
      </c>
      <c r="G291" s="216"/>
      <c r="H291" s="216">
        <v>1520210</v>
      </c>
      <c r="I291" s="216">
        <v>0</v>
      </c>
      <c r="J291" s="216">
        <v>0</v>
      </c>
      <c r="K291" s="216">
        <v>0</v>
      </c>
      <c r="L291" s="216">
        <v>0</v>
      </c>
      <c r="M291" s="216">
        <v>0</v>
      </c>
      <c r="N291" s="216">
        <v>0</v>
      </c>
      <c r="O291" s="216">
        <v>0</v>
      </c>
      <c r="P291" s="208"/>
    </row>
    <row r="292" spans="1:16">
      <c r="A292" s="209">
        <v>238</v>
      </c>
      <c r="B292" s="214" t="s">
        <v>327</v>
      </c>
      <c r="C292" s="215">
        <v>2074192</v>
      </c>
      <c r="D292" s="216" t="s">
        <v>9422</v>
      </c>
      <c r="E292" s="486">
        <v>45211</v>
      </c>
      <c r="F292" s="486">
        <v>45576</v>
      </c>
      <c r="G292" s="216"/>
      <c r="H292" s="216">
        <v>290400</v>
      </c>
      <c r="I292" s="216">
        <v>0</v>
      </c>
      <c r="J292" s="216">
        <v>0</v>
      </c>
      <c r="K292" s="216">
        <v>0</v>
      </c>
      <c r="L292" s="216">
        <v>0</v>
      </c>
      <c r="M292" s="216">
        <v>0</v>
      </c>
      <c r="N292" s="216">
        <v>0</v>
      </c>
      <c r="O292" s="216">
        <v>0</v>
      </c>
      <c r="P292" s="95"/>
    </row>
    <row r="293" spans="1:16">
      <c r="A293" s="209">
        <v>239</v>
      </c>
      <c r="B293" s="216" t="s">
        <v>331</v>
      </c>
      <c r="C293" s="215">
        <v>2861224</v>
      </c>
      <c r="D293" s="210"/>
      <c r="E293" s="210"/>
      <c r="F293" s="210"/>
      <c r="G293" s="210"/>
      <c r="H293" s="210"/>
      <c r="I293" s="210"/>
      <c r="J293" s="210"/>
      <c r="K293" s="210"/>
      <c r="L293" s="210"/>
      <c r="M293" s="210"/>
      <c r="N293" s="210"/>
      <c r="O293" s="210"/>
    </row>
    <row r="294" spans="1:16">
      <c r="A294" s="209">
        <v>240</v>
      </c>
      <c r="B294" s="216" t="s">
        <v>332</v>
      </c>
      <c r="C294" s="209">
        <v>5137977</v>
      </c>
      <c r="D294" s="216" t="s">
        <v>9315</v>
      </c>
      <c r="E294" s="216" t="s">
        <v>8377</v>
      </c>
      <c r="F294" s="216" t="s">
        <v>8377</v>
      </c>
      <c r="G294" s="216"/>
      <c r="H294" s="216">
        <v>3185.6</v>
      </c>
      <c r="I294" s="216">
        <v>0</v>
      </c>
      <c r="J294" s="216">
        <v>0</v>
      </c>
      <c r="K294" s="216">
        <v>0</v>
      </c>
      <c r="L294" s="216">
        <v>0</v>
      </c>
      <c r="M294" s="216">
        <v>0</v>
      </c>
      <c r="N294" s="216">
        <v>0</v>
      </c>
      <c r="O294" s="216">
        <v>0</v>
      </c>
      <c r="P294" s="208"/>
    </row>
    <row r="295" spans="1:16">
      <c r="A295" s="209">
        <v>241</v>
      </c>
      <c r="B295" s="216" t="s">
        <v>332</v>
      </c>
      <c r="C295" s="209">
        <v>5137977</v>
      </c>
      <c r="D295" s="216" t="s">
        <v>9423</v>
      </c>
      <c r="E295" s="216" t="s">
        <v>8377</v>
      </c>
      <c r="F295" s="216" t="s">
        <v>8377</v>
      </c>
      <c r="G295" s="216"/>
      <c r="H295" s="216">
        <v>7659.89</v>
      </c>
      <c r="I295" s="216">
        <v>0</v>
      </c>
      <c r="J295" s="216">
        <v>0</v>
      </c>
      <c r="K295" s="216">
        <v>0</v>
      </c>
      <c r="L295" s="216">
        <v>0</v>
      </c>
      <c r="M295" s="216">
        <v>0</v>
      </c>
      <c r="N295" s="216">
        <v>0</v>
      </c>
      <c r="O295" s="216">
        <v>0</v>
      </c>
      <c r="P295" s="208"/>
    </row>
    <row r="296" spans="1:16" ht="25.5">
      <c r="A296" s="209">
        <v>242</v>
      </c>
      <c r="B296" s="214" t="s">
        <v>332</v>
      </c>
      <c r="C296" s="215">
        <v>5137977</v>
      </c>
      <c r="D296" s="216" t="s">
        <v>9424</v>
      </c>
      <c r="E296" s="216" t="s">
        <v>8377</v>
      </c>
      <c r="F296" s="216" t="s">
        <v>8377</v>
      </c>
      <c r="G296" s="216"/>
      <c r="H296" s="216">
        <v>3700</v>
      </c>
      <c r="I296" s="216">
        <v>0</v>
      </c>
      <c r="J296" s="216">
        <v>0</v>
      </c>
      <c r="K296" s="216">
        <v>0</v>
      </c>
      <c r="L296" s="216">
        <v>0</v>
      </c>
      <c r="M296" s="216">
        <v>0</v>
      </c>
      <c r="N296" s="216">
        <v>0</v>
      </c>
      <c r="O296" s="216">
        <v>0</v>
      </c>
      <c r="P296" s="95"/>
    </row>
  </sheetData>
  <mergeCells count="9">
    <mergeCell ref="G3:I3"/>
    <mergeCell ref="J3:L3"/>
    <mergeCell ref="E2:F3"/>
    <mergeCell ref="M2:O3"/>
    <mergeCell ref="A2:A4"/>
    <mergeCell ref="B2:B4"/>
    <mergeCell ref="C2:C4"/>
    <mergeCell ref="D2:D4"/>
    <mergeCell ref="G2:L2"/>
  </mergeCells>
  <conditionalFormatting sqref="B5 B8:B9 B11:B14 B16 B27:B30 B32">
    <cfRule type="duplicateValues" dxfId="155" priority="8"/>
  </conditionalFormatting>
  <conditionalFormatting sqref="B33">
    <cfRule type="duplicateValues" dxfId="154" priority="10"/>
  </conditionalFormatting>
  <conditionalFormatting sqref="B35:B36 B51:B53 B60 B67:B68">
    <cfRule type="duplicateValues" dxfId="153" priority="7"/>
  </conditionalFormatting>
  <conditionalFormatting sqref="B70:B71 B73:B81 B94:B98">
    <cfRule type="duplicateValues" dxfId="152" priority="6"/>
  </conditionalFormatting>
  <conditionalFormatting sqref="B107">
    <cfRule type="duplicateValues" dxfId="151" priority="9"/>
  </conditionalFormatting>
  <conditionalFormatting sqref="B108:B110 B162 B164 B169:B171 B178 B192:B196 B199 B202:B204 B206:B207">
    <cfRule type="duplicateValues" dxfId="150" priority="3"/>
  </conditionalFormatting>
  <conditionalFormatting sqref="B210">
    <cfRule type="duplicateValues" dxfId="149" priority="1"/>
  </conditionalFormatting>
  <conditionalFormatting sqref="B211:B214">
    <cfRule type="duplicateValues" dxfId="148" priority="2"/>
  </conditionalFormatting>
  <conditionalFormatting sqref="B215">
    <cfRule type="duplicateValues" dxfId="147" priority="4"/>
  </conditionalFormatting>
  <conditionalFormatting sqref="B216:B220 B222 B224:B228 B232:B233 B235:B237 B240:B241 B243 B245 B261:B262 B275:B276 B282 B284 B292 B296">
    <cfRule type="duplicateValues" dxfId="146" priority="5"/>
  </conditionalFormatting>
  <conditionalFormatting sqref="C69:C82 C94:C95 C97:C98 C100 C107:C164 C169:C174 C178 C192:C204 C206:C207">
    <cfRule type="duplicateValues" dxfId="145" priority="16"/>
  </conditionalFormatting>
  <conditionalFormatting sqref="C210">
    <cfRule type="duplicateValues" dxfId="144" priority="15"/>
  </conditionalFormatting>
  <conditionalFormatting sqref="C211">
    <cfRule type="duplicateValues" dxfId="143" priority="14"/>
  </conditionalFormatting>
  <conditionalFormatting sqref="C212">
    <cfRule type="duplicateValues" dxfId="142" priority="13"/>
  </conditionalFormatting>
  <conditionalFormatting sqref="C213">
    <cfRule type="duplicateValues" dxfId="141" priority="12"/>
  </conditionalFormatting>
  <conditionalFormatting sqref="C214">
    <cfRule type="duplicateValues" dxfId="140" priority="11"/>
  </conditionalFormatting>
  <conditionalFormatting sqref="C215 C5:C6 C8:C9 C11:C16 C27:C33 C35:C36 C51:C56 C60:C62 C67:C68">
    <cfRule type="duplicateValues" dxfId="139" priority="17"/>
  </conditionalFormatting>
  <conditionalFormatting sqref="C216:C220 C222:C237 C240:C246 C261 C275:C276 C282:C285 C292:C293 C296">
    <cfRule type="duplicateValues" dxfId="138" priority="18"/>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C6ED3-EC6A-4F44-941C-6D789908C427}">
  <sheetPr>
    <tabColor rgb="FF006432"/>
  </sheetPr>
  <dimension ref="A1:P213"/>
  <sheetViews>
    <sheetView workbookViewId="0">
      <pane xSplit="3" ySplit="4" topLeftCell="D5" activePane="bottomRight" state="frozen"/>
      <selection pane="bottomRight" activeCell="G85" sqref="G85"/>
      <selection pane="bottomLeft" activeCell="A5" sqref="A5"/>
      <selection pane="topRight" activeCell="D1" sqref="D1"/>
    </sheetView>
  </sheetViews>
  <sheetFormatPr defaultRowHeight="15"/>
  <cols>
    <col min="1" max="1" width="4.28515625" customWidth="1"/>
    <col min="2" max="2" width="25.7109375" customWidth="1"/>
    <col min="3" max="3" width="10.28515625" customWidth="1"/>
    <col min="4" max="4" width="28.28515625" customWidth="1"/>
    <col min="5" max="5" width="21.5703125" customWidth="1"/>
    <col min="6" max="6" width="17" customWidth="1"/>
    <col min="7" max="7" width="17.7109375" style="8" customWidth="1"/>
    <col min="8" max="8" width="14.85546875" style="8" customWidth="1"/>
    <col min="9" max="9" width="22.85546875" style="241" customWidth="1"/>
    <col min="10" max="10" width="15.85546875" customWidth="1"/>
    <col min="11" max="11" width="17.28515625" style="8" customWidth="1"/>
    <col min="12" max="12" width="16.85546875" style="8" customWidth="1"/>
    <col min="13" max="13" width="15.28515625" style="8" customWidth="1"/>
    <col min="14" max="14" width="16.28515625" style="8" customWidth="1"/>
    <col min="15" max="15" width="16" style="8" customWidth="1"/>
    <col min="16" max="16" width="18.42578125" style="8" customWidth="1"/>
  </cols>
  <sheetData>
    <row r="1" spans="1:16" ht="19.5" customHeight="1" thickBot="1">
      <c r="A1" s="641" t="s">
        <v>9425</v>
      </c>
      <c r="B1" s="641"/>
      <c r="C1" s="641"/>
      <c r="D1" s="641"/>
      <c r="E1" s="641"/>
      <c r="F1" s="63"/>
      <c r="G1" s="213"/>
      <c r="H1" s="213"/>
      <c r="I1" s="239"/>
      <c r="J1" s="63"/>
      <c r="K1" s="213"/>
      <c r="L1" s="213"/>
      <c r="M1" s="213"/>
      <c r="N1" s="213"/>
      <c r="O1" s="213"/>
      <c r="P1" s="213"/>
    </row>
    <row r="2" spans="1:16" ht="16.5" customHeight="1" thickTop="1">
      <c r="A2" s="556" t="s">
        <v>114</v>
      </c>
      <c r="B2" s="556" t="s">
        <v>690</v>
      </c>
      <c r="C2" s="556" t="s">
        <v>116</v>
      </c>
      <c r="D2" s="556" t="s">
        <v>9426</v>
      </c>
      <c r="E2" s="600" t="s">
        <v>9427</v>
      </c>
      <c r="F2" s="600"/>
      <c r="G2" s="601" t="s">
        <v>9012</v>
      </c>
      <c r="H2" s="601"/>
      <c r="I2" s="602" t="s">
        <v>9428</v>
      </c>
      <c r="J2" s="556" t="s">
        <v>9429</v>
      </c>
      <c r="K2" s="601" t="s">
        <v>9430</v>
      </c>
      <c r="L2" s="601"/>
      <c r="M2" s="601"/>
      <c r="N2" s="601"/>
      <c r="O2" s="601"/>
      <c r="P2" s="601"/>
    </row>
    <row r="3" spans="1:16" ht="19.5" customHeight="1">
      <c r="A3" s="556"/>
      <c r="B3" s="556"/>
      <c r="C3" s="556"/>
      <c r="D3" s="556"/>
      <c r="E3" s="600"/>
      <c r="F3" s="600"/>
      <c r="G3" s="601"/>
      <c r="H3" s="601"/>
      <c r="I3" s="602"/>
      <c r="J3" s="556"/>
      <c r="K3" s="601" t="s">
        <v>8964</v>
      </c>
      <c r="L3" s="601"/>
      <c r="M3" s="601" t="s">
        <v>9431</v>
      </c>
      <c r="N3" s="601"/>
      <c r="O3" s="601" t="s">
        <v>9432</v>
      </c>
      <c r="P3" s="601"/>
    </row>
    <row r="4" spans="1:16" ht="25.5">
      <c r="A4" s="556"/>
      <c r="B4" s="556"/>
      <c r="C4" s="556"/>
      <c r="D4" s="556"/>
      <c r="E4" s="18" t="s">
        <v>8554</v>
      </c>
      <c r="F4" s="18" t="s">
        <v>8555</v>
      </c>
      <c r="G4" s="18" t="s">
        <v>8557</v>
      </c>
      <c r="H4" s="18" t="s">
        <v>8558</v>
      </c>
      <c r="I4" s="602"/>
      <c r="J4" s="556"/>
      <c r="K4" s="18" t="s">
        <v>736</v>
      </c>
      <c r="L4" s="18" t="s">
        <v>737</v>
      </c>
      <c r="M4" s="18" t="s">
        <v>736</v>
      </c>
      <c r="N4" s="18" t="s">
        <v>737</v>
      </c>
      <c r="O4" s="18" t="s">
        <v>736</v>
      </c>
      <c r="P4" s="18" t="s">
        <v>737</v>
      </c>
    </row>
    <row r="5" spans="1:16">
      <c r="A5" s="229">
        <v>1</v>
      </c>
      <c r="B5" s="230" t="s">
        <v>121</v>
      </c>
      <c r="C5" s="231">
        <v>2011239</v>
      </c>
      <c r="D5" s="232"/>
      <c r="E5" s="232"/>
      <c r="F5" s="232"/>
      <c r="G5" s="233"/>
      <c r="H5" s="233"/>
      <c r="I5" s="234"/>
      <c r="J5" s="232"/>
      <c r="K5" s="233"/>
      <c r="L5" s="233"/>
      <c r="M5" s="233"/>
      <c r="N5" s="233"/>
      <c r="O5" s="233"/>
      <c r="P5" s="233"/>
    </row>
    <row r="6" spans="1:16">
      <c r="A6" s="229">
        <v>2</v>
      </c>
      <c r="B6" s="230" t="s">
        <v>126</v>
      </c>
      <c r="C6" s="231">
        <v>5097517</v>
      </c>
      <c r="D6" s="232"/>
      <c r="E6" s="232"/>
      <c r="F6" s="232"/>
      <c r="G6" s="233"/>
      <c r="H6" s="233"/>
      <c r="I6" s="234"/>
      <c r="J6" s="232"/>
      <c r="K6" s="233"/>
      <c r="L6" s="233"/>
      <c r="M6" s="233"/>
      <c r="N6" s="233"/>
      <c r="O6" s="233"/>
      <c r="P6" s="233"/>
    </row>
    <row r="7" spans="1:16">
      <c r="A7" s="229">
        <v>3</v>
      </c>
      <c r="B7" s="230" t="s">
        <v>131</v>
      </c>
      <c r="C7" s="231">
        <v>5809797</v>
      </c>
      <c r="D7" s="232"/>
      <c r="E7" s="232"/>
      <c r="F7" s="232"/>
      <c r="G7" s="233"/>
      <c r="H7" s="233"/>
      <c r="I7" s="234"/>
      <c r="J7" s="232"/>
      <c r="K7" s="233"/>
      <c r="L7" s="233"/>
      <c r="M7" s="233"/>
      <c r="N7" s="233"/>
      <c r="O7" s="233"/>
      <c r="P7" s="233"/>
    </row>
    <row r="8" spans="1:16">
      <c r="A8" s="229">
        <v>4</v>
      </c>
      <c r="B8" s="230" t="s">
        <v>133</v>
      </c>
      <c r="C8" s="231">
        <v>5118344</v>
      </c>
      <c r="D8" s="232"/>
      <c r="E8" s="232"/>
      <c r="F8" s="232"/>
      <c r="G8" s="233"/>
      <c r="H8" s="233"/>
      <c r="I8" s="234"/>
      <c r="J8" s="232"/>
      <c r="K8" s="233"/>
      <c r="L8" s="233"/>
      <c r="M8" s="233"/>
      <c r="N8" s="233"/>
      <c r="O8" s="233"/>
      <c r="P8" s="233"/>
    </row>
    <row r="9" spans="1:16">
      <c r="A9" s="229">
        <v>5</v>
      </c>
      <c r="B9" s="230" t="s">
        <v>136</v>
      </c>
      <c r="C9" s="231">
        <v>5095549</v>
      </c>
      <c r="D9" s="232"/>
      <c r="E9" s="232"/>
      <c r="F9" s="232"/>
      <c r="G9" s="233"/>
      <c r="H9" s="233"/>
      <c r="I9" s="234"/>
      <c r="J9" s="232"/>
      <c r="K9" s="233"/>
      <c r="L9" s="233"/>
      <c r="M9" s="233"/>
      <c r="N9" s="233"/>
      <c r="O9" s="233"/>
      <c r="P9" s="233"/>
    </row>
    <row r="10" spans="1:16">
      <c r="A10" s="229">
        <v>6</v>
      </c>
      <c r="B10" s="230" t="s">
        <v>140</v>
      </c>
      <c r="C10" s="231">
        <v>2784165</v>
      </c>
      <c r="D10" s="232"/>
      <c r="E10" s="232"/>
      <c r="F10" s="232"/>
      <c r="G10" s="233"/>
      <c r="H10" s="233"/>
      <c r="I10" s="234"/>
      <c r="J10" s="232"/>
      <c r="K10" s="233"/>
      <c r="L10" s="233"/>
      <c r="M10" s="233"/>
      <c r="N10" s="233"/>
      <c r="O10" s="233"/>
      <c r="P10" s="233"/>
    </row>
    <row r="11" spans="1:16">
      <c r="A11" s="229">
        <v>7</v>
      </c>
      <c r="B11" s="230" t="s">
        <v>143</v>
      </c>
      <c r="C11" s="231">
        <v>5133351</v>
      </c>
      <c r="D11" s="232"/>
      <c r="E11" s="232"/>
      <c r="F11" s="232"/>
      <c r="G11" s="233"/>
      <c r="H11" s="233"/>
      <c r="I11" s="234"/>
      <c r="J11" s="232"/>
      <c r="K11" s="233"/>
      <c r="L11" s="233"/>
      <c r="M11" s="233"/>
      <c r="N11" s="233"/>
      <c r="O11" s="233"/>
      <c r="P11" s="233"/>
    </row>
    <row r="12" spans="1:16">
      <c r="A12" s="229">
        <v>8</v>
      </c>
      <c r="B12" s="230" t="s">
        <v>144</v>
      </c>
      <c r="C12" s="231">
        <v>6172768</v>
      </c>
      <c r="D12" s="232"/>
      <c r="E12" s="232"/>
      <c r="F12" s="232"/>
      <c r="G12" s="233"/>
      <c r="H12" s="233"/>
      <c r="I12" s="234"/>
      <c r="J12" s="232"/>
      <c r="K12" s="233"/>
      <c r="L12" s="233"/>
      <c r="M12" s="233"/>
      <c r="N12" s="233"/>
      <c r="O12" s="233"/>
      <c r="P12" s="233"/>
    </row>
    <row r="13" spans="1:16">
      <c r="A13" s="229">
        <v>9</v>
      </c>
      <c r="B13" s="230" t="s">
        <v>146</v>
      </c>
      <c r="C13" s="231">
        <v>2788705</v>
      </c>
      <c r="D13" s="232"/>
      <c r="E13" s="232"/>
      <c r="F13" s="232"/>
      <c r="G13" s="233"/>
      <c r="H13" s="233"/>
      <c r="I13" s="234"/>
      <c r="J13" s="232"/>
      <c r="K13" s="233"/>
      <c r="L13" s="233"/>
      <c r="M13" s="233"/>
      <c r="N13" s="233"/>
      <c r="O13" s="233"/>
      <c r="P13" s="233"/>
    </row>
    <row r="14" spans="1:16">
      <c r="A14" s="229">
        <v>10</v>
      </c>
      <c r="B14" s="230" t="s">
        <v>629</v>
      </c>
      <c r="C14" s="231">
        <v>5439183</v>
      </c>
      <c r="D14" s="232" t="s">
        <v>9433</v>
      </c>
      <c r="E14" s="232" t="s">
        <v>128</v>
      </c>
      <c r="F14" s="232" t="s">
        <v>191</v>
      </c>
      <c r="G14" s="238">
        <v>45292</v>
      </c>
      <c r="H14" s="238">
        <v>45657</v>
      </c>
      <c r="I14" s="234">
        <v>1800000000</v>
      </c>
      <c r="J14" s="232" t="s">
        <v>9434</v>
      </c>
      <c r="K14" s="235">
        <v>6</v>
      </c>
      <c r="L14" s="235">
        <v>1</v>
      </c>
      <c r="M14" s="235">
        <v>0</v>
      </c>
      <c r="N14" s="235">
        <v>0</v>
      </c>
      <c r="O14" s="235">
        <v>6</v>
      </c>
      <c r="P14" s="235">
        <v>1</v>
      </c>
    </row>
    <row r="15" spans="1:16">
      <c r="A15" s="229">
        <v>11</v>
      </c>
      <c r="B15" s="230" t="s">
        <v>152</v>
      </c>
      <c r="C15" s="231">
        <v>2008572</v>
      </c>
      <c r="D15" s="232" t="s">
        <v>9435</v>
      </c>
      <c r="E15" s="232" t="s">
        <v>128</v>
      </c>
      <c r="F15" s="232" t="s">
        <v>1076</v>
      </c>
      <c r="G15" s="238">
        <v>45268</v>
      </c>
      <c r="H15" s="233">
        <v>2024</v>
      </c>
      <c r="I15" s="234">
        <v>1900000000</v>
      </c>
      <c r="J15" s="232" t="s">
        <v>127</v>
      </c>
      <c r="K15" s="235">
        <v>18</v>
      </c>
      <c r="L15" s="235">
        <v>0</v>
      </c>
      <c r="M15" s="235">
        <v>0</v>
      </c>
      <c r="N15" s="235">
        <v>0</v>
      </c>
      <c r="O15" s="235">
        <v>18</v>
      </c>
      <c r="P15" s="233"/>
    </row>
    <row r="16" spans="1:16">
      <c r="A16" s="229">
        <v>12</v>
      </c>
      <c r="B16" s="230" t="s">
        <v>155</v>
      </c>
      <c r="C16" s="231">
        <v>5215919</v>
      </c>
      <c r="D16" s="232"/>
      <c r="E16" s="232"/>
      <c r="F16" s="232"/>
      <c r="G16" s="233"/>
      <c r="H16" s="233"/>
      <c r="I16" s="234"/>
      <c r="J16" s="232"/>
      <c r="K16" s="233"/>
      <c r="L16" s="233"/>
      <c r="M16" s="233"/>
      <c r="N16" s="233"/>
      <c r="O16" s="233"/>
      <c r="P16" s="233"/>
    </row>
    <row r="17" spans="1:16">
      <c r="A17" s="229">
        <v>13</v>
      </c>
      <c r="B17" s="230" t="s">
        <v>157</v>
      </c>
      <c r="C17" s="231">
        <v>5502977</v>
      </c>
      <c r="D17" s="232"/>
      <c r="E17" s="232"/>
      <c r="F17" s="232"/>
      <c r="G17" s="233"/>
      <c r="H17" s="233"/>
      <c r="I17" s="234"/>
      <c r="J17" s="232"/>
      <c r="K17" s="233"/>
      <c r="L17" s="233"/>
      <c r="M17" s="233"/>
      <c r="N17" s="233"/>
      <c r="O17" s="233"/>
      <c r="P17" s="233"/>
    </row>
    <row r="18" spans="1:16">
      <c r="A18" s="229">
        <v>14</v>
      </c>
      <c r="B18" s="230" t="s">
        <v>159</v>
      </c>
      <c r="C18" s="231">
        <v>2708701</v>
      </c>
      <c r="D18" s="232"/>
      <c r="E18" s="232"/>
      <c r="F18" s="232"/>
      <c r="G18" s="233"/>
      <c r="H18" s="233"/>
      <c r="I18" s="234"/>
      <c r="J18" s="232"/>
      <c r="K18" s="233"/>
      <c r="L18" s="233"/>
      <c r="M18" s="233"/>
      <c r="N18" s="233"/>
      <c r="O18" s="233"/>
      <c r="P18" s="233"/>
    </row>
    <row r="19" spans="1:16">
      <c r="A19" s="229">
        <v>15</v>
      </c>
      <c r="B19" s="230" t="s">
        <v>161</v>
      </c>
      <c r="C19" s="231">
        <v>2014491</v>
      </c>
      <c r="D19" s="232"/>
      <c r="E19" s="232"/>
      <c r="F19" s="232"/>
      <c r="G19" s="233"/>
      <c r="H19" s="233"/>
      <c r="I19" s="234"/>
      <c r="J19" s="232"/>
      <c r="K19" s="233"/>
      <c r="L19" s="233"/>
      <c r="M19" s="233"/>
      <c r="N19" s="233"/>
      <c r="O19" s="233"/>
      <c r="P19" s="233"/>
    </row>
    <row r="20" spans="1:16">
      <c r="A20" s="229">
        <v>16</v>
      </c>
      <c r="B20" s="230" t="s">
        <v>165</v>
      </c>
      <c r="C20" s="231">
        <v>6414877</v>
      </c>
      <c r="D20" s="232"/>
      <c r="E20" s="232"/>
      <c r="F20" s="232"/>
      <c r="G20" s="233"/>
      <c r="H20" s="233"/>
      <c r="I20" s="234"/>
      <c r="J20" s="232"/>
      <c r="K20" s="233"/>
      <c r="L20" s="233"/>
      <c r="M20" s="233"/>
      <c r="N20" s="233"/>
      <c r="O20" s="233"/>
      <c r="P20" s="233"/>
    </row>
    <row r="21" spans="1:16">
      <c r="A21" s="229">
        <v>17</v>
      </c>
      <c r="B21" s="230" t="s">
        <v>168</v>
      </c>
      <c r="C21" s="231">
        <v>5369223</v>
      </c>
      <c r="D21" s="232" t="s">
        <v>9436</v>
      </c>
      <c r="E21" s="232" t="s">
        <v>375</v>
      </c>
      <c r="F21" s="232" t="s">
        <v>944</v>
      </c>
      <c r="G21" s="238">
        <v>44927</v>
      </c>
      <c r="H21" s="238">
        <v>45291</v>
      </c>
      <c r="I21" s="234">
        <v>536737000</v>
      </c>
      <c r="J21" s="232" t="s">
        <v>127</v>
      </c>
      <c r="K21" s="235">
        <v>6</v>
      </c>
      <c r="L21" s="235">
        <v>0</v>
      </c>
      <c r="M21" s="235">
        <v>0</v>
      </c>
      <c r="N21" s="235">
        <v>0</v>
      </c>
      <c r="O21" s="235">
        <v>6</v>
      </c>
      <c r="P21" s="233"/>
    </row>
    <row r="22" spans="1:16">
      <c r="A22" s="229">
        <v>18</v>
      </c>
      <c r="B22" s="230" t="s">
        <v>169</v>
      </c>
      <c r="C22" s="231">
        <v>5294088</v>
      </c>
      <c r="D22" s="232" t="s">
        <v>9437</v>
      </c>
      <c r="E22" s="232" t="s">
        <v>170</v>
      </c>
      <c r="F22" s="232" t="s">
        <v>171</v>
      </c>
      <c r="G22" s="238">
        <v>44992</v>
      </c>
      <c r="H22" s="238">
        <v>45291</v>
      </c>
      <c r="I22" s="234">
        <v>4169230000</v>
      </c>
      <c r="J22" s="232" t="s">
        <v>9434</v>
      </c>
      <c r="K22" s="235">
        <v>40</v>
      </c>
      <c r="L22" s="235">
        <v>9</v>
      </c>
      <c r="M22" s="235">
        <v>0</v>
      </c>
      <c r="N22" s="235">
        <v>0</v>
      </c>
      <c r="O22" s="235">
        <v>40</v>
      </c>
      <c r="P22" s="235">
        <v>9</v>
      </c>
    </row>
    <row r="23" spans="1:16">
      <c r="A23" s="229">
        <v>19</v>
      </c>
      <c r="B23" s="230" t="s">
        <v>173</v>
      </c>
      <c r="C23" s="231">
        <v>2855119</v>
      </c>
      <c r="D23" s="232"/>
      <c r="E23" s="232"/>
      <c r="F23" s="232"/>
      <c r="G23" s="233"/>
      <c r="H23" s="233"/>
      <c r="I23" s="234"/>
      <c r="J23" s="232"/>
      <c r="K23" s="233"/>
      <c r="L23" s="233"/>
      <c r="M23" s="233"/>
      <c r="N23" s="233"/>
      <c r="O23" s="233"/>
      <c r="P23" s="233"/>
    </row>
    <row r="24" spans="1:16">
      <c r="A24" s="229">
        <v>20</v>
      </c>
      <c r="B24" s="236" t="s">
        <v>174</v>
      </c>
      <c r="C24" s="231">
        <v>2094533</v>
      </c>
      <c r="D24" s="232"/>
      <c r="E24" s="232"/>
      <c r="F24" s="232"/>
      <c r="G24" s="233"/>
      <c r="H24" s="233"/>
      <c r="I24" s="234"/>
      <c r="J24" s="232"/>
      <c r="K24" s="233"/>
      <c r="L24" s="233"/>
      <c r="M24" s="233"/>
      <c r="N24" s="233"/>
      <c r="O24" s="233"/>
      <c r="P24" s="233"/>
    </row>
    <row r="25" spans="1:16">
      <c r="A25" s="229">
        <v>21</v>
      </c>
      <c r="B25" s="230" t="s">
        <v>175</v>
      </c>
      <c r="C25" s="231">
        <v>5722942</v>
      </c>
      <c r="D25" s="232"/>
      <c r="E25" s="232"/>
      <c r="F25" s="232"/>
      <c r="G25" s="233"/>
      <c r="H25" s="233"/>
      <c r="I25" s="234"/>
      <c r="J25" s="232"/>
      <c r="K25" s="233"/>
      <c r="L25" s="233"/>
      <c r="M25" s="233"/>
      <c r="N25" s="233"/>
      <c r="O25" s="233"/>
      <c r="P25" s="233"/>
    </row>
    <row r="26" spans="1:16">
      <c r="A26" s="229">
        <v>22</v>
      </c>
      <c r="B26" s="230" t="s">
        <v>176</v>
      </c>
      <c r="C26" s="231">
        <v>2867494</v>
      </c>
      <c r="D26" s="232"/>
      <c r="E26" s="232"/>
      <c r="F26" s="232"/>
      <c r="G26" s="233"/>
      <c r="H26" s="233"/>
      <c r="I26" s="234"/>
      <c r="J26" s="232"/>
      <c r="K26" s="233"/>
      <c r="L26" s="233"/>
      <c r="M26" s="233"/>
      <c r="N26" s="233"/>
      <c r="O26" s="233"/>
      <c r="P26" s="233"/>
    </row>
    <row r="27" spans="1:16">
      <c r="A27" s="229">
        <v>23</v>
      </c>
      <c r="B27" s="230" t="s">
        <v>177</v>
      </c>
      <c r="C27" s="231">
        <v>6463932</v>
      </c>
      <c r="D27" s="232"/>
      <c r="E27" s="232"/>
      <c r="F27" s="232"/>
      <c r="G27" s="233"/>
      <c r="H27" s="233"/>
      <c r="I27" s="234"/>
      <c r="J27" s="232"/>
      <c r="K27" s="233"/>
      <c r="L27" s="233"/>
      <c r="M27" s="233"/>
      <c r="N27" s="233"/>
      <c r="O27" s="233"/>
      <c r="P27" s="233"/>
    </row>
    <row r="28" spans="1:16">
      <c r="A28" s="229">
        <v>24</v>
      </c>
      <c r="B28" s="230" t="s">
        <v>178</v>
      </c>
      <c r="C28" s="231">
        <v>5260833</v>
      </c>
      <c r="D28" s="232"/>
      <c r="E28" s="232"/>
      <c r="F28" s="232"/>
      <c r="G28" s="233"/>
      <c r="H28" s="233"/>
      <c r="I28" s="234"/>
      <c r="J28" s="232"/>
      <c r="K28" s="233"/>
      <c r="L28" s="233"/>
      <c r="M28" s="233"/>
      <c r="N28" s="233"/>
      <c r="O28" s="233"/>
      <c r="P28" s="233"/>
    </row>
    <row r="29" spans="1:16">
      <c r="A29" s="229">
        <v>25</v>
      </c>
      <c r="B29" s="230" t="s">
        <v>179</v>
      </c>
      <c r="C29" s="231">
        <v>2051303</v>
      </c>
      <c r="D29" s="232"/>
      <c r="E29" s="232"/>
      <c r="F29" s="232"/>
      <c r="G29" s="233"/>
      <c r="H29" s="233"/>
      <c r="I29" s="234"/>
      <c r="J29" s="232"/>
      <c r="K29" s="233"/>
      <c r="L29" s="233"/>
      <c r="M29" s="233"/>
      <c r="N29" s="233"/>
      <c r="O29" s="233"/>
      <c r="P29" s="233"/>
    </row>
    <row r="30" spans="1:16">
      <c r="A30" s="229">
        <v>26</v>
      </c>
      <c r="B30" s="230" t="s">
        <v>183</v>
      </c>
      <c r="C30" s="231">
        <v>2061848</v>
      </c>
      <c r="D30" s="232"/>
      <c r="E30" s="232"/>
      <c r="F30" s="232"/>
      <c r="G30" s="233"/>
      <c r="H30" s="233"/>
      <c r="I30" s="234"/>
      <c r="J30" s="232"/>
      <c r="K30" s="233"/>
      <c r="L30" s="233"/>
      <c r="M30" s="233"/>
      <c r="N30" s="233"/>
      <c r="O30" s="233"/>
      <c r="P30" s="233"/>
    </row>
    <row r="31" spans="1:16">
      <c r="A31" s="229">
        <v>27</v>
      </c>
      <c r="B31" s="230" t="s">
        <v>185</v>
      </c>
      <c r="C31" s="231">
        <v>2766337</v>
      </c>
      <c r="D31" s="232"/>
      <c r="E31" s="232"/>
      <c r="F31" s="232"/>
      <c r="G31" s="233"/>
      <c r="H31" s="233"/>
      <c r="I31" s="234"/>
      <c r="J31" s="232"/>
      <c r="K31" s="233"/>
      <c r="L31" s="233"/>
      <c r="M31" s="233"/>
      <c r="N31" s="233"/>
      <c r="O31" s="233"/>
      <c r="P31" s="233"/>
    </row>
    <row r="32" spans="1:16">
      <c r="A32" s="229">
        <v>28</v>
      </c>
      <c r="B32" s="230" t="s">
        <v>187</v>
      </c>
      <c r="C32" s="231">
        <v>5810086</v>
      </c>
      <c r="D32" s="232"/>
      <c r="E32" s="232"/>
      <c r="F32" s="232"/>
      <c r="G32" s="233"/>
      <c r="H32" s="233"/>
      <c r="I32" s="234"/>
      <c r="J32" s="232"/>
      <c r="K32" s="233"/>
      <c r="L32" s="233"/>
      <c r="M32" s="233"/>
      <c r="N32" s="233"/>
      <c r="O32" s="233"/>
      <c r="P32" s="233"/>
    </row>
    <row r="33" spans="1:16">
      <c r="A33" s="229">
        <v>29</v>
      </c>
      <c r="B33" s="603" t="s">
        <v>188</v>
      </c>
      <c r="C33" s="604">
        <v>5217652</v>
      </c>
      <c r="D33" s="232" t="s">
        <v>9098</v>
      </c>
      <c r="E33" s="232" t="s">
        <v>233</v>
      </c>
      <c r="F33" s="232" t="s">
        <v>237</v>
      </c>
      <c r="G33" s="238">
        <v>44795</v>
      </c>
      <c r="H33" s="233">
        <v>2028</v>
      </c>
      <c r="I33" s="234" t="s">
        <v>8499</v>
      </c>
      <c r="J33" s="232" t="s">
        <v>9434</v>
      </c>
      <c r="K33" s="235">
        <v>83</v>
      </c>
      <c r="L33" s="235">
        <v>10</v>
      </c>
      <c r="M33" s="235">
        <v>9</v>
      </c>
      <c r="N33" s="235">
        <v>0</v>
      </c>
      <c r="O33" s="235">
        <v>74</v>
      </c>
      <c r="P33" s="235">
        <v>10</v>
      </c>
    </row>
    <row r="34" spans="1:16">
      <c r="A34" s="229">
        <v>30</v>
      </c>
      <c r="B34" s="603"/>
      <c r="C34" s="604"/>
      <c r="D34" s="232" t="s">
        <v>9438</v>
      </c>
      <c r="E34" s="232" t="s">
        <v>233</v>
      </c>
      <c r="F34" s="232" t="s">
        <v>237</v>
      </c>
      <c r="G34" s="238">
        <v>45055</v>
      </c>
      <c r="H34" s="233">
        <v>2023</v>
      </c>
      <c r="I34" s="234" t="s">
        <v>8499</v>
      </c>
      <c r="J34" s="232" t="s">
        <v>9434</v>
      </c>
      <c r="K34" s="235">
        <v>21</v>
      </c>
      <c r="L34" s="235">
        <v>4</v>
      </c>
      <c r="M34" s="235">
        <v>11</v>
      </c>
      <c r="N34" s="235">
        <v>0</v>
      </c>
      <c r="O34" s="235">
        <v>10</v>
      </c>
      <c r="P34" s="235">
        <v>4</v>
      </c>
    </row>
    <row r="35" spans="1:16">
      <c r="A35" s="229">
        <v>31</v>
      </c>
      <c r="B35" s="230" t="s">
        <v>189</v>
      </c>
      <c r="C35" s="231">
        <v>2780518</v>
      </c>
      <c r="D35" s="232"/>
      <c r="E35" s="232"/>
      <c r="F35" s="232"/>
      <c r="G35" s="233"/>
      <c r="H35" s="233"/>
      <c r="I35" s="234"/>
      <c r="J35" s="232"/>
      <c r="K35" s="233"/>
      <c r="L35" s="233"/>
      <c r="M35" s="233"/>
      <c r="N35" s="233"/>
      <c r="O35" s="233"/>
      <c r="P35" s="233"/>
    </row>
    <row r="36" spans="1:16">
      <c r="A36" s="229">
        <v>32</v>
      </c>
      <c r="B36" s="230" t="s">
        <v>193</v>
      </c>
      <c r="C36" s="231">
        <v>5272378</v>
      </c>
      <c r="D36" s="232"/>
      <c r="E36" s="232"/>
      <c r="F36" s="232"/>
      <c r="G36" s="233"/>
      <c r="H36" s="233"/>
      <c r="I36" s="234"/>
      <c r="J36" s="232"/>
      <c r="K36" s="233"/>
      <c r="L36" s="233"/>
      <c r="M36" s="233"/>
      <c r="N36" s="233"/>
      <c r="O36" s="233"/>
      <c r="P36" s="233"/>
    </row>
    <row r="37" spans="1:16">
      <c r="A37" s="229">
        <v>33</v>
      </c>
      <c r="B37" s="230" t="s">
        <v>194</v>
      </c>
      <c r="C37" s="231">
        <v>5467268</v>
      </c>
      <c r="D37" s="232"/>
      <c r="E37" s="232"/>
      <c r="F37" s="232"/>
      <c r="G37" s="233"/>
      <c r="H37" s="233"/>
      <c r="I37" s="234"/>
      <c r="J37" s="232"/>
      <c r="K37" s="233"/>
      <c r="L37" s="233"/>
      <c r="M37" s="233"/>
      <c r="N37" s="233"/>
      <c r="O37" s="233"/>
      <c r="P37" s="233"/>
    </row>
    <row r="38" spans="1:16">
      <c r="A38" s="229">
        <v>34</v>
      </c>
      <c r="B38" s="603" t="s">
        <v>196</v>
      </c>
      <c r="C38" s="604">
        <v>5522935</v>
      </c>
      <c r="D38" s="232"/>
      <c r="E38" s="232" t="s">
        <v>170</v>
      </c>
      <c r="F38" s="232" t="s">
        <v>1738</v>
      </c>
      <c r="G38" s="233"/>
      <c r="H38" s="233"/>
      <c r="I38" s="234"/>
      <c r="J38" s="232" t="s">
        <v>9434</v>
      </c>
      <c r="K38" s="235">
        <v>118</v>
      </c>
      <c r="L38" s="235">
        <v>3</v>
      </c>
      <c r="M38" s="235">
        <v>18</v>
      </c>
      <c r="N38" s="235">
        <v>0</v>
      </c>
      <c r="O38" s="235">
        <v>100</v>
      </c>
      <c r="P38" s="235">
        <v>3</v>
      </c>
    </row>
    <row r="39" spans="1:16">
      <c r="A39" s="229">
        <v>35</v>
      </c>
      <c r="B39" s="603"/>
      <c r="C39" s="604"/>
      <c r="D39" s="232"/>
      <c r="E39" s="232" t="s">
        <v>170</v>
      </c>
      <c r="F39" s="232" t="s">
        <v>1738</v>
      </c>
      <c r="G39" s="233"/>
      <c r="H39" s="233"/>
      <c r="I39" s="234"/>
      <c r="J39" s="232" t="s">
        <v>127</v>
      </c>
      <c r="K39" s="235">
        <v>61</v>
      </c>
      <c r="L39" s="235">
        <v>0</v>
      </c>
      <c r="M39" s="235">
        <v>1</v>
      </c>
      <c r="N39" s="235">
        <v>0</v>
      </c>
      <c r="O39" s="235">
        <v>60</v>
      </c>
      <c r="P39" s="233"/>
    </row>
    <row r="40" spans="1:16">
      <c r="A40" s="229">
        <v>36</v>
      </c>
      <c r="B40" s="603"/>
      <c r="C40" s="604"/>
      <c r="D40" s="232"/>
      <c r="E40" s="232" t="s">
        <v>170</v>
      </c>
      <c r="F40" s="232" t="s">
        <v>1738</v>
      </c>
      <c r="G40" s="233"/>
      <c r="H40" s="233"/>
      <c r="I40" s="234"/>
      <c r="J40" s="232" t="s">
        <v>9434</v>
      </c>
      <c r="K40" s="235">
        <v>117</v>
      </c>
      <c r="L40" s="235">
        <v>4</v>
      </c>
      <c r="M40" s="235">
        <v>16</v>
      </c>
      <c r="N40" s="235">
        <v>0</v>
      </c>
      <c r="O40" s="235">
        <v>101</v>
      </c>
      <c r="P40" s="235">
        <v>4</v>
      </c>
    </row>
    <row r="41" spans="1:16">
      <c r="A41" s="229">
        <v>37</v>
      </c>
      <c r="B41" s="603"/>
      <c r="C41" s="604"/>
      <c r="D41" s="232"/>
      <c r="E41" s="232" t="s">
        <v>170</v>
      </c>
      <c r="F41" s="232" t="s">
        <v>1738</v>
      </c>
      <c r="G41" s="233"/>
      <c r="H41" s="233"/>
      <c r="I41" s="234"/>
      <c r="J41" s="232" t="s">
        <v>9434</v>
      </c>
      <c r="K41" s="235">
        <v>99</v>
      </c>
      <c r="L41" s="235">
        <v>2</v>
      </c>
      <c r="M41" s="235">
        <v>7</v>
      </c>
      <c r="N41" s="235">
        <v>0</v>
      </c>
      <c r="O41" s="235">
        <v>92</v>
      </c>
      <c r="P41" s="235">
        <v>2</v>
      </c>
    </row>
    <row r="42" spans="1:16">
      <c r="A42" s="229">
        <v>38</v>
      </c>
      <c r="B42" s="603"/>
      <c r="C42" s="604"/>
      <c r="D42" s="232"/>
      <c r="E42" s="232" t="s">
        <v>170</v>
      </c>
      <c r="F42" s="232" t="s">
        <v>1738</v>
      </c>
      <c r="G42" s="238">
        <v>44994</v>
      </c>
      <c r="H42" s="233">
        <v>2024</v>
      </c>
      <c r="I42" s="234"/>
      <c r="J42" s="232" t="s">
        <v>9434</v>
      </c>
      <c r="K42" s="235">
        <v>19</v>
      </c>
      <c r="L42" s="235">
        <v>1</v>
      </c>
      <c r="M42" s="235">
        <v>0</v>
      </c>
      <c r="N42" s="235">
        <v>0</v>
      </c>
      <c r="O42" s="235">
        <v>22</v>
      </c>
      <c r="P42" s="235">
        <v>2</v>
      </c>
    </row>
    <row r="43" spans="1:16">
      <c r="A43" s="229">
        <v>39</v>
      </c>
      <c r="B43" s="603"/>
      <c r="C43" s="604"/>
      <c r="D43" s="232"/>
      <c r="E43" s="232" t="s">
        <v>170</v>
      </c>
      <c r="F43" s="232" t="s">
        <v>1738</v>
      </c>
      <c r="G43" s="238">
        <v>45082</v>
      </c>
      <c r="H43" s="233">
        <v>2024</v>
      </c>
      <c r="I43" s="234">
        <v>900</v>
      </c>
      <c r="J43" s="232" t="s">
        <v>127</v>
      </c>
      <c r="K43" s="235">
        <v>22</v>
      </c>
      <c r="L43" s="235">
        <v>2</v>
      </c>
      <c r="M43" s="235">
        <v>0</v>
      </c>
      <c r="N43" s="235">
        <v>0</v>
      </c>
      <c r="O43" s="235">
        <v>22</v>
      </c>
      <c r="P43" s="235">
        <v>2</v>
      </c>
    </row>
    <row r="44" spans="1:16">
      <c r="A44" s="229">
        <v>40</v>
      </c>
      <c r="B44" s="230" t="s">
        <v>197</v>
      </c>
      <c r="C44" s="231">
        <v>5528089</v>
      </c>
      <c r="D44" s="232"/>
      <c r="E44" s="232"/>
      <c r="F44" s="232"/>
      <c r="G44" s="233"/>
      <c r="H44" s="233"/>
      <c r="I44" s="234"/>
      <c r="J44" s="232"/>
      <c r="K44" s="233"/>
      <c r="L44" s="233"/>
      <c r="M44" s="233"/>
      <c r="N44" s="233"/>
      <c r="O44" s="233"/>
      <c r="P44" s="233"/>
    </row>
    <row r="45" spans="1:16">
      <c r="A45" s="229">
        <v>41</v>
      </c>
      <c r="B45" s="230" t="s">
        <v>198</v>
      </c>
      <c r="C45" s="231">
        <v>5396662</v>
      </c>
      <c r="D45" s="232"/>
      <c r="E45" s="232"/>
      <c r="F45" s="232"/>
      <c r="G45" s="233"/>
      <c r="H45" s="233"/>
      <c r="I45" s="234"/>
      <c r="J45" s="232"/>
      <c r="K45" s="233"/>
      <c r="L45" s="233"/>
      <c r="M45" s="233"/>
      <c r="N45" s="233"/>
      <c r="O45" s="233"/>
      <c r="P45" s="233"/>
    </row>
    <row r="46" spans="1:16">
      <c r="A46" s="229">
        <v>42</v>
      </c>
      <c r="B46" s="230" t="s">
        <v>199</v>
      </c>
      <c r="C46" s="231">
        <v>5830974</v>
      </c>
      <c r="D46" s="232"/>
      <c r="E46" s="232"/>
      <c r="F46" s="232"/>
      <c r="G46" s="233"/>
      <c r="H46" s="233"/>
      <c r="I46" s="234"/>
      <c r="J46" s="232"/>
      <c r="K46" s="233"/>
      <c r="L46" s="233"/>
      <c r="M46" s="233"/>
      <c r="N46" s="233"/>
      <c r="O46" s="233"/>
      <c r="P46" s="233"/>
    </row>
    <row r="47" spans="1:16">
      <c r="A47" s="229">
        <v>43</v>
      </c>
      <c r="B47" s="230" t="s">
        <v>201</v>
      </c>
      <c r="C47" s="231">
        <v>2057573</v>
      </c>
      <c r="D47" s="232"/>
      <c r="E47" s="232"/>
      <c r="F47" s="232"/>
      <c r="G47" s="233"/>
      <c r="H47" s="233"/>
      <c r="I47" s="234"/>
      <c r="J47" s="232"/>
      <c r="K47" s="233"/>
      <c r="L47" s="233"/>
      <c r="M47" s="233"/>
      <c r="N47" s="233"/>
      <c r="O47" s="233"/>
      <c r="P47" s="233"/>
    </row>
    <row r="48" spans="1:16">
      <c r="A48" s="229">
        <v>44</v>
      </c>
      <c r="B48" s="230" t="s">
        <v>202</v>
      </c>
      <c r="C48" s="231">
        <v>5699134</v>
      </c>
      <c r="D48" s="232"/>
      <c r="E48" s="232"/>
      <c r="F48" s="232"/>
      <c r="G48" s="233"/>
      <c r="H48" s="233"/>
      <c r="I48" s="234"/>
      <c r="J48" s="232"/>
      <c r="K48" s="233"/>
      <c r="L48" s="233"/>
      <c r="M48" s="233"/>
      <c r="N48" s="233"/>
      <c r="O48" s="233"/>
      <c r="P48" s="233"/>
    </row>
    <row r="49" spans="1:16">
      <c r="A49" s="229">
        <v>45</v>
      </c>
      <c r="B49" s="230" t="s">
        <v>203</v>
      </c>
      <c r="C49" s="231">
        <v>5412153</v>
      </c>
      <c r="D49" s="232"/>
      <c r="E49" s="232"/>
      <c r="F49" s="232"/>
      <c r="G49" s="233"/>
      <c r="H49" s="233"/>
      <c r="I49" s="234"/>
      <c r="J49" s="232"/>
      <c r="K49" s="233"/>
      <c r="L49" s="233"/>
      <c r="M49" s="233"/>
      <c r="N49" s="233"/>
      <c r="O49" s="233"/>
      <c r="P49" s="233"/>
    </row>
    <row r="50" spans="1:16">
      <c r="A50" s="229">
        <v>46</v>
      </c>
      <c r="B50" s="230" t="s">
        <v>204</v>
      </c>
      <c r="C50" s="231">
        <v>2034859</v>
      </c>
      <c r="D50" s="232"/>
      <c r="E50" s="232"/>
      <c r="F50" s="232"/>
      <c r="G50" s="233"/>
      <c r="H50" s="233"/>
      <c r="I50" s="234"/>
      <c r="J50" s="232"/>
      <c r="K50" s="233"/>
      <c r="L50" s="233"/>
      <c r="M50" s="233"/>
      <c r="N50" s="233"/>
      <c r="O50" s="233"/>
      <c r="P50" s="233"/>
    </row>
    <row r="51" spans="1:16">
      <c r="A51" s="229">
        <v>47</v>
      </c>
      <c r="B51" s="230" t="s">
        <v>208</v>
      </c>
      <c r="C51" s="231">
        <v>5253535</v>
      </c>
      <c r="D51" s="232"/>
      <c r="E51" s="232"/>
      <c r="F51" s="232"/>
      <c r="G51" s="233"/>
      <c r="H51" s="233"/>
      <c r="I51" s="234"/>
      <c r="J51" s="232"/>
      <c r="K51" s="233"/>
      <c r="L51" s="233"/>
      <c r="M51" s="233"/>
      <c r="N51" s="233"/>
      <c r="O51" s="233"/>
      <c r="P51" s="233"/>
    </row>
    <row r="52" spans="1:16">
      <c r="A52" s="229">
        <v>48</v>
      </c>
      <c r="B52" s="230" t="s">
        <v>210</v>
      </c>
      <c r="C52" s="231">
        <v>5150884</v>
      </c>
      <c r="D52" s="232"/>
      <c r="E52" s="232"/>
      <c r="F52" s="232"/>
      <c r="G52" s="233"/>
      <c r="H52" s="233"/>
      <c r="I52" s="234"/>
      <c r="J52" s="232"/>
      <c r="K52" s="233"/>
      <c r="L52" s="233"/>
      <c r="M52" s="233"/>
      <c r="N52" s="233"/>
      <c r="O52" s="233"/>
      <c r="P52" s="233"/>
    </row>
    <row r="53" spans="1:16">
      <c r="A53" s="229">
        <v>49</v>
      </c>
      <c r="B53" s="230" t="s">
        <v>211</v>
      </c>
      <c r="C53" s="231">
        <v>5051304</v>
      </c>
      <c r="D53" s="232"/>
      <c r="E53" s="232"/>
      <c r="F53" s="232"/>
      <c r="G53" s="233"/>
      <c r="H53" s="233"/>
      <c r="I53" s="234"/>
      <c r="J53" s="232"/>
      <c r="K53" s="233"/>
      <c r="L53" s="233"/>
      <c r="M53" s="233"/>
      <c r="N53" s="233"/>
      <c r="O53" s="233"/>
      <c r="P53" s="233"/>
    </row>
    <row r="54" spans="1:16">
      <c r="A54" s="229">
        <v>50</v>
      </c>
      <c r="B54" s="230" t="s">
        <v>213</v>
      </c>
      <c r="C54" s="231">
        <v>5401801</v>
      </c>
      <c r="D54" s="232"/>
      <c r="E54" s="232"/>
      <c r="F54" s="232"/>
      <c r="G54" s="233"/>
      <c r="H54" s="233"/>
      <c r="I54" s="234"/>
      <c r="J54" s="232"/>
      <c r="K54" s="233"/>
      <c r="L54" s="233"/>
      <c r="M54" s="233"/>
      <c r="N54" s="233"/>
      <c r="O54" s="233"/>
      <c r="P54" s="233"/>
    </row>
    <row r="55" spans="1:16">
      <c r="A55" s="229">
        <v>51</v>
      </c>
      <c r="B55" s="236" t="s">
        <v>214</v>
      </c>
      <c r="C55" s="231">
        <v>2550466</v>
      </c>
      <c r="D55" s="232"/>
      <c r="E55" s="232"/>
      <c r="F55" s="232"/>
      <c r="G55" s="233"/>
      <c r="H55" s="233"/>
      <c r="I55" s="234"/>
      <c r="J55" s="232"/>
      <c r="K55" s="233"/>
      <c r="L55" s="233"/>
      <c r="M55" s="233"/>
      <c r="N55" s="233"/>
      <c r="O55" s="233"/>
      <c r="P55" s="233"/>
    </row>
    <row r="56" spans="1:16">
      <c r="A56" s="229">
        <v>52</v>
      </c>
      <c r="B56" s="230" t="s">
        <v>216</v>
      </c>
      <c r="C56" s="231">
        <v>5051134</v>
      </c>
      <c r="D56" s="232"/>
      <c r="E56" s="232"/>
      <c r="F56" s="232"/>
      <c r="G56" s="233"/>
      <c r="H56" s="233"/>
      <c r="I56" s="234"/>
      <c r="J56" s="232"/>
      <c r="K56" s="233"/>
      <c r="L56" s="233"/>
      <c r="M56" s="233"/>
      <c r="N56" s="233"/>
      <c r="O56" s="233"/>
      <c r="P56" s="233"/>
    </row>
    <row r="57" spans="1:16">
      <c r="A57" s="229">
        <v>53</v>
      </c>
      <c r="B57" s="230" t="s">
        <v>217</v>
      </c>
      <c r="C57" s="231">
        <v>2095025</v>
      </c>
      <c r="D57" s="232"/>
      <c r="E57" s="232"/>
      <c r="F57" s="232"/>
      <c r="G57" s="233"/>
      <c r="H57" s="233"/>
      <c r="I57" s="234"/>
      <c r="J57" s="232"/>
      <c r="K57" s="233"/>
      <c r="L57" s="233"/>
      <c r="M57" s="233"/>
      <c r="N57" s="233"/>
      <c r="O57" s="233"/>
      <c r="P57" s="233"/>
    </row>
    <row r="58" spans="1:16">
      <c r="A58" s="229">
        <v>54</v>
      </c>
      <c r="B58" s="230" t="s">
        <v>218</v>
      </c>
      <c r="C58" s="231">
        <v>2045931</v>
      </c>
      <c r="D58" s="232"/>
      <c r="E58" s="232"/>
      <c r="F58" s="232"/>
      <c r="G58" s="233"/>
      <c r="H58" s="233"/>
      <c r="I58" s="234"/>
      <c r="J58" s="232"/>
      <c r="K58" s="233"/>
      <c r="L58" s="233"/>
      <c r="M58" s="233"/>
      <c r="N58" s="233"/>
      <c r="O58" s="233"/>
      <c r="P58" s="233"/>
    </row>
    <row r="59" spans="1:16">
      <c r="A59" s="229">
        <v>55</v>
      </c>
      <c r="B59" s="236" t="s">
        <v>219</v>
      </c>
      <c r="C59" s="231">
        <v>2029278</v>
      </c>
      <c r="D59" s="232"/>
      <c r="E59" s="232"/>
      <c r="F59" s="232"/>
      <c r="G59" s="233"/>
      <c r="H59" s="233"/>
      <c r="I59" s="234"/>
      <c r="J59" s="232"/>
      <c r="K59" s="233"/>
      <c r="L59" s="233"/>
      <c r="M59" s="233"/>
      <c r="N59" s="233"/>
      <c r="O59" s="233"/>
      <c r="P59" s="233"/>
    </row>
    <row r="60" spans="1:16">
      <c r="A60" s="229">
        <v>56</v>
      </c>
      <c r="B60" s="230" t="s">
        <v>220</v>
      </c>
      <c r="C60" s="231">
        <v>5106567</v>
      </c>
      <c r="D60" s="232" t="s">
        <v>219</v>
      </c>
      <c r="E60" s="232" t="s">
        <v>170</v>
      </c>
      <c r="F60" s="232" t="s">
        <v>811</v>
      </c>
      <c r="G60" s="238">
        <v>44927</v>
      </c>
      <c r="H60" s="233">
        <v>2023</v>
      </c>
      <c r="I60" s="234">
        <v>28320</v>
      </c>
      <c r="J60" s="232" t="s">
        <v>8041</v>
      </c>
      <c r="K60" s="233">
        <v>0</v>
      </c>
      <c r="L60" s="233">
        <v>0</v>
      </c>
      <c r="M60" s="233">
        <v>0</v>
      </c>
      <c r="N60" s="233">
        <v>0</v>
      </c>
      <c r="O60" s="233">
        <v>0</v>
      </c>
      <c r="P60" s="233">
        <v>0</v>
      </c>
    </row>
    <row r="61" spans="1:16">
      <c r="A61" s="229">
        <v>57</v>
      </c>
      <c r="B61" s="603" t="s">
        <v>222</v>
      </c>
      <c r="C61" s="604">
        <v>5141583</v>
      </c>
      <c r="D61" s="232"/>
      <c r="E61" s="235" t="s">
        <v>1102</v>
      </c>
      <c r="F61" s="235" t="s">
        <v>1103</v>
      </c>
      <c r="G61" s="238">
        <v>44927</v>
      </c>
      <c r="H61" s="233">
        <v>2023</v>
      </c>
      <c r="I61" s="234"/>
      <c r="J61" s="232" t="s">
        <v>127</v>
      </c>
      <c r="K61" s="235">
        <v>54</v>
      </c>
      <c r="L61" s="235">
        <v>28</v>
      </c>
      <c r="M61" s="235">
        <v>0</v>
      </c>
      <c r="N61" s="235">
        <v>0</v>
      </c>
      <c r="O61" s="235">
        <v>54</v>
      </c>
      <c r="P61" s="235">
        <v>28</v>
      </c>
    </row>
    <row r="62" spans="1:16">
      <c r="A62" s="229">
        <v>58</v>
      </c>
      <c r="B62" s="603"/>
      <c r="C62" s="604"/>
      <c r="D62" s="232"/>
      <c r="E62" s="235" t="s">
        <v>1102</v>
      </c>
      <c r="F62" s="235" t="s">
        <v>1103</v>
      </c>
      <c r="G62" s="238">
        <v>44927</v>
      </c>
      <c r="H62" s="233">
        <v>2023</v>
      </c>
      <c r="I62" s="234"/>
      <c r="J62" s="232" t="s">
        <v>8041</v>
      </c>
      <c r="K62" s="235">
        <v>19</v>
      </c>
      <c r="L62" s="235">
        <v>21</v>
      </c>
      <c r="M62" s="235">
        <v>0</v>
      </c>
      <c r="N62" s="235">
        <v>0</v>
      </c>
      <c r="O62" s="235">
        <v>19</v>
      </c>
      <c r="P62" s="235">
        <v>21</v>
      </c>
    </row>
    <row r="63" spans="1:16">
      <c r="A63" s="229">
        <v>59</v>
      </c>
      <c r="B63" s="603"/>
      <c r="C63" s="604"/>
      <c r="D63" s="232"/>
      <c r="E63" s="235" t="s">
        <v>1102</v>
      </c>
      <c r="F63" s="235" t="s">
        <v>1103</v>
      </c>
      <c r="G63" s="238">
        <v>44927</v>
      </c>
      <c r="H63" s="233">
        <v>2023</v>
      </c>
      <c r="I63" s="234"/>
      <c r="J63" s="232" t="s">
        <v>9434</v>
      </c>
      <c r="K63" s="233"/>
      <c r="L63" s="233"/>
      <c r="M63" s="233"/>
      <c r="N63" s="233"/>
      <c r="O63" s="233"/>
      <c r="P63" s="233"/>
    </row>
    <row r="64" spans="1:16">
      <c r="A64" s="229">
        <v>60</v>
      </c>
      <c r="B64" s="603"/>
      <c r="C64" s="604"/>
      <c r="D64" s="232"/>
      <c r="E64" s="235" t="s">
        <v>1102</v>
      </c>
      <c r="F64" s="235" t="s">
        <v>1103</v>
      </c>
      <c r="G64" s="238">
        <v>44927</v>
      </c>
      <c r="H64" s="233">
        <v>2023</v>
      </c>
      <c r="I64" s="234"/>
      <c r="J64" s="232" t="s">
        <v>8041</v>
      </c>
      <c r="K64" s="235">
        <v>115</v>
      </c>
      <c r="L64" s="235">
        <v>25</v>
      </c>
      <c r="M64" s="235">
        <v>0</v>
      </c>
      <c r="N64" s="235">
        <v>0</v>
      </c>
      <c r="O64" s="235">
        <v>115</v>
      </c>
      <c r="P64" s="235">
        <v>25</v>
      </c>
    </row>
    <row r="65" spans="1:16">
      <c r="A65" s="229">
        <v>61</v>
      </c>
      <c r="B65" s="603"/>
      <c r="C65" s="604"/>
      <c r="D65" s="232"/>
      <c r="E65" s="235" t="s">
        <v>1102</v>
      </c>
      <c r="F65" s="235" t="s">
        <v>1103</v>
      </c>
      <c r="G65" s="238">
        <v>44927</v>
      </c>
      <c r="H65" s="233">
        <v>2023</v>
      </c>
      <c r="I65" s="234"/>
      <c r="J65" s="232" t="s">
        <v>9434</v>
      </c>
      <c r="K65" s="233"/>
      <c r="L65" s="233"/>
      <c r="M65" s="233"/>
      <c r="N65" s="233"/>
      <c r="O65" s="233"/>
      <c r="P65" s="233"/>
    </row>
    <row r="66" spans="1:16">
      <c r="A66" s="229">
        <v>62</v>
      </c>
      <c r="B66" s="603"/>
      <c r="C66" s="604"/>
      <c r="D66" s="232"/>
      <c r="E66" s="235" t="s">
        <v>1102</v>
      </c>
      <c r="F66" s="235" t="s">
        <v>1103</v>
      </c>
      <c r="G66" s="238">
        <v>44927</v>
      </c>
      <c r="H66" s="233">
        <v>2023</v>
      </c>
      <c r="I66" s="234"/>
      <c r="J66" s="232" t="s">
        <v>8041</v>
      </c>
      <c r="K66" s="233"/>
      <c r="L66" s="233"/>
      <c r="M66" s="233"/>
      <c r="N66" s="233"/>
      <c r="O66" s="233"/>
      <c r="P66" s="233"/>
    </row>
    <row r="67" spans="1:16">
      <c r="A67" s="229">
        <v>63</v>
      </c>
      <c r="B67" s="603"/>
      <c r="C67" s="604"/>
      <c r="D67" s="232"/>
      <c r="E67" s="235" t="s">
        <v>1102</v>
      </c>
      <c r="F67" s="235" t="s">
        <v>1103</v>
      </c>
      <c r="G67" s="238">
        <v>44927</v>
      </c>
      <c r="H67" s="233">
        <v>2023</v>
      </c>
      <c r="I67" s="234"/>
      <c r="J67" s="232" t="s">
        <v>9434</v>
      </c>
      <c r="K67" s="235">
        <v>492</v>
      </c>
      <c r="L67" s="235">
        <v>11</v>
      </c>
      <c r="M67" s="235">
        <v>0</v>
      </c>
      <c r="N67" s="235">
        <v>0</v>
      </c>
      <c r="O67" s="235">
        <v>492</v>
      </c>
      <c r="P67" s="235">
        <v>11</v>
      </c>
    </row>
    <row r="68" spans="1:16">
      <c r="A68" s="229">
        <v>64</v>
      </c>
      <c r="B68" s="603"/>
      <c r="C68" s="604"/>
      <c r="D68" s="232"/>
      <c r="E68" s="235" t="s">
        <v>1102</v>
      </c>
      <c r="F68" s="235" t="s">
        <v>1103</v>
      </c>
      <c r="G68" s="238">
        <v>44927</v>
      </c>
      <c r="H68" s="233">
        <v>2023</v>
      </c>
      <c r="I68" s="234"/>
      <c r="J68" s="232" t="s">
        <v>9439</v>
      </c>
      <c r="K68" s="233"/>
      <c r="L68" s="233"/>
      <c r="M68" s="233"/>
      <c r="N68" s="233"/>
      <c r="O68" s="233"/>
      <c r="P68" s="233"/>
    </row>
    <row r="69" spans="1:16">
      <c r="A69" s="229">
        <v>65</v>
      </c>
      <c r="B69" s="603"/>
      <c r="C69" s="604"/>
      <c r="D69" s="232"/>
      <c r="E69" s="235" t="s">
        <v>1102</v>
      </c>
      <c r="F69" s="235" t="s">
        <v>1103</v>
      </c>
      <c r="G69" s="238">
        <v>44927</v>
      </c>
      <c r="H69" s="233">
        <v>2023</v>
      </c>
      <c r="I69" s="234"/>
      <c r="J69" s="232" t="s">
        <v>127</v>
      </c>
      <c r="K69" s="233"/>
      <c r="L69" s="233"/>
      <c r="M69" s="233"/>
      <c r="N69" s="233"/>
      <c r="O69" s="233"/>
      <c r="P69" s="233"/>
    </row>
    <row r="70" spans="1:16">
      <c r="A70" s="229">
        <v>66</v>
      </c>
      <c r="B70" s="603"/>
      <c r="C70" s="604"/>
      <c r="D70" s="232"/>
      <c r="E70" s="235" t="s">
        <v>1102</v>
      </c>
      <c r="F70" s="235" t="s">
        <v>1103</v>
      </c>
      <c r="G70" s="238">
        <v>44927</v>
      </c>
      <c r="H70" s="233">
        <v>2023</v>
      </c>
      <c r="I70" s="234"/>
      <c r="J70" s="232" t="s">
        <v>127</v>
      </c>
      <c r="K70" s="235">
        <v>49</v>
      </c>
      <c r="L70" s="235">
        <v>3</v>
      </c>
      <c r="M70" s="235">
        <v>0</v>
      </c>
      <c r="N70" s="235">
        <v>0</v>
      </c>
      <c r="O70" s="235">
        <v>49</v>
      </c>
      <c r="P70" s="235">
        <v>3</v>
      </c>
    </row>
    <row r="71" spans="1:16">
      <c r="A71" s="229">
        <v>67</v>
      </c>
      <c r="B71" s="603"/>
      <c r="C71" s="604"/>
      <c r="D71" s="232"/>
      <c r="E71" s="235" t="s">
        <v>1102</v>
      </c>
      <c r="F71" s="235" t="s">
        <v>1103</v>
      </c>
      <c r="G71" s="238">
        <v>44927</v>
      </c>
      <c r="H71" s="233">
        <v>2023</v>
      </c>
      <c r="I71" s="234"/>
      <c r="J71" s="232" t="s">
        <v>127</v>
      </c>
      <c r="K71" s="233"/>
      <c r="L71" s="233"/>
      <c r="M71" s="233"/>
      <c r="N71" s="233"/>
      <c r="O71" s="233"/>
      <c r="P71" s="233"/>
    </row>
    <row r="72" spans="1:16">
      <c r="A72" s="229">
        <v>68</v>
      </c>
      <c r="B72" s="603"/>
      <c r="C72" s="604"/>
      <c r="D72" s="232"/>
      <c r="E72" s="235" t="s">
        <v>1102</v>
      </c>
      <c r="F72" s="235" t="s">
        <v>1103</v>
      </c>
      <c r="G72" s="238">
        <v>44927</v>
      </c>
      <c r="H72" s="233">
        <v>2023</v>
      </c>
      <c r="I72" s="234"/>
      <c r="J72" s="232"/>
      <c r="K72" s="235">
        <v>3</v>
      </c>
      <c r="L72" s="235">
        <v>4</v>
      </c>
      <c r="M72" s="235">
        <v>0</v>
      </c>
      <c r="N72" s="235">
        <v>0</v>
      </c>
      <c r="O72" s="235">
        <v>3</v>
      </c>
      <c r="P72" s="235">
        <v>4</v>
      </c>
    </row>
    <row r="73" spans="1:16">
      <c r="A73" s="229">
        <v>69</v>
      </c>
      <c r="B73" s="603"/>
      <c r="C73" s="604"/>
      <c r="D73" s="232"/>
      <c r="E73" s="235" t="s">
        <v>1102</v>
      </c>
      <c r="F73" s="235" t="s">
        <v>1103</v>
      </c>
      <c r="G73" s="238">
        <v>44927</v>
      </c>
      <c r="H73" s="233">
        <v>2023</v>
      </c>
      <c r="I73" s="234"/>
      <c r="J73" s="232" t="s">
        <v>127</v>
      </c>
      <c r="K73" s="235">
        <v>952</v>
      </c>
      <c r="L73" s="235">
        <v>26</v>
      </c>
      <c r="M73" s="235">
        <v>0</v>
      </c>
      <c r="N73" s="235">
        <v>0</v>
      </c>
      <c r="O73" s="235">
        <v>952</v>
      </c>
      <c r="P73" s="235">
        <v>26</v>
      </c>
    </row>
    <row r="74" spans="1:16">
      <c r="A74" s="229">
        <v>70</v>
      </c>
      <c r="B74" s="236" t="s">
        <v>223</v>
      </c>
      <c r="C74" s="231">
        <v>5118115</v>
      </c>
      <c r="D74" s="232"/>
      <c r="E74" s="232"/>
      <c r="F74" s="232"/>
      <c r="G74" s="233"/>
      <c r="H74" s="233"/>
      <c r="I74" s="234"/>
      <c r="J74" s="232"/>
      <c r="K74" s="233"/>
      <c r="L74" s="233"/>
      <c r="M74" s="233"/>
      <c r="N74" s="233"/>
      <c r="O74" s="233"/>
      <c r="P74" s="233"/>
    </row>
    <row r="75" spans="1:16">
      <c r="A75" s="229">
        <v>71</v>
      </c>
      <c r="B75" s="230" t="s">
        <v>224</v>
      </c>
      <c r="C75" s="231">
        <v>5106656</v>
      </c>
      <c r="D75" s="232"/>
      <c r="E75" s="232"/>
      <c r="F75" s="232"/>
      <c r="G75" s="233"/>
      <c r="H75" s="233"/>
      <c r="I75" s="234"/>
      <c r="J75" s="232"/>
      <c r="K75" s="233"/>
      <c r="L75" s="233"/>
      <c r="M75" s="233"/>
      <c r="N75" s="233"/>
      <c r="O75" s="233"/>
      <c r="P75" s="233"/>
    </row>
    <row r="76" spans="1:16">
      <c r="A76" s="229">
        <v>72</v>
      </c>
      <c r="B76" s="230" t="s">
        <v>225</v>
      </c>
      <c r="C76" s="231">
        <v>2010895</v>
      </c>
      <c r="D76" s="232" t="s">
        <v>9440</v>
      </c>
      <c r="E76" s="232" t="s">
        <v>123</v>
      </c>
      <c r="F76" s="232" t="s">
        <v>124</v>
      </c>
      <c r="G76" s="238">
        <v>45068</v>
      </c>
      <c r="H76" s="238">
        <v>45291</v>
      </c>
      <c r="I76" s="234">
        <v>1053280000</v>
      </c>
      <c r="J76" s="232" t="s">
        <v>9434</v>
      </c>
      <c r="K76" s="235">
        <v>30</v>
      </c>
      <c r="L76" s="235">
        <v>4</v>
      </c>
      <c r="M76" s="235">
        <v>0</v>
      </c>
      <c r="N76" s="235">
        <v>0</v>
      </c>
      <c r="O76" s="235">
        <v>30</v>
      </c>
      <c r="P76" s="235">
        <v>4</v>
      </c>
    </row>
    <row r="77" spans="1:16" s="11" customFormat="1" ht="25.5" customHeight="1">
      <c r="A77" s="608">
        <v>73</v>
      </c>
      <c r="B77" s="605" t="s">
        <v>227</v>
      </c>
      <c r="C77" s="611">
        <v>5295858</v>
      </c>
      <c r="D77" s="393" t="s">
        <v>9441</v>
      </c>
      <c r="E77" s="393" t="s">
        <v>768</v>
      </c>
      <c r="F77" s="393" t="s">
        <v>933</v>
      </c>
      <c r="G77" s="395">
        <v>45288</v>
      </c>
      <c r="H77" s="395">
        <v>45654</v>
      </c>
      <c r="I77" s="394">
        <v>151433327</v>
      </c>
      <c r="J77" s="393" t="s">
        <v>127</v>
      </c>
      <c r="K77" s="229">
        <v>20</v>
      </c>
      <c r="L77" s="235">
        <v>0</v>
      </c>
      <c r="M77" s="235">
        <v>0</v>
      </c>
      <c r="N77" s="235">
        <v>0</v>
      </c>
      <c r="O77" s="229">
        <v>20</v>
      </c>
      <c r="P77" s="235">
        <v>0</v>
      </c>
    </row>
    <row r="78" spans="1:16" s="11" customFormat="1">
      <c r="A78" s="609"/>
      <c r="B78" s="606"/>
      <c r="C78" s="612"/>
      <c r="D78" s="393" t="s">
        <v>9442</v>
      </c>
      <c r="E78" s="393" t="s">
        <v>768</v>
      </c>
      <c r="F78" s="393" t="s">
        <v>933</v>
      </c>
      <c r="G78" s="395">
        <v>45017</v>
      </c>
      <c r="H78" s="395">
        <v>45383</v>
      </c>
      <c r="I78" s="394">
        <v>88185850</v>
      </c>
      <c r="J78" s="393" t="s">
        <v>127</v>
      </c>
      <c r="K78" s="229">
        <v>39</v>
      </c>
      <c r="L78" s="235">
        <v>0</v>
      </c>
      <c r="M78" s="235">
        <v>0</v>
      </c>
      <c r="N78" s="235">
        <v>0</v>
      </c>
      <c r="O78" s="229">
        <v>39</v>
      </c>
      <c r="P78" s="235">
        <v>0</v>
      </c>
    </row>
    <row r="79" spans="1:16" s="11" customFormat="1">
      <c r="A79" s="610"/>
      <c r="B79" s="607"/>
      <c r="C79" s="613"/>
      <c r="D79" s="393" t="s">
        <v>9443</v>
      </c>
      <c r="E79" s="393" t="s">
        <v>768</v>
      </c>
      <c r="F79" s="393" t="s">
        <v>933</v>
      </c>
      <c r="G79" s="395">
        <v>44798</v>
      </c>
      <c r="H79" s="395">
        <v>45657</v>
      </c>
      <c r="I79" s="394">
        <v>20200089</v>
      </c>
      <c r="J79" s="393" t="s">
        <v>127</v>
      </c>
      <c r="K79" s="229">
        <v>2</v>
      </c>
      <c r="L79" s="235">
        <v>0</v>
      </c>
      <c r="M79" s="235">
        <v>0</v>
      </c>
      <c r="N79" s="235">
        <v>0</v>
      </c>
      <c r="O79" s="229">
        <v>2</v>
      </c>
      <c r="P79" s="235">
        <v>0</v>
      </c>
    </row>
    <row r="80" spans="1:16">
      <c r="A80" s="229">
        <v>74</v>
      </c>
      <c r="B80" s="230" t="s">
        <v>228</v>
      </c>
      <c r="C80" s="231">
        <v>6287727</v>
      </c>
      <c r="D80" s="232"/>
      <c r="E80" s="232"/>
      <c r="F80" s="232"/>
      <c r="G80" s="233"/>
      <c r="H80" s="233"/>
      <c r="I80" s="234"/>
      <c r="J80" s="232"/>
      <c r="K80" s="233"/>
      <c r="L80" s="233"/>
      <c r="M80" s="233"/>
      <c r="N80" s="233"/>
      <c r="O80" s="233"/>
      <c r="P80" s="233"/>
    </row>
    <row r="81" spans="1:16">
      <c r="A81" s="229">
        <v>75</v>
      </c>
      <c r="B81" s="230" t="s">
        <v>229</v>
      </c>
      <c r="C81" s="231">
        <v>2659603</v>
      </c>
      <c r="D81" s="232"/>
      <c r="E81" s="232"/>
      <c r="F81" s="232"/>
      <c r="G81" s="233"/>
      <c r="H81" s="233"/>
      <c r="I81" s="234"/>
      <c r="J81" s="232"/>
      <c r="K81" s="233"/>
      <c r="L81" s="233"/>
      <c r="M81" s="233"/>
      <c r="N81" s="233"/>
      <c r="O81" s="233"/>
      <c r="P81" s="233"/>
    </row>
    <row r="82" spans="1:16">
      <c r="A82" s="229">
        <v>76</v>
      </c>
      <c r="B82" s="230" t="s">
        <v>230</v>
      </c>
      <c r="C82" s="231">
        <v>2678187</v>
      </c>
      <c r="D82" s="232"/>
      <c r="E82" s="232"/>
      <c r="F82" s="232"/>
      <c r="G82" s="233"/>
      <c r="H82" s="233"/>
      <c r="I82" s="234"/>
      <c r="J82" s="232"/>
      <c r="K82" s="233"/>
      <c r="L82" s="233"/>
      <c r="M82" s="233"/>
      <c r="N82" s="233"/>
      <c r="O82" s="233"/>
      <c r="P82" s="233"/>
    </row>
    <row r="83" spans="1:16">
      <c r="A83" s="229">
        <v>77</v>
      </c>
      <c r="B83" s="230" t="s">
        <v>231</v>
      </c>
      <c r="C83" s="231">
        <v>2657457</v>
      </c>
      <c r="D83" s="232"/>
      <c r="E83" s="232"/>
      <c r="F83" s="232"/>
      <c r="G83" s="233"/>
      <c r="H83" s="233"/>
      <c r="I83" s="234"/>
      <c r="J83" s="232"/>
      <c r="K83" s="233"/>
      <c r="L83" s="233"/>
      <c r="M83" s="233"/>
      <c r="N83" s="233"/>
      <c r="O83" s="233"/>
      <c r="P83" s="233"/>
    </row>
    <row r="84" spans="1:16">
      <c r="A84" s="229">
        <v>78</v>
      </c>
      <c r="B84" s="603" t="s">
        <v>232</v>
      </c>
      <c r="C84" s="604">
        <v>3615243</v>
      </c>
      <c r="D84" s="232" t="s">
        <v>9444</v>
      </c>
      <c r="E84" s="232" t="s">
        <v>233</v>
      </c>
      <c r="F84" s="232" t="s">
        <v>234</v>
      </c>
      <c r="G84" s="238">
        <v>45064</v>
      </c>
      <c r="H84" s="233">
        <v>2024</v>
      </c>
      <c r="I84" s="234">
        <v>10000000</v>
      </c>
      <c r="J84" s="232" t="s">
        <v>127</v>
      </c>
      <c r="K84" s="235">
        <v>0</v>
      </c>
      <c r="L84" s="235">
        <v>1</v>
      </c>
      <c r="M84" s="235">
        <v>0</v>
      </c>
      <c r="N84" s="235">
        <v>0</v>
      </c>
      <c r="O84" s="235">
        <v>0</v>
      </c>
      <c r="P84" s="235">
        <v>1</v>
      </c>
    </row>
    <row r="85" spans="1:16">
      <c r="A85" s="229">
        <v>79</v>
      </c>
      <c r="B85" s="603"/>
      <c r="C85" s="604"/>
      <c r="D85" s="232" t="s">
        <v>9445</v>
      </c>
      <c r="E85" s="232" t="s">
        <v>233</v>
      </c>
      <c r="F85" s="232" t="s">
        <v>234</v>
      </c>
      <c r="G85" s="238">
        <v>45040</v>
      </c>
      <c r="H85" s="233">
        <v>2024</v>
      </c>
      <c r="I85" s="234">
        <v>139789000</v>
      </c>
      <c r="J85" s="232" t="s">
        <v>127</v>
      </c>
      <c r="K85" s="235">
        <v>1</v>
      </c>
      <c r="L85" s="235">
        <v>0</v>
      </c>
      <c r="M85" s="235">
        <v>0</v>
      </c>
      <c r="N85" s="235">
        <v>0</v>
      </c>
      <c r="O85" s="235">
        <v>1</v>
      </c>
      <c r="P85" s="233"/>
    </row>
    <row r="86" spans="1:16">
      <c r="A86" s="229">
        <v>80</v>
      </c>
      <c r="B86" s="603"/>
      <c r="C86" s="604"/>
      <c r="D86" s="232" t="s">
        <v>9446</v>
      </c>
      <c r="E86" s="232" t="s">
        <v>233</v>
      </c>
      <c r="F86" s="232" t="s">
        <v>234</v>
      </c>
      <c r="G86" s="238">
        <v>45009</v>
      </c>
      <c r="H86" s="233">
        <v>2023</v>
      </c>
      <c r="I86" s="234">
        <v>220000000</v>
      </c>
      <c r="J86" s="232" t="s">
        <v>127</v>
      </c>
      <c r="K86" s="235">
        <v>1</v>
      </c>
      <c r="L86" s="235">
        <v>0</v>
      </c>
      <c r="M86" s="235">
        <v>0</v>
      </c>
      <c r="N86" s="235">
        <v>0</v>
      </c>
      <c r="O86" s="235">
        <v>1</v>
      </c>
      <c r="P86" s="233"/>
    </row>
    <row r="87" spans="1:16">
      <c r="A87" s="229">
        <v>81</v>
      </c>
      <c r="B87" s="230" t="s">
        <v>236</v>
      </c>
      <c r="C87" s="231">
        <v>3623955</v>
      </c>
      <c r="D87" s="232"/>
      <c r="E87" s="232"/>
      <c r="F87" s="232"/>
      <c r="G87" s="233"/>
      <c r="H87" s="233"/>
      <c r="I87" s="234"/>
      <c r="J87" s="232"/>
      <c r="K87" s="233"/>
      <c r="L87" s="233"/>
      <c r="M87" s="233"/>
      <c r="N87" s="233"/>
      <c r="O87" s="233"/>
      <c r="P87" s="233"/>
    </row>
    <row r="88" spans="1:16">
      <c r="A88" s="229">
        <v>82</v>
      </c>
      <c r="B88" s="230" t="s">
        <v>239</v>
      </c>
      <c r="C88" s="231">
        <v>5199077</v>
      </c>
      <c r="D88" s="232" t="s">
        <v>9447</v>
      </c>
      <c r="E88" s="232" t="s">
        <v>233</v>
      </c>
      <c r="F88" s="232" t="s">
        <v>237</v>
      </c>
      <c r="G88" s="238">
        <v>43922</v>
      </c>
      <c r="H88" s="233">
        <v>2030</v>
      </c>
      <c r="I88" s="234">
        <v>14489.2</v>
      </c>
      <c r="J88" s="232" t="s">
        <v>8041</v>
      </c>
      <c r="K88" s="233">
        <v>677</v>
      </c>
      <c r="L88" s="233">
        <v>68</v>
      </c>
      <c r="M88" s="233">
        <v>0</v>
      </c>
      <c r="N88" s="233">
        <v>0</v>
      </c>
      <c r="O88" s="233">
        <v>677</v>
      </c>
      <c r="P88" s="233">
        <v>68</v>
      </c>
    </row>
    <row r="89" spans="1:16">
      <c r="A89" s="229">
        <v>83</v>
      </c>
      <c r="B89" s="230" t="s">
        <v>240</v>
      </c>
      <c r="C89" s="231">
        <v>2075385</v>
      </c>
      <c r="D89" s="232"/>
      <c r="E89" s="232"/>
      <c r="F89" s="232"/>
      <c r="G89" s="233"/>
      <c r="H89" s="233"/>
      <c r="I89" s="234"/>
      <c r="J89" s="232"/>
      <c r="K89" s="233"/>
      <c r="L89" s="233"/>
      <c r="M89" s="233"/>
      <c r="N89" s="233"/>
      <c r="O89" s="233"/>
      <c r="P89" s="233"/>
    </row>
    <row r="90" spans="1:16">
      <c r="A90" s="229">
        <v>84</v>
      </c>
      <c r="B90" s="230" t="s">
        <v>241</v>
      </c>
      <c r="C90" s="231">
        <v>2867095</v>
      </c>
      <c r="D90" s="232"/>
      <c r="E90" s="232"/>
      <c r="F90" s="232"/>
      <c r="G90" s="233"/>
      <c r="H90" s="233"/>
      <c r="I90" s="234"/>
      <c r="J90" s="232"/>
      <c r="K90" s="233"/>
      <c r="L90" s="233"/>
      <c r="M90" s="233"/>
      <c r="N90" s="233"/>
      <c r="O90" s="233"/>
      <c r="P90" s="233"/>
    </row>
    <row r="91" spans="1:16">
      <c r="A91" s="229">
        <v>85</v>
      </c>
      <c r="B91" s="230" t="s">
        <v>242</v>
      </c>
      <c r="C91" s="231">
        <v>5076285</v>
      </c>
      <c r="D91" s="232"/>
      <c r="E91" s="232"/>
      <c r="F91" s="232"/>
      <c r="G91" s="233"/>
      <c r="H91" s="233"/>
      <c r="I91" s="234"/>
      <c r="J91" s="232"/>
      <c r="K91" s="233"/>
      <c r="L91" s="233"/>
      <c r="M91" s="233"/>
      <c r="N91" s="233"/>
      <c r="O91" s="233"/>
      <c r="P91" s="233"/>
    </row>
    <row r="92" spans="1:16">
      <c r="A92" s="229">
        <v>86</v>
      </c>
      <c r="B92" s="603" t="s">
        <v>243</v>
      </c>
      <c r="C92" s="604">
        <v>5084555</v>
      </c>
      <c r="D92" s="232"/>
      <c r="E92" s="232" t="s">
        <v>233</v>
      </c>
      <c r="F92" s="232" t="s">
        <v>237</v>
      </c>
      <c r="G92" s="238">
        <v>45311</v>
      </c>
      <c r="H92" s="233">
        <v>2025</v>
      </c>
      <c r="I92" s="234"/>
      <c r="J92" s="232" t="s">
        <v>8041</v>
      </c>
      <c r="K92" s="233">
        <v>258</v>
      </c>
      <c r="L92" s="233">
        <v>9</v>
      </c>
      <c r="M92" s="233">
        <v>0</v>
      </c>
      <c r="N92" s="233">
        <v>0</v>
      </c>
      <c r="O92" s="233">
        <v>258</v>
      </c>
      <c r="P92" s="233">
        <v>9</v>
      </c>
    </row>
    <row r="93" spans="1:16">
      <c r="A93" s="229">
        <v>87</v>
      </c>
      <c r="B93" s="603"/>
      <c r="C93" s="604"/>
      <c r="D93" s="232"/>
      <c r="E93" s="232" t="s">
        <v>233</v>
      </c>
      <c r="F93" s="232" t="s">
        <v>237</v>
      </c>
      <c r="G93" s="238">
        <v>45292</v>
      </c>
      <c r="H93" s="233">
        <v>2024</v>
      </c>
      <c r="I93" s="234"/>
      <c r="J93" s="232" t="s">
        <v>8041</v>
      </c>
      <c r="K93" s="233">
        <v>408</v>
      </c>
      <c r="L93" s="233">
        <v>12</v>
      </c>
      <c r="M93" s="233">
        <v>0</v>
      </c>
      <c r="N93" s="233">
        <v>0</v>
      </c>
      <c r="O93" s="233">
        <v>408</v>
      </c>
      <c r="P93" s="233">
        <v>12</v>
      </c>
    </row>
    <row r="94" spans="1:16">
      <c r="A94" s="229">
        <v>88</v>
      </c>
      <c r="B94" s="603"/>
      <c r="C94" s="604"/>
      <c r="D94" s="232"/>
      <c r="E94" s="232" t="s">
        <v>233</v>
      </c>
      <c r="F94" s="232" t="s">
        <v>237</v>
      </c>
      <c r="G94" s="238">
        <v>45292</v>
      </c>
      <c r="H94" s="233">
        <v>2024</v>
      </c>
      <c r="I94" s="234"/>
      <c r="J94" s="232" t="s">
        <v>8041</v>
      </c>
      <c r="K94" s="233">
        <v>424</v>
      </c>
      <c r="L94" s="233">
        <v>18</v>
      </c>
      <c r="M94" s="233">
        <v>0</v>
      </c>
      <c r="N94" s="233">
        <v>0</v>
      </c>
      <c r="O94" s="233">
        <v>424</v>
      </c>
      <c r="P94" s="233">
        <v>18</v>
      </c>
    </row>
    <row r="95" spans="1:16">
      <c r="A95" s="229">
        <v>89</v>
      </c>
      <c r="B95" s="230" t="s">
        <v>244</v>
      </c>
      <c r="C95" s="231">
        <v>5261198</v>
      </c>
      <c r="D95" s="232"/>
      <c r="E95" s="232"/>
      <c r="F95" s="232"/>
      <c r="G95" s="233"/>
      <c r="H95" s="233"/>
      <c r="I95" s="234"/>
      <c r="J95" s="232"/>
      <c r="K95" s="233"/>
      <c r="L95" s="233"/>
      <c r="M95" s="233"/>
      <c r="N95" s="233"/>
      <c r="O95" s="233"/>
      <c r="P95" s="233"/>
    </row>
    <row r="96" spans="1:16">
      <c r="A96" s="229">
        <v>90</v>
      </c>
      <c r="B96" s="230" t="s">
        <v>246</v>
      </c>
      <c r="C96" s="231">
        <v>5288703</v>
      </c>
      <c r="D96" s="232"/>
      <c r="E96" s="232"/>
      <c r="F96" s="232"/>
      <c r="G96" s="233"/>
      <c r="H96" s="233"/>
      <c r="I96" s="234"/>
      <c r="J96" s="232"/>
      <c r="K96" s="233"/>
      <c r="L96" s="233"/>
      <c r="M96" s="233"/>
      <c r="N96" s="233"/>
      <c r="O96" s="233"/>
      <c r="P96" s="233"/>
    </row>
    <row r="97" spans="1:16">
      <c r="A97" s="229">
        <v>91</v>
      </c>
      <c r="B97" s="603" t="s">
        <v>248</v>
      </c>
      <c r="C97" s="604">
        <v>6232485</v>
      </c>
      <c r="D97" s="232" t="s">
        <v>9448</v>
      </c>
      <c r="E97" s="232" t="s">
        <v>128</v>
      </c>
      <c r="F97" s="232" t="s">
        <v>291</v>
      </c>
      <c r="G97" s="238">
        <v>44774</v>
      </c>
      <c r="H97" s="238">
        <v>45505</v>
      </c>
      <c r="I97" s="234">
        <v>57448100000</v>
      </c>
      <c r="J97" s="232" t="s">
        <v>9434</v>
      </c>
      <c r="K97" s="233">
        <v>247</v>
      </c>
      <c r="L97" s="233">
        <v>14</v>
      </c>
      <c r="M97" s="233">
        <v>0</v>
      </c>
      <c r="N97" s="233">
        <v>0</v>
      </c>
      <c r="O97" s="233">
        <v>247</v>
      </c>
      <c r="P97" s="233">
        <v>14</v>
      </c>
    </row>
    <row r="98" spans="1:16">
      <c r="A98" s="229">
        <v>92</v>
      </c>
      <c r="B98" s="603"/>
      <c r="C98" s="604"/>
      <c r="D98" s="232" t="s">
        <v>9449</v>
      </c>
      <c r="E98" s="232" t="s">
        <v>128</v>
      </c>
      <c r="F98" s="232" t="s">
        <v>291</v>
      </c>
      <c r="G98" s="238">
        <v>45397</v>
      </c>
      <c r="H98" s="238">
        <v>45397</v>
      </c>
      <c r="I98" s="234">
        <v>9036050000</v>
      </c>
      <c r="J98" s="232" t="s">
        <v>127</v>
      </c>
      <c r="K98" s="233">
        <v>129</v>
      </c>
      <c r="L98" s="233">
        <v>10</v>
      </c>
      <c r="M98" s="233">
        <v>0</v>
      </c>
      <c r="N98" s="233">
        <v>0</v>
      </c>
      <c r="O98" s="233">
        <v>129</v>
      </c>
      <c r="P98" s="233">
        <v>10</v>
      </c>
    </row>
    <row r="99" spans="1:16">
      <c r="A99" s="229">
        <v>93</v>
      </c>
      <c r="B99" s="230" t="s">
        <v>249</v>
      </c>
      <c r="C99" s="231">
        <v>6101615</v>
      </c>
      <c r="D99" s="232"/>
      <c r="E99" s="232"/>
      <c r="F99" s="232"/>
      <c r="G99" s="233"/>
      <c r="H99" s="233"/>
      <c r="I99" s="234"/>
      <c r="J99" s="232"/>
      <c r="K99" s="233"/>
      <c r="L99" s="233"/>
      <c r="M99" s="233"/>
      <c r="N99" s="233"/>
      <c r="O99" s="233"/>
      <c r="P99" s="233"/>
    </row>
    <row r="100" spans="1:16">
      <c r="A100" s="229">
        <v>94</v>
      </c>
      <c r="B100" s="230" t="s">
        <v>250</v>
      </c>
      <c r="C100" s="231">
        <v>5120365</v>
      </c>
      <c r="D100" s="232"/>
      <c r="E100" s="232"/>
      <c r="F100" s="232"/>
      <c r="G100" s="233"/>
      <c r="H100" s="233"/>
      <c r="I100" s="234"/>
      <c r="J100" s="232"/>
      <c r="K100" s="233"/>
      <c r="L100" s="233"/>
      <c r="M100" s="233"/>
      <c r="N100" s="233"/>
      <c r="O100" s="233"/>
      <c r="P100" s="233"/>
    </row>
    <row r="101" spans="1:16">
      <c r="A101" s="229">
        <v>95</v>
      </c>
      <c r="B101" s="230" t="s">
        <v>251</v>
      </c>
      <c r="C101" s="231">
        <v>2016656</v>
      </c>
      <c r="D101" s="232"/>
      <c r="E101" s="232"/>
      <c r="F101" s="232"/>
      <c r="G101" s="233"/>
      <c r="H101" s="233"/>
      <c r="I101" s="234"/>
      <c r="J101" s="232"/>
      <c r="K101" s="233"/>
      <c r="L101" s="233"/>
      <c r="M101" s="233"/>
      <c r="N101" s="233"/>
      <c r="O101" s="233"/>
      <c r="P101" s="233"/>
    </row>
    <row r="102" spans="1:16">
      <c r="A102" s="229">
        <v>96</v>
      </c>
      <c r="B102" s="230" t="s">
        <v>253</v>
      </c>
      <c r="C102" s="231">
        <v>5872006</v>
      </c>
      <c r="D102" s="232"/>
      <c r="E102" s="232"/>
      <c r="F102" s="232"/>
      <c r="G102" s="233"/>
      <c r="H102" s="233"/>
      <c r="I102" s="234"/>
      <c r="J102" s="232"/>
      <c r="K102" s="233"/>
      <c r="L102" s="233"/>
      <c r="M102" s="233"/>
      <c r="N102" s="233"/>
      <c r="O102" s="233"/>
      <c r="P102" s="233"/>
    </row>
    <row r="103" spans="1:16">
      <c r="A103" s="229">
        <v>97</v>
      </c>
      <c r="B103" s="230" t="s">
        <v>254</v>
      </c>
      <c r="C103" s="231">
        <v>5774047</v>
      </c>
      <c r="D103" s="232"/>
      <c r="E103" s="232"/>
      <c r="F103" s="232"/>
      <c r="G103" s="233"/>
      <c r="H103" s="233"/>
      <c r="I103" s="234"/>
      <c r="J103" s="232"/>
      <c r="K103" s="233"/>
      <c r="L103" s="233"/>
      <c r="M103" s="233"/>
      <c r="N103" s="233"/>
      <c r="O103" s="233"/>
      <c r="P103" s="233"/>
    </row>
    <row r="104" spans="1:16">
      <c r="A104" s="229">
        <v>98</v>
      </c>
      <c r="B104" s="230" t="s">
        <v>257</v>
      </c>
      <c r="C104" s="231">
        <v>5105439</v>
      </c>
      <c r="D104" s="232"/>
      <c r="E104" s="232"/>
      <c r="F104" s="232"/>
      <c r="G104" s="233"/>
      <c r="H104" s="233"/>
      <c r="I104" s="234"/>
      <c r="J104" s="232"/>
      <c r="K104" s="233"/>
      <c r="L104" s="233"/>
      <c r="M104" s="233"/>
      <c r="N104" s="233"/>
      <c r="O104" s="233"/>
      <c r="P104" s="233"/>
    </row>
    <row r="105" spans="1:16">
      <c r="A105" s="229">
        <v>99</v>
      </c>
      <c r="B105" s="230" t="s">
        <v>258</v>
      </c>
      <c r="C105" s="231">
        <v>2663813</v>
      </c>
      <c r="D105" s="232"/>
      <c r="E105" s="232"/>
      <c r="F105" s="232"/>
      <c r="G105" s="233"/>
      <c r="H105" s="233"/>
      <c r="I105" s="234"/>
      <c r="J105" s="232"/>
      <c r="K105" s="233"/>
      <c r="L105" s="233"/>
      <c r="M105" s="233"/>
      <c r="N105" s="233"/>
      <c r="O105" s="233"/>
      <c r="P105" s="233"/>
    </row>
    <row r="106" spans="1:16">
      <c r="A106" s="229">
        <v>100</v>
      </c>
      <c r="B106" s="230" t="s">
        <v>260</v>
      </c>
      <c r="C106" s="231">
        <v>2016931</v>
      </c>
      <c r="D106" s="232"/>
      <c r="E106" s="232"/>
      <c r="F106" s="232"/>
      <c r="G106" s="233"/>
      <c r="H106" s="233"/>
      <c r="I106" s="234"/>
      <c r="J106" s="232"/>
      <c r="K106" s="233"/>
      <c r="L106" s="233"/>
      <c r="M106" s="233"/>
      <c r="N106" s="233"/>
      <c r="O106" s="233"/>
      <c r="P106" s="233"/>
    </row>
    <row r="107" spans="1:16">
      <c r="A107" s="229">
        <v>101</v>
      </c>
      <c r="B107" s="230" t="s">
        <v>263</v>
      </c>
      <c r="C107" s="231">
        <v>5513618</v>
      </c>
      <c r="D107" s="232"/>
      <c r="E107" s="232"/>
      <c r="F107" s="232"/>
      <c r="G107" s="233"/>
      <c r="H107" s="233"/>
      <c r="I107" s="234"/>
      <c r="J107" s="232"/>
      <c r="K107" s="233"/>
      <c r="L107" s="233"/>
      <c r="M107" s="233"/>
      <c r="N107" s="233"/>
      <c r="O107" s="233"/>
      <c r="P107" s="233"/>
    </row>
    <row r="108" spans="1:16">
      <c r="A108" s="229">
        <v>102</v>
      </c>
      <c r="B108" s="230" t="s">
        <v>264</v>
      </c>
      <c r="C108" s="231">
        <v>2807459</v>
      </c>
      <c r="D108" s="232" t="s">
        <v>9450</v>
      </c>
      <c r="E108" s="232" t="s">
        <v>1102</v>
      </c>
      <c r="F108" s="232" t="s">
        <v>1103</v>
      </c>
      <c r="G108" s="238">
        <v>44448</v>
      </c>
      <c r="H108" s="233">
        <v>2026</v>
      </c>
      <c r="I108" s="234"/>
      <c r="J108" s="232" t="s">
        <v>9434</v>
      </c>
      <c r="K108" s="233">
        <v>0</v>
      </c>
      <c r="L108" s="233">
        <v>0</v>
      </c>
      <c r="M108" s="233">
        <v>0</v>
      </c>
      <c r="N108" s="233">
        <v>0</v>
      </c>
      <c r="O108" s="233">
        <v>0</v>
      </c>
      <c r="P108" s="233">
        <v>0</v>
      </c>
    </row>
    <row r="109" spans="1:16">
      <c r="A109" s="229">
        <v>103</v>
      </c>
      <c r="B109" s="236" t="s">
        <v>265</v>
      </c>
      <c r="C109" s="231">
        <v>2872943</v>
      </c>
      <c r="D109" s="232"/>
      <c r="E109" s="232"/>
      <c r="F109" s="232"/>
      <c r="G109" s="233"/>
      <c r="H109" s="233"/>
      <c r="I109" s="234"/>
      <c r="J109" s="232"/>
      <c r="K109" s="233"/>
      <c r="L109" s="233"/>
      <c r="M109" s="233"/>
      <c r="N109" s="233"/>
      <c r="O109" s="233"/>
      <c r="P109" s="233"/>
    </row>
    <row r="110" spans="1:16">
      <c r="A110" s="229">
        <v>104</v>
      </c>
      <c r="B110" s="230" t="s">
        <v>266</v>
      </c>
      <c r="C110" s="231">
        <v>6268048</v>
      </c>
      <c r="D110" s="232"/>
      <c r="E110" s="232"/>
      <c r="F110" s="232"/>
      <c r="G110" s="233"/>
      <c r="H110" s="233"/>
      <c r="I110" s="234"/>
      <c r="J110" s="232"/>
      <c r="K110" s="233"/>
      <c r="L110" s="233"/>
      <c r="M110" s="233"/>
      <c r="N110" s="233"/>
      <c r="O110" s="233"/>
      <c r="P110" s="233"/>
    </row>
    <row r="111" spans="1:16">
      <c r="A111" s="229">
        <v>105</v>
      </c>
      <c r="B111" s="603" t="s">
        <v>268</v>
      </c>
      <c r="C111" s="604">
        <v>5874963</v>
      </c>
      <c r="D111" s="232" t="s">
        <v>9451</v>
      </c>
      <c r="E111" s="232" t="s">
        <v>170</v>
      </c>
      <c r="F111" s="232" t="s">
        <v>1738</v>
      </c>
      <c r="G111" s="238">
        <v>44829</v>
      </c>
      <c r="H111" s="238">
        <v>45230</v>
      </c>
      <c r="I111" s="234">
        <v>80</v>
      </c>
      <c r="J111" s="232" t="s">
        <v>8041</v>
      </c>
      <c r="K111" s="233">
        <v>0</v>
      </c>
      <c r="L111" s="233">
        <v>0</v>
      </c>
      <c r="M111" s="233">
        <v>0</v>
      </c>
      <c r="N111" s="233">
        <v>0</v>
      </c>
      <c r="O111" s="233">
        <v>0</v>
      </c>
      <c r="P111" s="233">
        <v>0</v>
      </c>
    </row>
    <row r="112" spans="1:16">
      <c r="A112" s="229">
        <v>106</v>
      </c>
      <c r="B112" s="603"/>
      <c r="C112" s="604"/>
      <c r="D112" s="232" t="s">
        <v>9452</v>
      </c>
      <c r="E112" s="232" t="s">
        <v>170</v>
      </c>
      <c r="F112" s="232" t="s">
        <v>1738</v>
      </c>
      <c r="G112" s="238">
        <v>44829</v>
      </c>
      <c r="H112" s="238">
        <v>45657</v>
      </c>
      <c r="I112" s="234">
        <v>80</v>
      </c>
      <c r="J112" s="232" t="s">
        <v>8041</v>
      </c>
      <c r="K112" s="233">
        <v>0</v>
      </c>
      <c r="L112" s="233">
        <v>0</v>
      </c>
      <c r="M112" s="233">
        <v>0</v>
      </c>
      <c r="N112" s="233">
        <v>0</v>
      </c>
      <c r="O112" s="233">
        <v>0</v>
      </c>
      <c r="P112" s="233">
        <v>0</v>
      </c>
    </row>
    <row r="113" spans="1:16">
      <c r="A113" s="229">
        <v>107</v>
      </c>
      <c r="B113" s="603"/>
      <c r="C113" s="604"/>
      <c r="D113" s="232" t="s">
        <v>9453</v>
      </c>
      <c r="E113" s="232" t="s">
        <v>170</v>
      </c>
      <c r="F113" s="232" t="s">
        <v>1738</v>
      </c>
      <c r="G113" s="238">
        <v>45200</v>
      </c>
      <c r="H113" s="238">
        <v>47058</v>
      </c>
      <c r="I113" s="234">
        <v>180</v>
      </c>
      <c r="J113" s="232" t="s">
        <v>127</v>
      </c>
      <c r="K113" s="233">
        <v>0</v>
      </c>
      <c r="L113" s="233">
        <v>0</v>
      </c>
      <c r="M113" s="233">
        <v>0</v>
      </c>
      <c r="N113" s="233">
        <v>0</v>
      </c>
      <c r="O113" s="233">
        <v>0</v>
      </c>
      <c r="P113" s="233">
        <v>0</v>
      </c>
    </row>
    <row r="114" spans="1:16">
      <c r="A114" s="229">
        <v>108</v>
      </c>
      <c r="B114" s="230" t="s">
        <v>269</v>
      </c>
      <c r="C114" s="231">
        <v>6636624</v>
      </c>
      <c r="D114" s="232"/>
      <c r="E114" s="232"/>
      <c r="F114" s="232"/>
      <c r="G114" s="233"/>
      <c r="H114" s="233"/>
      <c r="I114" s="234"/>
      <c r="J114" s="232"/>
      <c r="K114" s="233"/>
      <c r="L114" s="233"/>
      <c r="M114" s="233"/>
      <c r="N114" s="233"/>
      <c r="O114" s="233"/>
      <c r="P114" s="233"/>
    </row>
    <row r="115" spans="1:16">
      <c r="A115" s="229">
        <v>109</v>
      </c>
      <c r="B115" s="230" t="s">
        <v>270</v>
      </c>
      <c r="C115" s="231">
        <v>2839717</v>
      </c>
      <c r="D115" s="232" t="s">
        <v>9454</v>
      </c>
      <c r="E115" s="232" t="s">
        <v>274</v>
      </c>
      <c r="F115" s="232" t="s">
        <v>982</v>
      </c>
      <c r="G115" s="238">
        <v>44927</v>
      </c>
      <c r="H115" s="233">
        <v>2020</v>
      </c>
      <c r="I115" s="234"/>
      <c r="J115" s="232" t="s">
        <v>8041</v>
      </c>
      <c r="K115" s="233">
        <v>142</v>
      </c>
      <c r="L115" s="233">
        <v>15</v>
      </c>
      <c r="M115" s="233">
        <v>36</v>
      </c>
      <c r="N115" s="233">
        <v>0</v>
      </c>
      <c r="O115" s="233">
        <v>106</v>
      </c>
      <c r="P115" s="233">
        <v>15</v>
      </c>
    </row>
    <row r="116" spans="1:16">
      <c r="A116" s="229">
        <v>110</v>
      </c>
      <c r="B116" s="230" t="s">
        <v>271</v>
      </c>
      <c r="C116" s="231">
        <v>2344343</v>
      </c>
      <c r="D116" s="232"/>
      <c r="E116" s="232"/>
      <c r="F116" s="232"/>
      <c r="G116" s="233"/>
      <c r="H116" s="233"/>
      <c r="I116" s="234"/>
      <c r="J116" s="232"/>
      <c r="K116" s="233"/>
      <c r="L116" s="233"/>
      <c r="M116" s="233"/>
      <c r="N116" s="233"/>
      <c r="O116" s="233"/>
      <c r="P116" s="233"/>
    </row>
    <row r="117" spans="1:16">
      <c r="A117" s="229">
        <v>111</v>
      </c>
      <c r="B117" s="230" t="s">
        <v>273</v>
      </c>
      <c r="C117" s="231">
        <v>2819996</v>
      </c>
      <c r="D117" s="232"/>
      <c r="E117" s="232"/>
      <c r="F117" s="232"/>
      <c r="G117" s="233"/>
      <c r="H117" s="233"/>
      <c r="I117" s="234"/>
      <c r="J117" s="232"/>
      <c r="K117" s="233"/>
      <c r="L117" s="233"/>
      <c r="M117" s="233"/>
      <c r="N117" s="233"/>
      <c r="O117" s="233"/>
      <c r="P117" s="233"/>
    </row>
    <row r="118" spans="1:16">
      <c r="A118" s="229">
        <v>112</v>
      </c>
      <c r="B118" s="230" t="s">
        <v>277</v>
      </c>
      <c r="C118" s="231">
        <v>2868687</v>
      </c>
      <c r="D118" s="232"/>
      <c r="E118" s="232"/>
      <c r="F118" s="232"/>
      <c r="G118" s="233"/>
      <c r="H118" s="233"/>
      <c r="I118" s="234"/>
      <c r="J118" s="232"/>
      <c r="K118" s="233"/>
      <c r="L118" s="233"/>
      <c r="M118" s="233"/>
      <c r="N118" s="233"/>
      <c r="O118" s="233"/>
      <c r="P118" s="233"/>
    </row>
    <row r="119" spans="1:16">
      <c r="A119" s="229">
        <v>113</v>
      </c>
      <c r="B119" s="603" t="s">
        <v>279</v>
      </c>
      <c r="C119" s="604">
        <v>5877288</v>
      </c>
      <c r="D119" s="232" t="s">
        <v>9455</v>
      </c>
      <c r="E119" s="232" t="s">
        <v>170</v>
      </c>
      <c r="F119" s="232" t="s">
        <v>171</v>
      </c>
      <c r="G119" s="238">
        <v>44927</v>
      </c>
      <c r="H119" s="233">
        <v>2023</v>
      </c>
      <c r="I119" s="234">
        <v>330000000</v>
      </c>
      <c r="J119" s="232" t="s">
        <v>127</v>
      </c>
      <c r="K119" s="233">
        <v>7</v>
      </c>
      <c r="L119" s="233">
        <v>0</v>
      </c>
      <c r="M119" s="233">
        <v>0</v>
      </c>
      <c r="N119" s="233">
        <v>0</v>
      </c>
      <c r="O119" s="233">
        <v>7</v>
      </c>
      <c r="P119" s="233">
        <v>0</v>
      </c>
    </row>
    <row r="120" spans="1:16">
      <c r="A120" s="229">
        <v>114</v>
      </c>
      <c r="B120" s="603"/>
      <c r="C120" s="604"/>
      <c r="D120" s="232" t="s">
        <v>9456</v>
      </c>
      <c r="E120" s="232" t="s">
        <v>170</v>
      </c>
      <c r="F120" s="232" t="s">
        <v>171</v>
      </c>
      <c r="G120" s="238">
        <v>44927</v>
      </c>
      <c r="H120" s="233">
        <v>2023</v>
      </c>
      <c r="I120" s="234">
        <v>1500000000</v>
      </c>
      <c r="J120" s="232" t="s">
        <v>9434</v>
      </c>
      <c r="K120" s="233">
        <v>15</v>
      </c>
      <c r="L120" s="233">
        <v>0</v>
      </c>
      <c r="M120" s="233">
        <v>0</v>
      </c>
      <c r="N120" s="233">
        <v>0</v>
      </c>
      <c r="O120" s="233">
        <v>15</v>
      </c>
      <c r="P120" s="233">
        <v>0</v>
      </c>
    </row>
    <row r="121" spans="1:16">
      <c r="A121" s="229">
        <v>115</v>
      </c>
      <c r="B121" s="603"/>
      <c r="C121" s="604"/>
      <c r="D121" s="232" t="s">
        <v>9457</v>
      </c>
      <c r="E121" s="232" t="s">
        <v>170</v>
      </c>
      <c r="F121" s="232"/>
      <c r="G121" s="238">
        <v>44927</v>
      </c>
      <c r="H121" s="233">
        <v>2023</v>
      </c>
      <c r="I121" s="234">
        <v>1200000000</v>
      </c>
      <c r="J121" s="232" t="s">
        <v>8041</v>
      </c>
      <c r="K121" s="233">
        <v>18</v>
      </c>
      <c r="L121" s="233">
        <v>0</v>
      </c>
      <c r="M121" s="233">
        <v>0</v>
      </c>
      <c r="N121" s="233">
        <v>0</v>
      </c>
      <c r="O121" s="233">
        <v>18</v>
      </c>
      <c r="P121" s="233">
        <v>0</v>
      </c>
    </row>
    <row r="122" spans="1:16">
      <c r="A122" s="229">
        <v>116</v>
      </c>
      <c r="B122" s="603"/>
      <c r="C122" s="604"/>
      <c r="D122" s="232" t="s">
        <v>9458</v>
      </c>
      <c r="E122" s="232" t="s">
        <v>170</v>
      </c>
      <c r="F122" s="232" t="s">
        <v>171</v>
      </c>
      <c r="G122" s="238">
        <v>44927</v>
      </c>
      <c r="H122" s="233">
        <v>2023</v>
      </c>
      <c r="I122" s="234">
        <v>1100000000</v>
      </c>
      <c r="J122" s="232" t="s">
        <v>8041</v>
      </c>
      <c r="K122" s="233">
        <v>9</v>
      </c>
      <c r="L122" s="233">
        <v>0</v>
      </c>
      <c r="M122" s="233">
        <v>0</v>
      </c>
      <c r="N122" s="233">
        <v>0</v>
      </c>
      <c r="O122" s="233">
        <v>9</v>
      </c>
      <c r="P122" s="233">
        <v>0</v>
      </c>
    </row>
    <row r="123" spans="1:16">
      <c r="A123" s="229">
        <v>117</v>
      </c>
      <c r="B123" s="230" t="s">
        <v>281</v>
      </c>
      <c r="C123" s="231">
        <v>6195598</v>
      </c>
      <c r="D123" s="232"/>
      <c r="E123" s="232"/>
      <c r="F123" s="232"/>
      <c r="G123" s="233"/>
      <c r="H123" s="233"/>
      <c r="I123" s="234"/>
      <c r="J123" s="232"/>
      <c r="K123" s="233"/>
      <c r="L123" s="233"/>
      <c r="M123" s="233"/>
      <c r="N123" s="233"/>
      <c r="O123" s="233"/>
      <c r="P123" s="233"/>
    </row>
    <row r="124" spans="1:16">
      <c r="A124" s="229">
        <v>118</v>
      </c>
      <c r="B124" s="230" t="s">
        <v>282</v>
      </c>
      <c r="C124" s="231">
        <v>6413811</v>
      </c>
      <c r="D124" s="232" t="s">
        <v>9459</v>
      </c>
      <c r="E124" s="232" t="s">
        <v>1014</v>
      </c>
      <c r="F124" s="232" t="s">
        <v>1699</v>
      </c>
      <c r="G124" s="238">
        <v>44927</v>
      </c>
      <c r="H124" s="233">
        <v>2024</v>
      </c>
      <c r="I124" s="234">
        <v>160870000</v>
      </c>
      <c r="J124" s="232" t="s">
        <v>8041</v>
      </c>
      <c r="K124" s="233">
        <v>25</v>
      </c>
      <c r="L124" s="233">
        <v>5</v>
      </c>
      <c r="M124" s="233">
        <v>0</v>
      </c>
      <c r="N124" s="233">
        <v>0</v>
      </c>
      <c r="O124" s="233">
        <v>25</v>
      </c>
      <c r="P124" s="233">
        <v>5</v>
      </c>
    </row>
    <row r="125" spans="1:16">
      <c r="A125" s="229">
        <v>119</v>
      </c>
      <c r="B125" s="603" t="s">
        <v>283</v>
      </c>
      <c r="C125" s="604">
        <v>2887134</v>
      </c>
      <c r="D125" s="232" t="s">
        <v>9460</v>
      </c>
      <c r="E125" s="232" t="s">
        <v>233</v>
      </c>
      <c r="F125" s="232" t="s">
        <v>2504</v>
      </c>
      <c r="G125" s="238">
        <v>44866</v>
      </c>
      <c r="H125" s="238">
        <v>45596</v>
      </c>
      <c r="I125" s="234"/>
      <c r="J125" s="232" t="s">
        <v>8041</v>
      </c>
      <c r="K125" s="233">
        <v>243</v>
      </c>
      <c r="L125" s="233">
        <v>8</v>
      </c>
      <c r="M125" s="233">
        <v>0</v>
      </c>
      <c r="N125" s="233">
        <v>0</v>
      </c>
      <c r="O125" s="233">
        <v>243</v>
      </c>
      <c r="P125" s="233">
        <v>8</v>
      </c>
    </row>
    <row r="126" spans="1:16">
      <c r="A126" s="229">
        <v>120</v>
      </c>
      <c r="B126" s="603"/>
      <c r="C126" s="604"/>
      <c r="D126" s="232" t="s">
        <v>9461</v>
      </c>
      <c r="E126" s="232" t="s">
        <v>233</v>
      </c>
      <c r="F126" s="232" t="s">
        <v>2504</v>
      </c>
      <c r="G126" s="238">
        <v>44774</v>
      </c>
      <c r="H126" s="238">
        <v>46022</v>
      </c>
      <c r="I126" s="234"/>
      <c r="J126" s="232" t="s">
        <v>8041</v>
      </c>
      <c r="K126" s="233">
        <v>298</v>
      </c>
      <c r="L126" s="233">
        <v>2</v>
      </c>
      <c r="M126" s="233">
        <v>0</v>
      </c>
      <c r="N126" s="233">
        <v>0</v>
      </c>
      <c r="O126" s="233">
        <v>298</v>
      </c>
      <c r="P126" s="233">
        <v>2</v>
      </c>
    </row>
    <row r="127" spans="1:16">
      <c r="A127" s="229">
        <v>121</v>
      </c>
      <c r="B127" s="230" t="s">
        <v>284</v>
      </c>
      <c r="C127" s="231">
        <v>2618176</v>
      </c>
      <c r="D127" s="232"/>
      <c r="E127" s="232"/>
      <c r="F127" s="232"/>
      <c r="G127" s="233"/>
      <c r="H127" s="233"/>
      <c r="I127" s="234"/>
      <c r="J127" s="232"/>
      <c r="K127" s="233"/>
      <c r="L127" s="233"/>
      <c r="M127" s="233"/>
      <c r="N127" s="233"/>
      <c r="O127" s="233"/>
      <c r="P127" s="233"/>
    </row>
    <row r="128" spans="1:16">
      <c r="A128" s="229">
        <v>122</v>
      </c>
      <c r="B128" s="230" t="s">
        <v>285</v>
      </c>
      <c r="C128" s="231">
        <v>5364884</v>
      </c>
      <c r="D128" s="232"/>
      <c r="E128" s="232"/>
      <c r="F128" s="232"/>
      <c r="G128" s="233"/>
      <c r="H128" s="233"/>
      <c r="I128" s="234"/>
      <c r="J128" s="232"/>
      <c r="K128" s="233"/>
      <c r="L128" s="233"/>
      <c r="M128" s="233"/>
      <c r="N128" s="233"/>
      <c r="O128" s="233"/>
      <c r="P128" s="233"/>
    </row>
    <row r="129" spans="1:16">
      <c r="A129" s="229">
        <v>123</v>
      </c>
      <c r="B129" s="230" t="s">
        <v>286</v>
      </c>
      <c r="C129" s="231">
        <v>2100231</v>
      </c>
      <c r="D129" s="232"/>
      <c r="E129" s="232"/>
      <c r="F129" s="232"/>
      <c r="G129" s="233"/>
      <c r="H129" s="233"/>
      <c r="I129" s="234"/>
      <c r="J129" s="232"/>
      <c r="K129" s="233"/>
      <c r="L129" s="233"/>
      <c r="M129" s="233"/>
      <c r="N129" s="233"/>
      <c r="O129" s="233"/>
      <c r="P129" s="233"/>
    </row>
    <row r="130" spans="1:16">
      <c r="A130" s="229">
        <v>124</v>
      </c>
      <c r="B130" s="230" t="s">
        <v>287</v>
      </c>
      <c r="C130" s="231">
        <v>2661128</v>
      </c>
      <c r="D130" s="232"/>
      <c r="E130" s="232"/>
      <c r="F130" s="232"/>
      <c r="G130" s="233"/>
      <c r="H130" s="233"/>
      <c r="I130" s="234"/>
      <c r="J130" s="232"/>
      <c r="K130" s="233"/>
      <c r="L130" s="233"/>
      <c r="M130" s="233"/>
      <c r="N130" s="233"/>
      <c r="O130" s="233"/>
      <c r="P130" s="233"/>
    </row>
    <row r="131" spans="1:16">
      <c r="A131" s="229">
        <v>125</v>
      </c>
      <c r="B131" s="230" t="s">
        <v>290</v>
      </c>
      <c r="C131" s="231">
        <v>5878756</v>
      </c>
      <c r="D131" s="232"/>
      <c r="E131" s="232"/>
      <c r="F131" s="232"/>
      <c r="G131" s="233"/>
      <c r="H131" s="233"/>
      <c r="I131" s="234"/>
      <c r="J131" s="232"/>
      <c r="K131" s="233"/>
      <c r="L131" s="233"/>
      <c r="M131" s="233"/>
      <c r="N131" s="233"/>
      <c r="O131" s="233"/>
      <c r="P131" s="233"/>
    </row>
    <row r="132" spans="1:16">
      <c r="A132" s="229">
        <v>126</v>
      </c>
      <c r="B132" s="230" t="s">
        <v>292</v>
      </c>
      <c r="C132" s="231">
        <v>2166631</v>
      </c>
      <c r="D132" s="232"/>
      <c r="E132" s="232"/>
      <c r="F132" s="232"/>
      <c r="G132" s="233"/>
      <c r="H132" s="233"/>
      <c r="I132" s="234"/>
      <c r="J132" s="232"/>
      <c r="K132" s="233"/>
      <c r="L132" s="233"/>
      <c r="M132" s="233"/>
      <c r="N132" s="233"/>
      <c r="O132" s="233"/>
      <c r="P132" s="233"/>
    </row>
    <row r="133" spans="1:16">
      <c r="A133" s="229">
        <v>127</v>
      </c>
      <c r="B133" s="603" t="s">
        <v>296</v>
      </c>
      <c r="C133" s="604">
        <v>5671833</v>
      </c>
      <c r="D133" s="232" t="s">
        <v>9462</v>
      </c>
      <c r="E133" s="232" t="s">
        <v>233</v>
      </c>
      <c r="F133" s="232" t="s">
        <v>3019</v>
      </c>
      <c r="G133" s="238">
        <v>45292</v>
      </c>
      <c r="H133" s="233">
        <v>2024</v>
      </c>
      <c r="I133" s="234"/>
      <c r="J133" s="232" t="s">
        <v>127</v>
      </c>
      <c r="K133" s="233">
        <v>14</v>
      </c>
      <c r="L133" s="233"/>
      <c r="M133" s="233"/>
      <c r="N133" s="233"/>
      <c r="O133" s="233">
        <v>14</v>
      </c>
      <c r="P133" s="233"/>
    </row>
    <row r="134" spans="1:16">
      <c r="A134" s="229">
        <v>128</v>
      </c>
      <c r="B134" s="603"/>
      <c r="C134" s="604"/>
      <c r="D134" s="232" t="s">
        <v>9463</v>
      </c>
      <c r="E134" s="232" t="s">
        <v>233</v>
      </c>
      <c r="F134" s="232" t="s">
        <v>3019</v>
      </c>
      <c r="G134" s="238">
        <v>45292</v>
      </c>
      <c r="H134" s="233">
        <v>2025</v>
      </c>
      <c r="I134" s="234"/>
      <c r="J134" s="232" t="s">
        <v>127</v>
      </c>
      <c r="K134" s="233">
        <v>12</v>
      </c>
      <c r="L134" s="233"/>
      <c r="M134" s="233"/>
      <c r="N134" s="233"/>
      <c r="O134" s="233">
        <v>12</v>
      </c>
      <c r="P134" s="233"/>
    </row>
    <row r="135" spans="1:16">
      <c r="A135" s="229">
        <v>129</v>
      </c>
      <c r="B135" s="230" t="s">
        <v>297</v>
      </c>
      <c r="C135" s="231">
        <v>5104424</v>
      </c>
      <c r="D135" s="232"/>
      <c r="E135" s="232"/>
      <c r="F135" s="232"/>
      <c r="G135" s="233"/>
      <c r="H135" s="233"/>
      <c r="I135" s="234"/>
      <c r="J135" s="232"/>
      <c r="K135" s="233"/>
      <c r="L135" s="233"/>
      <c r="M135" s="233"/>
      <c r="N135" s="233"/>
      <c r="O135" s="233"/>
      <c r="P135" s="233"/>
    </row>
    <row r="136" spans="1:16">
      <c r="A136" s="229">
        <v>130</v>
      </c>
      <c r="B136" s="603" t="s">
        <v>298</v>
      </c>
      <c r="C136" s="604">
        <v>2668505</v>
      </c>
      <c r="D136" s="232" t="s">
        <v>9464</v>
      </c>
      <c r="E136" s="232" t="s">
        <v>375</v>
      </c>
      <c r="F136" s="232" t="s">
        <v>944</v>
      </c>
      <c r="G136" s="237">
        <v>45387</v>
      </c>
      <c r="H136" s="233">
        <v>2024</v>
      </c>
      <c r="I136" s="234">
        <v>453283000</v>
      </c>
      <c r="J136" s="232" t="s">
        <v>9434</v>
      </c>
      <c r="K136" s="233">
        <v>8</v>
      </c>
      <c r="L136" s="233">
        <v>0</v>
      </c>
      <c r="M136" s="233">
        <v>0</v>
      </c>
      <c r="N136" s="233">
        <v>0</v>
      </c>
      <c r="O136" s="233">
        <v>8</v>
      </c>
      <c r="P136" s="233">
        <v>0</v>
      </c>
    </row>
    <row r="137" spans="1:16">
      <c r="A137" s="229">
        <v>131</v>
      </c>
      <c r="B137" s="603"/>
      <c r="C137" s="604"/>
      <c r="D137" s="232" t="s">
        <v>9465</v>
      </c>
      <c r="E137" s="232" t="s">
        <v>375</v>
      </c>
      <c r="F137" s="232" t="s">
        <v>944</v>
      </c>
      <c r="G137" s="237">
        <v>44928</v>
      </c>
      <c r="H137" s="233">
        <v>2023</v>
      </c>
      <c r="I137" s="234">
        <v>934032000</v>
      </c>
      <c r="J137" s="232" t="s">
        <v>8041</v>
      </c>
      <c r="K137" s="233">
        <v>6</v>
      </c>
      <c r="L137" s="233">
        <v>0</v>
      </c>
      <c r="M137" s="233">
        <v>0</v>
      </c>
      <c r="N137" s="233">
        <v>0</v>
      </c>
      <c r="O137" s="233">
        <v>6</v>
      </c>
      <c r="P137" s="233">
        <v>0</v>
      </c>
    </row>
    <row r="138" spans="1:16">
      <c r="A138" s="229">
        <v>132</v>
      </c>
      <c r="B138" s="230" t="s">
        <v>299</v>
      </c>
      <c r="C138" s="231">
        <v>2697947</v>
      </c>
      <c r="D138" s="232"/>
      <c r="E138" s="232"/>
      <c r="F138" s="232"/>
      <c r="G138" s="233"/>
      <c r="H138" s="233"/>
      <c r="I138" s="234"/>
      <c r="J138" s="232"/>
      <c r="K138" s="233"/>
      <c r="L138" s="233"/>
      <c r="M138" s="233"/>
      <c r="N138" s="233"/>
      <c r="O138" s="233"/>
      <c r="P138" s="233"/>
    </row>
    <row r="139" spans="1:16">
      <c r="A139" s="229">
        <v>133</v>
      </c>
      <c r="B139" s="603" t="s">
        <v>300</v>
      </c>
      <c r="C139" s="604">
        <v>5352827</v>
      </c>
      <c r="D139" s="232" t="s">
        <v>9466</v>
      </c>
      <c r="E139" s="232" t="s">
        <v>233</v>
      </c>
      <c r="F139" s="232" t="s">
        <v>3019</v>
      </c>
      <c r="G139" s="237">
        <v>44818</v>
      </c>
      <c r="H139" s="235">
        <v>2023</v>
      </c>
      <c r="I139" s="240">
        <v>9950300000</v>
      </c>
      <c r="J139" s="232" t="s">
        <v>8041</v>
      </c>
      <c r="K139" s="233">
        <v>29</v>
      </c>
      <c r="L139" s="233"/>
      <c r="M139" s="233"/>
      <c r="N139" s="233"/>
      <c r="O139" s="233">
        <v>29</v>
      </c>
      <c r="P139" s="233"/>
    </row>
    <row r="140" spans="1:16">
      <c r="A140" s="229">
        <v>134</v>
      </c>
      <c r="B140" s="603"/>
      <c r="C140" s="604"/>
      <c r="D140" s="232" t="s">
        <v>9467</v>
      </c>
      <c r="E140" s="232" t="s">
        <v>233</v>
      </c>
      <c r="F140" s="232" t="s">
        <v>3019</v>
      </c>
      <c r="G140" s="237">
        <v>44927</v>
      </c>
      <c r="H140" s="235">
        <v>2013</v>
      </c>
      <c r="I140" s="240">
        <v>694678000</v>
      </c>
      <c r="J140" s="232" t="s">
        <v>8041</v>
      </c>
      <c r="K140" s="233">
        <v>2</v>
      </c>
      <c r="L140" s="233"/>
      <c r="M140" s="233"/>
      <c r="N140" s="233"/>
      <c r="O140" s="233">
        <v>2</v>
      </c>
      <c r="P140" s="233"/>
    </row>
    <row r="141" spans="1:16">
      <c r="A141" s="229">
        <v>135</v>
      </c>
      <c r="B141" s="603"/>
      <c r="C141" s="604"/>
      <c r="D141" s="232" t="s">
        <v>9468</v>
      </c>
      <c r="E141" s="232" t="s">
        <v>233</v>
      </c>
      <c r="F141" s="232" t="s">
        <v>3019</v>
      </c>
      <c r="G141" s="237">
        <v>44197</v>
      </c>
      <c r="H141" s="235">
        <v>2024</v>
      </c>
      <c r="I141" s="240">
        <v>7518040000</v>
      </c>
      <c r="J141" s="232" t="s">
        <v>8041</v>
      </c>
      <c r="K141" s="233">
        <v>17</v>
      </c>
      <c r="L141" s="233"/>
      <c r="M141" s="233"/>
      <c r="N141" s="233"/>
      <c r="O141" s="233">
        <v>17</v>
      </c>
      <c r="P141" s="233"/>
    </row>
    <row r="142" spans="1:16">
      <c r="A142" s="229">
        <v>136</v>
      </c>
      <c r="B142" s="603"/>
      <c r="C142" s="604"/>
      <c r="D142" s="232" t="s">
        <v>9469</v>
      </c>
      <c r="E142" s="232" t="s">
        <v>233</v>
      </c>
      <c r="F142" s="232" t="s">
        <v>3019</v>
      </c>
      <c r="G142" s="237">
        <v>44986</v>
      </c>
      <c r="H142" s="235">
        <v>2024</v>
      </c>
      <c r="I142" s="240">
        <v>814549000</v>
      </c>
      <c r="J142" s="232" t="s">
        <v>8041</v>
      </c>
      <c r="K142" s="233">
        <v>19</v>
      </c>
      <c r="L142" s="233"/>
      <c r="M142" s="233"/>
      <c r="N142" s="233"/>
      <c r="O142" s="233">
        <v>19</v>
      </c>
      <c r="P142" s="233"/>
    </row>
    <row r="143" spans="1:16">
      <c r="A143" s="229">
        <v>137</v>
      </c>
      <c r="B143" s="603"/>
      <c r="C143" s="604"/>
      <c r="D143" s="232" t="s">
        <v>9470</v>
      </c>
      <c r="E143" s="232" t="s">
        <v>233</v>
      </c>
      <c r="F143" s="232" t="s">
        <v>3019</v>
      </c>
      <c r="G143" s="237">
        <v>43617</v>
      </c>
      <c r="H143" s="235">
        <v>2023</v>
      </c>
      <c r="I143" s="240">
        <v>483805000</v>
      </c>
      <c r="J143" s="232" t="s">
        <v>8041</v>
      </c>
      <c r="K143" s="233">
        <v>6</v>
      </c>
      <c r="L143" s="233"/>
      <c r="M143" s="233"/>
      <c r="N143" s="233"/>
      <c r="O143" s="233">
        <v>6</v>
      </c>
      <c r="P143" s="233"/>
    </row>
    <row r="144" spans="1:16">
      <c r="A144" s="229">
        <v>138</v>
      </c>
      <c r="B144" s="603"/>
      <c r="C144" s="604"/>
      <c r="D144" s="232" t="s">
        <v>9471</v>
      </c>
      <c r="E144" s="232" t="s">
        <v>233</v>
      </c>
      <c r="F144" s="232" t="s">
        <v>3019</v>
      </c>
      <c r="G144" s="237">
        <v>44802</v>
      </c>
      <c r="H144" s="235">
        <v>2023</v>
      </c>
      <c r="I144" s="240">
        <v>2238520000</v>
      </c>
      <c r="J144" s="232" t="s">
        <v>8041</v>
      </c>
      <c r="K144" s="233">
        <v>42</v>
      </c>
      <c r="L144" s="233"/>
      <c r="M144" s="233"/>
      <c r="N144" s="233"/>
      <c r="O144" s="233">
        <v>42</v>
      </c>
      <c r="P144" s="233"/>
    </row>
    <row r="145" spans="1:16">
      <c r="A145" s="229">
        <v>139</v>
      </c>
      <c r="B145" s="603"/>
      <c r="C145" s="604"/>
      <c r="D145" s="232" t="s">
        <v>9472</v>
      </c>
      <c r="E145" s="232" t="s">
        <v>233</v>
      </c>
      <c r="F145" s="232" t="s">
        <v>3019</v>
      </c>
      <c r="G145" s="237">
        <v>43739</v>
      </c>
      <c r="H145" s="235">
        <v>2024</v>
      </c>
      <c r="I145" s="240">
        <v>1853690000</v>
      </c>
      <c r="J145" s="232" t="s">
        <v>8041</v>
      </c>
      <c r="K145" s="233">
        <v>11</v>
      </c>
      <c r="L145" s="233"/>
      <c r="M145" s="233"/>
      <c r="N145" s="233"/>
      <c r="O145" s="233">
        <v>11</v>
      </c>
      <c r="P145" s="233"/>
    </row>
    <row r="146" spans="1:16">
      <c r="A146" s="229">
        <v>140</v>
      </c>
      <c r="B146" s="603"/>
      <c r="C146" s="604"/>
      <c r="D146" s="232" t="s">
        <v>9473</v>
      </c>
      <c r="E146" s="232" t="s">
        <v>233</v>
      </c>
      <c r="F146" s="232" t="s">
        <v>3019</v>
      </c>
      <c r="G146" s="237">
        <v>44743</v>
      </c>
      <c r="H146" s="235">
        <v>2025</v>
      </c>
      <c r="I146" s="240">
        <v>10175200000</v>
      </c>
      <c r="J146" s="232" t="s">
        <v>8041</v>
      </c>
      <c r="K146" s="233">
        <v>38</v>
      </c>
      <c r="L146" s="233"/>
      <c r="M146" s="233"/>
      <c r="N146" s="233"/>
      <c r="O146" s="233">
        <v>38</v>
      </c>
      <c r="P146" s="233"/>
    </row>
    <row r="147" spans="1:16">
      <c r="A147" s="229">
        <v>141</v>
      </c>
      <c r="B147" s="603"/>
      <c r="C147" s="604"/>
      <c r="D147" s="232" t="s">
        <v>9474</v>
      </c>
      <c r="E147" s="232" t="s">
        <v>233</v>
      </c>
      <c r="F147" s="232" t="s">
        <v>3019</v>
      </c>
      <c r="G147" s="237">
        <v>44804</v>
      </c>
      <c r="H147" s="235">
        <v>2023</v>
      </c>
      <c r="I147" s="240">
        <v>2605300000</v>
      </c>
      <c r="J147" s="232" t="s">
        <v>8041</v>
      </c>
      <c r="K147" s="233">
        <v>0</v>
      </c>
      <c r="L147" s="233"/>
      <c r="M147" s="233"/>
      <c r="N147" s="233"/>
      <c r="O147" s="233">
        <v>0</v>
      </c>
      <c r="P147" s="233"/>
    </row>
    <row r="148" spans="1:16">
      <c r="A148" s="229">
        <v>142</v>
      </c>
      <c r="B148" s="603"/>
      <c r="C148" s="604"/>
      <c r="D148" s="232" t="s">
        <v>9475</v>
      </c>
      <c r="E148" s="232" t="s">
        <v>233</v>
      </c>
      <c r="F148" s="232" t="s">
        <v>3019</v>
      </c>
      <c r="G148" s="237">
        <v>44835</v>
      </c>
      <c r="H148" s="235">
        <v>2024</v>
      </c>
      <c r="I148" s="240">
        <v>10398300000</v>
      </c>
      <c r="J148" s="232" t="s">
        <v>8041</v>
      </c>
      <c r="K148" s="233">
        <v>54</v>
      </c>
      <c r="L148" s="233"/>
      <c r="M148" s="233"/>
      <c r="N148" s="233"/>
      <c r="O148" s="233">
        <v>54</v>
      </c>
      <c r="P148" s="233"/>
    </row>
    <row r="149" spans="1:16">
      <c r="A149" s="229">
        <v>143</v>
      </c>
      <c r="B149" s="603"/>
      <c r="C149" s="604"/>
      <c r="D149" s="232" t="s">
        <v>9476</v>
      </c>
      <c r="E149" s="232" t="s">
        <v>233</v>
      </c>
      <c r="F149" s="232" t="s">
        <v>3019</v>
      </c>
      <c r="G149" s="237">
        <v>44798</v>
      </c>
      <c r="H149" s="235">
        <v>2024</v>
      </c>
      <c r="I149" s="240">
        <v>2594670000</v>
      </c>
      <c r="J149" s="232" t="s">
        <v>8041</v>
      </c>
      <c r="K149" s="233">
        <v>7</v>
      </c>
      <c r="L149" s="233"/>
      <c r="M149" s="233"/>
      <c r="N149" s="233"/>
      <c r="O149" s="233">
        <v>7</v>
      </c>
      <c r="P149" s="233"/>
    </row>
    <row r="150" spans="1:16">
      <c r="A150" s="229">
        <v>144</v>
      </c>
      <c r="B150" s="603"/>
      <c r="C150" s="604"/>
      <c r="D150" s="232" t="s">
        <v>9477</v>
      </c>
      <c r="E150" s="232" t="s">
        <v>233</v>
      </c>
      <c r="F150" s="232" t="s">
        <v>3019</v>
      </c>
      <c r="G150" s="237">
        <v>45040</v>
      </c>
      <c r="H150" s="235">
        <v>2025</v>
      </c>
      <c r="I150" s="240">
        <v>1857330000</v>
      </c>
      <c r="J150" s="232" t="s">
        <v>8041</v>
      </c>
      <c r="K150" s="233">
        <v>27</v>
      </c>
      <c r="L150" s="233"/>
      <c r="M150" s="233"/>
      <c r="N150" s="233"/>
      <c r="O150" s="233">
        <v>27</v>
      </c>
      <c r="P150" s="233"/>
    </row>
    <row r="151" spans="1:16">
      <c r="A151" s="229">
        <v>145</v>
      </c>
      <c r="B151" s="603"/>
      <c r="C151" s="604"/>
      <c r="D151" s="232" t="s">
        <v>9478</v>
      </c>
      <c r="E151" s="232" t="s">
        <v>233</v>
      </c>
      <c r="F151" s="232" t="s">
        <v>3019</v>
      </c>
      <c r="G151" s="237">
        <v>45108</v>
      </c>
      <c r="H151" s="235">
        <v>2023</v>
      </c>
      <c r="I151" s="240">
        <v>1578900000</v>
      </c>
      <c r="J151" s="232" t="s">
        <v>8041</v>
      </c>
      <c r="K151" s="233">
        <v>7</v>
      </c>
      <c r="L151" s="233"/>
      <c r="M151" s="233"/>
      <c r="N151" s="233"/>
      <c r="O151" s="233">
        <v>7</v>
      </c>
      <c r="P151" s="233"/>
    </row>
    <row r="152" spans="1:16">
      <c r="A152" s="229">
        <v>146</v>
      </c>
      <c r="B152" s="603"/>
      <c r="C152" s="604"/>
      <c r="D152" s="232" t="s">
        <v>9479</v>
      </c>
      <c r="E152" s="232" t="s">
        <v>233</v>
      </c>
      <c r="F152" s="232" t="s">
        <v>3019</v>
      </c>
      <c r="G152" s="237">
        <v>45099</v>
      </c>
      <c r="H152" s="235">
        <v>2024</v>
      </c>
      <c r="I152" s="240">
        <v>266241000</v>
      </c>
      <c r="J152" s="232" t="s">
        <v>8041</v>
      </c>
      <c r="K152" s="233">
        <v>5</v>
      </c>
      <c r="L152" s="233"/>
      <c r="M152" s="233"/>
      <c r="N152" s="233"/>
      <c r="O152" s="233">
        <v>5</v>
      </c>
      <c r="P152" s="233"/>
    </row>
    <row r="153" spans="1:16">
      <c r="A153" s="229">
        <v>147</v>
      </c>
      <c r="B153" s="603"/>
      <c r="C153" s="604"/>
      <c r="D153" s="232" t="s">
        <v>9480</v>
      </c>
      <c r="E153" s="232" t="s">
        <v>233</v>
      </c>
      <c r="F153" s="232" t="s">
        <v>3019</v>
      </c>
      <c r="G153" s="237">
        <v>44927</v>
      </c>
      <c r="H153" s="235">
        <v>2023</v>
      </c>
      <c r="I153" s="240">
        <v>4607660000</v>
      </c>
      <c r="J153" s="232" t="s">
        <v>8041</v>
      </c>
      <c r="K153" s="233">
        <v>22</v>
      </c>
      <c r="L153" s="233"/>
      <c r="M153" s="233"/>
      <c r="N153" s="233"/>
      <c r="O153" s="233">
        <v>22</v>
      </c>
      <c r="P153" s="233"/>
    </row>
    <row r="154" spans="1:16">
      <c r="A154" s="229">
        <v>148</v>
      </c>
      <c r="B154" s="603"/>
      <c r="C154" s="604"/>
      <c r="D154" s="232" t="s">
        <v>9481</v>
      </c>
      <c r="E154" s="232" t="s">
        <v>233</v>
      </c>
      <c r="F154" s="232" t="s">
        <v>3019</v>
      </c>
      <c r="G154" s="237">
        <v>45108</v>
      </c>
      <c r="H154" s="235">
        <v>2024</v>
      </c>
      <c r="I154" s="240">
        <v>2077250000</v>
      </c>
      <c r="J154" s="232" t="s">
        <v>8041</v>
      </c>
      <c r="K154" s="233">
        <v>48</v>
      </c>
      <c r="L154" s="233"/>
      <c r="M154" s="233"/>
      <c r="N154" s="233"/>
      <c r="O154" s="233">
        <v>48</v>
      </c>
      <c r="P154" s="233"/>
    </row>
    <row r="155" spans="1:16">
      <c r="A155" s="229">
        <v>149</v>
      </c>
      <c r="B155" s="603" t="s">
        <v>301</v>
      </c>
      <c r="C155" s="604">
        <v>2548747</v>
      </c>
      <c r="D155" s="232"/>
      <c r="E155" s="232" t="s">
        <v>138</v>
      </c>
      <c r="F155" s="232" t="s">
        <v>138</v>
      </c>
      <c r="G155" s="238">
        <v>44562</v>
      </c>
      <c r="H155" s="233">
        <v>2023</v>
      </c>
      <c r="I155" s="234">
        <v>19722100000</v>
      </c>
      <c r="J155" s="232" t="s">
        <v>127</v>
      </c>
      <c r="K155" s="233">
        <v>79</v>
      </c>
      <c r="L155" s="233">
        <v>13</v>
      </c>
      <c r="M155" s="233">
        <v>30</v>
      </c>
      <c r="N155" s="233">
        <v>1</v>
      </c>
      <c r="O155" s="233">
        <v>66</v>
      </c>
      <c r="P155" s="233">
        <v>12</v>
      </c>
    </row>
    <row r="156" spans="1:16">
      <c r="A156" s="229">
        <v>150</v>
      </c>
      <c r="B156" s="603"/>
      <c r="C156" s="604"/>
      <c r="D156" s="232"/>
      <c r="E156" s="232" t="s">
        <v>138</v>
      </c>
      <c r="F156" s="232" t="s">
        <v>138</v>
      </c>
      <c r="G156" s="238">
        <v>44927</v>
      </c>
      <c r="H156" s="233">
        <v>2023</v>
      </c>
      <c r="I156" s="234">
        <v>1527570000</v>
      </c>
      <c r="J156" s="232" t="s">
        <v>127</v>
      </c>
      <c r="K156" s="233">
        <v>12</v>
      </c>
      <c r="L156" s="233">
        <v>0</v>
      </c>
      <c r="M156" s="233">
        <v>4</v>
      </c>
      <c r="N156" s="233">
        <v>0</v>
      </c>
      <c r="O156" s="233">
        <v>8</v>
      </c>
      <c r="P156" s="233">
        <v>0</v>
      </c>
    </row>
    <row r="157" spans="1:16">
      <c r="A157" s="229">
        <v>151</v>
      </c>
      <c r="B157" s="603"/>
      <c r="C157" s="604"/>
      <c r="D157" s="232"/>
      <c r="E157" s="232" t="s">
        <v>138</v>
      </c>
      <c r="F157" s="232" t="s">
        <v>138</v>
      </c>
      <c r="G157" s="238">
        <v>44197</v>
      </c>
      <c r="H157" s="233">
        <v>2023</v>
      </c>
      <c r="I157" s="234">
        <v>33512100000</v>
      </c>
      <c r="J157" s="232" t="s">
        <v>8041</v>
      </c>
      <c r="K157" s="233">
        <v>0</v>
      </c>
      <c r="L157" s="233">
        <v>0</v>
      </c>
      <c r="M157" s="233">
        <v>0</v>
      </c>
      <c r="N157" s="233">
        <v>0</v>
      </c>
      <c r="O157" s="233">
        <v>0</v>
      </c>
      <c r="P157" s="233">
        <v>0</v>
      </c>
    </row>
    <row r="158" spans="1:16">
      <c r="A158" s="229">
        <v>152</v>
      </c>
      <c r="B158" s="230" t="s">
        <v>303</v>
      </c>
      <c r="C158" s="231">
        <v>2641984</v>
      </c>
      <c r="D158" s="232"/>
      <c r="E158" s="232"/>
      <c r="F158" s="232"/>
      <c r="G158" s="233"/>
      <c r="H158" s="233"/>
      <c r="I158" s="234"/>
      <c r="J158" s="232"/>
      <c r="K158" s="233"/>
      <c r="L158" s="233"/>
      <c r="M158" s="233"/>
      <c r="N158" s="233"/>
      <c r="O158" s="233"/>
      <c r="P158" s="233"/>
    </row>
    <row r="159" spans="1:16">
      <c r="A159" s="229">
        <v>153</v>
      </c>
      <c r="B159" s="603" t="s">
        <v>306</v>
      </c>
      <c r="C159" s="604">
        <v>6342485</v>
      </c>
      <c r="D159" s="232" t="s">
        <v>9482</v>
      </c>
      <c r="E159" s="232" t="s">
        <v>274</v>
      </c>
      <c r="F159" s="232" t="s">
        <v>275</v>
      </c>
      <c r="G159" s="238">
        <v>45211</v>
      </c>
      <c r="H159" s="233">
        <v>2024</v>
      </c>
      <c r="I159" s="234"/>
      <c r="J159" s="232" t="s">
        <v>127</v>
      </c>
      <c r="K159" s="233">
        <v>5</v>
      </c>
      <c r="L159" s="233">
        <v>0</v>
      </c>
      <c r="M159" s="233">
        <v>0</v>
      </c>
      <c r="N159" s="233">
        <v>0</v>
      </c>
      <c r="O159" s="233">
        <v>5</v>
      </c>
      <c r="P159" s="233">
        <v>0</v>
      </c>
    </row>
    <row r="160" spans="1:16">
      <c r="A160" s="229">
        <v>154</v>
      </c>
      <c r="B160" s="603"/>
      <c r="C160" s="604"/>
      <c r="D160" s="232" t="s">
        <v>9483</v>
      </c>
      <c r="E160" s="232" t="s">
        <v>274</v>
      </c>
      <c r="F160" s="232" t="s">
        <v>275</v>
      </c>
      <c r="G160" s="238">
        <v>44927</v>
      </c>
      <c r="H160" s="233">
        <v>2024</v>
      </c>
      <c r="I160" s="234"/>
      <c r="J160" s="232" t="s">
        <v>8041</v>
      </c>
      <c r="K160" s="233">
        <v>10</v>
      </c>
      <c r="L160" s="233"/>
      <c r="M160" s="233"/>
      <c r="N160" s="233"/>
      <c r="O160" s="233">
        <v>10</v>
      </c>
      <c r="P160" s="233"/>
    </row>
    <row r="161" spans="1:16">
      <c r="A161" s="229">
        <v>155</v>
      </c>
      <c r="B161" s="603"/>
      <c r="C161" s="604"/>
      <c r="D161" s="232" t="s">
        <v>9484</v>
      </c>
      <c r="E161" s="232" t="s">
        <v>274</v>
      </c>
      <c r="F161" s="232" t="s">
        <v>275</v>
      </c>
      <c r="G161" s="238">
        <v>44958</v>
      </c>
      <c r="H161" s="233">
        <v>2023</v>
      </c>
      <c r="I161" s="234"/>
      <c r="J161" s="232" t="s">
        <v>127</v>
      </c>
      <c r="K161" s="233">
        <v>50</v>
      </c>
      <c r="L161" s="233"/>
      <c r="M161" s="233"/>
      <c r="N161" s="233"/>
      <c r="O161" s="233">
        <v>5</v>
      </c>
      <c r="P161" s="233"/>
    </row>
    <row r="162" spans="1:16">
      <c r="A162" s="229">
        <v>156</v>
      </c>
      <c r="B162" s="230" t="s">
        <v>307</v>
      </c>
      <c r="C162" s="231">
        <v>5166667</v>
      </c>
      <c r="D162" s="232"/>
      <c r="E162" s="232"/>
      <c r="F162" s="232"/>
      <c r="G162" s="233"/>
      <c r="H162" s="233"/>
      <c r="I162" s="234"/>
      <c r="J162" s="232"/>
      <c r="K162" s="233"/>
      <c r="L162" s="233"/>
      <c r="M162" s="233"/>
      <c r="N162" s="233"/>
      <c r="O162" s="233"/>
      <c r="P162" s="233"/>
    </row>
    <row r="163" spans="1:16">
      <c r="A163" s="229">
        <v>157</v>
      </c>
      <c r="B163" s="230" t="s">
        <v>308</v>
      </c>
      <c r="C163" s="231">
        <v>5482046</v>
      </c>
      <c r="D163" s="232"/>
      <c r="E163" s="232"/>
      <c r="F163" s="232"/>
      <c r="G163" s="233"/>
      <c r="H163" s="233"/>
      <c r="I163" s="234"/>
      <c r="J163" s="232"/>
      <c r="K163" s="233"/>
      <c r="L163" s="233"/>
      <c r="M163" s="233"/>
      <c r="N163" s="233"/>
      <c r="O163" s="233"/>
      <c r="P163" s="233"/>
    </row>
    <row r="164" spans="1:16">
      <c r="A164" s="229">
        <v>158</v>
      </c>
      <c r="B164" s="230" t="s">
        <v>309</v>
      </c>
      <c r="C164" s="231">
        <v>2050374</v>
      </c>
      <c r="D164" s="232"/>
      <c r="E164" s="232"/>
      <c r="F164" s="232"/>
      <c r="G164" s="233"/>
      <c r="H164" s="233"/>
      <c r="I164" s="234"/>
      <c r="J164" s="232"/>
      <c r="K164" s="233"/>
      <c r="L164" s="233"/>
      <c r="M164" s="233"/>
      <c r="N164" s="233"/>
      <c r="O164" s="233"/>
      <c r="P164" s="233"/>
    </row>
    <row r="165" spans="1:16">
      <c r="A165" s="229">
        <v>159</v>
      </c>
      <c r="B165" s="230" t="s">
        <v>311</v>
      </c>
      <c r="C165" s="231">
        <v>2004879</v>
      </c>
      <c r="D165" s="232"/>
      <c r="E165" s="232"/>
      <c r="F165" s="232"/>
      <c r="G165" s="233"/>
      <c r="H165" s="233"/>
      <c r="I165" s="234"/>
      <c r="J165" s="232"/>
      <c r="K165" s="233"/>
      <c r="L165" s="233"/>
      <c r="M165" s="233"/>
      <c r="N165" s="233"/>
      <c r="O165" s="233"/>
      <c r="P165" s="233"/>
    </row>
    <row r="166" spans="1:16">
      <c r="A166" s="229">
        <v>160</v>
      </c>
      <c r="B166" s="230" t="s">
        <v>314</v>
      </c>
      <c r="C166" s="231">
        <v>2830213</v>
      </c>
      <c r="D166" s="232"/>
      <c r="E166" s="232"/>
      <c r="F166" s="232"/>
      <c r="G166" s="233"/>
      <c r="H166" s="233"/>
      <c r="I166" s="234"/>
      <c r="J166" s="232"/>
      <c r="K166" s="233"/>
      <c r="L166" s="233"/>
      <c r="M166" s="233"/>
      <c r="N166" s="233"/>
      <c r="O166" s="233"/>
      <c r="P166" s="233"/>
    </row>
    <row r="167" spans="1:16">
      <c r="A167" s="229">
        <v>161</v>
      </c>
      <c r="B167" s="603" t="s">
        <v>315</v>
      </c>
      <c r="C167" s="604">
        <v>5320607</v>
      </c>
      <c r="D167" s="232" t="s">
        <v>9485</v>
      </c>
      <c r="E167" s="232" t="s">
        <v>1242</v>
      </c>
      <c r="F167" s="232" t="s">
        <v>1243</v>
      </c>
      <c r="G167" s="238">
        <v>44814</v>
      </c>
      <c r="H167" s="233">
        <v>2023</v>
      </c>
      <c r="I167" s="234">
        <v>50000000</v>
      </c>
      <c r="J167" s="232" t="s">
        <v>8041</v>
      </c>
      <c r="K167" s="233">
        <v>15</v>
      </c>
      <c r="L167" s="233">
        <v>1</v>
      </c>
      <c r="M167" s="233">
        <v>0</v>
      </c>
      <c r="N167" s="233">
        <v>0</v>
      </c>
      <c r="O167" s="233">
        <v>15</v>
      </c>
      <c r="P167" s="233">
        <v>1</v>
      </c>
    </row>
    <row r="168" spans="1:16">
      <c r="A168" s="229">
        <v>162</v>
      </c>
      <c r="B168" s="603"/>
      <c r="C168" s="604"/>
      <c r="D168" s="232" t="s">
        <v>9486</v>
      </c>
      <c r="E168" s="232" t="s">
        <v>1242</v>
      </c>
      <c r="F168" s="232" t="s">
        <v>1243</v>
      </c>
      <c r="G168" s="238">
        <v>44985</v>
      </c>
      <c r="H168" s="233">
        <v>2024</v>
      </c>
      <c r="I168" s="234">
        <v>281079000</v>
      </c>
      <c r="J168" s="232" t="s">
        <v>8041</v>
      </c>
      <c r="K168" s="233">
        <v>139</v>
      </c>
      <c r="L168" s="233">
        <v>12</v>
      </c>
      <c r="M168" s="233">
        <v>0</v>
      </c>
      <c r="N168" s="233">
        <v>0</v>
      </c>
      <c r="O168" s="233">
        <v>139</v>
      </c>
      <c r="P168" s="233">
        <v>12</v>
      </c>
    </row>
    <row r="169" spans="1:16">
      <c r="A169" s="229">
        <v>163</v>
      </c>
      <c r="B169" s="230" t="s">
        <v>316</v>
      </c>
      <c r="C169" s="231">
        <v>5586119</v>
      </c>
      <c r="D169" s="232"/>
      <c r="E169" s="232"/>
      <c r="F169" s="232"/>
      <c r="G169" s="233"/>
      <c r="H169" s="233"/>
      <c r="I169" s="234"/>
      <c r="J169" s="232"/>
      <c r="K169" s="233"/>
      <c r="L169" s="233"/>
      <c r="M169" s="233"/>
      <c r="N169" s="233"/>
      <c r="O169" s="233"/>
      <c r="P169" s="233"/>
    </row>
    <row r="170" spans="1:16">
      <c r="A170" s="229">
        <v>164</v>
      </c>
      <c r="B170" s="230" t="s">
        <v>317</v>
      </c>
      <c r="C170" s="231">
        <v>5015243</v>
      </c>
      <c r="D170" s="232"/>
      <c r="E170" s="232"/>
      <c r="F170" s="232"/>
      <c r="G170" s="233"/>
      <c r="H170" s="233"/>
      <c r="I170" s="234"/>
      <c r="J170" s="232"/>
      <c r="K170" s="233"/>
      <c r="L170" s="233"/>
      <c r="M170" s="233"/>
      <c r="N170" s="233"/>
      <c r="O170" s="233"/>
      <c r="P170" s="233"/>
    </row>
    <row r="171" spans="1:16">
      <c r="A171" s="229">
        <v>165</v>
      </c>
      <c r="B171" s="230" t="s">
        <v>318</v>
      </c>
      <c r="C171" s="231">
        <v>5452503</v>
      </c>
      <c r="D171" s="232"/>
      <c r="E171" s="232"/>
      <c r="F171" s="232"/>
      <c r="G171" s="233"/>
      <c r="H171" s="233"/>
      <c r="I171" s="234"/>
      <c r="J171" s="232"/>
      <c r="K171" s="233"/>
      <c r="L171" s="233"/>
      <c r="M171" s="233"/>
      <c r="N171" s="233"/>
      <c r="O171" s="233"/>
      <c r="P171" s="233"/>
    </row>
    <row r="172" spans="1:16">
      <c r="A172" s="229">
        <v>166</v>
      </c>
      <c r="B172" s="603" t="s">
        <v>319</v>
      </c>
      <c r="C172" s="604">
        <v>2887746</v>
      </c>
      <c r="D172" s="232" t="s">
        <v>9487</v>
      </c>
      <c r="E172" s="232" t="s">
        <v>233</v>
      </c>
      <c r="F172" s="232" t="s">
        <v>252</v>
      </c>
      <c r="G172" s="237">
        <v>43248</v>
      </c>
      <c r="H172" s="235">
        <v>2024</v>
      </c>
      <c r="I172" s="234"/>
      <c r="J172" s="232" t="s">
        <v>8041</v>
      </c>
      <c r="K172" s="233">
        <v>498</v>
      </c>
      <c r="L172" s="233">
        <v>56</v>
      </c>
      <c r="M172" s="233">
        <v>0</v>
      </c>
      <c r="N172" s="233">
        <v>0</v>
      </c>
      <c r="O172" s="233">
        <v>498</v>
      </c>
      <c r="P172" s="233">
        <v>56</v>
      </c>
    </row>
    <row r="173" spans="1:16">
      <c r="A173" s="229">
        <v>167</v>
      </c>
      <c r="B173" s="603"/>
      <c r="C173" s="604"/>
      <c r="D173" s="232" t="s">
        <v>9488</v>
      </c>
      <c r="E173" s="232" t="s">
        <v>233</v>
      </c>
      <c r="F173" s="232" t="s">
        <v>252</v>
      </c>
      <c r="G173" s="237">
        <v>44743</v>
      </c>
      <c r="H173" s="237">
        <v>45657</v>
      </c>
      <c r="I173" s="234"/>
      <c r="J173" s="232" t="s">
        <v>127</v>
      </c>
      <c r="K173" s="233">
        <v>156</v>
      </c>
      <c r="L173" s="233">
        <v>20</v>
      </c>
      <c r="M173" s="233">
        <v>0</v>
      </c>
      <c r="N173" s="233">
        <v>0</v>
      </c>
      <c r="O173" s="233">
        <v>156</v>
      </c>
      <c r="P173" s="233">
        <v>20</v>
      </c>
    </row>
    <row r="174" spans="1:16">
      <c r="A174" s="229">
        <v>168</v>
      </c>
      <c r="B174" s="603"/>
      <c r="C174" s="604"/>
      <c r="D174" s="232" t="s">
        <v>9489</v>
      </c>
      <c r="E174" s="232" t="s">
        <v>233</v>
      </c>
      <c r="F174" s="232" t="s">
        <v>252</v>
      </c>
      <c r="G174" s="237">
        <v>44742</v>
      </c>
      <c r="H174" s="235">
        <v>2025</v>
      </c>
      <c r="I174" s="234"/>
      <c r="J174" s="232" t="s">
        <v>9434</v>
      </c>
      <c r="K174" s="233">
        <v>206</v>
      </c>
      <c r="L174" s="233">
        <v>5</v>
      </c>
      <c r="M174" s="233">
        <v>0</v>
      </c>
      <c r="N174" s="233">
        <v>0</v>
      </c>
      <c r="O174" s="233">
        <v>206</v>
      </c>
      <c r="P174" s="233">
        <v>5</v>
      </c>
    </row>
    <row r="175" spans="1:16">
      <c r="A175" s="229">
        <v>169</v>
      </c>
      <c r="B175" s="603"/>
      <c r="C175" s="604"/>
      <c r="D175" s="232" t="s">
        <v>9490</v>
      </c>
      <c r="E175" s="232" t="s">
        <v>233</v>
      </c>
      <c r="F175" s="232" t="s">
        <v>252</v>
      </c>
      <c r="G175" s="237">
        <v>45292</v>
      </c>
      <c r="H175" s="235">
        <v>2025</v>
      </c>
      <c r="I175" s="234"/>
      <c r="J175" s="232" t="s">
        <v>9434</v>
      </c>
      <c r="K175" s="233">
        <v>25</v>
      </c>
      <c r="L175" s="233">
        <v>3</v>
      </c>
      <c r="M175" s="233">
        <v>0</v>
      </c>
      <c r="N175" s="233">
        <v>0</v>
      </c>
      <c r="O175" s="233">
        <v>25</v>
      </c>
      <c r="P175" s="233">
        <v>3</v>
      </c>
    </row>
    <row r="176" spans="1:16">
      <c r="A176" s="229">
        <v>170</v>
      </c>
      <c r="B176" s="603"/>
      <c r="C176" s="604"/>
      <c r="D176" s="232" t="s">
        <v>9491</v>
      </c>
      <c r="E176" s="232" t="s">
        <v>233</v>
      </c>
      <c r="F176" s="232" t="s">
        <v>252</v>
      </c>
      <c r="G176" s="237">
        <v>45292</v>
      </c>
      <c r="H176" s="235">
        <v>2025</v>
      </c>
      <c r="I176" s="234"/>
      <c r="J176" s="232" t="s">
        <v>127</v>
      </c>
      <c r="K176" s="233">
        <v>15</v>
      </c>
      <c r="L176" s="233">
        <v>2</v>
      </c>
      <c r="M176" s="233">
        <v>0</v>
      </c>
      <c r="N176" s="233">
        <v>0</v>
      </c>
      <c r="O176" s="233">
        <v>15</v>
      </c>
      <c r="P176" s="233">
        <v>2</v>
      </c>
    </row>
    <row r="177" spans="1:16">
      <c r="A177" s="229">
        <v>171</v>
      </c>
      <c r="B177" s="603" t="s">
        <v>320</v>
      </c>
      <c r="C177" s="604">
        <v>5618339</v>
      </c>
      <c r="D177" s="232" t="s">
        <v>9492</v>
      </c>
      <c r="E177" s="232" t="s">
        <v>233</v>
      </c>
      <c r="F177" s="232" t="s">
        <v>3019</v>
      </c>
      <c r="G177" s="237">
        <v>44927</v>
      </c>
      <c r="H177" s="235">
        <v>2023</v>
      </c>
      <c r="I177" s="234">
        <v>6791570000</v>
      </c>
      <c r="J177" s="232" t="s">
        <v>8041</v>
      </c>
      <c r="K177" s="233">
        <v>20</v>
      </c>
      <c r="L177" s="233"/>
      <c r="M177" s="233"/>
      <c r="N177" s="233"/>
      <c r="O177" s="233">
        <v>20</v>
      </c>
      <c r="P177" s="233"/>
    </row>
    <row r="178" spans="1:16">
      <c r="A178" s="229">
        <v>172</v>
      </c>
      <c r="B178" s="603"/>
      <c r="C178" s="604"/>
      <c r="D178" s="232" t="s">
        <v>9473</v>
      </c>
      <c r="E178" s="232" t="s">
        <v>233</v>
      </c>
      <c r="F178" s="232" t="s">
        <v>3019</v>
      </c>
      <c r="G178" s="237">
        <v>44927</v>
      </c>
      <c r="H178" s="235">
        <v>2024</v>
      </c>
      <c r="I178" s="234">
        <v>12122400000</v>
      </c>
      <c r="J178" s="232" t="s">
        <v>8041</v>
      </c>
      <c r="K178" s="233">
        <v>38</v>
      </c>
      <c r="L178" s="233"/>
      <c r="M178" s="233"/>
      <c r="N178" s="233"/>
      <c r="O178" s="233">
        <v>38</v>
      </c>
      <c r="P178" s="233"/>
    </row>
    <row r="179" spans="1:16">
      <c r="A179" s="229">
        <v>173</v>
      </c>
      <c r="B179" s="603"/>
      <c r="C179" s="604"/>
      <c r="D179" s="232" t="s">
        <v>9481</v>
      </c>
      <c r="E179" s="232" t="s">
        <v>233</v>
      </c>
      <c r="F179" s="232" t="s">
        <v>3019</v>
      </c>
      <c r="G179" s="237">
        <v>45108</v>
      </c>
      <c r="H179" s="235">
        <v>2024</v>
      </c>
      <c r="I179" s="234">
        <v>3947840000</v>
      </c>
      <c r="J179" s="232" t="s">
        <v>8041</v>
      </c>
      <c r="K179" s="233">
        <v>52</v>
      </c>
      <c r="L179" s="233"/>
      <c r="M179" s="233"/>
      <c r="N179" s="233"/>
      <c r="O179" s="233">
        <v>52</v>
      </c>
      <c r="P179" s="233"/>
    </row>
    <row r="180" spans="1:16">
      <c r="A180" s="229">
        <v>174</v>
      </c>
      <c r="B180" s="603"/>
      <c r="C180" s="604"/>
      <c r="D180" s="232" t="s">
        <v>9493</v>
      </c>
      <c r="E180" s="232" t="s">
        <v>233</v>
      </c>
      <c r="F180" s="232" t="s">
        <v>3019</v>
      </c>
      <c r="G180" s="237">
        <v>45191</v>
      </c>
      <c r="H180" s="235">
        <v>2023</v>
      </c>
      <c r="I180" s="234">
        <v>827621000</v>
      </c>
      <c r="J180" s="232" t="s">
        <v>8041</v>
      </c>
      <c r="K180" s="233">
        <v>13</v>
      </c>
      <c r="L180" s="233"/>
      <c r="M180" s="233"/>
      <c r="N180" s="233"/>
      <c r="O180" s="233">
        <v>13</v>
      </c>
      <c r="P180" s="233"/>
    </row>
    <row r="181" spans="1:16">
      <c r="A181" s="229">
        <v>175</v>
      </c>
      <c r="B181" s="603"/>
      <c r="C181" s="604"/>
      <c r="D181" s="232" t="s">
        <v>9474</v>
      </c>
      <c r="E181" s="232" t="s">
        <v>233</v>
      </c>
      <c r="F181" s="232" t="s">
        <v>3019</v>
      </c>
      <c r="G181" s="237">
        <v>44927</v>
      </c>
      <c r="H181" s="235">
        <v>2023</v>
      </c>
      <c r="I181" s="234">
        <v>3421540000</v>
      </c>
      <c r="J181" s="232" t="s">
        <v>8041</v>
      </c>
      <c r="K181" s="233">
        <v>38</v>
      </c>
      <c r="L181" s="233"/>
      <c r="M181" s="233"/>
      <c r="N181" s="233"/>
      <c r="O181" s="233">
        <v>38</v>
      </c>
      <c r="P181" s="233"/>
    </row>
    <row r="182" spans="1:16">
      <c r="A182" s="229">
        <v>176</v>
      </c>
      <c r="B182" s="603"/>
      <c r="C182" s="604"/>
      <c r="D182" s="232" t="s">
        <v>9468</v>
      </c>
      <c r="E182" s="232" t="s">
        <v>233</v>
      </c>
      <c r="F182" s="232" t="s">
        <v>3019</v>
      </c>
      <c r="G182" s="237">
        <v>44927</v>
      </c>
      <c r="H182" s="235">
        <v>2023</v>
      </c>
      <c r="I182" s="234">
        <v>17908300000</v>
      </c>
      <c r="J182" s="232" t="s">
        <v>8041</v>
      </c>
      <c r="K182" s="233">
        <v>43</v>
      </c>
      <c r="L182" s="233"/>
      <c r="M182" s="233"/>
      <c r="N182" s="233"/>
      <c r="O182" s="233">
        <v>43</v>
      </c>
      <c r="P182" s="233"/>
    </row>
    <row r="183" spans="1:16">
      <c r="A183" s="229">
        <v>177</v>
      </c>
      <c r="B183" s="603"/>
      <c r="C183" s="604"/>
      <c r="D183" s="232" t="s">
        <v>9494</v>
      </c>
      <c r="E183" s="232" t="s">
        <v>233</v>
      </c>
      <c r="F183" s="232" t="s">
        <v>3019</v>
      </c>
      <c r="G183" s="237">
        <v>44927</v>
      </c>
      <c r="H183" s="235">
        <v>2023</v>
      </c>
      <c r="I183" s="234">
        <v>9064480000</v>
      </c>
      <c r="J183" s="232" t="s">
        <v>127</v>
      </c>
      <c r="K183" s="233">
        <v>10</v>
      </c>
      <c r="L183" s="233"/>
      <c r="M183" s="233"/>
      <c r="N183" s="233"/>
      <c r="O183" s="233">
        <v>10</v>
      </c>
      <c r="P183" s="233"/>
    </row>
    <row r="184" spans="1:16">
      <c r="A184" s="229">
        <v>178</v>
      </c>
      <c r="B184" s="603"/>
      <c r="C184" s="604"/>
      <c r="D184" s="232" t="s">
        <v>9495</v>
      </c>
      <c r="E184" s="232" t="s">
        <v>233</v>
      </c>
      <c r="F184" s="232" t="s">
        <v>3019</v>
      </c>
      <c r="G184" s="237">
        <v>45078</v>
      </c>
      <c r="H184" s="235">
        <v>2023</v>
      </c>
      <c r="I184" s="234">
        <v>29485300000</v>
      </c>
      <c r="J184" s="232" t="s">
        <v>127</v>
      </c>
      <c r="K184" s="233">
        <v>10</v>
      </c>
      <c r="L184" s="233"/>
      <c r="M184" s="233"/>
      <c r="N184" s="233"/>
      <c r="O184" s="233">
        <v>10</v>
      </c>
      <c r="P184" s="233"/>
    </row>
    <row r="185" spans="1:16">
      <c r="A185" s="229">
        <v>179</v>
      </c>
      <c r="B185" s="603"/>
      <c r="C185" s="604"/>
      <c r="D185" s="232" t="s">
        <v>9472</v>
      </c>
      <c r="E185" s="232" t="s">
        <v>233</v>
      </c>
      <c r="F185" s="232" t="s">
        <v>2965</v>
      </c>
      <c r="G185" s="237">
        <v>44927</v>
      </c>
      <c r="H185" s="235">
        <v>2023</v>
      </c>
      <c r="I185" s="234">
        <v>3211740000</v>
      </c>
      <c r="J185" s="232" t="s">
        <v>127</v>
      </c>
      <c r="K185" s="233">
        <v>48</v>
      </c>
      <c r="L185" s="233"/>
      <c r="M185" s="233"/>
      <c r="N185" s="233"/>
      <c r="O185" s="233">
        <v>48</v>
      </c>
      <c r="P185" s="233"/>
    </row>
    <row r="186" spans="1:16">
      <c r="A186" s="229">
        <v>180</v>
      </c>
      <c r="B186" s="603"/>
      <c r="C186" s="604"/>
      <c r="D186" s="232" t="s">
        <v>9496</v>
      </c>
      <c r="E186" s="232" t="s">
        <v>233</v>
      </c>
      <c r="F186" s="232" t="s">
        <v>3019</v>
      </c>
      <c r="G186" s="237">
        <v>45017</v>
      </c>
      <c r="H186" s="235">
        <v>2023</v>
      </c>
      <c r="I186" s="234">
        <v>4136360000</v>
      </c>
      <c r="J186" s="232" t="s">
        <v>8041</v>
      </c>
      <c r="K186" s="233">
        <v>38</v>
      </c>
      <c r="L186" s="233"/>
      <c r="M186" s="233"/>
      <c r="N186" s="233"/>
      <c r="O186" s="233">
        <v>38</v>
      </c>
      <c r="P186" s="233"/>
    </row>
    <row r="187" spans="1:16">
      <c r="A187" s="229">
        <v>181</v>
      </c>
      <c r="B187" s="603" t="s">
        <v>321</v>
      </c>
      <c r="C187" s="604">
        <v>2718243</v>
      </c>
      <c r="D187" s="232" t="s">
        <v>9497</v>
      </c>
      <c r="E187" s="232" t="s">
        <v>768</v>
      </c>
      <c r="F187" s="232" t="s">
        <v>1198</v>
      </c>
      <c r="G187" s="237">
        <v>45040</v>
      </c>
      <c r="H187" s="237">
        <v>45103</v>
      </c>
      <c r="I187" s="240">
        <v>385007000</v>
      </c>
      <c r="J187" s="235" t="s">
        <v>127</v>
      </c>
      <c r="K187" s="233">
        <v>16</v>
      </c>
      <c r="L187" s="233">
        <v>3</v>
      </c>
      <c r="M187" s="233"/>
      <c r="N187" s="233"/>
      <c r="O187" s="233">
        <v>16</v>
      </c>
      <c r="P187" s="233">
        <v>3</v>
      </c>
    </row>
    <row r="188" spans="1:16">
      <c r="A188" s="229">
        <v>182</v>
      </c>
      <c r="B188" s="603"/>
      <c r="C188" s="604"/>
      <c r="D188" s="232" t="s">
        <v>9498</v>
      </c>
      <c r="E188" s="232" t="s">
        <v>768</v>
      </c>
      <c r="F188" s="232" t="s">
        <v>1198</v>
      </c>
      <c r="G188" s="237">
        <v>45023</v>
      </c>
      <c r="H188" s="237">
        <v>45291</v>
      </c>
      <c r="I188" s="240">
        <v>98777700</v>
      </c>
      <c r="J188" s="235" t="s">
        <v>127</v>
      </c>
      <c r="K188" s="233">
        <v>47</v>
      </c>
      <c r="L188" s="233">
        <v>39</v>
      </c>
      <c r="M188" s="233"/>
      <c r="N188" s="233"/>
      <c r="O188" s="233">
        <v>47</v>
      </c>
      <c r="P188" s="233">
        <v>39</v>
      </c>
    </row>
    <row r="189" spans="1:16">
      <c r="A189" s="229">
        <v>183</v>
      </c>
      <c r="B189" s="603"/>
      <c r="C189" s="604"/>
      <c r="D189" s="232" t="s">
        <v>9499</v>
      </c>
      <c r="E189" s="232" t="s">
        <v>768</v>
      </c>
      <c r="F189" s="232" t="s">
        <v>1198</v>
      </c>
      <c r="G189" s="237">
        <v>45068</v>
      </c>
      <c r="H189" s="237">
        <v>45099</v>
      </c>
      <c r="I189" s="240">
        <v>50050000</v>
      </c>
      <c r="J189" s="235" t="s">
        <v>127</v>
      </c>
      <c r="K189" s="233">
        <v>5</v>
      </c>
      <c r="L189" s="233"/>
      <c r="M189" s="233"/>
      <c r="N189" s="233"/>
      <c r="O189" s="233">
        <v>5</v>
      </c>
      <c r="P189" s="233"/>
    </row>
    <row r="190" spans="1:16">
      <c r="A190" s="229">
        <v>184</v>
      </c>
      <c r="B190" s="603"/>
      <c r="C190" s="604"/>
      <c r="D190" s="232" t="s">
        <v>9500</v>
      </c>
      <c r="E190" s="232" t="s">
        <v>768</v>
      </c>
      <c r="F190" s="232" t="s">
        <v>1198</v>
      </c>
      <c r="G190" s="237">
        <v>44970</v>
      </c>
      <c r="H190" s="237">
        <v>45097</v>
      </c>
      <c r="I190" s="240">
        <v>360031000</v>
      </c>
      <c r="J190" s="235" t="s">
        <v>127</v>
      </c>
      <c r="K190" s="233">
        <v>6</v>
      </c>
      <c r="L190" s="233"/>
      <c r="M190" s="233"/>
      <c r="N190" s="233"/>
      <c r="O190" s="233">
        <v>6</v>
      </c>
      <c r="P190" s="233"/>
    </row>
    <row r="191" spans="1:16">
      <c r="A191" s="229">
        <v>185</v>
      </c>
      <c r="B191" s="603"/>
      <c r="C191" s="604"/>
      <c r="D191" s="232" t="s">
        <v>9501</v>
      </c>
      <c r="E191" s="232" t="s">
        <v>768</v>
      </c>
      <c r="F191" s="232" t="s">
        <v>1198</v>
      </c>
      <c r="G191" s="237">
        <v>45078</v>
      </c>
      <c r="H191" s="237">
        <v>45444</v>
      </c>
      <c r="I191" s="240">
        <v>640622000</v>
      </c>
      <c r="J191" s="235" t="s">
        <v>127</v>
      </c>
      <c r="K191" s="233">
        <v>19</v>
      </c>
      <c r="L191" s="233">
        <v>3</v>
      </c>
      <c r="M191" s="233"/>
      <c r="N191" s="233"/>
      <c r="O191" s="233">
        <v>19</v>
      </c>
      <c r="P191" s="233">
        <v>3</v>
      </c>
    </row>
    <row r="192" spans="1:16">
      <c r="A192" s="229">
        <v>186</v>
      </c>
      <c r="B192" s="603"/>
      <c r="C192" s="604"/>
      <c r="D192" s="232" t="s">
        <v>9502</v>
      </c>
      <c r="E192" s="232" t="s">
        <v>768</v>
      </c>
      <c r="F192" s="232" t="s">
        <v>1198</v>
      </c>
      <c r="G192" s="237">
        <v>44562</v>
      </c>
      <c r="H192" s="237">
        <v>45444</v>
      </c>
      <c r="I192" s="240">
        <v>4509120000</v>
      </c>
      <c r="J192" s="235" t="s">
        <v>127</v>
      </c>
      <c r="K192" s="233">
        <v>20</v>
      </c>
      <c r="L192" s="233">
        <v>41</v>
      </c>
      <c r="M192" s="233"/>
      <c r="N192" s="233"/>
      <c r="O192" s="233">
        <v>20</v>
      </c>
      <c r="P192" s="233">
        <v>41</v>
      </c>
    </row>
    <row r="193" spans="1:16">
      <c r="A193" s="229">
        <v>187</v>
      </c>
      <c r="B193" s="603"/>
      <c r="C193" s="604"/>
      <c r="D193" s="232" t="s">
        <v>9503</v>
      </c>
      <c r="E193" s="232" t="s">
        <v>768</v>
      </c>
      <c r="F193" s="232" t="s">
        <v>1198</v>
      </c>
      <c r="G193" s="237">
        <v>45071</v>
      </c>
      <c r="H193" s="237">
        <v>45437</v>
      </c>
      <c r="I193" s="240">
        <v>58320000</v>
      </c>
      <c r="J193" s="235" t="s">
        <v>127</v>
      </c>
      <c r="K193" s="233">
        <v>15</v>
      </c>
      <c r="L193" s="233"/>
      <c r="M193" s="233"/>
      <c r="N193" s="233"/>
      <c r="O193" s="233">
        <v>15</v>
      </c>
      <c r="P193" s="233"/>
    </row>
    <row r="194" spans="1:16">
      <c r="A194" s="229">
        <v>188</v>
      </c>
      <c r="B194" s="603"/>
      <c r="C194" s="604"/>
      <c r="D194" s="232" t="s">
        <v>9504</v>
      </c>
      <c r="E194" s="232" t="s">
        <v>768</v>
      </c>
      <c r="F194" s="232" t="s">
        <v>1198</v>
      </c>
      <c r="G194" s="237">
        <v>45201</v>
      </c>
      <c r="H194" s="237">
        <v>45566</v>
      </c>
      <c r="I194" s="240">
        <v>365498000</v>
      </c>
      <c r="J194" s="235" t="s">
        <v>127</v>
      </c>
      <c r="K194" s="233">
        <v>5</v>
      </c>
      <c r="L194" s="233"/>
      <c r="M194" s="233"/>
      <c r="N194" s="233"/>
      <c r="O194" s="233">
        <v>5</v>
      </c>
      <c r="P194" s="233"/>
    </row>
    <row r="195" spans="1:16">
      <c r="A195" s="229">
        <v>189</v>
      </c>
      <c r="B195" s="603"/>
      <c r="C195" s="604"/>
      <c r="D195" s="232" t="s">
        <v>9505</v>
      </c>
      <c r="E195" s="232" t="s">
        <v>768</v>
      </c>
      <c r="F195" s="232" t="s">
        <v>1198</v>
      </c>
      <c r="G195" s="237">
        <v>44927</v>
      </c>
      <c r="H195" s="237">
        <v>45292</v>
      </c>
      <c r="I195" s="240">
        <v>277200000</v>
      </c>
      <c r="J195" s="235" t="s">
        <v>127</v>
      </c>
      <c r="K195" s="233">
        <v>24</v>
      </c>
      <c r="L195" s="233"/>
      <c r="M195" s="233"/>
      <c r="N195" s="233"/>
      <c r="O195" s="233">
        <v>24</v>
      </c>
      <c r="P195" s="233"/>
    </row>
    <row r="196" spans="1:16">
      <c r="A196" s="229">
        <v>190</v>
      </c>
      <c r="B196" s="230" t="s">
        <v>322</v>
      </c>
      <c r="C196" s="231">
        <v>6896197</v>
      </c>
      <c r="D196" s="232"/>
      <c r="E196" s="232"/>
      <c r="F196" s="232"/>
      <c r="G196" s="233"/>
      <c r="H196" s="233"/>
      <c r="I196" s="234"/>
      <c r="J196" s="232"/>
      <c r="K196" s="233"/>
      <c r="L196" s="233"/>
      <c r="M196" s="233"/>
      <c r="N196" s="233"/>
      <c r="O196" s="233"/>
      <c r="P196" s="233"/>
    </row>
    <row r="197" spans="1:16">
      <c r="A197" s="229">
        <v>191</v>
      </c>
      <c r="B197" s="603" t="s">
        <v>323</v>
      </c>
      <c r="C197" s="604">
        <v>5435528</v>
      </c>
      <c r="D197" s="232" t="s">
        <v>9506</v>
      </c>
      <c r="E197" s="232" t="s">
        <v>233</v>
      </c>
      <c r="F197" s="232" t="s">
        <v>252</v>
      </c>
      <c r="G197" s="237">
        <v>44566</v>
      </c>
      <c r="H197" s="235">
        <v>2025</v>
      </c>
      <c r="I197" s="240">
        <v>2229280000000</v>
      </c>
      <c r="J197" s="235" t="s">
        <v>8041</v>
      </c>
      <c r="K197" s="235">
        <v>1551</v>
      </c>
      <c r="L197" s="235">
        <v>131</v>
      </c>
      <c r="M197" s="235">
        <v>39</v>
      </c>
      <c r="N197" s="235">
        <v>2</v>
      </c>
      <c r="O197" s="235">
        <v>1512</v>
      </c>
      <c r="P197" s="235">
        <v>129</v>
      </c>
    </row>
    <row r="198" spans="1:16">
      <c r="A198" s="229">
        <v>192</v>
      </c>
      <c r="B198" s="603"/>
      <c r="C198" s="604"/>
      <c r="D198" s="232" t="s">
        <v>9507</v>
      </c>
      <c r="E198" s="232" t="s">
        <v>233</v>
      </c>
      <c r="F198" s="232" t="s">
        <v>252</v>
      </c>
      <c r="G198" s="237">
        <v>45292</v>
      </c>
      <c r="H198" s="235">
        <v>2027</v>
      </c>
      <c r="I198" s="240">
        <v>649311000000</v>
      </c>
      <c r="J198" s="235" t="s">
        <v>8041</v>
      </c>
      <c r="K198" s="235">
        <v>291</v>
      </c>
      <c r="L198" s="235">
        <v>27</v>
      </c>
      <c r="M198" s="235">
        <v>0</v>
      </c>
      <c r="N198" s="235">
        <v>0</v>
      </c>
      <c r="O198" s="235">
        <v>291</v>
      </c>
      <c r="P198" s="235">
        <v>27</v>
      </c>
    </row>
    <row r="199" spans="1:16">
      <c r="A199" s="229">
        <v>193</v>
      </c>
      <c r="B199" s="603"/>
      <c r="C199" s="604"/>
      <c r="D199" s="232" t="s">
        <v>9508</v>
      </c>
      <c r="E199" s="232" t="s">
        <v>233</v>
      </c>
      <c r="F199" s="232" t="s">
        <v>252</v>
      </c>
      <c r="G199" s="237">
        <v>45261</v>
      </c>
      <c r="H199" s="235">
        <v>2026</v>
      </c>
      <c r="I199" s="240">
        <v>645572000000</v>
      </c>
      <c r="J199" s="235" t="s">
        <v>8041</v>
      </c>
      <c r="K199" s="235">
        <v>1171</v>
      </c>
      <c r="L199" s="235">
        <v>108</v>
      </c>
      <c r="M199" s="235">
        <v>0</v>
      </c>
      <c r="N199" s="235">
        <v>0</v>
      </c>
      <c r="O199" s="235">
        <v>1171</v>
      </c>
      <c r="P199" s="235">
        <v>108</v>
      </c>
    </row>
    <row r="200" spans="1:16">
      <c r="A200" s="229">
        <v>194</v>
      </c>
      <c r="B200" s="603"/>
      <c r="C200" s="604"/>
      <c r="D200" s="232" t="s">
        <v>9509</v>
      </c>
      <c r="E200" s="232" t="s">
        <v>233</v>
      </c>
      <c r="F200" s="232" t="s">
        <v>252</v>
      </c>
      <c r="G200" s="237">
        <v>45323</v>
      </c>
      <c r="H200" s="235">
        <v>2027</v>
      </c>
      <c r="I200" s="240">
        <v>649311000000</v>
      </c>
      <c r="J200" s="235" t="s">
        <v>8041</v>
      </c>
      <c r="K200" s="235">
        <v>347</v>
      </c>
      <c r="L200" s="235">
        <v>55</v>
      </c>
      <c r="M200" s="235">
        <v>1</v>
      </c>
      <c r="N200" s="235">
        <v>0</v>
      </c>
      <c r="O200" s="235">
        <v>346</v>
      </c>
      <c r="P200" s="235">
        <v>55</v>
      </c>
    </row>
    <row r="201" spans="1:16">
      <c r="A201" s="229">
        <v>195</v>
      </c>
      <c r="B201" s="603"/>
      <c r="C201" s="604"/>
      <c r="D201" s="232" t="s">
        <v>9510</v>
      </c>
      <c r="E201" s="232" t="s">
        <v>233</v>
      </c>
      <c r="F201" s="232" t="s">
        <v>252</v>
      </c>
      <c r="G201" s="237">
        <v>45292</v>
      </c>
      <c r="H201" s="235">
        <v>2027</v>
      </c>
      <c r="I201" s="240">
        <v>883358000000</v>
      </c>
      <c r="J201" s="235" t="s">
        <v>8041</v>
      </c>
      <c r="K201" s="235">
        <v>125</v>
      </c>
      <c r="L201" s="235">
        <v>11</v>
      </c>
      <c r="M201" s="235">
        <v>0</v>
      </c>
      <c r="N201" s="235">
        <v>0</v>
      </c>
      <c r="O201" s="235">
        <v>125</v>
      </c>
      <c r="P201" s="235">
        <v>11</v>
      </c>
    </row>
    <row r="202" spans="1:16">
      <c r="A202" s="229">
        <v>196</v>
      </c>
      <c r="B202" s="603"/>
      <c r="C202" s="604"/>
      <c r="D202" s="232" t="s">
        <v>9511</v>
      </c>
      <c r="E202" s="232" t="s">
        <v>233</v>
      </c>
      <c r="F202" s="232" t="s">
        <v>252</v>
      </c>
      <c r="G202" s="237">
        <v>44824</v>
      </c>
      <c r="H202" s="235">
        <v>2026</v>
      </c>
      <c r="I202" s="240">
        <v>101813000000</v>
      </c>
      <c r="J202" s="235" t="s">
        <v>127</v>
      </c>
      <c r="K202" s="235">
        <v>226</v>
      </c>
      <c r="L202" s="235">
        <v>24</v>
      </c>
      <c r="M202" s="235">
        <v>0</v>
      </c>
      <c r="N202" s="235">
        <v>0</v>
      </c>
      <c r="O202" s="235">
        <v>226</v>
      </c>
      <c r="P202" s="235">
        <v>24</v>
      </c>
    </row>
    <row r="203" spans="1:16">
      <c r="A203" s="229">
        <v>197</v>
      </c>
      <c r="B203" s="230" t="s">
        <v>324</v>
      </c>
      <c r="C203" s="231">
        <v>5824826</v>
      </c>
      <c r="D203" s="232"/>
      <c r="E203" s="232"/>
      <c r="F203" s="232"/>
      <c r="G203" s="233"/>
      <c r="H203" s="233"/>
      <c r="I203" s="234"/>
      <c r="J203" s="232"/>
      <c r="K203" s="233"/>
      <c r="L203" s="233"/>
      <c r="M203" s="233"/>
      <c r="N203" s="233"/>
      <c r="O203" s="233"/>
      <c r="P203" s="233"/>
    </row>
    <row r="204" spans="1:16">
      <c r="A204" s="229">
        <v>198</v>
      </c>
      <c r="B204" s="230" t="s">
        <v>325</v>
      </c>
      <c r="C204" s="231">
        <v>6141536</v>
      </c>
      <c r="D204" s="232"/>
      <c r="E204" s="232"/>
      <c r="F204" s="232"/>
      <c r="G204" s="233"/>
      <c r="H204" s="233"/>
      <c r="I204" s="234"/>
      <c r="J204" s="232"/>
      <c r="K204" s="233"/>
      <c r="L204" s="233"/>
      <c r="M204" s="233"/>
      <c r="N204" s="233"/>
      <c r="O204" s="233"/>
      <c r="P204" s="233"/>
    </row>
    <row r="205" spans="1:16">
      <c r="A205" s="229">
        <v>199</v>
      </c>
      <c r="B205" s="603" t="s">
        <v>326</v>
      </c>
      <c r="C205" s="604">
        <v>5124913</v>
      </c>
      <c r="D205" s="232" t="s">
        <v>9512</v>
      </c>
      <c r="E205" s="235" t="s">
        <v>312</v>
      </c>
      <c r="F205" s="235" t="s">
        <v>313</v>
      </c>
      <c r="G205" s="237">
        <v>45041</v>
      </c>
      <c r="H205" s="235"/>
      <c r="I205" s="240">
        <v>1336400000</v>
      </c>
      <c r="J205" s="235" t="s">
        <v>127</v>
      </c>
      <c r="K205" s="235">
        <v>18</v>
      </c>
      <c r="L205" s="235">
        <v>0</v>
      </c>
      <c r="M205" s="235">
        <v>0</v>
      </c>
      <c r="N205" s="235">
        <v>0</v>
      </c>
      <c r="O205" s="235">
        <v>18</v>
      </c>
      <c r="P205" s="233"/>
    </row>
    <row r="206" spans="1:16">
      <c r="A206" s="229">
        <v>200</v>
      </c>
      <c r="B206" s="603"/>
      <c r="C206" s="604"/>
      <c r="D206" s="232" t="s">
        <v>9513</v>
      </c>
      <c r="E206" s="235" t="s">
        <v>312</v>
      </c>
      <c r="F206" s="235" t="s">
        <v>313</v>
      </c>
      <c r="G206" s="237">
        <v>44960</v>
      </c>
      <c r="H206" s="235"/>
      <c r="I206" s="240">
        <v>8594250000</v>
      </c>
      <c r="J206" s="235" t="s">
        <v>127</v>
      </c>
      <c r="K206" s="235">
        <v>31</v>
      </c>
      <c r="L206" s="235">
        <v>1</v>
      </c>
      <c r="M206" s="235">
        <v>0</v>
      </c>
      <c r="N206" s="235">
        <v>0</v>
      </c>
      <c r="O206" s="235">
        <v>31</v>
      </c>
      <c r="P206" s="233"/>
    </row>
    <row r="207" spans="1:16">
      <c r="A207" s="229">
        <v>201</v>
      </c>
      <c r="B207" s="603"/>
      <c r="C207" s="604"/>
      <c r="D207" s="232" t="s">
        <v>9514</v>
      </c>
      <c r="E207" s="235" t="s">
        <v>312</v>
      </c>
      <c r="F207" s="235" t="s">
        <v>313</v>
      </c>
      <c r="G207" s="237">
        <v>44977</v>
      </c>
      <c r="H207" s="235"/>
      <c r="I207" s="240">
        <v>656040000</v>
      </c>
      <c r="J207" s="235" t="s">
        <v>127</v>
      </c>
      <c r="K207" s="235">
        <v>12</v>
      </c>
      <c r="L207" s="235">
        <v>0</v>
      </c>
      <c r="M207" s="235">
        <v>0</v>
      </c>
      <c r="N207" s="235">
        <v>0</v>
      </c>
      <c r="O207" s="235">
        <v>12</v>
      </c>
      <c r="P207" s="233"/>
    </row>
    <row r="208" spans="1:16">
      <c r="A208" s="229">
        <v>202</v>
      </c>
      <c r="B208" s="603"/>
      <c r="C208" s="604"/>
      <c r="D208" s="232" t="s">
        <v>9515</v>
      </c>
      <c r="E208" s="235" t="s">
        <v>312</v>
      </c>
      <c r="F208" s="235" t="s">
        <v>313</v>
      </c>
      <c r="G208" s="237">
        <v>45033</v>
      </c>
      <c r="H208" s="235"/>
      <c r="I208" s="240">
        <v>264000000</v>
      </c>
      <c r="J208" s="235" t="s">
        <v>127</v>
      </c>
      <c r="K208" s="235">
        <v>6</v>
      </c>
      <c r="L208" s="235">
        <v>0</v>
      </c>
      <c r="M208" s="235">
        <v>0</v>
      </c>
      <c r="N208" s="235">
        <v>0</v>
      </c>
      <c r="O208" s="235">
        <v>6</v>
      </c>
      <c r="P208" s="233"/>
    </row>
    <row r="209" spans="1:16">
      <c r="A209" s="229">
        <v>203</v>
      </c>
      <c r="B209" s="603"/>
      <c r="C209" s="604"/>
      <c r="D209" s="232" t="s">
        <v>9516</v>
      </c>
      <c r="E209" s="235" t="s">
        <v>312</v>
      </c>
      <c r="F209" s="235" t="s">
        <v>313</v>
      </c>
      <c r="G209" s="237">
        <v>44927</v>
      </c>
      <c r="H209" s="237">
        <v>44957</v>
      </c>
      <c r="I209" s="240">
        <v>49500000</v>
      </c>
      <c r="J209" s="235" t="s">
        <v>127</v>
      </c>
      <c r="K209" s="235">
        <v>3</v>
      </c>
      <c r="L209" s="235">
        <v>0</v>
      </c>
      <c r="M209" s="235">
        <v>0</v>
      </c>
      <c r="N209" s="235">
        <v>0</v>
      </c>
      <c r="O209" s="235">
        <v>3</v>
      </c>
      <c r="P209" s="233"/>
    </row>
    <row r="210" spans="1:16">
      <c r="A210" s="229">
        <v>204</v>
      </c>
      <c r="B210" s="603"/>
      <c r="C210" s="604"/>
      <c r="D210" s="232" t="s">
        <v>9513</v>
      </c>
      <c r="E210" s="235" t="s">
        <v>128</v>
      </c>
      <c r="F210" s="235" t="s">
        <v>1076</v>
      </c>
      <c r="G210" s="237">
        <v>45268</v>
      </c>
      <c r="H210" s="237">
        <v>45353</v>
      </c>
      <c r="I210" s="240">
        <v>1900000000</v>
      </c>
      <c r="J210" s="235" t="s">
        <v>127</v>
      </c>
      <c r="K210" s="235">
        <v>18</v>
      </c>
      <c r="L210" s="235">
        <v>0</v>
      </c>
      <c r="M210" s="235">
        <v>0</v>
      </c>
      <c r="N210" s="235">
        <v>0</v>
      </c>
      <c r="O210" s="235">
        <v>18</v>
      </c>
      <c r="P210" s="233"/>
    </row>
    <row r="211" spans="1:16">
      <c r="A211" s="229">
        <v>205</v>
      </c>
      <c r="B211" s="230" t="s">
        <v>327</v>
      </c>
      <c r="C211" s="231">
        <v>2074192</v>
      </c>
      <c r="D211" s="232"/>
      <c r="E211" s="232"/>
      <c r="F211" s="232"/>
      <c r="G211" s="233"/>
      <c r="H211" s="233"/>
      <c r="I211" s="234"/>
      <c r="J211" s="232"/>
      <c r="K211" s="233"/>
      <c r="L211" s="233"/>
      <c r="M211" s="233"/>
      <c r="N211" s="233"/>
      <c r="O211" s="233"/>
      <c r="P211" s="233"/>
    </row>
    <row r="212" spans="1:16">
      <c r="A212" s="229">
        <v>206</v>
      </c>
      <c r="B212" s="230" t="s">
        <v>331</v>
      </c>
      <c r="C212" s="231">
        <v>2861224</v>
      </c>
      <c r="D212" s="232"/>
      <c r="E212" s="232"/>
      <c r="F212" s="232"/>
      <c r="G212" s="233"/>
      <c r="H212" s="233"/>
      <c r="I212" s="234"/>
      <c r="J212" s="232"/>
      <c r="K212" s="233"/>
      <c r="L212" s="233"/>
      <c r="M212" s="233"/>
      <c r="N212" s="233"/>
      <c r="O212" s="233"/>
      <c r="P212" s="233"/>
    </row>
    <row r="213" spans="1:16">
      <c r="A213" s="229">
        <v>207</v>
      </c>
      <c r="B213" s="230" t="s">
        <v>332</v>
      </c>
      <c r="C213" s="231">
        <v>5137977</v>
      </c>
      <c r="D213" s="232"/>
      <c r="E213" s="232"/>
      <c r="F213" s="232"/>
      <c r="G213" s="233"/>
      <c r="H213" s="233"/>
      <c r="I213" s="234"/>
      <c r="J213" s="232"/>
      <c r="K213" s="233"/>
      <c r="L213" s="233"/>
      <c r="M213" s="233"/>
      <c r="N213" s="233"/>
      <c r="O213" s="233"/>
      <c r="P213" s="233"/>
    </row>
  </sheetData>
  <mergeCells count="56">
    <mergeCell ref="A77:A79"/>
    <mergeCell ref="C77:C79"/>
    <mergeCell ref="C205:C210"/>
    <mergeCell ref="B205:B210"/>
    <mergeCell ref="C187:C195"/>
    <mergeCell ref="B187:B195"/>
    <mergeCell ref="C197:C202"/>
    <mergeCell ref="B197:B202"/>
    <mergeCell ref="B172:B176"/>
    <mergeCell ref="C172:C176"/>
    <mergeCell ref="C177:C186"/>
    <mergeCell ref="B177:B186"/>
    <mergeCell ref="B159:B161"/>
    <mergeCell ref="C159:C161"/>
    <mergeCell ref="C167:C168"/>
    <mergeCell ref="B167:B168"/>
    <mergeCell ref="C136:C137"/>
    <mergeCell ref="B136:B137"/>
    <mergeCell ref="B155:B157"/>
    <mergeCell ref="C155:C157"/>
    <mergeCell ref="B139:B154"/>
    <mergeCell ref="C139:C154"/>
    <mergeCell ref="B125:B126"/>
    <mergeCell ref="C125:C126"/>
    <mergeCell ref="B133:B134"/>
    <mergeCell ref="C133:C134"/>
    <mergeCell ref="B111:B113"/>
    <mergeCell ref="C111:C113"/>
    <mergeCell ref="B119:B122"/>
    <mergeCell ref="C119:C122"/>
    <mergeCell ref="B97:B98"/>
    <mergeCell ref="C97:C98"/>
    <mergeCell ref="B61:B73"/>
    <mergeCell ref="C61:C73"/>
    <mergeCell ref="B84:B86"/>
    <mergeCell ref="C84:C86"/>
    <mergeCell ref="B77:B79"/>
    <mergeCell ref="B38:B43"/>
    <mergeCell ref="C38:C43"/>
    <mergeCell ref="K3:L3"/>
    <mergeCell ref="M3:N3"/>
    <mergeCell ref="C92:C94"/>
    <mergeCell ref="B92:B94"/>
    <mergeCell ref="O3:P3"/>
    <mergeCell ref="K2:P2"/>
    <mergeCell ref="B33:B34"/>
    <mergeCell ref="J2:J4"/>
    <mergeCell ref="D2:D4"/>
    <mergeCell ref="C2:C4"/>
    <mergeCell ref="B2:B4"/>
    <mergeCell ref="C33:C34"/>
    <mergeCell ref="A2:A4"/>
    <mergeCell ref="A1:E1"/>
    <mergeCell ref="E2:F3"/>
    <mergeCell ref="G2:H3"/>
    <mergeCell ref="I2:I4"/>
  </mergeCells>
  <conditionalFormatting sqref="B5:B20">
    <cfRule type="duplicateValues" dxfId="137" priority="27"/>
  </conditionalFormatting>
  <conditionalFormatting sqref="B21">
    <cfRule type="duplicateValues" dxfId="136" priority="29"/>
  </conditionalFormatting>
  <conditionalFormatting sqref="B22:B27 B35 B30 B33">
    <cfRule type="duplicateValues" dxfId="135" priority="26"/>
  </conditionalFormatting>
  <conditionalFormatting sqref="B28:B29">
    <cfRule type="duplicateValues" dxfId="134" priority="18"/>
  </conditionalFormatting>
  <conditionalFormatting sqref="B31:B32">
    <cfRule type="duplicateValues" dxfId="133" priority="17"/>
  </conditionalFormatting>
  <conditionalFormatting sqref="B36">
    <cfRule type="duplicateValues" dxfId="132" priority="16"/>
  </conditionalFormatting>
  <conditionalFormatting sqref="B37:B38 B45:B53 B55:B60">
    <cfRule type="duplicateValues" dxfId="131" priority="25"/>
  </conditionalFormatting>
  <conditionalFormatting sqref="B44">
    <cfRule type="duplicateValues" dxfId="130" priority="15"/>
  </conditionalFormatting>
  <conditionalFormatting sqref="B54">
    <cfRule type="duplicateValues" dxfId="129" priority="14"/>
  </conditionalFormatting>
  <conditionalFormatting sqref="B61">
    <cfRule type="duplicateValues" dxfId="128" priority="28"/>
  </conditionalFormatting>
  <conditionalFormatting sqref="B74:B76 B87:B88 B95:B97 B99 B80 B82:B84 B91:B92 B102 B105:B109">
    <cfRule type="duplicateValues" dxfId="127" priority="22"/>
  </conditionalFormatting>
  <conditionalFormatting sqref="B77">
    <cfRule type="duplicateValues" dxfId="126" priority="13"/>
  </conditionalFormatting>
  <conditionalFormatting sqref="B81">
    <cfRule type="duplicateValues" dxfId="125" priority="12"/>
  </conditionalFormatting>
  <conditionalFormatting sqref="B89:B90">
    <cfRule type="duplicateValues" dxfId="124" priority="11"/>
  </conditionalFormatting>
  <conditionalFormatting sqref="B100:B101">
    <cfRule type="duplicateValues" dxfId="123" priority="10"/>
  </conditionalFormatting>
  <conditionalFormatting sqref="B103:B104">
    <cfRule type="duplicateValues" dxfId="122" priority="9"/>
  </conditionalFormatting>
  <conditionalFormatting sqref="B110">
    <cfRule type="duplicateValues" dxfId="121" priority="20"/>
  </conditionalFormatting>
  <conditionalFormatting sqref="B111 B114:B116">
    <cfRule type="duplicateValues" dxfId="120" priority="21"/>
  </conditionalFormatting>
  <conditionalFormatting sqref="B117">
    <cfRule type="duplicateValues" dxfId="119" priority="23"/>
  </conditionalFormatting>
  <conditionalFormatting sqref="B118:B119 B123:B125 B127 B136 B139 B159 B155 B162:B165 B170:B172 B177 B187 B196:B197 B204:B205 B211 B129:B133 B167 B213">
    <cfRule type="duplicateValues" dxfId="118" priority="24"/>
  </conditionalFormatting>
  <conditionalFormatting sqref="B128">
    <cfRule type="duplicateValues" dxfId="117" priority="8"/>
  </conditionalFormatting>
  <conditionalFormatting sqref="B135">
    <cfRule type="duplicateValues" dxfId="116" priority="7"/>
  </conditionalFormatting>
  <conditionalFormatting sqref="B138">
    <cfRule type="duplicateValues" dxfId="115" priority="6"/>
  </conditionalFormatting>
  <conditionalFormatting sqref="B158">
    <cfRule type="duplicateValues" dxfId="114" priority="5"/>
  </conditionalFormatting>
  <conditionalFormatting sqref="B166">
    <cfRule type="duplicateValues" dxfId="113" priority="4"/>
  </conditionalFormatting>
  <conditionalFormatting sqref="B169">
    <cfRule type="duplicateValues" dxfId="112" priority="3"/>
  </conditionalFormatting>
  <conditionalFormatting sqref="B203">
    <cfRule type="duplicateValues" dxfId="111" priority="2"/>
  </conditionalFormatting>
  <conditionalFormatting sqref="B212">
    <cfRule type="duplicateValues" dxfId="110" priority="1"/>
  </conditionalFormatting>
  <conditionalFormatting sqref="C36:C38 C44:C61 C74:C77 C87:C92 C95:C97 C99:C109 C80:C84">
    <cfRule type="duplicateValues" dxfId="109" priority="35"/>
  </conditionalFormatting>
  <conditionalFormatting sqref="C110">
    <cfRule type="duplicateValues" dxfId="108" priority="34"/>
  </conditionalFormatting>
  <conditionalFormatting sqref="C111">
    <cfRule type="duplicateValues" dxfId="107" priority="33"/>
  </conditionalFormatting>
  <conditionalFormatting sqref="C114">
    <cfRule type="duplicateValues" dxfId="106" priority="32"/>
  </conditionalFormatting>
  <conditionalFormatting sqref="C115">
    <cfRule type="duplicateValues" dxfId="105" priority="31"/>
  </conditionalFormatting>
  <conditionalFormatting sqref="C116">
    <cfRule type="duplicateValues" dxfId="104" priority="30"/>
  </conditionalFormatting>
  <conditionalFormatting sqref="C117 C5:C33 C35">
    <cfRule type="duplicateValues" dxfId="103" priority="36"/>
  </conditionalFormatting>
  <conditionalFormatting sqref="C118:C119 C123:C125 C127:C133 C135:C136 C138:C139 C158:C159 C155 C162:C167 C169:C172 C177 C187 C196:C197 C203:C205 C211:C213">
    <cfRule type="duplicateValues" dxfId="102" priority="37"/>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BB451-520D-42D0-95BA-C99FC8F0D4AA}">
  <sheetPr>
    <tabColor rgb="FF006432"/>
  </sheetPr>
  <dimension ref="A1:M32"/>
  <sheetViews>
    <sheetView workbookViewId="0">
      <pane xSplit="3" ySplit="4" topLeftCell="D5" activePane="bottomRight" state="frozen"/>
      <selection pane="bottomRight" activeCell="I32" sqref="I32"/>
      <selection pane="bottomLeft" activeCell="A5" sqref="A5"/>
      <selection pane="topRight" activeCell="D1" sqref="D1"/>
    </sheetView>
  </sheetViews>
  <sheetFormatPr defaultRowHeight="15"/>
  <cols>
    <col min="1" max="1" width="18.28515625" customWidth="1"/>
    <col min="2" max="2" width="31.5703125" customWidth="1"/>
    <col min="3" max="3" width="13.28515625" customWidth="1"/>
    <col min="4" max="4" width="22.5703125" customWidth="1"/>
    <col min="5" max="5" width="23.85546875" customWidth="1"/>
    <col min="6" max="6" width="21.140625" customWidth="1"/>
    <col min="7" max="7" width="18" customWidth="1"/>
    <col min="8" max="8" width="23" style="211" customWidth="1"/>
    <col min="9" max="9" width="16.28515625" customWidth="1"/>
    <col min="10" max="10" width="15.5703125" customWidth="1"/>
    <col min="11" max="11" width="17.5703125" customWidth="1"/>
    <col min="12" max="12" width="21.140625" style="211" customWidth="1"/>
    <col min="13" max="13" width="19.28515625" customWidth="1"/>
  </cols>
  <sheetData>
    <row r="1" spans="1:13" ht="16.5" thickBot="1">
      <c r="A1" s="641" t="s">
        <v>9517</v>
      </c>
      <c r="B1" s="641"/>
      <c r="C1" s="641"/>
      <c r="D1" s="641"/>
      <c r="E1" s="641"/>
    </row>
    <row r="2" spans="1:13" ht="15.75" customHeight="1" thickTop="1">
      <c r="A2" s="556" t="s">
        <v>9518</v>
      </c>
      <c r="B2" s="556"/>
      <c r="C2" s="556"/>
      <c r="D2" s="561" t="s">
        <v>9519</v>
      </c>
      <c r="E2" s="559"/>
      <c r="F2" s="559"/>
      <c r="G2" s="559"/>
      <c r="H2" s="559"/>
      <c r="I2" s="559"/>
      <c r="J2" s="559"/>
      <c r="K2" s="559"/>
      <c r="L2" s="559"/>
      <c r="M2" s="559"/>
    </row>
    <row r="3" spans="1:13" ht="25.5" customHeight="1">
      <c r="A3" s="556" t="s">
        <v>8980</v>
      </c>
      <c r="B3" s="556"/>
      <c r="C3" s="556"/>
      <c r="D3" s="614" t="s">
        <v>1076</v>
      </c>
      <c r="E3" s="614" t="s">
        <v>801</v>
      </c>
      <c r="F3" s="614" t="s">
        <v>9520</v>
      </c>
      <c r="G3" s="614" t="s">
        <v>9521</v>
      </c>
      <c r="H3" s="614" t="s">
        <v>952</v>
      </c>
      <c r="I3" s="614" t="s">
        <v>311</v>
      </c>
      <c r="J3" s="614" t="s">
        <v>900</v>
      </c>
      <c r="K3" s="614" t="s">
        <v>8379</v>
      </c>
      <c r="L3" s="614" t="s">
        <v>8244</v>
      </c>
      <c r="M3" s="614" t="s">
        <v>950</v>
      </c>
    </row>
    <row r="4" spans="1:13" ht="25.5">
      <c r="A4" s="70" t="s">
        <v>9522</v>
      </c>
      <c r="B4" s="70" t="s">
        <v>9523</v>
      </c>
      <c r="C4" s="70" t="s">
        <v>9524</v>
      </c>
      <c r="D4" s="615"/>
      <c r="E4" s="615"/>
      <c r="F4" s="615"/>
      <c r="G4" s="615"/>
      <c r="H4" s="615"/>
      <c r="I4" s="615"/>
      <c r="J4" s="615"/>
      <c r="K4" s="615"/>
      <c r="L4" s="615"/>
      <c r="M4" s="615"/>
    </row>
    <row r="5" spans="1:13" ht="25.5">
      <c r="A5" s="622" t="s">
        <v>9525</v>
      </c>
      <c r="B5" s="65" t="s">
        <v>9526</v>
      </c>
      <c r="C5" s="65" t="s">
        <v>9527</v>
      </c>
      <c r="D5" s="12">
        <v>38</v>
      </c>
      <c r="E5" s="12">
        <v>48</v>
      </c>
      <c r="F5" s="12">
        <v>41</v>
      </c>
      <c r="G5" s="12">
        <v>22</v>
      </c>
      <c r="H5" s="2">
        <v>37</v>
      </c>
      <c r="I5" s="12">
        <v>50</v>
      </c>
      <c r="J5" s="12">
        <v>43</v>
      </c>
      <c r="K5" s="12">
        <v>50</v>
      </c>
      <c r="L5" s="2">
        <v>35</v>
      </c>
      <c r="M5" s="12">
        <v>48</v>
      </c>
    </row>
    <row r="6" spans="1:13" ht="25.5">
      <c r="A6" s="622"/>
      <c r="B6" s="65" t="s">
        <v>9528</v>
      </c>
      <c r="C6" s="65" t="s">
        <v>9527</v>
      </c>
      <c r="D6" s="12">
        <v>7</v>
      </c>
      <c r="E6" s="12">
        <v>3</v>
      </c>
      <c r="F6" s="12">
        <v>11</v>
      </c>
      <c r="G6" s="12">
        <v>1</v>
      </c>
      <c r="H6" s="2">
        <v>14</v>
      </c>
      <c r="I6" s="12">
        <v>1</v>
      </c>
      <c r="J6" s="12">
        <v>8</v>
      </c>
      <c r="K6" s="12">
        <v>0</v>
      </c>
      <c r="L6" s="2">
        <v>15</v>
      </c>
      <c r="M6" s="12">
        <v>2</v>
      </c>
    </row>
    <row r="7" spans="1:13" ht="25.5">
      <c r="A7" s="622"/>
      <c r="B7" s="65" t="s">
        <v>9529</v>
      </c>
      <c r="C7" s="65" t="s">
        <v>9527</v>
      </c>
      <c r="D7" s="12">
        <v>1</v>
      </c>
      <c r="E7" s="12">
        <v>1</v>
      </c>
      <c r="F7" s="12">
        <v>0</v>
      </c>
      <c r="G7" s="12">
        <v>14</v>
      </c>
      <c r="H7" s="2">
        <v>1</v>
      </c>
      <c r="I7" s="12">
        <v>0</v>
      </c>
      <c r="J7" s="12">
        <v>0</v>
      </c>
      <c r="K7" s="12">
        <v>1</v>
      </c>
      <c r="L7" s="2">
        <v>1</v>
      </c>
      <c r="M7" s="12">
        <v>1</v>
      </c>
    </row>
    <row r="8" spans="1:13" ht="25.5">
      <c r="A8" s="617" t="s">
        <v>9530</v>
      </c>
      <c r="B8" s="67" t="s">
        <v>9531</v>
      </c>
      <c r="C8" s="67" t="s">
        <v>9532</v>
      </c>
      <c r="D8" s="2" t="s">
        <v>9533</v>
      </c>
      <c r="E8" s="12" t="s">
        <v>9534</v>
      </c>
      <c r="F8" s="2" t="s">
        <v>9533</v>
      </c>
      <c r="G8" s="12" t="s">
        <v>9535</v>
      </c>
      <c r="H8" s="2" t="s">
        <v>9534</v>
      </c>
      <c r="I8" s="2" t="s">
        <v>9534</v>
      </c>
      <c r="J8" s="2" t="s">
        <v>9534</v>
      </c>
      <c r="K8" s="2" t="s">
        <v>9534</v>
      </c>
      <c r="L8" s="2" t="s">
        <v>9533</v>
      </c>
      <c r="M8" s="2" t="s">
        <v>9534</v>
      </c>
    </row>
    <row r="9" spans="1:13" ht="15" customHeight="1">
      <c r="A9" s="617"/>
      <c r="B9" s="618" t="s">
        <v>9536</v>
      </c>
      <c r="C9" s="67" t="s">
        <v>9532</v>
      </c>
      <c r="D9" s="12" t="s">
        <v>9534</v>
      </c>
      <c r="E9" s="12" t="s">
        <v>9534</v>
      </c>
      <c r="F9" s="12" t="s">
        <v>9534</v>
      </c>
      <c r="G9" s="12" t="s">
        <v>9535</v>
      </c>
      <c r="H9" s="2" t="s">
        <v>9534</v>
      </c>
      <c r="I9" s="2" t="s">
        <v>9534</v>
      </c>
      <c r="J9" s="2" t="s">
        <v>9534</v>
      </c>
      <c r="K9" s="2" t="s">
        <v>9534</v>
      </c>
      <c r="L9" s="2" t="s">
        <v>9534</v>
      </c>
      <c r="M9" s="2" t="s">
        <v>9534</v>
      </c>
    </row>
    <row r="10" spans="1:13" ht="51">
      <c r="A10" s="617"/>
      <c r="B10" s="619"/>
      <c r="C10" s="67" t="s">
        <v>9537</v>
      </c>
      <c r="D10" s="2" t="s">
        <v>9538</v>
      </c>
      <c r="E10" s="2" t="s">
        <v>9538</v>
      </c>
      <c r="F10" s="2" t="s">
        <v>9539</v>
      </c>
      <c r="G10" s="12" t="s">
        <v>9535</v>
      </c>
      <c r="H10" s="2" t="s">
        <v>9539</v>
      </c>
      <c r="I10" s="2" t="s">
        <v>9540</v>
      </c>
      <c r="J10" s="2" t="s">
        <v>9538</v>
      </c>
      <c r="K10" s="2" t="s">
        <v>9540</v>
      </c>
      <c r="L10" s="2" t="s">
        <v>9539</v>
      </c>
      <c r="M10" s="2" t="s">
        <v>9541</v>
      </c>
    </row>
    <row r="11" spans="1:13" ht="63.75">
      <c r="A11" s="617"/>
      <c r="B11" s="619"/>
      <c r="C11" s="67" t="s">
        <v>9542</v>
      </c>
      <c r="D11" s="2" t="s">
        <v>9543</v>
      </c>
      <c r="E11" s="2" t="s">
        <v>9544</v>
      </c>
      <c r="F11" s="2" t="s">
        <v>9545</v>
      </c>
      <c r="G11" s="12" t="s">
        <v>9535</v>
      </c>
      <c r="H11" s="2" t="s">
        <v>9546</v>
      </c>
      <c r="I11" s="2" t="s">
        <v>9547</v>
      </c>
      <c r="J11" s="2" t="s">
        <v>9546</v>
      </c>
      <c r="K11" s="2" t="s">
        <v>9547</v>
      </c>
      <c r="L11" s="2" t="s">
        <v>9548</v>
      </c>
      <c r="M11" s="2" t="s">
        <v>9549</v>
      </c>
    </row>
    <row r="12" spans="1:13" ht="51">
      <c r="A12" s="617"/>
      <c r="B12" s="620"/>
      <c r="C12" s="67" t="s">
        <v>9550</v>
      </c>
      <c r="D12" s="2" t="s">
        <v>9551</v>
      </c>
      <c r="E12" s="2" t="s">
        <v>9552</v>
      </c>
      <c r="F12" s="2" t="s">
        <v>9551</v>
      </c>
      <c r="G12" s="12" t="s">
        <v>9535</v>
      </c>
      <c r="H12" s="2" t="s">
        <v>9553</v>
      </c>
      <c r="I12" s="2" t="s">
        <v>9554</v>
      </c>
      <c r="J12" s="2" t="s">
        <v>9552</v>
      </c>
      <c r="K12" s="2" t="s">
        <v>9554</v>
      </c>
      <c r="L12" s="2" t="s">
        <v>9555</v>
      </c>
      <c r="M12" s="2" t="s">
        <v>9556</v>
      </c>
    </row>
    <row r="13" spans="1:13" ht="25.5">
      <c r="A13" s="617"/>
      <c r="B13" s="67" t="s">
        <v>9557</v>
      </c>
      <c r="C13" s="66" t="s">
        <v>9558</v>
      </c>
      <c r="D13" s="12" t="s">
        <v>9534</v>
      </c>
      <c r="E13" s="12" t="s">
        <v>9534</v>
      </c>
      <c r="F13" s="12" t="s">
        <v>9534</v>
      </c>
      <c r="G13" s="12" t="s">
        <v>9535</v>
      </c>
      <c r="H13" s="12" t="s">
        <v>9534</v>
      </c>
      <c r="I13" s="2" t="s">
        <v>9534</v>
      </c>
      <c r="J13" s="2" t="s">
        <v>9534</v>
      </c>
      <c r="K13" s="2" t="s">
        <v>9534</v>
      </c>
      <c r="L13" s="2" t="s">
        <v>9534</v>
      </c>
      <c r="M13" s="2" t="s">
        <v>9534</v>
      </c>
    </row>
    <row r="14" spans="1:13">
      <c r="A14" s="617"/>
      <c r="B14" s="616" t="s">
        <v>9559</v>
      </c>
      <c r="C14" s="67" t="s">
        <v>9532</v>
      </c>
      <c r="D14" s="12" t="s">
        <v>9534</v>
      </c>
      <c r="E14" s="12" t="s">
        <v>9534</v>
      </c>
      <c r="F14" s="12" t="s">
        <v>9534</v>
      </c>
      <c r="G14" s="12" t="s">
        <v>9535</v>
      </c>
      <c r="H14" s="12" t="s">
        <v>9534</v>
      </c>
      <c r="I14" s="2" t="s">
        <v>9534</v>
      </c>
      <c r="J14" s="2" t="s">
        <v>9534</v>
      </c>
      <c r="K14" s="2" t="s">
        <v>9534</v>
      </c>
      <c r="L14" s="2" t="s">
        <v>9534</v>
      </c>
      <c r="M14" s="2" t="s">
        <v>9534</v>
      </c>
    </row>
    <row r="15" spans="1:13">
      <c r="A15" s="617"/>
      <c r="B15" s="616"/>
      <c r="C15" s="67" t="s">
        <v>9537</v>
      </c>
      <c r="D15" s="12" t="s">
        <v>9534</v>
      </c>
      <c r="E15" s="12" t="s">
        <v>9534</v>
      </c>
      <c r="F15" s="12" t="s">
        <v>9534</v>
      </c>
      <c r="G15" s="12" t="s">
        <v>9535</v>
      </c>
      <c r="H15" s="12" t="s">
        <v>9534</v>
      </c>
      <c r="I15" s="2" t="s">
        <v>9534</v>
      </c>
      <c r="J15" s="2" t="s">
        <v>9534</v>
      </c>
      <c r="K15" s="2" t="s">
        <v>9534</v>
      </c>
      <c r="L15" s="2" t="s">
        <v>9534</v>
      </c>
      <c r="M15" s="2" t="s">
        <v>9534</v>
      </c>
    </row>
    <row r="16" spans="1:13" ht="51">
      <c r="A16" s="617"/>
      <c r="B16" s="67" t="s">
        <v>9560</v>
      </c>
      <c r="C16" s="66" t="s">
        <v>9558</v>
      </c>
      <c r="D16" s="12" t="s">
        <v>9534</v>
      </c>
      <c r="E16" s="12" t="s">
        <v>9534</v>
      </c>
      <c r="F16" s="12" t="s">
        <v>9534</v>
      </c>
      <c r="G16" s="12" t="s">
        <v>9535</v>
      </c>
      <c r="H16" s="12" t="s">
        <v>9534</v>
      </c>
      <c r="I16" s="2" t="s">
        <v>9534</v>
      </c>
      <c r="J16" s="2" t="s">
        <v>9534</v>
      </c>
      <c r="K16" s="2" t="s">
        <v>9534</v>
      </c>
      <c r="L16" s="2" t="s">
        <v>9534</v>
      </c>
      <c r="M16" s="2" t="s">
        <v>9534</v>
      </c>
    </row>
    <row r="17" spans="1:13" ht="25.5">
      <c r="A17" s="617"/>
      <c r="B17" s="616" t="s">
        <v>9561</v>
      </c>
      <c r="C17" s="67" t="s">
        <v>9532</v>
      </c>
      <c r="D17" s="12" t="s">
        <v>9534</v>
      </c>
      <c r="E17" s="12" t="s">
        <v>9534</v>
      </c>
      <c r="F17" s="12" t="s">
        <v>9534</v>
      </c>
      <c r="G17" s="12" t="s">
        <v>9535</v>
      </c>
      <c r="H17" s="12" t="s">
        <v>9534</v>
      </c>
      <c r="I17" s="2" t="s">
        <v>9534</v>
      </c>
      <c r="J17" s="2" t="s">
        <v>9534</v>
      </c>
      <c r="K17" s="2" t="s">
        <v>9534</v>
      </c>
      <c r="L17" s="2" t="s">
        <v>9534</v>
      </c>
      <c r="M17" s="2" t="s">
        <v>9562</v>
      </c>
    </row>
    <row r="18" spans="1:13" ht="25.5">
      <c r="A18" s="617"/>
      <c r="B18" s="616"/>
      <c r="C18" s="67" t="s">
        <v>9537</v>
      </c>
      <c r="D18" s="12" t="s">
        <v>9534</v>
      </c>
      <c r="E18" s="12" t="s">
        <v>9534</v>
      </c>
      <c r="F18" s="2" t="s">
        <v>9562</v>
      </c>
      <c r="G18" s="12" t="s">
        <v>9535</v>
      </c>
      <c r="H18" s="2" t="s">
        <v>9562</v>
      </c>
      <c r="I18" s="2" t="s">
        <v>9534</v>
      </c>
      <c r="J18" s="2" t="s">
        <v>9534</v>
      </c>
      <c r="K18" s="2" t="s">
        <v>9534</v>
      </c>
      <c r="L18" s="2" t="s">
        <v>9534</v>
      </c>
      <c r="M18" s="2" t="s">
        <v>9562</v>
      </c>
    </row>
    <row r="19" spans="1:13" ht="25.5">
      <c r="A19" s="617"/>
      <c r="B19" s="67" t="s">
        <v>9563</v>
      </c>
      <c r="C19" s="67" t="s">
        <v>9532</v>
      </c>
      <c r="D19" s="12" t="s">
        <v>9534</v>
      </c>
      <c r="E19" s="12" t="s">
        <v>9534</v>
      </c>
      <c r="F19" s="12" t="s">
        <v>9534</v>
      </c>
      <c r="G19" s="12" t="s">
        <v>9535</v>
      </c>
      <c r="H19" s="12" t="s">
        <v>9534</v>
      </c>
      <c r="I19" s="2" t="s">
        <v>9534</v>
      </c>
      <c r="J19" s="2" t="s">
        <v>9534</v>
      </c>
      <c r="K19" s="2" t="s">
        <v>9534</v>
      </c>
      <c r="L19" s="2" t="s">
        <v>9534</v>
      </c>
      <c r="M19" s="2" t="s">
        <v>9534</v>
      </c>
    </row>
    <row r="20" spans="1:13">
      <c r="A20" s="617"/>
      <c r="B20" s="67" t="s">
        <v>9564</v>
      </c>
      <c r="C20" s="67" t="s">
        <v>9532</v>
      </c>
      <c r="D20" s="12" t="s">
        <v>9565</v>
      </c>
      <c r="E20" s="12" t="s">
        <v>9534</v>
      </c>
      <c r="F20" s="12" t="s">
        <v>9534</v>
      </c>
      <c r="G20" s="12" t="s">
        <v>9535</v>
      </c>
      <c r="H20" s="12" t="s">
        <v>9535</v>
      </c>
      <c r="I20" s="2" t="s">
        <v>9534</v>
      </c>
      <c r="J20" s="2" t="s">
        <v>9534</v>
      </c>
      <c r="K20" s="12" t="s">
        <v>9535</v>
      </c>
      <c r="L20" s="2" t="s">
        <v>9565</v>
      </c>
      <c r="M20" s="12" t="s">
        <v>9535</v>
      </c>
    </row>
    <row r="21" spans="1:13" ht="25.5">
      <c r="A21" s="621" t="s">
        <v>9566</v>
      </c>
      <c r="B21" s="68" t="s">
        <v>9567</v>
      </c>
      <c r="C21" s="68" t="s">
        <v>9532</v>
      </c>
      <c r="D21" s="12" t="s">
        <v>9534</v>
      </c>
      <c r="E21" s="12" t="s">
        <v>9534</v>
      </c>
      <c r="F21" s="12" t="s">
        <v>9534</v>
      </c>
      <c r="G21" s="12" t="s">
        <v>9534</v>
      </c>
      <c r="H21" s="2" t="s">
        <v>9562</v>
      </c>
      <c r="I21" s="2" t="s">
        <v>9534</v>
      </c>
      <c r="J21" s="2" t="s">
        <v>9562</v>
      </c>
      <c r="K21" s="2" t="s">
        <v>9534</v>
      </c>
      <c r="L21" s="2" t="s">
        <v>9534</v>
      </c>
      <c r="M21" s="2" t="s">
        <v>9534</v>
      </c>
    </row>
    <row r="22" spans="1:13" ht="25.5">
      <c r="A22" s="621"/>
      <c r="B22" s="621" t="s">
        <v>9568</v>
      </c>
      <c r="C22" s="68" t="s">
        <v>9532</v>
      </c>
      <c r="D22" s="12" t="s">
        <v>9534</v>
      </c>
      <c r="E22" s="12" t="s">
        <v>9534</v>
      </c>
      <c r="F22" s="12" t="s">
        <v>9534</v>
      </c>
      <c r="G22" s="12" t="s">
        <v>9534</v>
      </c>
      <c r="H22" s="12" t="s">
        <v>9534</v>
      </c>
      <c r="I22" s="2" t="s">
        <v>9534</v>
      </c>
      <c r="J22" s="2" t="s">
        <v>9562</v>
      </c>
      <c r="K22" s="2" t="s">
        <v>9534</v>
      </c>
      <c r="L22" s="2" t="s">
        <v>9534</v>
      </c>
      <c r="M22" s="2" t="s">
        <v>9534</v>
      </c>
    </row>
    <row r="23" spans="1:13" ht="48" customHeight="1">
      <c r="A23" s="621"/>
      <c r="B23" s="621"/>
      <c r="C23" s="68" t="s">
        <v>9569</v>
      </c>
      <c r="D23" s="2" t="s">
        <v>9570</v>
      </c>
      <c r="E23" s="2" t="s">
        <v>9554</v>
      </c>
      <c r="F23" s="2" t="s">
        <v>9554</v>
      </c>
      <c r="G23" s="2" t="s">
        <v>9554</v>
      </c>
      <c r="H23" s="2" t="s">
        <v>9554</v>
      </c>
      <c r="I23" s="2" t="s">
        <v>9554</v>
      </c>
      <c r="J23" s="2" t="s">
        <v>9552</v>
      </c>
      <c r="K23" s="2" t="s">
        <v>9554</v>
      </c>
      <c r="L23" s="2" t="s">
        <v>9554</v>
      </c>
      <c r="M23" s="2" t="s">
        <v>9556</v>
      </c>
    </row>
    <row r="24" spans="1:13" ht="38.25">
      <c r="A24" s="621"/>
      <c r="B24" s="68" t="s">
        <v>9571</v>
      </c>
      <c r="C24" s="69" t="s">
        <v>9558</v>
      </c>
      <c r="D24" s="12" t="s">
        <v>9534</v>
      </c>
      <c r="E24" s="12" t="s">
        <v>9534</v>
      </c>
      <c r="F24" s="12" t="s">
        <v>9534</v>
      </c>
      <c r="G24" s="12" t="s">
        <v>9534</v>
      </c>
      <c r="H24" s="12" t="s">
        <v>9534</v>
      </c>
      <c r="I24" s="2" t="s">
        <v>9534</v>
      </c>
      <c r="J24" s="2" t="s">
        <v>9534</v>
      </c>
      <c r="K24" s="2" t="s">
        <v>9534</v>
      </c>
      <c r="L24" s="2" t="s">
        <v>9534</v>
      </c>
      <c r="M24" s="2" t="s">
        <v>9534</v>
      </c>
    </row>
    <row r="25" spans="1:13" ht="63.75">
      <c r="A25" s="621"/>
      <c r="B25" s="68" t="s">
        <v>9572</v>
      </c>
      <c r="C25" s="69" t="s">
        <v>9558</v>
      </c>
      <c r="D25" s="12" t="s">
        <v>9534</v>
      </c>
      <c r="E25" s="2" t="s">
        <v>9573</v>
      </c>
      <c r="F25" s="12" t="s">
        <v>9534</v>
      </c>
      <c r="G25" s="12" t="s">
        <v>9535</v>
      </c>
      <c r="H25" s="12" t="s">
        <v>9534</v>
      </c>
      <c r="I25" s="2" t="s">
        <v>9534</v>
      </c>
      <c r="J25" s="2" t="s">
        <v>9534</v>
      </c>
      <c r="K25" s="2" t="s">
        <v>9534</v>
      </c>
      <c r="L25" s="2" t="s">
        <v>9534</v>
      </c>
      <c r="M25" s="2" t="s">
        <v>9534</v>
      </c>
    </row>
    <row r="26" spans="1:13" ht="25.5">
      <c r="A26" s="621"/>
      <c r="B26" s="68" t="s">
        <v>9574</v>
      </c>
      <c r="C26" s="68" t="s">
        <v>9532</v>
      </c>
      <c r="D26" s="12" t="s">
        <v>9534</v>
      </c>
      <c r="E26" s="12" t="s">
        <v>9534</v>
      </c>
      <c r="F26" s="12" t="s">
        <v>9534</v>
      </c>
      <c r="G26" s="2" t="s">
        <v>9533</v>
      </c>
      <c r="H26" s="2" t="s">
        <v>9562</v>
      </c>
      <c r="I26" s="2" t="s">
        <v>9562</v>
      </c>
      <c r="J26" s="2" t="s">
        <v>9534</v>
      </c>
      <c r="K26" s="2" t="s">
        <v>9534</v>
      </c>
      <c r="L26" s="2" t="s">
        <v>9534</v>
      </c>
      <c r="M26" s="2" t="s">
        <v>9534</v>
      </c>
    </row>
    <row r="27" spans="1:13" ht="76.5">
      <c r="A27" s="616" t="s">
        <v>127</v>
      </c>
      <c r="B27" s="67" t="s">
        <v>9575</v>
      </c>
      <c r="C27" s="66" t="s">
        <v>9558</v>
      </c>
      <c r="D27" s="12" t="s">
        <v>9534</v>
      </c>
      <c r="E27" s="12" t="s">
        <v>9534</v>
      </c>
      <c r="F27" s="12" t="s">
        <v>9534</v>
      </c>
      <c r="G27" s="12" t="s">
        <v>9534</v>
      </c>
      <c r="H27" s="12" t="s">
        <v>9534</v>
      </c>
      <c r="I27" s="12" t="s">
        <v>9534</v>
      </c>
      <c r="J27" s="2" t="s">
        <v>9534</v>
      </c>
      <c r="K27" s="2" t="s">
        <v>9534</v>
      </c>
      <c r="L27" s="2" t="s">
        <v>9534</v>
      </c>
      <c r="M27" s="2" t="s">
        <v>9534</v>
      </c>
    </row>
    <row r="28" spans="1:13" ht="89.25">
      <c r="A28" s="616"/>
      <c r="B28" s="67" t="s">
        <v>9576</v>
      </c>
      <c r="C28" s="66" t="s">
        <v>9558</v>
      </c>
      <c r="D28" s="12" t="s">
        <v>9534</v>
      </c>
      <c r="E28" s="12" t="s">
        <v>9534</v>
      </c>
      <c r="F28" s="12" t="s">
        <v>9534</v>
      </c>
      <c r="G28" s="12" t="s">
        <v>9534</v>
      </c>
      <c r="H28" s="12" t="s">
        <v>9534</v>
      </c>
      <c r="I28" s="12" t="s">
        <v>9534</v>
      </c>
      <c r="J28" s="2" t="s">
        <v>9534</v>
      </c>
      <c r="K28" s="2" t="s">
        <v>9534</v>
      </c>
      <c r="L28" s="2" t="s">
        <v>9534</v>
      </c>
      <c r="M28" s="2" t="s">
        <v>9534</v>
      </c>
    </row>
    <row r="29" spans="1:13" ht="51">
      <c r="A29" s="616"/>
      <c r="B29" s="67" t="s">
        <v>9577</v>
      </c>
      <c r="C29" s="67" t="s">
        <v>9532</v>
      </c>
      <c r="D29" s="12" t="s">
        <v>9534</v>
      </c>
      <c r="E29" s="12" t="s">
        <v>9534</v>
      </c>
      <c r="F29" s="2" t="s">
        <v>9562</v>
      </c>
      <c r="G29" s="12" t="s">
        <v>9534</v>
      </c>
      <c r="H29" s="2" t="s">
        <v>9562</v>
      </c>
      <c r="I29" s="12" t="s">
        <v>9534</v>
      </c>
      <c r="J29" s="2" t="s">
        <v>9534</v>
      </c>
      <c r="K29" s="2" t="s">
        <v>9534</v>
      </c>
      <c r="L29" s="2" t="s">
        <v>9562</v>
      </c>
      <c r="M29" s="2" t="s">
        <v>9534</v>
      </c>
    </row>
    <row r="30" spans="1:13" ht="63.75">
      <c r="A30" s="616"/>
      <c r="B30" s="67" t="s">
        <v>9578</v>
      </c>
      <c r="C30" s="66" t="s">
        <v>9558</v>
      </c>
      <c r="D30" s="12" t="s">
        <v>9534</v>
      </c>
      <c r="E30" s="12" t="s">
        <v>9534</v>
      </c>
      <c r="F30" s="12" t="s">
        <v>9534</v>
      </c>
      <c r="G30" s="12" t="s">
        <v>9534</v>
      </c>
      <c r="H30" s="12" t="s">
        <v>9534</v>
      </c>
      <c r="I30" s="12" t="s">
        <v>9534</v>
      </c>
      <c r="J30" s="2" t="s">
        <v>9534</v>
      </c>
      <c r="K30" s="2" t="s">
        <v>9534</v>
      </c>
      <c r="L30" s="2" t="s">
        <v>9534</v>
      </c>
      <c r="M30" s="2" t="s">
        <v>9534</v>
      </c>
    </row>
    <row r="31" spans="1:13" ht="25.5">
      <c r="A31" s="616"/>
      <c r="B31" s="67" t="s">
        <v>9579</v>
      </c>
      <c r="C31" s="66" t="s">
        <v>9558</v>
      </c>
      <c r="D31" s="12" t="s">
        <v>9534</v>
      </c>
      <c r="E31" s="12" t="s">
        <v>9534</v>
      </c>
      <c r="F31" s="12" t="s">
        <v>9534</v>
      </c>
      <c r="G31" s="12" t="s">
        <v>9534</v>
      </c>
      <c r="H31" s="12" t="s">
        <v>9534</v>
      </c>
      <c r="I31" s="12" t="s">
        <v>9534</v>
      </c>
      <c r="J31" s="2" t="s">
        <v>9534</v>
      </c>
      <c r="K31" s="2" t="s">
        <v>9534</v>
      </c>
      <c r="L31" s="2" t="s">
        <v>9534</v>
      </c>
      <c r="M31" s="2" t="s">
        <v>9534</v>
      </c>
    </row>
    <row r="32" spans="1:13" ht="51">
      <c r="A32" s="616"/>
      <c r="B32" s="67" t="s">
        <v>9580</v>
      </c>
      <c r="C32" s="66" t="s">
        <v>9558</v>
      </c>
      <c r="D32" s="12" t="s">
        <v>9534</v>
      </c>
      <c r="E32" s="12" t="s">
        <v>9534</v>
      </c>
      <c r="F32" s="12" t="s">
        <v>9534</v>
      </c>
      <c r="G32" s="12" t="s">
        <v>9534</v>
      </c>
      <c r="H32" s="12" t="s">
        <v>9534</v>
      </c>
      <c r="I32" s="12" t="s">
        <v>9534</v>
      </c>
      <c r="J32" s="2" t="s">
        <v>9534</v>
      </c>
      <c r="K32" s="2" t="s">
        <v>9534</v>
      </c>
      <c r="L32" s="2" t="s">
        <v>9534</v>
      </c>
      <c r="M32" s="2" t="s">
        <v>9534</v>
      </c>
    </row>
  </sheetData>
  <mergeCells count="22">
    <mergeCell ref="A27:A32"/>
    <mergeCell ref="A1:E1"/>
    <mergeCell ref="A8:A20"/>
    <mergeCell ref="B9:B12"/>
    <mergeCell ref="B14:B15"/>
    <mergeCell ref="B17:B18"/>
    <mergeCell ref="A21:A26"/>
    <mergeCell ref="B22:B23"/>
    <mergeCell ref="A5:A7"/>
    <mergeCell ref="A2:C2"/>
    <mergeCell ref="A3:C3"/>
    <mergeCell ref="D3:D4"/>
    <mergeCell ref="D2:M2"/>
    <mergeCell ref="G3:G4"/>
    <mergeCell ref="E3:E4"/>
    <mergeCell ref="F3:F4"/>
    <mergeCell ref="K3:K4"/>
    <mergeCell ref="H3:H4"/>
    <mergeCell ref="I3:I4"/>
    <mergeCell ref="J3:J4"/>
    <mergeCell ref="M3:M4"/>
    <mergeCell ref="L3:L4"/>
  </mergeCells>
  <phoneticPr fontId="21" type="noConversion"/>
  <conditionalFormatting sqref="D3 F3:I3">
    <cfRule type="duplicateValues" dxfId="101" priority="1432"/>
  </conditionalFormatting>
  <conditionalFormatting sqref="E3">
    <cfRule type="duplicateValues" dxfId="100" priority="1"/>
  </conditionalFormatting>
  <conditionalFormatting sqref="J3">
    <cfRule type="duplicateValues" dxfId="99" priority="5"/>
  </conditionalFormatting>
  <conditionalFormatting sqref="K3">
    <cfRule type="duplicateValues" dxfId="98" priority="3"/>
  </conditionalFormatting>
  <conditionalFormatting sqref="L3:M3">
    <cfRule type="duplicateValues" dxfId="97" priority="1433"/>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ED791-DCDD-46C1-9609-AE9DFCB928FA}">
  <sheetPr>
    <tabColor rgb="FF006432"/>
  </sheetPr>
  <dimension ref="A1:M152"/>
  <sheetViews>
    <sheetView workbookViewId="0">
      <pane ySplit="2" topLeftCell="A3" activePane="bottomLeft" state="frozen"/>
      <selection pane="bottomLeft" activeCell="K20" sqref="K20"/>
    </sheetView>
  </sheetViews>
  <sheetFormatPr defaultColWidth="9.140625" defaultRowHeight="15"/>
  <cols>
    <col min="1" max="1" width="4.42578125" style="5" customWidth="1"/>
    <col min="2" max="2" width="29.7109375" style="11" customWidth="1"/>
    <col min="3" max="3" width="14.85546875" style="11" customWidth="1"/>
    <col min="4" max="4" width="16.42578125" style="11" customWidth="1"/>
    <col min="5" max="5" width="16.7109375" style="11" customWidth="1"/>
    <col min="6" max="6" width="15.7109375" style="11" customWidth="1"/>
    <col min="7" max="7" width="19.140625" style="11" customWidth="1"/>
    <col min="8" max="8" width="14.85546875" style="5" customWidth="1"/>
    <col min="9" max="9" width="16.85546875" style="5" customWidth="1"/>
    <col min="10" max="10" width="16.140625" style="11" customWidth="1"/>
    <col min="11" max="11" width="15.5703125" style="11" customWidth="1"/>
    <col min="12" max="12" width="14.5703125" style="11" customWidth="1"/>
    <col min="13" max="16384" width="9.140625" style="11"/>
  </cols>
  <sheetData>
    <row r="1" spans="1:13" ht="16.5" thickBot="1">
      <c r="A1" s="15" t="s">
        <v>9581</v>
      </c>
      <c r="B1" s="26"/>
      <c r="C1" s="26"/>
      <c r="D1" s="26"/>
      <c r="E1" s="63"/>
      <c r="F1" s="63"/>
      <c r="G1" s="63"/>
      <c r="H1" s="213"/>
      <c r="I1" s="213"/>
      <c r="J1" s="71"/>
      <c r="K1" s="63"/>
      <c r="L1" s="63"/>
    </row>
    <row r="2" spans="1:13" ht="39" thickTop="1">
      <c r="A2" s="46" t="s">
        <v>114</v>
      </c>
      <c r="B2" s="46" t="s">
        <v>115</v>
      </c>
      <c r="C2" s="46" t="s">
        <v>9582</v>
      </c>
      <c r="D2" s="46" t="s">
        <v>9583</v>
      </c>
      <c r="E2" s="46" t="s">
        <v>337</v>
      </c>
      <c r="F2" s="46" t="s">
        <v>9584</v>
      </c>
      <c r="G2" s="46" t="s">
        <v>9585</v>
      </c>
      <c r="H2" s="46" t="s">
        <v>9586</v>
      </c>
      <c r="I2" s="46" t="s">
        <v>8558</v>
      </c>
      <c r="J2" s="303" t="s">
        <v>9587</v>
      </c>
      <c r="K2" s="46" t="s">
        <v>9588</v>
      </c>
      <c r="L2" s="46" t="s">
        <v>9589</v>
      </c>
    </row>
    <row r="3" spans="1:13">
      <c r="A3" s="293">
        <v>1</v>
      </c>
      <c r="B3" s="214" t="s">
        <v>121</v>
      </c>
      <c r="C3" s="294"/>
      <c r="D3" s="294"/>
      <c r="E3" s="294"/>
      <c r="F3" s="294"/>
      <c r="G3" s="294"/>
      <c r="H3" s="293"/>
      <c r="I3" s="293"/>
      <c r="J3" s="294"/>
      <c r="K3" s="294"/>
      <c r="L3" s="294"/>
      <c r="M3" s="290"/>
    </row>
    <row r="4" spans="1:13">
      <c r="A4" s="293">
        <v>2</v>
      </c>
      <c r="B4" s="214" t="s">
        <v>126</v>
      </c>
      <c r="C4" s="294"/>
      <c r="D4" s="294"/>
      <c r="E4" s="294"/>
      <c r="F4" s="294"/>
      <c r="G4" s="294"/>
      <c r="H4" s="293"/>
      <c r="I4" s="293"/>
      <c r="J4" s="294"/>
      <c r="K4" s="294"/>
      <c r="L4" s="294"/>
      <c r="M4" s="290"/>
    </row>
    <row r="5" spans="1:13">
      <c r="A5" s="293">
        <v>3</v>
      </c>
      <c r="B5" s="214" t="s">
        <v>131</v>
      </c>
      <c r="C5" s="294"/>
      <c r="D5" s="294"/>
      <c r="E5" s="294"/>
      <c r="F5" s="294"/>
      <c r="G5" s="294"/>
      <c r="H5" s="293"/>
      <c r="I5" s="293"/>
      <c r="J5" s="294"/>
      <c r="K5" s="294"/>
      <c r="L5" s="294"/>
      <c r="M5" s="290"/>
    </row>
    <row r="6" spans="1:13">
      <c r="A6" s="293">
        <v>4</v>
      </c>
      <c r="B6" s="214" t="s">
        <v>133</v>
      </c>
      <c r="C6" s="294"/>
      <c r="D6" s="294"/>
      <c r="E6" s="294"/>
      <c r="F6" s="294"/>
      <c r="G6" s="294"/>
      <c r="H6" s="293"/>
      <c r="I6" s="293"/>
      <c r="J6" s="294"/>
      <c r="K6" s="294"/>
      <c r="L6" s="294"/>
      <c r="M6" s="290"/>
    </row>
    <row r="7" spans="1:13">
      <c r="A7" s="293">
        <v>5</v>
      </c>
      <c r="B7" s="214" t="s">
        <v>136</v>
      </c>
      <c r="C7" s="294"/>
      <c r="D7" s="294"/>
      <c r="E7" s="294"/>
      <c r="F7" s="294"/>
      <c r="G7" s="294"/>
      <c r="H7" s="293"/>
      <c r="I7" s="293"/>
      <c r="J7" s="294"/>
      <c r="K7" s="294"/>
      <c r="L7" s="294"/>
      <c r="M7" s="290"/>
    </row>
    <row r="8" spans="1:13">
      <c r="A8" s="293">
        <v>6</v>
      </c>
      <c r="B8" s="214" t="s">
        <v>140</v>
      </c>
      <c r="C8" s="294"/>
      <c r="D8" s="294"/>
      <c r="E8" s="294"/>
      <c r="F8" s="294"/>
      <c r="G8" s="294"/>
      <c r="H8" s="293"/>
      <c r="I8" s="293"/>
      <c r="J8" s="294"/>
      <c r="K8" s="294"/>
      <c r="L8" s="294"/>
      <c r="M8" s="290"/>
    </row>
    <row r="9" spans="1:13">
      <c r="A9" s="293">
        <v>7</v>
      </c>
      <c r="B9" s="214" t="s">
        <v>143</v>
      </c>
      <c r="C9" s="294"/>
      <c r="D9" s="294"/>
      <c r="E9" s="294"/>
      <c r="F9" s="294"/>
      <c r="G9" s="294"/>
      <c r="H9" s="293"/>
      <c r="I9" s="293"/>
      <c r="J9" s="294"/>
      <c r="K9" s="294"/>
      <c r="L9" s="294"/>
      <c r="M9" s="290"/>
    </row>
    <row r="10" spans="1:13">
      <c r="A10" s="293">
        <v>8</v>
      </c>
      <c r="B10" s="214" t="s">
        <v>144</v>
      </c>
      <c r="C10" s="294"/>
      <c r="D10" s="294"/>
      <c r="E10" s="294"/>
      <c r="F10" s="294"/>
      <c r="G10" s="294"/>
      <c r="H10" s="293"/>
      <c r="I10" s="293"/>
      <c r="J10" s="294"/>
      <c r="K10" s="294"/>
      <c r="L10" s="294"/>
      <c r="M10" s="290"/>
    </row>
    <row r="11" spans="1:13">
      <c r="A11" s="293">
        <v>9</v>
      </c>
      <c r="B11" s="214" t="s">
        <v>146</v>
      </c>
      <c r="C11" s="294"/>
      <c r="D11" s="294"/>
      <c r="E11" s="294"/>
      <c r="F11" s="294"/>
      <c r="G11" s="294"/>
      <c r="H11" s="293"/>
      <c r="I11" s="293"/>
      <c r="J11" s="294"/>
      <c r="K11" s="294"/>
      <c r="L11" s="294"/>
      <c r="M11" s="290"/>
    </row>
    <row r="12" spans="1:13">
      <c r="A12" s="293">
        <v>10</v>
      </c>
      <c r="B12" s="214" t="s">
        <v>629</v>
      </c>
      <c r="C12" s="294"/>
      <c r="D12" s="294"/>
      <c r="E12" s="294"/>
      <c r="F12" s="294"/>
      <c r="G12" s="294"/>
      <c r="H12" s="293"/>
      <c r="I12" s="293"/>
      <c r="J12" s="294"/>
      <c r="K12" s="294"/>
      <c r="L12" s="294"/>
      <c r="M12" s="291"/>
    </row>
    <row r="13" spans="1:13" ht="38.25">
      <c r="A13" s="293">
        <v>11</v>
      </c>
      <c r="B13" s="210" t="s">
        <v>152</v>
      </c>
      <c r="C13" s="217" t="s">
        <v>9590</v>
      </c>
      <c r="D13" s="216" t="s">
        <v>9591</v>
      </c>
      <c r="E13" s="216" t="s">
        <v>8593</v>
      </c>
      <c r="F13" s="216" t="s">
        <v>9592</v>
      </c>
      <c r="G13" s="257">
        <v>25061600000</v>
      </c>
      <c r="H13" s="263">
        <v>35502</v>
      </c>
      <c r="I13" s="263">
        <v>48000</v>
      </c>
      <c r="J13" s="216">
        <v>1.75</v>
      </c>
      <c r="K13" s="216" t="s">
        <v>9593</v>
      </c>
      <c r="L13" s="217" t="s">
        <v>8259</v>
      </c>
    </row>
    <row r="14" spans="1:13" ht="38.25">
      <c r="A14" s="293">
        <v>12</v>
      </c>
      <c r="B14" s="210" t="s">
        <v>152</v>
      </c>
      <c r="C14" s="217" t="s">
        <v>9590</v>
      </c>
      <c r="D14" s="216" t="s">
        <v>9594</v>
      </c>
      <c r="E14" s="216" t="s">
        <v>8593</v>
      </c>
      <c r="F14" s="216" t="s">
        <v>9592</v>
      </c>
      <c r="G14" s="257">
        <v>19579800000</v>
      </c>
      <c r="H14" s="263">
        <v>35832</v>
      </c>
      <c r="I14" s="263">
        <v>44614</v>
      </c>
      <c r="J14" s="216">
        <v>1.75</v>
      </c>
      <c r="K14" s="216" t="s">
        <v>9593</v>
      </c>
      <c r="L14" s="217" t="s">
        <v>8259</v>
      </c>
    </row>
    <row r="15" spans="1:13" ht="25.5">
      <c r="A15" s="293">
        <v>13</v>
      </c>
      <c r="B15" s="302" t="s">
        <v>152</v>
      </c>
      <c r="C15" s="217" t="s">
        <v>9590</v>
      </c>
      <c r="D15" s="216" t="s">
        <v>8241</v>
      </c>
      <c r="E15" s="216" t="s">
        <v>8593</v>
      </c>
      <c r="F15" s="216" t="s">
        <v>8332</v>
      </c>
      <c r="G15" s="257">
        <v>10205200000</v>
      </c>
      <c r="H15" s="263">
        <v>42003</v>
      </c>
      <c r="I15" s="263">
        <v>44926</v>
      </c>
      <c r="J15" s="216">
        <v>0</v>
      </c>
      <c r="K15" s="216" t="s">
        <v>127</v>
      </c>
      <c r="L15" s="217" t="s">
        <v>8259</v>
      </c>
    </row>
    <row r="16" spans="1:13" ht="25.5">
      <c r="A16" s="293">
        <v>14</v>
      </c>
      <c r="B16" s="302" t="s">
        <v>152</v>
      </c>
      <c r="C16" s="217" t="s">
        <v>9590</v>
      </c>
      <c r="D16" s="216" t="s">
        <v>9595</v>
      </c>
      <c r="E16" s="216" t="s">
        <v>8593</v>
      </c>
      <c r="F16" s="216" t="s">
        <v>9596</v>
      </c>
      <c r="G16" s="257">
        <v>13900000000</v>
      </c>
      <c r="H16" s="263">
        <v>43258</v>
      </c>
      <c r="I16" s="263">
        <v>43623</v>
      </c>
      <c r="J16" s="216">
        <v>2</v>
      </c>
      <c r="K16" s="216" t="s">
        <v>127</v>
      </c>
      <c r="L16" s="217" t="s">
        <v>8259</v>
      </c>
    </row>
    <row r="17" spans="1:12" ht="25.5">
      <c r="A17" s="293">
        <v>15</v>
      </c>
      <c r="B17" s="302" t="s">
        <v>152</v>
      </c>
      <c r="C17" s="217" t="s">
        <v>9590</v>
      </c>
      <c r="D17" s="216" t="s">
        <v>900</v>
      </c>
      <c r="E17" s="216" t="s">
        <v>8593</v>
      </c>
      <c r="F17" s="216" t="s">
        <v>9596</v>
      </c>
      <c r="G17" s="257">
        <v>6000000000</v>
      </c>
      <c r="H17" s="263">
        <v>43346</v>
      </c>
      <c r="I17" s="263">
        <v>43524</v>
      </c>
      <c r="J17" s="216">
        <v>8.4</v>
      </c>
      <c r="K17" s="216" t="s">
        <v>127</v>
      </c>
      <c r="L17" s="217" t="s">
        <v>8259</v>
      </c>
    </row>
    <row r="18" spans="1:12" ht="25.5">
      <c r="A18" s="293">
        <v>16</v>
      </c>
      <c r="B18" s="302" t="s">
        <v>152</v>
      </c>
      <c r="C18" s="217" t="s">
        <v>9590</v>
      </c>
      <c r="D18" s="216" t="s">
        <v>900</v>
      </c>
      <c r="E18" s="216" t="s">
        <v>8593</v>
      </c>
      <c r="F18" s="216" t="s">
        <v>9596</v>
      </c>
      <c r="G18" s="257">
        <v>4000000000</v>
      </c>
      <c r="H18" s="263">
        <v>43710</v>
      </c>
      <c r="I18" s="263">
        <v>43819</v>
      </c>
      <c r="J18" s="216">
        <v>11</v>
      </c>
      <c r="K18" s="216" t="s">
        <v>127</v>
      </c>
      <c r="L18" s="217" t="s">
        <v>8259</v>
      </c>
    </row>
    <row r="19" spans="1:12" ht="38.25">
      <c r="A19" s="293">
        <v>17</v>
      </c>
      <c r="B19" s="302" t="s">
        <v>152</v>
      </c>
      <c r="C19" s="217" t="s">
        <v>9590</v>
      </c>
      <c r="D19" s="216" t="s">
        <v>9594</v>
      </c>
      <c r="E19" s="216" t="s">
        <v>8593</v>
      </c>
      <c r="F19" s="216" t="s">
        <v>9596</v>
      </c>
      <c r="G19" s="257">
        <v>22439600000</v>
      </c>
      <c r="H19" s="263">
        <v>44260</v>
      </c>
      <c r="I19" s="263">
        <v>45478</v>
      </c>
      <c r="J19" s="216">
        <v>0</v>
      </c>
      <c r="K19" s="216" t="s">
        <v>9593</v>
      </c>
      <c r="L19" s="217" t="s">
        <v>8259</v>
      </c>
    </row>
    <row r="20" spans="1:12" ht="25.5">
      <c r="A20" s="293">
        <v>18</v>
      </c>
      <c r="B20" s="302" t="s">
        <v>152</v>
      </c>
      <c r="C20" s="217" t="s">
        <v>9590</v>
      </c>
      <c r="D20" s="216" t="s">
        <v>9597</v>
      </c>
      <c r="E20" s="216" t="s">
        <v>8593</v>
      </c>
      <c r="F20" s="216" t="s">
        <v>9596</v>
      </c>
      <c r="G20" s="257">
        <v>700000000</v>
      </c>
      <c r="H20" s="263">
        <v>44644</v>
      </c>
      <c r="I20" s="263">
        <v>44950</v>
      </c>
      <c r="J20" s="216">
        <v>19.2</v>
      </c>
      <c r="K20" s="216" t="s">
        <v>127</v>
      </c>
      <c r="L20" s="217" t="s">
        <v>8259</v>
      </c>
    </row>
    <row r="21" spans="1:12" ht="25.5">
      <c r="A21" s="293">
        <v>19</v>
      </c>
      <c r="B21" s="302" t="s">
        <v>152</v>
      </c>
      <c r="C21" s="217" t="s">
        <v>9590</v>
      </c>
      <c r="D21" s="216" t="s">
        <v>9598</v>
      </c>
      <c r="E21" s="216" t="s">
        <v>8593</v>
      </c>
      <c r="F21" s="216" t="s">
        <v>9596</v>
      </c>
      <c r="G21" s="257">
        <v>3900000000</v>
      </c>
      <c r="H21" s="263">
        <v>44713</v>
      </c>
      <c r="I21" s="263">
        <v>45083</v>
      </c>
      <c r="J21" s="216">
        <v>19.2</v>
      </c>
      <c r="K21" s="216" t="s">
        <v>127</v>
      </c>
      <c r="L21" s="217" t="s">
        <v>8259</v>
      </c>
    </row>
    <row r="22" spans="1:12" ht="38.25">
      <c r="A22" s="293">
        <v>20</v>
      </c>
      <c r="B22" s="302" t="s">
        <v>152</v>
      </c>
      <c r="C22" s="217" t="s">
        <v>9590</v>
      </c>
      <c r="D22" s="216" t="s">
        <v>8241</v>
      </c>
      <c r="E22" s="216" t="s">
        <v>9599</v>
      </c>
      <c r="F22" s="216" t="s">
        <v>9600</v>
      </c>
      <c r="G22" s="257">
        <v>23900000000</v>
      </c>
      <c r="H22" s="263">
        <v>44853</v>
      </c>
      <c r="I22" s="263">
        <v>46022</v>
      </c>
      <c r="J22" s="216">
        <v>2</v>
      </c>
      <c r="K22" s="216" t="s">
        <v>127</v>
      </c>
      <c r="L22" s="217" t="s">
        <v>8259</v>
      </c>
    </row>
    <row r="23" spans="1:12">
      <c r="A23" s="293">
        <v>21</v>
      </c>
      <c r="B23" s="214" t="s">
        <v>155</v>
      </c>
      <c r="C23" s="294"/>
      <c r="D23" s="294"/>
      <c r="E23" s="294"/>
      <c r="F23" s="294"/>
      <c r="G23" s="294"/>
      <c r="H23" s="293"/>
      <c r="I23" s="293"/>
      <c r="J23" s="294"/>
      <c r="K23" s="294"/>
      <c r="L23" s="294"/>
    </row>
    <row r="24" spans="1:12">
      <c r="A24" s="293">
        <v>22</v>
      </c>
      <c r="B24" s="214" t="s">
        <v>157</v>
      </c>
      <c r="C24" s="294"/>
      <c r="D24" s="294"/>
      <c r="E24" s="294"/>
      <c r="F24" s="294"/>
      <c r="G24" s="294"/>
      <c r="H24" s="293"/>
      <c r="I24" s="293"/>
      <c r="J24" s="294"/>
      <c r="K24" s="294"/>
      <c r="L24" s="294"/>
    </row>
    <row r="25" spans="1:12">
      <c r="A25" s="293">
        <v>23</v>
      </c>
      <c r="B25" s="214" t="s">
        <v>159</v>
      </c>
      <c r="C25" s="294"/>
      <c r="D25" s="294"/>
      <c r="E25" s="294"/>
      <c r="F25" s="294"/>
      <c r="G25" s="294"/>
      <c r="H25" s="293"/>
      <c r="I25" s="293"/>
      <c r="J25" s="294"/>
      <c r="K25" s="294"/>
      <c r="L25" s="294"/>
    </row>
    <row r="26" spans="1:12">
      <c r="A26" s="293">
        <v>24</v>
      </c>
      <c r="B26" s="214" t="s">
        <v>161</v>
      </c>
      <c r="C26" s="294"/>
      <c r="D26" s="294"/>
      <c r="E26" s="294"/>
      <c r="F26" s="294"/>
      <c r="G26" s="294"/>
      <c r="H26" s="293"/>
      <c r="I26" s="293"/>
      <c r="J26" s="294"/>
      <c r="K26" s="294"/>
      <c r="L26" s="294"/>
    </row>
    <row r="27" spans="1:12">
      <c r="A27" s="293">
        <v>25</v>
      </c>
      <c r="B27" s="214" t="s">
        <v>165</v>
      </c>
      <c r="C27" s="294"/>
      <c r="D27" s="294"/>
      <c r="E27" s="294"/>
      <c r="F27" s="294"/>
      <c r="G27" s="294"/>
      <c r="H27" s="293"/>
      <c r="I27" s="293"/>
      <c r="J27" s="294"/>
      <c r="K27" s="294"/>
      <c r="L27" s="294"/>
    </row>
    <row r="28" spans="1:12">
      <c r="A28" s="293">
        <v>26</v>
      </c>
      <c r="B28" s="214" t="s">
        <v>168</v>
      </c>
      <c r="C28" s="294"/>
      <c r="D28" s="294"/>
      <c r="E28" s="294"/>
      <c r="F28" s="294"/>
      <c r="G28" s="294"/>
      <c r="H28" s="293"/>
      <c r="I28" s="293"/>
      <c r="J28" s="294"/>
      <c r="K28" s="294"/>
      <c r="L28" s="294"/>
    </row>
    <row r="29" spans="1:12">
      <c r="A29" s="293">
        <v>27</v>
      </c>
      <c r="B29" s="214" t="s">
        <v>169</v>
      </c>
      <c r="C29" s="294"/>
      <c r="D29" s="294"/>
      <c r="E29" s="294"/>
      <c r="F29" s="294"/>
      <c r="G29" s="294"/>
      <c r="H29" s="293"/>
      <c r="I29" s="293"/>
      <c r="J29" s="294"/>
      <c r="K29" s="294"/>
      <c r="L29" s="294"/>
    </row>
    <row r="30" spans="1:12">
      <c r="A30" s="293">
        <v>28</v>
      </c>
      <c r="B30" s="214" t="s">
        <v>173</v>
      </c>
      <c r="C30" s="294"/>
      <c r="D30" s="294"/>
      <c r="E30" s="294"/>
      <c r="F30" s="294"/>
      <c r="G30" s="294"/>
      <c r="H30" s="293"/>
      <c r="I30" s="293"/>
      <c r="J30" s="294"/>
      <c r="K30" s="294"/>
      <c r="L30" s="294"/>
    </row>
    <row r="31" spans="1:12">
      <c r="A31" s="293">
        <v>29</v>
      </c>
      <c r="B31" s="214" t="s">
        <v>174</v>
      </c>
      <c r="C31" s="294"/>
      <c r="D31" s="294"/>
      <c r="E31" s="294"/>
      <c r="F31" s="294"/>
      <c r="G31" s="294"/>
      <c r="H31" s="293"/>
      <c r="I31" s="293"/>
      <c r="J31" s="294"/>
      <c r="K31" s="294"/>
      <c r="L31" s="294"/>
    </row>
    <row r="32" spans="1:12">
      <c r="A32" s="293">
        <v>30</v>
      </c>
      <c r="B32" s="214" t="s">
        <v>175</v>
      </c>
      <c r="C32" s="294"/>
      <c r="D32" s="294"/>
      <c r="E32" s="294"/>
      <c r="F32" s="294"/>
      <c r="G32" s="294"/>
      <c r="H32" s="293"/>
      <c r="I32" s="293"/>
      <c r="J32" s="294"/>
      <c r="K32" s="294"/>
      <c r="L32" s="294"/>
    </row>
    <row r="33" spans="1:12">
      <c r="A33" s="293">
        <v>31</v>
      </c>
      <c r="B33" s="214" t="s">
        <v>176</v>
      </c>
      <c r="C33" s="294"/>
      <c r="D33" s="294"/>
      <c r="E33" s="294"/>
      <c r="F33" s="294"/>
      <c r="G33" s="294"/>
      <c r="H33" s="293"/>
      <c r="I33" s="293"/>
      <c r="J33" s="294"/>
      <c r="K33" s="294"/>
      <c r="L33" s="294"/>
    </row>
    <row r="34" spans="1:12">
      <c r="A34" s="293">
        <v>32</v>
      </c>
      <c r="B34" s="214" t="s">
        <v>177</v>
      </c>
      <c r="C34" s="294"/>
      <c r="D34" s="294"/>
      <c r="E34" s="294"/>
      <c r="F34" s="294"/>
      <c r="G34" s="294"/>
      <c r="H34" s="293"/>
      <c r="I34" s="293"/>
      <c r="J34" s="294"/>
      <c r="K34" s="294"/>
      <c r="L34" s="294"/>
    </row>
    <row r="35" spans="1:12">
      <c r="A35" s="293">
        <v>33</v>
      </c>
      <c r="B35" s="214" t="s">
        <v>178</v>
      </c>
      <c r="C35" s="294"/>
      <c r="D35" s="294"/>
      <c r="E35" s="294"/>
      <c r="F35" s="294"/>
      <c r="G35" s="294"/>
      <c r="H35" s="293"/>
      <c r="I35" s="293"/>
      <c r="J35" s="294"/>
      <c r="K35" s="294"/>
      <c r="L35" s="294"/>
    </row>
    <row r="36" spans="1:12">
      <c r="A36" s="293">
        <v>34</v>
      </c>
      <c r="B36" s="214" t="s">
        <v>179</v>
      </c>
      <c r="C36" s="294"/>
      <c r="D36" s="294"/>
      <c r="E36" s="294"/>
      <c r="F36" s="294"/>
      <c r="G36" s="294"/>
      <c r="H36" s="293"/>
      <c r="I36" s="293"/>
      <c r="J36" s="294"/>
      <c r="K36" s="294"/>
      <c r="L36" s="294"/>
    </row>
    <row r="37" spans="1:12">
      <c r="A37" s="293">
        <v>35</v>
      </c>
      <c r="B37" s="214" t="s">
        <v>183</v>
      </c>
      <c r="C37" s="294"/>
      <c r="D37" s="294"/>
      <c r="E37" s="294"/>
      <c r="F37" s="294"/>
      <c r="G37" s="294"/>
      <c r="H37" s="293"/>
      <c r="I37" s="293"/>
      <c r="J37" s="294"/>
      <c r="K37" s="294"/>
      <c r="L37" s="294"/>
    </row>
    <row r="38" spans="1:12">
      <c r="A38" s="293">
        <v>36</v>
      </c>
      <c r="B38" s="214" t="s">
        <v>185</v>
      </c>
      <c r="C38" s="294"/>
      <c r="D38" s="294"/>
      <c r="E38" s="294"/>
      <c r="F38" s="294"/>
      <c r="G38" s="294"/>
      <c r="H38" s="293"/>
      <c r="I38" s="293"/>
      <c r="J38" s="294"/>
      <c r="K38" s="294"/>
      <c r="L38" s="294"/>
    </row>
    <row r="39" spans="1:12">
      <c r="A39" s="293">
        <v>37</v>
      </c>
      <c r="B39" s="214" t="s">
        <v>187</v>
      </c>
      <c r="C39" s="294"/>
      <c r="D39" s="294"/>
      <c r="E39" s="294"/>
      <c r="F39" s="294"/>
      <c r="G39" s="294"/>
      <c r="H39" s="293"/>
      <c r="I39" s="293"/>
      <c r="J39" s="294"/>
      <c r="K39" s="294"/>
      <c r="L39" s="294"/>
    </row>
    <row r="40" spans="1:12">
      <c r="A40" s="293">
        <v>38</v>
      </c>
      <c r="B40" s="214" t="s">
        <v>188</v>
      </c>
      <c r="C40" s="294"/>
      <c r="D40" s="294"/>
      <c r="E40" s="294"/>
      <c r="F40" s="294"/>
      <c r="G40" s="294"/>
      <c r="H40" s="293"/>
      <c r="I40" s="293"/>
      <c r="J40" s="294"/>
      <c r="K40" s="294"/>
      <c r="L40" s="294"/>
    </row>
    <row r="41" spans="1:12">
      <c r="A41" s="293">
        <v>39</v>
      </c>
      <c r="B41" s="214" t="s">
        <v>189</v>
      </c>
      <c r="C41" s="294"/>
      <c r="D41" s="294"/>
      <c r="E41" s="294"/>
      <c r="F41" s="294"/>
      <c r="G41" s="294"/>
      <c r="H41" s="293"/>
      <c r="I41" s="293"/>
      <c r="J41" s="294"/>
      <c r="K41" s="294"/>
      <c r="L41" s="294"/>
    </row>
    <row r="42" spans="1:12">
      <c r="A42" s="293">
        <v>40</v>
      </c>
      <c r="B42" s="214" t="s">
        <v>193</v>
      </c>
      <c r="C42" s="294"/>
      <c r="D42" s="294"/>
      <c r="E42" s="294"/>
      <c r="F42" s="294"/>
      <c r="G42" s="294"/>
      <c r="H42" s="293"/>
      <c r="I42" s="293"/>
      <c r="J42" s="294"/>
      <c r="K42" s="294"/>
      <c r="L42" s="294"/>
    </row>
    <row r="43" spans="1:12">
      <c r="A43" s="293">
        <v>41</v>
      </c>
      <c r="B43" s="214" t="s">
        <v>194</v>
      </c>
      <c r="C43" s="294"/>
      <c r="D43" s="294"/>
      <c r="E43" s="294"/>
      <c r="F43" s="294"/>
      <c r="G43" s="294"/>
      <c r="H43" s="293"/>
      <c r="I43" s="293"/>
      <c r="J43" s="294"/>
      <c r="K43" s="294"/>
      <c r="L43" s="294"/>
    </row>
    <row r="44" spans="1:12">
      <c r="A44" s="293">
        <v>42</v>
      </c>
      <c r="B44" s="214" t="s">
        <v>196</v>
      </c>
      <c r="C44" s="294"/>
      <c r="D44" s="294"/>
      <c r="E44" s="294"/>
      <c r="F44" s="294"/>
      <c r="G44" s="294"/>
      <c r="H44" s="293"/>
      <c r="I44" s="293"/>
      <c r="J44" s="294"/>
      <c r="K44" s="294"/>
      <c r="L44" s="294"/>
    </row>
    <row r="45" spans="1:12">
      <c r="A45" s="293">
        <v>43</v>
      </c>
      <c r="B45" s="214" t="s">
        <v>197</v>
      </c>
      <c r="C45" s="294"/>
      <c r="D45" s="294"/>
      <c r="E45" s="294"/>
      <c r="F45" s="294"/>
      <c r="G45" s="294"/>
      <c r="H45" s="293"/>
      <c r="I45" s="293"/>
      <c r="J45" s="294"/>
      <c r="K45" s="294"/>
      <c r="L45" s="294"/>
    </row>
    <row r="46" spans="1:12">
      <c r="A46" s="293">
        <v>44</v>
      </c>
      <c r="B46" s="214" t="s">
        <v>198</v>
      </c>
      <c r="C46" s="294"/>
      <c r="D46" s="294"/>
      <c r="E46" s="294"/>
      <c r="F46" s="294"/>
      <c r="G46" s="294"/>
      <c r="H46" s="293"/>
      <c r="I46" s="293"/>
      <c r="J46" s="294"/>
      <c r="K46" s="294"/>
      <c r="L46" s="294"/>
    </row>
    <row r="47" spans="1:12">
      <c r="A47" s="293">
        <v>45</v>
      </c>
      <c r="B47" s="214" t="s">
        <v>199</v>
      </c>
      <c r="C47" s="294"/>
      <c r="D47" s="294"/>
      <c r="E47" s="294"/>
      <c r="F47" s="294"/>
      <c r="G47" s="294"/>
      <c r="H47" s="293"/>
      <c r="I47" s="293"/>
      <c r="J47" s="294"/>
      <c r="K47" s="294"/>
      <c r="L47" s="294"/>
    </row>
    <row r="48" spans="1:12">
      <c r="A48" s="293">
        <v>46</v>
      </c>
      <c r="B48" s="214" t="s">
        <v>201</v>
      </c>
      <c r="C48" s="294"/>
      <c r="D48" s="294"/>
      <c r="E48" s="294"/>
      <c r="F48" s="294"/>
      <c r="G48" s="294"/>
      <c r="H48" s="293"/>
      <c r="I48" s="293"/>
      <c r="J48" s="294"/>
      <c r="K48" s="294"/>
      <c r="L48" s="294"/>
    </row>
    <row r="49" spans="1:12">
      <c r="A49" s="293">
        <v>47</v>
      </c>
      <c r="B49" s="214" t="s">
        <v>202</v>
      </c>
      <c r="C49" s="294"/>
      <c r="D49" s="294"/>
      <c r="E49" s="294"/>
      <c r="F49" s="294"/>
      <c r="G49" s="294"/>
      <c r="H49" s="293"/>
      <c r="I49" s="293"/>
      <c r="J49" s="294"/>
      <c r="K49" s="294"/>
      <c r="L49" s="294"/>
    </row>
    <row r="50" spans="1:12">
      <c r="A50" s="293">
        <v>48</v>
      </c>
      <c r="B50" s="214" t="s">
        <v>203</v>
      </c>
      <c r="C50" s="294"/>
      <c r="D50" s="294"/>
      <c r="E50" s="294"/>
      <c r="F50" s="294"/>
      <c r="G50" s="294"/>
      <c r="H50" s="293"/>
      <c r="I50" s="293"/>
      <c r="J50" s="294"/>
      <c r="K50" s="294"/>
      <c r="L50" s="294"/>
    </row>
    <row r="51" spans="1:12">
      <c r="A51" s="293">
        <v>49</v>
      </c>
      <c r="B51" s="214" t="s">
        <v>204</v>
      </c>
      <c r="C51" s="294"/>
      <c r="D51" s="294"/>
      <c r="E51" s="294"/>
      <c r="F51" s="294"/>
      <c r="G51" s="294"/>
      <c r="H51" s="293"/>
      <c r="I51" s="293"/>
      <c r="J51" s="294"/>
      <c r="K51" s="294"/>
      <c r="L51" s="294"/>
    </row>
    <row r="52" spans="1:12">
      <c r="A52" s="293">
        <v>50</v>
      </c>
      <c r="B52" s="214" t="s">
        <v>208</v>
      </c>
      <c r="C52" s="294"/>
      <c r="D52" s="294"/>
      <c r="E52" s="294"/>
      <c r="F52" s="294"/>
      <c r="G52" s="294"/>
      <c r="H52" s="293"/>
      <c r="I52" s="293"/>
      <c r="J52" s="294"/>
      <c r="K52" s="294"/>
      <c r="L52" s="294"/>
    </row>
    <row r="53" spans="1:12">
      <c r="A53" s="293">
        <v>51</v>
      </c>
      <c r="B53" s="214" t="s">
        <v>210</v>
      </c>
      <c r="C53" s="294"/>
      <c r="D53" s="294"/>
      <c r="E53" s="294"/>
      <c r="F53" s="294"/>
      <c r="G53" s="294"/>
      <c r="H53" s="293"/>
      <c r="I53" s="293"/>
      <c r="J53" s="294"/>
      <c r="K53" s="294"/>
      <c r="L53" s="294"/>
    </row>
    <row r="54" spans="1:12">
      <c r="A54" s="293">
        <v>52</v>
      </c>
      <c r="B54" s="214" t="s">
        <v>211</v>
      </c>
      <c r="C54" s="294"/>
      <c r="D54" s="294"/>
      <c r="E54" s="294"/>
      <c r="F54" s="294"/>
      <c r="G54" s="294"/>
      <c r="H54" s="293"/>
      <c r="I54" s="293"/>
      <c r="J54" s="294"/>
      <c r="K54" s="294"/>
      <c r="L54" s="294"/>
    </row>
    <row r="55" spans="1:12">
      <c r="A55" s="293">
        <v>53</v>
      </c>
      <c r="B55" s="214" t="s">
        <v>213</v>
      </c>
      <c r="C55" s="294"/>
      <c r="D55" s="294"/>
      <c r="E55" s="294"/>
      <c r="F55" s="294"/>
      <c r="G55" s="294"/>
      <c r="H55" s="293"/>
      <c r="I55" s="293"/>
      <c r="J55" s="294"/>
      <c r="K55" s="294"/>
      <c r="L55" s="294"/>
    </row>
    <row r="56" spans="1:12">
      <c r="A56" s="293">
        <v>54</v>
      </c>
      <c r="B56" s="214" t="s">
        <v>214</v>
      </c>
      <c r="C56" s="294"/>
      <c r="D56" s="294"/>
      <c r="E56" s="294"/>
      <c r="F56" s="294"/>
      <c r="G56" s="294"/>
      <c r="H56" s="293"/>
      <c r="I56" s="293"/>
      <c r="J56" s="294"/>
      <c r="K56" s="294"/>
      <c r="L56" s="294"/>
    </row>
    <row r="57" spans="1:12">
      <c r="A57" s="293">
        <v>55</v>
      </c>
      <c r="B57" s="214" t="s">
        <v>216</v>
      </c>
      <c r="C57" s="294"/>
      <c r="D57" s="294"/>
      <c r="E57" s="294"/>
      <c r="F57" s="294"/>
      <c r="G57" s="294"/>
      <c r="H57" s="293"/>
      <c r="I57" s="293"/>
      <c r="J57" s="294"/>
      <c r="K57" s="294"/>
      <c r="L57" s="294"/>
    </row>
    <row r="58" spans="1:12">
      <c r="A58" s="293">
        <v>56</v>
      </c>
      <c r="B58" s="214" t="s">
        <v>217</v>
      </c>
      <c r="C58" s="294"/>
      <c r="D58" s="294"/>
      <c r="E58" s="294"/>
      <c r="F58" s="294"/>
      <c r="G58" s="294"/>
      <c r="H58" s="293"/>
      <c r="I58" s="293"/>
      <c r="J58" s="294"/>
      <c r="K58" s="294"/>
      <c r="L58" s="294"/>
    </row>
    <row r="59" spans="1:12">
      <c r="A59" s="293">
        <v>57</v>
      </c>
      <c r="B59" s="214" t="s">
        <v>218</v>
      </c>
      <c r="C59" s="294"/>
      <c r="D59" s="294"/>
      <c r="E59" s="294"/>
      <c r="F59" s="294"/>
      <c r="G59" s="294"/>
      <c r="H59" s="293"/>
      <c r="I59" s="293"/>
      <c r="J59" s="294"/>
      <c r="K59" s="294"/>
      <c r="L59" s="294"/>
    </row>
    <row r="60" spans="1:12">
      <c r="A60" s="293">
        <v>58</v>
      </c>
      <c r="B60" s="214" t="s">
        <v>219</v>
      </c>
      <c r="C60" s="294"/>
      <c r="D60" s="294"/>
      <c r="E60" s="294"/>
      <c r="F60" s="294"/>
      <c r="G60" s="294"/>
      <c r="H60" s="293"/>
      <c r="I60" s="293"/>
      <c r="J60" s="294"/>
      <c r="K60" s="294"/>
      <c r="L60" s="294"/>
    </row>
    <row r="61" spans="1:12">
      <c r="A61" s="293">
        <v>59</v>
      </c>
      <c r="B61" s="214" t="s">
        <v>220</v>
      </c>
      <c r="C61" s="294"/>
      <c r="D61" s="294"/>
      <c r="E61" s="294"/>
      <c r="F61" s="294"/>
      <c r="G61" s="294"/>
      <c r="H61" s="293"/>
      <c r="I61" s="293"/>
      <c r="J61" s="294"/>
      <c r="K61" s="294"/>
      <c r="L61" s="294"/>
    </row>
    <row r="62" spans="1:12">
      <c r="A62" s="293">
        <v>60</v>
      </c>
      <c r="B62" s="214" t="s">
        <v>222</v>
      </c>
      <c r="C62" s="294"/>
      <c r="D62" s="294"/>
      <c r="E62" s="294"/>
      <c r="F62" s="294"/>
      <c r="G62" s="294"/>
      <c r="H62" s="293"/>
      <c r="I62" s="293"/>
      <c r="J62" s="294"/>
      <c r="K62" s="294"/>
      <c r="L62" s="294"/>
    </row>
    <row r="63" spans="1:12">
      <c r="A63" s="293">
        <v>61</v>
      </c>
      <c r="B63" s="214" t="s">
        <v>223</v>
      </c>
      <c r="C63" s="294"/>
      <c r="D63" s="294"/>
      <c r="E63" s="294"/>
      <c r="F63" s="294"/>
      <c r="G63" s="294"/>
      <c r="H63" s="293"/>
      <c r="I63" s="293"/>
      <c r="J63" s="294"/>
      <c r="K63" s="294"/>
      <c r="L63" s="294"/>
    </row>
    <row r="64" spans="1:12">
      <c r="A64" s="293">
        <v>62</v>
      </c>
      <c r="B64" s="214" t="s">
        <v>224</v>
      </c>
      <c r="C64" s="294"/>
      <c r="D64" s="294"/>
      <c r="E64" s="294"/>
      <c r="F64" s="294"/>
      <c r="G64" s="294"/>
      <c r="H64" s="293"/>
      <c r="I64" s="293"/>
      <c r="J64" s="294"/>
      <c r="K64" s="294"/>
      <c r="L64" s="294"/>
    </row>
    <row r="65" spans="1:12">
      <c r="A65" s="293">
        <v>63</v>
      </c>
      <c r="B65" s="214" t="s">
        <v>225</v>
      </c>
      <c r="C65" s="294"/>
      <c r="D65" s="294"/>
      <c r="E65" s="294"/>
      <c r="F65" s="294"/>
      <c r="G65" s="294"/>
      <c r="H65" s="293"/>
      <c r="I65" s="293"/>
      <c r="J65" s="294"/>
      <c r="K65" s="294"/>
      <c r="L65" s="294"/>
    </row>
    <row r="66" spans="1:12">
      <c r="A66" s="293">
        <v>64</v>
      </c>
      <c r="B66" s="214" t="s">
        <v>227</v>
      </c>
      <c r="C66" s="294"/>
      <c r="D66" s="294"/>
      <c r="E66" s="294"/>
      <c r="F66" s="294"/>
      <c r="G66" s="294"/>
      <c r="H66" s="293"/>
      <c r="I66" s="293"/>
      <c r="J66" s="294"/>
      <c r="K66" s="294"/>
      <c r="L66" s="294"/>
    </row>
    <row r="67" spans="1:12">
      <c r="A67" s="293">
        <v>65</v>
      </c>
      <c r="B67" s="214" t="s">
        <v>228</v>
      </c>
      <c r="C67" s="294"/>
      <c r="D67" s="294"/>
      <c r="E67" s="294"/>
      <c r="F67" s="294"/>
      <c r="G67" s="294"/>
      <c r="H67" s="293"/>
      <c r="I67" s="293"/>
      <c r="J67" s="294"/>
      <c r="K67" s="294"/>
      <c r="L67" s="294"/>
    </row>
    <row r="68" spans="1:12">
      <c r="A68" s="293">
        <v>66</v>
      </c>
      <c r="B68" s="214" t="s">
        <v>229</v>
      </c>
      <c r="C68" s="294"/>
      <c r="D68" s="294"/>
      <c r="E68" s="294"/>
      <c r="F68" s="294"/>
      <c r="G68" s="294"/>
      <c r="H68" s="293"/>
      <c r="I68" s="293"/>
      <c r="J68" s="294"/>
      <c r="K68" s="294"/>
      <c r="L68" s="294"/>
    </row>
    <row r="69" spans="1:12">
      <c r="A69" s="293">
        <v>67</v>
      </c>
      <c r="B69" s="214" t="s">
        <v>231</v>
      </c>
      <c r="C69" s="294"/>
      <c r="D69" s="294"/>
      <c r="E69" s="294"/>
      <c r="F69" s="294"/>
      <c r="G69" s="294"/>
      <c r="H69" s="293"/>
      <c r="I69" s="293"/>
      <c r="J69" s="294"/>
      <c r="K69" s="294"/>
      <c r="L69" s="294"/>
    </row>
    <row r="70" spans="1:12">
      <c r="A70" s="293">
        <v>68</v>
      </c>
      <c r="B70" s="214" t="s">
        <v>230</v>
      </c>
      <c r="C70" s="294"/>
      <c r="D70" s="294"/>
      <c r="E70" s="294"/>
      <c r="F70" s="294"/>
      <c r="G70" s="294"/>
      <c r="H70" s="293"/>
      <c r="I70" s="293"/>
      <c r="J70" s="294"/>
      <c r="K70" s="294"/>
      <c r="L70" s="294"/>
    </row>
    <row r="71" spans="1:12">
      <c r="A71" s="293">
        <v>69</v>
      </c>
      <c r="B71" s="214" t="s">
        <v>232</v>
      </c>
      <c r="C71" s="294"/>
      <c r="D71" s="294"/>
      <c r="E71" s="294"/>
      <c r="F71" s="294"/>
      <c r="G71" s="294"/>
      <c r="H71" s="293"/>
      <c r="I71" s="293"/>
      <c r="J71" s="294"/>
      <c r="K71" s="294"/>
      <c r="L71" s="294"/>
    </row>
    <row r="72" spans="1:12">
      <c r="A72" s="293">
        <v>70</v>
      </c>
      <c r="B72" s="214" t="s">
        <v>236</v>
      </c>
      <c r="C72" s="294"/>
      <c r="D72" s="294"/>
      <c r="E72" s="294"/>
      <c r="F72" s="294"/>
      <c r="G72" s="294"/>
      <c r="H72" s="293"/>
      <c r="I72" s="293"/>
      <c r="J72" s="294"/>
      <c r="K72" s="294"/>
      <c r="L72" s="294"/>
    </row>
    <row r="73" spans="1:12">
      <c r="A73" s="293">
        <v>71</v>
      </c>
      <c r="B73" s="214" t="s">
        <v>239</v>
      </c>
      <c r="C73" s="294"/>
      <c r="D73" s="294"/>
      <c r="E73" s="294"/>
      <c r="F73" s="294"/>
      <c r="G73" s="294"/>
      <c r="H73" s="293"/>
      <c r="I73" s="293"/>
      <c r="J73" s="294"/>
      <c r="K73" s="294"/>
      <c r="L73" s="294"/>
    </row>
    <row r="74" spans="1:12">
      <c r="A74" s="293">
        <v>72</v>
      </c>
      <c r="B74" s="214" t="s">
        <v>240</v>
      </c>
      <c r="C74" s="294"/>
      <c r="D74" s="294"/>
      <c r="E74" s="294"/>
      <c r="F74" s="294"/>
      <c r="G74" s="294"/>
      <c r="H74" s="293"/>
      <c r="I74" s="293"/>
      <c r="J74" s="294"/>
      <c r="K74" s="294"/>
      <c r="L74" s="294"/>
    </row>
    <row r="75" spans="1:12">
      <c r="A75" s="293">
        <v>73</v>
      </c>
      <c r="B75" s="214" t="s">
        <v>241</v>
      </c>
      <c r="C75" s="294"/>
      <c r="D75" s="294"/>
      <c r="E75" s="294"/>
      <c r="F75" s="294"/>
      <c r="G75" s="294"/>
      <c r="H75" s="293"/>
      <c r="I75" s="293"/>
      <c r="J75" s="294"/>
      <c r="K75" s="294"/>
      <c r="L75" s="294"/>
    </row>
    <row r="76" spans="1:12">
      <c r="A76" s="293">
        <v>74</v>
      </c>
      <c r="B76" s="214" t="s">
        <v>242</v>
      </c>
      <c r="C76" s="294"/>
      <c r="D76" s="294"/>
      <c r="E76" s="294"/>
      <c r="F76" s="294"/>
      <c r="G76" s="294"/>
      <c r="H76" s="293"/>
      <c r="I76" s="293"/>
      <c r="J76" s="294"/>
      <c r="K76" s="294"/>
      <c r="L76" s="294"/>
    </row>
    <row r="77" spans="1:12">
      <c r="A77" s="293">
        <v>75</v>
      </c>
      <c r="B77" s="214" t="s">
        <v>243</v>
      </c>
      <c r="C77" s="294"/>
      <c r="D77" s="294"/>
      <c r="E77" s="294"/>
      <c r="F77" s="294"/>
      <c r="G77" s="294"/>
      <c r="H77" s="293"/>
      <c r="I77" s="293"/>
      <c r="J77" s="294"/>
      <c r="K77" s="294"/>
      <c r="L77" s="294"/>
    </row>
    <row r="78" spans="1:12">
      <c r="A78" s="293">
        <v>76</v>
      </c>
      <c r="B78" s="214" t="s">
        <v>244</v>
      </c>
      <c r="C78" s="294"/>
      <c r="D78" s="294"/>
      <c r="E78" s="294"/>
      <c r="F78" s="294"/>
      <c r="G78" s="294"/>
      <c r="H78" s="293"/>
      <c r="I78" s="293"/>
      <c r="J78" s="294"/>
      <c r="K78" s="294"/>
      <c r="L78" s="294"/>
    </row>
    <row r="79" spans="1:12">
      <c r="A79" s="293">
        <v>77</v>
      </c>
      <c r="B79" s="214" t="s">
        <v>246</v>
      </c>
      <c r="C79" s="294"/>
      <c r="D79" s="294"/>
      <c r="E79" s="294"/>
      <c r="F79" s="294"/>
      <c r="G79" s="294"/>
      <c r="H79" s="293"/>
      <c r="I79" s="293"/>
      <c r="J79" s="294"/>
      <c r="K79" s="294"/>
      <c r="L79" s="294"/>
    </row>
    <row r="80" spans="1:12">
      <c r="A80" s="293">
        <v>78</v>
      </c>
      <c r="B80" s="214" t="s">
        <v>248</v>
      </c>
      <c r="C80" s="294"/>
      <c r="D80" s="294"/>
      <c r="E80" s="294"/>
      <c r="F80" s="294"/>
      <c r="G80" s="294"/>
      <c r="H80" s="293"/>
      <c r="I80" s="293"/>
      <c r="J80" s="294"/>
      <c r="K80" s="294"/>
      <c r="L80" s="294"/>
    </row>
    <row r="81" spans="1:12">
      <c r="A81" s="293">
        <v>79</v>
      </c>
      <c r="B81" s="214" t="s">
        <v>249</v>
      </c>
      <c r="C81" s="294"/>
      <c r="D81" s="294"/>
      <c r="E81" s="294"/>
      <c r="F81" s="294"/>
      <c r="G81" s="294"/>
      <c r="H81" s="293"/>
      <c r="I81" s="293"/>
      <c r="J81" s="294"/>
      <c r="K81" s="294"/>
      <c r="L81" s="294"/>
    </row>
    <row r="82" spans="1:12">
      <c r="A82" s="293">
        <v>80</v>
      </c>
      <c r="B82" s="214" t="s">
        <v>250</v>
      </c>
      <c r="C82" s="294"/>
      <c r="D82" s="294"/>
      <c r="E82" s="294"/>
      <c r="F82" s="294"/>
      <c r="G82" s="294"/>
      <c r="H82" s="293"/>
      <c r="I82" s="293"/>
      <c r="J82" s="294"/>
      <c r="K82" s="294"/>
      <c r="L82" s="294"/>
    </row>
    <row r="83" spans="1:12">
      <c r="A83" s="293">
        <v>81</v>
      </c>
      <c r="B83" s="214" t="s">
        <v>251</v>
      </c>
      <c r="C83" s="294"/>
      <c r="D83" s="294"/>
      <c r="E83" s="294"/>
      <c r="F83" s="294"/>
      <c r="G83" s="294"/>
      <c r="H83" s="293"/>
      <c r="I83" s="293"/>
      <c r="J83" s="294"/>
      <c r="K83" s="294"/>
      <c r="L83" s="294"/>
    </row>
    <row r="84" spans="1:12">
      <c r="A84" s="293">
        <v>82</v>
      </c>
      <c r="B84" s="214" t="s">
        <v>253</v>
      </c>
      <c r="C84" s="294"/>
      <c r="D84" s="294"/>
      <c r="E84" s="294"/>
      <c r="F84" s="294"/>
      <c r="G84" s="294"/>
      <c r="H84" s="293"/>
      <c r="I84" s="293"/>
      <c r="J84" s="294"/>
      <c r="K84" s="294"/>
      <c r="L84" s="294"/>
    </row>
    <row r="85" spans="1:12">
      <c r="A85" s="293">
        <v>83</v>
      </c>
      <c r="B85" s="214" t="s">
        <v>254</v>
      </c>
      <c r="C85" s="294"/>
      <c r="D85" s="294"/>
      <c r="E85" s="294"/>
      <c r="F85" s="294"/>
      <c r="G85" s="294"/>
      <c r="H85" s="293"/>
      <c r="I85" s="293"/>
      <c r="J85" s="294"/>
      <c r="K85" s="294"/>
      <c r="L85" s="294"/>
    </row>
    <row r="86" spans="1:12">
      <c r="A86" s="293">
        <v>84</v>
      </c>
      <c r="B86" s="214" t="s">
        <v>257</v>
      </c>
      <c r="C86" s="294"/>
      <c r="D86" s="294"/>
      <c r="E86" s="294"/>
      <c r="F86" s="294"/>
      <c r="G86" s="294"/>
      <c r="H86" s="293"/>
      <c r="I86" s="293"/>
      <c r="J86" s="294"/>
      <c r="K86" s="294"/>
      <c r="L86" s="294"/>
    </row>
    <row r="87" spans="1:12">
      <c r="A87" s="293">
        <v>85</v>
      </c>
      <c r="B87" s="214" t="s">
        <v>258</v>
      </c>
      <c r="C87" s="294"/>
      <c r="D87" s="294"/>
      <c r="E87" s="294"/>
      <c r="F87" s="294"/>
      <c r="G87" s="294"/>
      <c r="H87" s="293"/>
      <c r="I87" s="293"/>
      <c r="J87" s="294"/>
      <c r="K87" s="294"/>
      <c r="L87" s="294"/>
    </row>
    <row r="88" spans="1:12">
      <c r="A88" s="293">
        <v>86</v>
      </c>
      <c r="B88" s="214" t="s">
        <v>260</v>
      </c>
      <c r="C88" s="294"/>
      <c r="D88" s="294"/>
      <c r="E88" s="294"/>
      <c r="F88" s="294"/>
      <c r="G88" s="294"/>
      <c r="H88" s="293"/>
      <c r="I88" s="293"/>
      <c r="J88" s="294"/>
      <c r="K88" s="294"/>
      <c r="L88" s="294"/>
    </row>
    <row r="89" spans="1:12">
      <c r="A89" s="293">
        <v>87</v>
      </c>
      <c r="B89" s="214" t="s">
        <v>263</v>
      </c>
      <c r="C89" s="294"/>
      <c r="D89" s="294"/>
      <c r="E89" s="294"/>
      <c r="F89" s="294"/>
      <c r="G89" s="294"/>
      <c r="H89" s="293"/>
      <c r="I89" s="293"/>
      <c r="J89" s="294"/>
      <c r="K89" s="294"/>
      <c r="L89" s="294"/>
    </row>
    <row r="90" spans="1:12">
      <c r="A90" s="293">
        <v>88</v>
      </c>
      <c r="B90" s="214" t="s">
        <v>264</v>
      </c>
      <c r="C90" s="294"/>
      <c r="D90" s="294"/>
      <c r="E90" s="294"/>
      <c r="F90" s="294"/>
      <c r="G90" s="294"/>
      <c r="H90" s="293"/>
      <c r="I90" s="293"/>
      <c r="J90" s="294"/>
      <c r="K90" s="294"/>
      <c r="L90" s="294"/>
    </row>
    <row r="91" spans="1:12">
      <c r="A91" s="293">
        <v>89</v>
      </c>
      <c r="B91" s="214" t="s">
        <v>265</v>
      </c>
      <c r="C91" s="294"/>
      <c r="D91" s="294"/>
      <c r="E91" s="294"/>
      <c r="F91" s="294"/>
      <c r="G91" s="294"/>
      <c r="H91" s="293"/>
      <c r="I91" s="293"/>
      <c r="J91" s="294"/>
      <c r="K91" s="294"/>
      <c r="L91" s="294"/>
    </row>
    <row r="92" spans="1:12" ht="38.25">
      <c r="A92" s="293">
        <v>90</v>
      </c>
      <c r="B92" s="214" t="s">
        <v>266</v>
      </c>
      <c r="C92" s="217" t="s">
        <v>9590</v>
      </c>
      <c r="D92" s="216" t="s">
        <v>9601</v>
      </c>
      <c r="E92" s="216" t="s">
        <v>8587</v>
      </c>
      <c r="F92" s="216" t="s">
        <v>9602</v>
      </c>
      <c r="G92" s="257">
        <v>19385200000</v>
      </c>
      <c r="H92" s="263">
        <v>45026</v>
      </c>
      <c r="I92" s="263">
        <v>45379</v>
      </c>
      <c r="J92" s="216">
        <v>4244220000</v>
      </c>
      <c r="K92" s="216" t="s">
        <v>9593</v>
      </c>
      <c r="L92" s="217" t="s">
        <v>8259</v>
      </c>
    </row>
    <row r="93" spans="1:12">
      <c r="A93" s="293">
        <v>91</v>
      </c>
      <c r="B93" s="214" t="s">
        <v>268</v>
      </c>
      <c r="C93" s="294"/>
      <c r="D93" s="294"/>
      <c r="E93" s="294"/>
      <c r="F93" s="294"/>
      <c r="G93" s="294"/>
      <c r="H93" s="293"/>
      <c r="I93" s="293"/>
      <c r="J93" s="294"/>
      <c r="K93" s="294"/>
      <c r="L93" s="294"/>
    </row>
    <row r="94" spans="1:12">
      <c r="A94" s="293">
        <v>92</v>
      </c>
      <c r="B94" s="214" t="s">
        <v>269</v>
      </c>
      <c r="C94" s="294"/>
      <c r="D94" s="294"/>
      <c r="E94" s="294"/>
      <c r="F94" s="294"/>
      <c r="G94" s="294"/>
      <c r="H94" s="293"/>
      <c r="I94" s="293"/>
      <c r="J94" s="294"/>
      <c r="K94" s="294"/>
      <c r="L94" s="294"/>
    </row>
    <row r="95" spans="1:12">
      <c r="A95" s="293">
        <v>93</v>
      </c>
      <c r="B95" s="214" t="s">
        <v>270</v>
      </c>
      <c r="C95" s="294"/>
      <c r="D95" s="294"/>
      <c r="E95" s="294"/>
      <c r="F95" s="294"/>
      <c r="G95" s="294"/>
      <c r="H95" s="293"/>
      <c r="I95" s="293"/>
      <c r="J95" s="294"/>
      <c r="K95" s="294"/>
      <c r="L95" s="294"/>
    </row>
    <row r="96" spans="1:12">
      <c r="A96" s="293">
        <v>94</v>
      </c>
      <c r="B96" s="214" t="s">
        <v>271</v>
      </c>
      <c r="C96" s="294"/>
      <c r="D96" s="294"/>
      <c r="E96" s="294"/>
      <c r="F96" s="294"/>
      <c r="G96" s="294"/>
      <c r="H96" s="293"/>
      <c r="I96" s="293"/>
      <c r="J96" s="294"/>
      <c r="K96" s="294"/>
      <c r="L96" s="294"/>
    </row>
    <row r="97" spans="1:12">
      <c r="A97" s="293">
        <v>95</v>
      </c>
      <c r="B97" s="214" t="s">
        <v>273</v>
      </c>
      <c r="C97" s="294"/>
      <c r="D97" s="294"/>
      <c r="E97" s="294"/>
      <c r="F97" s="294"/>
      <c r="G97" s="294"/>
      <c r="H97" s="293"/>
      <c r="I97" s="293"/>
      <c r="J97" s="294"/>
      <c r="K97" s="294"/>
      <c r="L97" s="294"/>
    </row>
    <row r="98" spans="1:12">
      <c r="A98" s="293">
        <v>96</v>
      </c>
      <c r="B98" s="214" t="s">
        <v>277</v>
      </c>
      <c r="C98" s="294"/>
      <c r="D98" s="294"/>
      <c r="E98" s="294"/>
      <c r="F98" s="294"/>
      <c r="G98" s="294"/>
      <c r="H98" s="293"/>
      <c r="I98" s="293"/>
      <c r="J98" s="294"/>
      <c r="K98" s="294"/>
      <c r="L98" s="294"/>
    </row>
    <row r="99" spans="1:12">
      <c r="A99" s="293">
        <v>97</v>
      </c>
      <c r="B99" s="214" t="s">
        <v>279</v>
      </c>
      <c r="C99" s="294"/>
      <c r="D99" s="294"/>
      <c r="E99" s="294"/>
      <c r="F99" s="294"/>
      <c r="G99" s="294"/>
      <c r="H99" s="293"/>
      <c r="I99" s="293"/>
      <c r="J99" s="294"/>
      <c r="K99" s="294"/>
      <c r="L99" s="294"/>
    </row>
    <row r="100" spans="1:12">
      <c r="A100" s="293">
        <v>98</v>
      </c>
      <c r="B100" s="214" t="s">
        <v>281</v>
      </c>
      <c r="C100" s="294"/>
      <c r="D100" s="294"/>
      <c r="E100" s="294"/>
      <c r="F100" s="294"/>
      <c r="G100" s="294"/>
      <c r="H100" s="293"/>
      <c r="I100" s="293"/>
      <c r="J100" s="294"/>
      <c r="K100" s="294"/>
      <c r="L100" s="294"/>
    </row>
    <row r="101" spans="1:12">
      <c r="A101" s="293">
        <v>99</v>
      </c>
      <c r="B101" s="214" t="s">
        <v>282</v>
      </c>
      <c r="C101" s="294"/>
      <c r="D101" s="294"/>
      <c r="E101" s="294"/>
      <c r="F101" s="294"/>
      <c r="G101" s="294"/>
      <c r="H101" s="293"/>
      <c r="I101" s="293"/>
      <c r="J101" s="294"/>
      <c r="K101" s="294"/>
      <c r="L101" s="294"/>
    </row>
    <row r="102" spans="1:12">
      <c r="A102" s="293">
        <v>100</v>
      </c>
      <c r="B102" s="214" t="s">
        <v>283</v>
      </c>
      <c r="C102" s="294"/>
      <c r="D102" s="294"/>
      <c r="E102" s="294"/>
      <c r="F102" s="294"/>
      <c r="G102" s="294"/>
      <c r="H102" s="293"/>
      <c r="I102" s="293"/>
      <c r="J102" s="294"/>
      <c r="K102" s="294"/>
      <c r="L102" s="294"/>
    </row>
    <row r="103" spans="1:12">
      <c r="A103" s="293">
        <v>101</v>
      </c>
      <c r="B103" s="214" t="s">
        <v>284</v>
      </c>
      <c r="C103" s="294"/>
      <c r="D103" s="294"/>
      <c r="E103" s="294"/>
      <c r="F103" s="294"/>
      <c r="G103" s="294"/>
      <c r="H103" s="293"/>
      <c r="I103" s="293"/>
      <c r="J103" s="294"/>
      <c r="K103" s="294"/>
      <c r="L103" s="294"/>
    </row>
    <row r="104" spans="1:12">
      <c r="A104" s="293">
        <v>102</v>
      </c>
      <c r="B104" s="214" t="s">
        <v>285</v>
      </c>
      <c r="C104" s="294"/>
      <c r="D104" s="294"/>
      <c r="E104" s="294"/>
      <c r="F104" s="294"/>
      <c r="G104" s="294"/>
      <c r="H104" s="293"/>
      <c r="I104" s="293"/>
      <c r="J104" s="294"/>
      <c r="K104" s="294"/>
      <c r="L104" s="294"/>
    </row>
    <row r="105" spans="1:12">
      <c r="A105" s="293">
        <v>103</v>
      </c>
      <c r="B105" s="214" t="s">
        <v>286</v>
      </c>
      <c r="C105" s="294"/>
      <c r="D105" s="294"/>
      <c r="E105" s="294"/>
      <c r="F105" s="294"/>
      <c r="G105" s="294"/>
      <c r="H105" s="293"/>
      <c r="I105" s="293"/>
      <c r="J105" s="294"/>
      <c r="K105" s="294"/>
      <c r="L105" s="294"/>
    </row>
    <row r="106" spans="1:12">
      <c r="A106" s="293">
        <v>104</v>
      </c>
      <c r="B106" s="214" t="s">
        <v>287</v>
      </c>
      <c r="C106" s="294"/>
      <c r="D106" s="294"/>
      <c r="E106" s="294"/>
      <c r="F106" s="294"/>
      <c r="G106" s="294"/>
      <c r="H106" s="293"/>
      <c r="I106" s="293"/>
      <c r="J106" s="294"/>
      <c r="K106" s="294"/>
      <c r="L106" s="294"/>
    </row>
    <row r="107" spans="1:12">
      <c r="A107" s="293">
        <v>105</v>
      </c>
      <c r="B107" s="214" t="s">
        <v>290</v>
      </c>
      <c r="C107" s="294"/>
      <c r="D107" s="294"/>
      <c r="E107" s="294"/>
      <c r="F107" s="294"/>
      <c r="G107" s="294"/>
      <c r="H107" s="293"/>
      <c r="I107" s="293"/>
      <c r="J107" s="294"/>
      <c r="K107" s="294"/>
      <c r="L107" s="294"/>
    </row>
    <row r="108" spans="1:12">
      <c r="A108" s="293">
        <v>106</v>
      </c>
      <c r="B108" s="214" t="s">
        <v>292</v>
      </c>
      <c r="C108" s="294"/>
      <c r="D108" s="294"/>
      <c r="E108" s="294"/>
      <c r="F108" s="294"/>
      <c r="G108" s="294"/>
      <c r="H108" s="293"/>
      <c r="I108" s="293"/>
      <c r="J108" s="294"/>
      <c r="K108" s="294"/>
      <c r="L108" s="294"/>
    </row>
    <row r="109" spans="1:12">
      <c r="A109" s="293">
        <v>107</v>
      </c>
      <c r="B109" s="214" t="s">
        <v>296</v>
      </c>
      <c r="C109" s="294"/>
      <c r="D109" s="294"/>
      <c r="E109" s="294"/>
      <c r="F109" s="294"/>
      <c r="G109" s="294"/>
      <c r="H109" s="293"/>
      <c r="I109" s="293"/>
      <c r="J109" s="294"/>
      <c r="K109" s="294"/>
      <c r="L109" s="294"/>
    </row>
    <row r="110" spans="1:12">
      <c r="A110" s="293">
        <v>108</v>
      </c>
      <c r="B110" s="214" t="s">
        <v>297</v>
      </c>
      <c r="C110" s="294"/>
      <c r="D110" s="294"/>
      <c r="E110" s="294"/>
      <c r="F110" s="294"/>
      <c r="G110" s="294"/>
      <c r="H110" s="293"/>
      <c r="I110" s="293"/>
      <c r="J110" s="294"/>
      <c r="K110" s="294"/>
      <c r="L110" s="294"/>
    </row>
    <row r="111" spans="1:12">
      <c r="A111" s="293">
        <v>109</v>
      </c>
      <c r="B111" s="214" t="s">
        <v>298</v>
      </c>
      <c r="C111" s="294"/>
      <c r="D111" s="294"/>
      <c r="E111" s="294"/>
      <c r="F111" s="294"/>
      <c r="G111" s="294"/>
      <c r="H111" s="293"/>
      <c r="I111" s="293"/>
      <c r="J111" s="294"/>
      <c r="K111" s="294"/>
      <c r="L111" s="294"/>
    </row>
    <row r="112" spans="1:12">
      <c r="A112" s="293">
        <v>110</v>
      </c>
      <c r="B112" s="214" t="s">
        <v>299</v>
      </c>
      <c r="C112" s="294"/>
      <c r="D112" s="294"/>
      <c r="E112" s="294"/>
      <c r="F112" s="294"/>
      <c r="G112" s="294"/>
      <c r="H112" s="293"/>
      <c r="I112" s="293"/>
      <c r="J112" s="294"/>
      <c r="K112" s="294"/>
      <c r="L112" s="294"/>
    </row>
    <row r="113" spans="1:12">
      <c r="A113" s="293">
        <v>111</v>
      </c>
      <c r="B113" s="214" t="s">
        <v>300</v>
      </c>
      <c r="C113" s="294"/>
      <c r="D113" s="294"/>
      <c r="E113" s="294"/>
      <c r="F113" s="294"/>
      <c r="G113" s="294"/>
      <c r="H113" s="293"/>
      <c r="I113" s="293"/>
      <c r="J113" s="294"/>
      <c r="K113" s="294"/>
      <c r="L113" s="294"/>
    </row>
    <row r="114" spans="1:12">
      <c r="A114" s="293">
        <v>112</v>
      </c>
      <c r="B114" s="214" t="s">
        <v>301</v>
      </c>
      <c r="C114" s="294"/>
      <c r="D114" s="294"/>
      <c r="E114" s="294"/>
      <c r="F114" s="294"/>
      <c r="G114" s="294"/>
      <c r="H114" s="293"/>
      <c r="I114" s="293"/>
      <c r="J114" s="294"/>
      <c r="K114" s="294"/>
      <c r="L114" s="294"/>
    </row>
    <row r="115" spans="1:12">
      <c r="A115" s="293">
        <v>113</v>
      </c>
      <c r="B115" s="214" t="s">
        <v>303</v>
      </c>
      <c r="C115" s="294"/>
      <c r="D115" s="294"/>
      <c r="E115" s="294"/>
      <c r="F115" s="294"/>
      <c r="G115" s="294"/>
      <c r="H115" s="293"/>
      <c r="I115" s="293"/>
      <c r="J115" s="294"/>
      <c r="K115" s="294"/>
      <c r="L115" s="294"/>
    </row>
    <row r="116" spans="1:12">
      <c r="A116" s="293">
        <v>114</v>
      </c>
      <c r="B116" s="214" t="s">
        <v>306</v>
      </c>
      <c r="C116" s="294"/>
      <c r="D116" s="294"/>
      <c r="E116" s="294"/>
      <c r="F116" s="294"/>
      <c r="G116" s="294"/>
      <c r="H116" s="293"/>
      <c r="I116" s="293"/>
      <c r="J116" s="294"/>
      <c r="K116" s="294"/>
      <c r="L116" s="294"/>
    </row>
    <row r="117" spans="1:12">
      <c r="A117" s="293">
        <v>115</v>
      </c>
      <c r="B117" s="214" t="s">
        <v>307</v>
      </c>
      <c r="C117" s="294"/>
      <c r="D117" s="294"/>
      <c r="E117" s="294"/>
      <c r="F117" s="294"/>
      <c r="G117" s="294"/>
      <c r="H117" s="293"/>
      <c r="I117" s="293"/>
      <c r="J117" s="294"/>
      <c r="K117" s="294"/>
      <c r="L117" s="294"/>
    </row>
    <row r="118" spans="1:12">
      <c r="A118" s="293">
        <v>116</v>
      </c>
      <c r="B118" s="214" t="s">
        <v>308</v>
      </c>
      <c r="C118" s="294"/>
      <c r="D118" s="294"/>
      <c r="E118" s="294"/>
      <c r="F118" s="294"/>
      <c r="G118" s="294"/>
      <c r="H118" s="293"/>
      <c r="I118" s="293"/>
      <c r="J118" s="294"/>
      <c r="K118" s="294"/>
      <c r="L118" s="294"/>
    </row>
    <row r="119" spans="1:12">
      <c r="A119" s="293">
        <v>117</v>
      </c>
      <c r="B119" s="214" t="s">
        <v>309</v>
      </c>
      <c r="C119" s="294"/>
      <c r="D119" s="294"/>
      <c r="E119" s="294"/>
      <c r="F119" s="294"/>
      <c r="G119" s="294"/>
      <c r="H119" s="293"/>
      <c r="I119" s="293"/>
      <c r="J119" s="294"/>
      <c r="K119" s="294"/>
      <c r="L119" s="294"/>
    </row>
    <row r="120" spans="1:12">
      <c r="A120" s="293">
        <v>118</v>
      </c>
      <c r="B120" s="214" t="s">
        <v>311</v>
      </c>
      <c r="C120" s="294"/>
      <c r="D120" s="294"/>
      <c r="E120" s="294"/>
      <c r="F120" s="294"/>
      <c r="G120" s="294"/>
      <c r="H120" s="293"/>
      <c r="I120" s="293"/>
      <c r="J120" s="294"/>
      <c r="K120" s="294"/>
      <c r="L120" s="294"/>
    </row>
    <row r="121" spans="1:12">
      <c r="A121" s="293">
        <v>119</v>
      </c>
      <c r="B121" s="214" t="s">
        <v>314</v>
      </c>
      <c r="C121" s="294"/>
      <c r="D121" s="294"/>
      <c r="E121" s="294"/>
      <c r="F121" s="294"/>
      <c r="G121" s="294"/>
      <c r="H121" s="293"/>
      <c r="I121" s="293"/>
      <c r="J121" s="294"/>
      <c r="K121" s="294"/>
      <c r="L121" s="294"/>
    </row>
    <row r="122" spans="1:12">
      <c r="A122" s="293">
        <v>120</v>
      </c>
      <c r="B122" s="214" t="s">
        <v>315</v>
      </c>
      <c r="C122" s="294"/>
      <c r="D122" s="294"/>
      <c r="E122" s="294"/>
      <c r="F122" s="294"/>
      <c r="G122" s="294"/>
      <c r="H122" s="293"/>
      <c r="I122" s="293"/>
      <c r="J122" s="294"/>
      <c r="K122" s="294"/>
      <c r="L122" s="294"/>
    </row>
    <row r="123" spans="1:12">
      <c r="A123" s="293">
        <v>121</v>
      </c>
      <c r="B123" s="214" t="s">
        <v>316</v>
      </c>
      <c r="C123" s="294"/>
      <c r="D123" s="294"/>
      <c r="E123" s="294"/>
      <c r="F123" s="294"/>
      <c r="G123" s="294"/>
      <c r="H123" s="293"/>
      <c r="I123" s="293"/>
      <c r="J123" s="294"/>
      <c r="K123" s="294"/>
      <c r="L123" s="294"/>
    </row>
    <row r="124" spans="1:12">
      <c r="A124" s="293">
        <v>122</v>
      </c>
      <c r="B124" s="214" t="s">
        <v>317</v>
      </c>
      <c r="C124" s="294"/>
      <c r="D124" s="294"/>
      <c r="E124" s="294"/>
      <c r="F124" s="294"/>
      <c r="G124" s="294"/>
      <c r="H124" s="293"/>
      <c r="I124" s="293"/>
      <c r="J124" s="294"/>
      <c r="K124" s="294"/>
      <c r="L124" s="294"/>
    </row>
    <row r="125" spans="1:12">
      <c r="A125" s="293">
        <v>123</v>
      </c>
      <c r="B125" s="214" t="s">
        <v>318</v>
      </c>
      <c r="C125" s="294"/>
      <c r="D125" s="294"/>
      <c r="E125" s="294"/>
      <c r="F125" s="294"/>
      <c r="G125" s="294"/>
      <c r="H125" s="293"/>
      <c r="I125" s="293"/>
      <c r="J125" s="294"/>
      <c r="K125" s="294"/>
      <c r="L125" s="294"/>
    </row>
    <row r="126" spans="1:12">
      <c r="A126" s="293">
        <v>124</v>
      </c>
      <c r="B126" s="214" t="s">
        <v>319</v>
      </c>
      <c r="C126" s="294"/>
      <c r="D126" s="294"/>
      <c r="E126" s="294"/>
      <c r="F126" s="294"/>
      <c r="G126" s="294"/>
      <c r="H126" s="293"/>
      <c r="I126" s="293"/>
      <c r="J126" s="294"/>
      <c r="K126" s="294"/>
      <c r="L126" s="294"/>
    </row>
    <row r="127" spans="1:12">
      <c r="A127" s="293">
        <v>125</v>
      </c>
      <c r="B127" s="214" t="s">
        <v>320</v>
      </c>
      <c r="C127" s="294"/>
      <c r="D127" s="294"/>
      <c r="E127" s="294"/>
      <c r="F127" s="294"/>
      <c r="G127" s="294"/>
      <c r="H127" s="293"/>
      <c r="I127" s="293"/>
      <c r="J127" s="294"/>
      <c r="K127" s="294"/>
      <c r="L127" s="294"/>
    </row>
    <row r="128" spans="1:12">
      <c r="A128" s="293">
        <v>126</v>
      </c>
      <c r="B128" s="214" t="s">
        <v>321</v>
      </c>
      <c r="C128" s="294"/>
      <c r="D128" s="294"/>
      <c r="E128" s="294"/>
      <c r="F128" s="294"/>
      <c r="G128" s="294"/>
      <c r="H128" s="293"/>
      <c r="I128" s="293"/>
      <c r="J128" s="294"/>
      <c r="K128" s="294"/>
      <c r="L128" s="294"/>
    </row>
    <row r="129" spans="1:12">
      <c r="A129" s="293">
        <v>127</v>
      </c>
      <c r="B129" s="214" t="s">
        <v>322</v>
      </c>
      <c r="C129" s="294"/>
      <c r="D129" s="294"/>
      <c r="E129" s="294"/>
      <c r="F129" s="294"/>
      <c r="G129" s="294"/>
      <c r="H129" s="293"/>
      <c r="I129" s="293"/>
      <c r="J129" s="294"/>
      <c r="K129" s="294"/>
      <c r="L129" s="294"/>
    </row>
    <row r="130" spans="1:12">
      <c r="A130" s="293">
        <v>128</v>
      </c>
      <c r="B130" s="214" t="s">
        <v>323</v>
      </c>
      <c r="C130" s="294"/>
      <c r="D130" s="294"/>
      <c r="E130" s="294"/>
      <c r="F130" s="294"/>
      <c r="G130" s="294"/>
      <c r="H130" s="293"/>
      <c r="I130" s="293"/>
      <c r="J130" s="294"/>
      <c r="K130" s="294"/>
      <c r="L130" s="294"/>
    </row>
    <row r="131" spans="1:12">
      <c r="A131" s="293">
        <v>129</v>
      </c>
      <c r="B131" s="214" t="s">
        <v>324</v>
      </c>
      <c r="C131" s="294"/>
      <c r="D131" s="294"/>
      <c r="E131" s="294"/>
      <c r="F131" s="294"/>
      <c r="G131" s="294"/>
      <c r="H131" s="293"/>
      <c r="I131" s="293"/>
      <c r="J131" s="294"/>
      <c r="K131" s="294"/>
      <c r="L131" s="294"/>
    </row>
    <row r="132" spans="1:12">
      <c r="A132" s="293">
        <v>130</v>
      </c>
      <c r="B132" s="214" t="s">
        <v>325</v>
      </c>
      <c r="C132" s="294"/>
      <c r="D132" s="294"/>
      <c r="E132" s="294"/>
      <c r="F132" s="294"/>
      <c r="G132" s="294"/>
      <c r="H132" s="293"/>
      <c r="I132" s="293"/>
      <c r="J132" s="294"/>
      <c r="K132" s="294"/>
      <c r="L132" s="294"/>
    </row>
    <row r="133" spans="1:12" ht="25.5">
      <c r="A133" s="293">
        <v>131</v>
      </c>
      <c r="B133" s="214" t="s">
        <v>326</v>
      </c>
      <c r="C133" s="217" t="s">
        <v>9590</v>
      </c>
      <c r="D133" s="216" t="s">
        <v>9603</v>
      </c>
      <c r="E133" s="216"/>
      <c r="F133" s="216"/>
      <c r="G133" s="257">
        <v>29455500</v>
      </c>
      <c r="H133" s="263">
        <v>42468</v>
      </c>
      <c r="I133" s="263">
        <v>47921</v>
      </c>
      <c r="J133" s="216">
        <v>0</v>
      </c>
      <c r="K133" s="216" t="s">
        <v>127</v>
      </c>
      <c r="L133" s="217" t="s">
        <v>8259</v>
      </c>
    </row>
    <row r="134" spans="1:12">
      <c r="A134" s="293">
        <v>132</v>
      </c>
      <c r="B134" s="214" t="s">
        <v>327</v>
      </c>
      <c r="C134" s="294"/>
      <c r="D134" s="294"/>
      <c r="E134" s="294"/>
      <c r="F134" s="294"/>
      <c r="G134" s="294"/>
      <c r="H134" s="293"/>
      <c r="I134" s="293"/>
      <c r="J134" s="294"/>
      <c r="K134" s="294"/>
      <c r="L134" s="294"/>
    </row>
    <row r="135" spans="1:12">
      <c r="A135" s="293">
        <v>133</v>
      </c>
      <c r="B135" s="214" t="s">
        <v>331</v>
      </c>
      <c r="C135" s="294"/>
      <c r="D135" s="294"/>
      <c r="E135" s="294"/>
      <c r="F135" s="294"/>
      <c r="G135" s="294"/>
      <c r="H135" s="293"/>
      <c r="I135" s="293"/>
      <c r="J135" s="294"/>
      <c r="K135" s="294"/>
      <c r="L135" s="294"/>
    </row>
    <row r="136" spans="1:12">
      <c r="A136" s="293">
        <v>134</v>
      </c>
      <c r="B136" s="214" t="s">
        <v>332</v>
      </c>
      <c r="C136" s="294"/>
      <c r="D136" s="294"/>
      <c r="E136" s="294"/>
      <c r="F136" s="294"/>
      <c r="G136" s="294"/>
      <c r="H136" s="293"/>
      <c r="I136" s="293"/>
      <c r="J136" s="294"/>
      <c r="K136" s="294"/>
      <c r="L136" s="294"/>
    </row>
    <row r="152" spans="2:2">
      <c r="B152" s="302"/>
    </row>
  </sheetData>
  <sortState xmlns:xlrd2="http://schemas.microsoft.com/office/spreadsheetml/2017/richdata2" ref="A3:L136">
    <sortCondition ref="B3:B136"/>
  </sortState>
  <conditionalFormatting sqref="B13">
    <cfRule type="duplicateValues" dxfId="96" priority="15"/>
  </conditionalFormatting>
  <conditionalFormatting sqref="B14">
    <cfRule type="duplicateValues" dxfId="95" priority="902"/>
  </conditionalFormatting>
  <conditionalFormatting sqref="B44:B92">
    <cfRule type="duplicateValues" dxfId="94" priority="1367"/>
  </conditionalFormatting>
  <conditionalFormatting sqref="B93">
    <cfRule type="duplicateValues" dxfId="93" priority="1"/>
  </conditionalFormatting>
  <conditionalFormatting sqref="B94:B97">
    <cfRule type="duplicateValues" dxfId="92" priority="2"/>
  </conditionalFormatting>
  <conditionalFormatting sqref="B98 B23:B43">
    <cfRule type="duplicateValues" dxfId="91" priority="4"/>
  </conditionalFormatting>
  <conditionalFormatting sqref="B99:B136">
    <cfRule type="duplicateValues" dxfId="90" priority="1365"/>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8953-C450-4B87-A364-24CAB4B9D4AD}">
  <sheetPr>
    <tabColor rgb="FF006432"/>
  </sheetPr>
  <dimension ref="A1:E129"/>
  <sheetViews>
    <sheetView workbookViewId="0">
      <pane xSplit="1" ySplit="3" topLeftCell="B4" activePane="bottomRight" state="frozen"/>
      <selection pane="bottomRight" activeCell="D4" sqref="D4"/>
      <selection pane="bottomLeft" activeCell="A4" sqref="A4"/>
      <selection pane="topRight" activeCell="B1" sqref="B1"/>
    </sheetView>
  </sheetViews>
  <sheetFormatPr defaultRowHeight="15"/>
  <cols>
    <col min="1" max="1" width="4.140625" customWidth="1"/>
    <col min="2" max="2" width="30.140625" style="211" customWidth="1"/>
    <col min="3" max="3" width="9.28515625" customWidth="1"/>
    <col min="4" max="4" width="19.5703125" customWidth="1"/>
    <col min="5" max="5" width="21.28515625" customWidth="1"/>
  </cols>
  <sheetData>
    <row r="1" spans="1:5" ht="16.5" thickBot="1">
      <c r="A1" s="641" t="s">
        <v>9604</v>
      </c>
      <c r="B1" s="641"/>
      <c r="C1" s="641"/>
      <c r="D1" s="641"/>
      <c r="E1" s="641"/>
    </row>
    <row r="2" spans="1:5" ht="5.25" customHeight="1" thickTop="1"/>
    <row r="3" spans="1:5" s="5" customFormat="1" ht="25.5">
      <c r="A3" s="17" t="s">
        <v>114</v>
      </c>
      <c r="B3" s="18" t="s">
        <v>9605</v>
      </c>
      <c r="C3" s="17" t="s">
        <v>116</v>
      </c>
      <c r="D3" s="18" t="s">
        <v>9606</v>
      </c>
      <c r="E3" s="18" t="s">
        <v>9607</v>
      </c>
    </row>
    <row r="4" spans="1:5">
      <c r="A4" s="378">
        <v>1</v>
      </c>
      <c r="B4" s="489" t="s">
        <v>121</v>
      </c>
      <c r="C4" s="379"/>
      <c r="D4" s="379"/>
      <c r="E4" s="379"/>
    </row>
    <row r="5" spans="1:5">
      <c r="A5" s="293">
        <v>2</v>
      </c>
      <c r="B5" s="266" t="s">
        <v>126</v>
      </c>
      <c r="C5" s="281"/>
      <c r="D5" s="281"/>
      <c r="E5" s="281"/>
    </row>
    <row r="6" spans="1:5">
      <c r="A6" s="209">
        <v>3</v>
      </c>
      <c r="B6" s="266" t="s">
        <v>131</v>
      </c>
      <c r="C6" s="215">
        <v>5809797</v>
      </c>
      <c r="D6" s="296">
        <v>185581168435</v>
      </c>
      <c r="E6" s="297">
        <v>9284.6299999999992</v>
      </c>
    </row>
    <row r="7" spans="1:5">
      <c r="A7" s="293">
        <v>4</v>
      </c>
      <c r="B7" s="266" t="s">
        <v>133</v>
      </c>
      <c r="C7" s="281"/>
      <c r="D7" s="281"/>
      <c r="E7" s="281"/>
    </row>
    <row r="8" spans="1:5">
      <c r="A8" s="293">
        <v>5</v>
      </c>
      <c r="B8" s="266" t="s">
        <v>136</v>
      </c>
      <c r="C8" s="215">
        <v>5095549</v>
      </c>
      <c r="D8" s="210"/>
      <c r="E8" s="296">
        <v>111573690</v>
      </c>
    </row>
    <row r="9" spans="1:5">
      <c r="A9" s="209">
        <v>6</v>
      </c>
      <c r="B9" s="266" t="s">
        <v>140</v>
      </c>
      <c r="C9" s="281"/>
      <c r="D9" s="281"/>
      <c r="E9" s="281"/>
    </row>
    <row r="10" spans="1:5">
      <c r="A10" s="293">
        <v>7</v>
      </c>
      <c r="B10" s="266" t="s">
        <v>143</v>
      </c>
      <c r="C10" s="215">
        <v>5133351</v>
      </c>
      <c r="D10" s="210"/>
      <c r="E10" s="297">
        <v>98349366.480000004</v>
      </c>
    </row>
    <row r="11" spans="1:5">
      <c r="A11" s="293">
        <v>8</v>
      </c>
      <c r="B11" s="266" t="s">
        <v>144</v>
      </c>
      <c r="C11" s="281"/>
      <c r="D11" s="281"/>
      <c r="E11" s="281"/>
    </row>
    <row r="12" spans="1:5">
      <c r="A12" s="209">
        <v>9</v>
      </c>
      <c r="B12" s="266" t="s">
        <v>146</v>
      </c>
      <c r="C12" s="281"/>
      <c r="D12" s="281"/>
      <c r="E12" s="281"/>
    </row>
    <row r="13" spans="1:5">
      <c r="A13" s="293">
        <v>10</v>
      </c>
      <c r="B13" s="266" t="s">
        <v>629</v>
      </c>
      <c r="C13" s="215">
        <v>5439183</v>
      </c>
      <c r="D13" s="210"/>
      <c r="E13" s="296">
        <v>99237</v>
      </c>
    </row>
    <row r="14" spans="1:5">
      <c r="A14" s="293">
        <v>11</v>
      </c>
      <c r="B14" s="266" t="s">
        <v>152</v>
      </c>
      <c r="C14" s="281"/>
      <c r="D14" s="281"/>
      <c r="E14" s="281"/>
    </row>
    <row r="15" spans="1:5">
      <c r="A15" s="209">
        <v>12</v>
      </c>
      <c r="B15" s="266" t="s">
        <v>155</v>
      </c>
      <c r="C15" s="281"/>
      <c r="D15" s="281"/>
      <c r="E15" s="281"/>
    </row>
    <row r="16" spans="1:5">
      <c r="A16" s="293">
        <v>13</v>
      </c>
      <c r="B16" s="266" t="s">
        <v>157</v>
      </c>
      <c r="C16" s="215">
        <v>5502977</v>
      </c>
      <c r="D16" s="210"/>
      <c r="E16" s="297">
        <v>93290.63</v>
      </c>
    </row>
    <row r="17" spans="1:5">
      <c r="A17" s="293">
        <v>14</v>
      </c>
      <c r="B17" s="266" t="s">
        <v>159</v>
      </c>
      <c r="C17" s="281"/>
      <c r="D17" s="281"/>
      <c r="E17" s="281"/>
    </row>
    <row r="18" spans="1:5">
      <c r="A18" s="209">
        <v>15</v>
      </c>
      <c r="B18" s="266" t="s">
        <v>161</v>
      </c>
      <c r="C18" s="281"/>
      <c r="D18" s="281"/>
      <c r="E18" s="281"/>
    </row>
    <row r="19" spans="1:5">
      <c r="A19" s="293">
        <v>16</v>
      </c>
      <c r="B19" s="266" t="s">
        <v>165</v>
      </c>
      <c r="C19" s="281"/>
      <c r="D19" s="281"/>
      <c r="E19" s="281"/>
    </row>
    <row r="20" spans="1:5">
      <c r="A20" s="293">
        <v>17</v>
      </c>
      <c r="B20" s="266" t="s">
        <v>168</v>
      </c>
      <c r="C20" s="215">
        <v>5369223</v>
      </c>
      <c r="D20" s="296">
        <v>99290000000</v>
      </c>
      <c r="E20" s="296">
        <v>19869870</v>
      </c>
    </row>
    <row r="21" spans="1:5">
      <c r="A21" s="209">
        <v>18</v>
      </c>
      <c r="B21" s="266" t="s">
        <v>169</v>
      </c>
      <c r="C21" s="281"/>
      <c r="D21" s="281"/>
      <c r="E21" s="281"/>
    </row>
    <row r="22" spans="1:5">
      <c r="A22" s="293">
        <v>19</v>
      </c>
      <c r="B22" s="266" t="s">
        <v>173</v>
      </c>
      <c r="C22" s="281"/>
      <c r="D22" s="281"/>
      <c r="E22" s="281"/>
    </row>
    <row r="23" spans="1:5">
      <c r="A23" s="293">
        <v>20</v>
      </c>
      <c r="B23" s="266" t="s">
        <v>174</v>
      </c>
      <c r="C23" s="281"/>
      <c r="D23" s="281"/>
      <c r="E23" s="281"/>
    </row>
    <row r="24" spans="1:5">
      <c r="A24" s="209">
        <v>21</v>
      </c>
      <c r="B24" s="266" t="s">
        <v>175</v>
      </c>
      <c r="C24" s="281"/>
      <c r="D24" s="281"/>
      <c r="E24" s="281"/>
    </row>
    <row r="25" spans="1:5">
      <c r="A25" s="293">
        <v>22</v>
      </c>
      <c r="B25" s="266" t="s">
        <v>176</v>
      </c>
      <c r="C25" s="281"/>
      <c r="D25" s="281"/>
      <c r="E25" s="281"/>
    </row>
    <row r="26" spans="1:5">
      <c r="A26" s="293">
        <v>23</v>
      </c>
      <c r="B26" s="266" t="s">
        <v>177</v>
      </c>
      <c r="C26" s="281"/>
      <c r="D26" s="281"/>
      <c r="E26" s="281"/>
    </row>
    <row r="27" spans="1:5">
      <c r="A27" s="209">
        <v>24</v>
      </c>
      <c r="B27" s="266" t="s">
        <v>178</v>
      </c>
      <c r="C27" s="281"/>
      <c r="D27" s="281"/>
      <c r="E27" s="281"/>
    </row>
    <row r="28" spans="1:5" ht="25.5">
      <c r="A28" s="293">
        <v>25</v>
      </c>
      <c r="B28" s="266" t="s">
        <v>179</v>
      </c>
      <c r="C28" s="281"/>
      <c r="D28" s="281"/>
      <c r="E28" s="281"/>
    </row>
    <row r="29" spans="1:5">
      <c r="A29" s="293">
        <v>26</v>
      </c>
      <c r="B29" s="266" t="s">
        <v>183</v>
      </c>
      <c r="C29" s="281"/>
      <c r="D29" s="281"/>
      <c r="E29" s="281"/>
    </row>
    <row r="30" spans="1:5">
      <c r="A30" s="209">
        <v>27</v>
      </c>
      <c r="B30" s="266" t="s">
        <v>185</v>
      </c>
      <c r="C30" s="281"/>
      <c r="D30" s="281"/>
      <c r="E30" s="281"/>
    </row>
    <row r="31" spans="1:5" ht="25.5">
      <c r="A31" s="293">
        <v>28</v>
      </c>
      <c r="B31" s="266" t="s">
        <v>187</v>
      </c>
      <c r="C31" s="281"/>
      <c r="D31" s="281"/>
      <c r="E31" s="281"/>
    </row>
    <row r="32" spans="1:5">
      <c r="A32" s="293">
        <v>29</v>
      </c>
      <c r="B32" s="266" t="s">
        <v>188</v>
      </c>
      <c r="C32" s="215">
        <v>5217652</v>
      </c>
      <c r="D32" s="210"/>
      <c r="E32" s="210">
        <v>18.09</v>
      </c>
    </row>
    <row r="33" spans="1:5">
      <c r="A33" s="209">
        <v>30</v>
      </c>
      <c r="B33" s="266" t="s">
        <v>189</v>
      </c>
      <c r="C33" s="281"/>
      <c r="D33" s="281"/>
      <c r="E33" s="281"/>
    </row>
    <row r="34" spans="1:5">
      <c r="A34" s="293">
        <v>31</v>
      </c>
      <c r="B34" s="266" t="s">
        <v>193</v>
      </c>
      <c r="C34" s="281"/>
      <c r="D34" s="281"/>
      <c r="E34" s="281"/>
    </row>
    <row r="35" spans="1:5">
      <c r="A35" s="293">
        <v>32</v>
      </c>
      <c r="B35" s="266" t="s">
        <v>194</v>
      </c>
      <c r="C35" s="281"/>
      <c r="D35" s="281"/>
      <c r="E35" s="281"/>
    </row>
    <row r="36" spans="1:5">
      <c r="A36" s="209">
        <v>33</v>
      </c>
      <c r="B36" s="266" t="s">
        <v>196</v>
      </c>
      <c r="C36" s="215">
        <v>5522935</v>
      </c>
      <c r="D36" s="296">
        <v>1184200000000</v>
      </c>
      <c r="E36" s="296">
        <v>74044780</v>
      </c>
    </row>
    <row r="37" spans="1:5">
      <c r="A37" s="293">
        <v>34</v>
      </c>
      <c r="B37" s="266" t="s">
        <v>197</v>
      </c>
      <c r="C37" s="281"/>
      <c r="D37" s="281"/>
      <c r="E37" s="281"/>
    </row>
    <row r="38" spans="1:5">
      <c r="A38" s="293">
        <v>35</v>
      </c>
      <c r="B38" s="266" t="s">
        <v>198</v>
      </c>
      <c r="C38" s="281"/>
      <c r="D38" s="281"/>
      <c r="E38" s="281"/>
    </row>
    <row r="39" spans="1:5">
      <c r="A39" s="209">
        <v>36</v>
      </c>
      <c r="B39" s="266" t="s">
        <v>199</v>
      </c>
      <c r="C39" s="281"/>
      <c r="D39" s="281"/>
      <c r="E39" s="281"/>
    </row>
    <row r="40" spans="1:5">
      <c r="A40" s="293">
        <v>37</v>
      </c>
      <c r="B40" s="266" t="s">
        <v>201</v>
      </c>
      <c r="C40" s="215">
        <v>2057573</v>
      </c>
      <c r="D40" s="296">
        <v>2597700000</v>
      </c>
      <c r="E40" s="210">
        <v>0.78</v>
      </c>
    </row>
    <row r="41" spans="1:5">
      <c r="A41" s="293">
        <v>38</v>
      </c>
      <c r="B41" s="266" t="s">
        <v>202</v>
      </c>
      <c r="C41" s="215">
        <v>5699134</v>
      </c>
      <c r="D41" s="210"/>
      <c r="E41" s="210">
        <v>4.7699999999999996</v>
      </c>
    </row>
    <row r="42" spans="1:5">
      <c r="A42" s="209">
        <v>39</v>
      </c>
      <c r="B42" s="266" t="s">
        <v>203</v>
      </c>
      <c r="C42" s="281"/>
      <c r="D42" s="281"/>
      <c r="E42" s="281"/>
    </row>
    <row r="43" spans="1:5">
      <c r="A43" s="293">
        <v>40</v>
      </c>
      <c r="B43" s="266" t="s">
        <v>204</v>
      </c>
      <c r="C43" s="281"/>
      <c r="D43" s="281"/>
      <c r="E43" s="281"/>
    </row>
    <row r="44" spans="1:5" ht="25.5">
      <c r="A44" s="293">
        <v>41</v>
      </c>
      <c r="B44" s="266" t="s">
        <v>208</v>
      </c>
      <c r="C44" s="281"/>
      <c r="D44" s="281"/>
      <c r="E44" s="281"/>
    </row>
    <row r="45" spans="1:5">
      <c r="A45" s="209">
        <v>42</v>
      </c>
      <c r="B45" s="266" t="s">
        <v>210</v>
      </c>
      <c r="C45" s="281"/>
      <c r="D45" s="281"/>
      <c r="E45" s="281"/>
    </row>
    <row r="46" spans="1:5">
      <c r="A46" s="293">
        <v>43</v>
      </c>
      <c r="B46" s="266" t="s">
        <v>211</v>
      </c>
      <c r="C46" s="281"/>
      <c r="D46" s="281"/>
      <c r="E46" s="281"/>
    </row>
    <row r="47" spans="1:5" ht="25.5">
      <c r="A47" s="293">
        <v>44</v>
      </c>
      <c r="B47" s="266" t="s">
        <v>213</v>
      </c>
      <c r="C47" s="281"/>
      <c r="D47" s="281"/>
      <c r="E47" s="281"/>
    </row>
    <row r="48" spans="1:5">
      <c r="A48" s="209">
        <v>45</v>
      </c>
      <c r="B48" s="266" t="s">
        <v>214</v>
      </c>
      <c r="C48" s="281"/>
      <c r="D48" s="281"/>
      <c r="E48" s="281"/>
    </row>
    <row r="49" spans="1:5">
      <c r="A49" s="293">
        <v>46</v>
      </c>
      <c r="B49" s="266" t="s">
        <v>216</v>
      </c>
      <c r="C49" s="215">
        <v>5051134</v>
      </c>
      <c r="D49" s="210"/>
      <c r="E49" s="296">
        <v>3777000</v>
      </c>
    </row>
    <row r="50" spans="1:5">
      <c r="A50" s="293">
        <v>47</v>
      </c>
      <c r="B50" s="266" t="s">
        <v>217</v>
      </c>
      <c r="C50" s="281"/>
      <c r="D50" s="281"/>
      <c r="E50" s="281"/>
    </row>
    <row r="51" spans="1:5">
      <c r="A51" s="209">
        <v>48</v>
      </c>
      <c r="B51" s="266" t="s">
        <v>218</v>
      </c>
      <c r="C51" s="281"/>
      <c r="D51" s="281"/>
      <c r="E51" s="281"/>
    </row>
    <row r="52" spans="1:5">
      <c r="A52" s="293">
        <v>49</v>
      </c>
      <c r="B52" s="266" t="s">
        <v>219</v>
      </c>
      <c r="C52" s="281"/>
      <c r="D52" s="281"/>
      <c r="E52" s="281"/>
    </row>
    <row r="53" spans="1:5" ht="25.5">
      <c r="A53" s="293">
        <v>50</v>
      </c>
      <c r="B53" s="266" t="s">
        <v>220</v>
      </c>
      <c r="C53" s="281"/>
      <c r="D53" s="281"/>
      <c r="E53" s="281"/>
    </row>
    <row r="54" spans="1:5">
      <c r="A54" s="209">
        <v>51</v>
      </c>
      <c r="B54" s="266" t="s">
        <v>222</v>
      </c>
      <c r="C54" s="281"/>
      <c r="D54" s="281"/>
      <c r="E54" s="281"/>
    </row>
    <row r="55" spans="1:5">
      <c r="A55" s="293">
        <v>52</v>
      </c>
      <c r="B55" s="266" t="s">
        <v>223</v>
      </c>
      <c r="C55" s="281"/>
      <c r="D55" s="281"/>
      <c r="E55" s="281"/>
    </row>
    <row r="56" spans="1:5">
      <c r="A56" s="293">
        <v>53</v>
      </c>
      <c r="B56" s="266" t="s">
        <v>224</v>
      </c>
      <c r="C56" s="281"/>
      <c r="D56" s="281"/>
      <c r="E56" s="281"/>
    </row>
    <row r="57" spans="1:5">
      <c r="A57" s="209">
        <v>54</v>
      </c>
      <c r="B57" s="266" t="s">
        <v>225</v>
      </c>
      <c r="C57" s="215">
        <v>2010895</v>
      </c>
      <c r="D57" s="210"/>
      <c r="E57" s="296">
        <v>8372200</v>
      </c>
    </row>
    <row r="58" spans="1:5">
      <c r="A58" s="293">
        <v>55</v>
      </c>
      <c r="B58" s="266" t="s">
        <v>227</v>
      </c>
      <c r="C58" s="209">
        <v>5295858</v>
      </c>
      <c r="D58" s="376">
        <v>206090000</v>
      </c>
      <c r="E58" s="377">
        <v>350.1</v>
      </c>
    </row>
    <row r="59" spans="1:5">
      <c r="A59" s="293">
        <v>56</v>
      </c>
      <c r="B59" s="266" t="s">
        <v>228</v>
      </c>
      <c r="C59" s="281"/>
      <c r="D59" s="281"/>
      <c r="E59" s="281"/>
    </row>
    <row r="60" spans="1:5">
      <c r="A60" s="209">
        <v>57</v>
      </c>
      <c r="B60" s="266" t="s">
        <v>229</v>
      </c>
      <c r="C60" s="281"/>
      <c r="D60" s="281"/>
      <c r="E60" s="281"/>
    </row>
    <row r="61" spans="1:5">
      <c r="A61" s="293">
        <v>58</v>
      </c>
      <c r="B61" s="266" t="s">
        <v>231</v>
      </c>
      <c r="C61" s="215">
        <v>2657457</v>
      </c>
      <c r="D61" s="296">
        <v>547470561015</v>
      </c>
      <c r="E61" s="210"/>
    </row>
    <row r="62" spans="1:5">
      <c r="A62" s="293">
        <v>59</v>
      </c>
      <c r="B62" s="266" t="s">
        <v>230</v>
      </c>
      <c r="C62" s="215">
        <v>2678187</v>
      </c>
      <c r="D62" s="210"/>
      <c r="E62" s="296">
        <v>512904</v>
      </c>
    </row>
    <row r="63" spans="1:5">
      <c r="A63" s="209">
        <v>60</v>
      </c>
      <c r="B63" s="266" t="s">
        <v>232</v>
      </c>
      <c r="C63" s="281"/>
      <c r="D63" s="281"/>
      <c r="E63" s="281"/>
    </row>
    <row r="64" spans="1:5">
      <c r="A64" s="293">
        <v>61</v>
      </c>
      <c r="B64" s="266" t="s">
        <v>236</v>
      </c>
      <c r="C64" s="281"/>
      <c r="D64" s="281"/>
      <c r="E64" s="281"/>
    </row>
    <row r="65" spans="1:5">
      <c r="A65" s="293">
        <v>62</v>
      </c>
      <c r="B65" s="266" t="s">
        <v>239</v>
      </c>
      <c r="C65" s="215">
        <v>5199077</v>
      </c>
      <c r="D65" s="210"/>
      <c r="E65" s="296">
        <v>79602780</v>
      </c>
    </row>
    <row r="66" spans="1:5">
      <c r="A66" s="209">
        <v>63</v>
      </c>
      <c r="B66" s="266" t="s">
        <v>240</v>
      </c>
      <c r="C66" s="281"/>
      <c r="D66" s="281"/>
      <c r="E66" s="281"/>
    </row>
    <row r="67" spans="1:5">
      <c r="A67" s="293">
        <v>64</v>
      </c>
      <c r="B67" s="266" t="s">
        <v>241</v>
      </c>
      <c r="C67" s="281"/>
      <c r="D67" s="281"/>
      <c r="E67" s="281"/>
    </row>
    <row r="68" spans="1:5">
      <c r="A68" s="293">
        <v>65</v>
      </c>
      <c r="B68" s="266" t="s">
        <v>242</v>
      </c>
      <c r="C68" s="215">
        <v>5076285</v>
      </c>
      <c r="D68" s="296">
        <v>156200000</v>
      </c>
      <c r="E68" s="210">
        <v>0.193</v>
      </c>
    </row>
    <row r="69" spans="1:5">
      <c r="A69" s="209">
        <v>66</v>
      </c>
      <c r="B69" s="266" t="s">
        <v>243</v>
      </c>
      <c r="C69" s="215">
        <v>5084555</v>
      </c>
      <c r="D69" s="210">
        <v>19.5</v>
      </c>
      <c r="E69" s="210">
        <v>345.8</v>
      </c>
    </row>
    <row r="70" spans="1:5">
      <c r="A70" s="293">
        <v>67</v>
      </c>
      <c r="B70" s="266" t="s">
        <v>244</v>
      </c>
      <c r="C70" s="281"/>
      <c r="D70" s="281"/>
      <c r="E70" s="281"/>
    </row>
    <row r="71" spans="1:5">
      <c r="A71" s="293">
        <v>68</v>
      </c>
      <c r="B71" s="266" t="s">
        <v>246</v>
      </c>
      <c r="C71" s="215">
        <v>5288703</v>
      </c>
      <c r="D71" s="210"/>
      <c r="E71" s="296">
        <v>529180</v>
      </c>
    </row>
    <row r="72" spans="1:5">
      <c r="A72" s="209">
        <v>69</v>
      </c>
      <c r="B72" s="266" t="s">
        <v>248</v>
      </c>
      <c r="C72" s="215">
        <v>6232485</v>
      </c>
      <c r="D72" s="296">
        <v>24564100000</v>
      </c>
      <c r="E72" s="297">
        <v>10042.44</v>
      </c>
    </row>
    <row r="73" spans="1:5">
      <c r="A73" s="293">
        <v>70</v>
      </c>
      <c r="B73" s="266" t="s">
        <v>249</v>
      </c>
      <c r="C73" s="281"/>
      <c r="D73" s="281"/>
      <c r="E73" s="281"/>
    </row>
    <row r="74" spans="1:5">
      <c r="A74" s="293">
        <v>71</v>
      </c>
      <c r="B74" s="266" t="s">
        <v>250</v>
      </c>
      <c r="C74" s="281"/>
      <c r="D74" s="281"/>
      <c r="E74" s="281"/>
    </row>
    <row r="75" spans="1:5">
      <c r="A75" s="209">
        <v>72</v>
      </c>
      <c r="B75" s="266" t="s">
        <v>251</v>
      </c>
      <c r="C75" s="281"/>
      <c r="D75" s="281"/>
      <c r="E75" s="281"/>
    </row>
    <row r="76" spans="1:5">
      <c r="A76" s="293">
        <v>73</v>
      </c>
      <c r="B76" s="266" t="s">
        <v>253</v>
      </c>
      <c r="C76" s="281"/>
      <c r="D76" s="281"/>
      <c r="E76" s="281"/>
    </row>
    <row r="77" spans="1:5">
      <c r="A77" s="293">
        <v>74</v>
      </c>
      <c r="B77" s="266" t="s">
        <v>254</v>
      </c>
      <c r="C77" s="281"/>
      <c r="D77" s="281"/>
      <c r="E77" s="281"/>
    </row>
    <row r="78" spans="1:5">
      <c r="A78" s="209">
        <v>75</v>
      </c>
      <c r="B78" s="266" t="s">
        <v>257</v>
      </c>
      <c r="C78" s="281"/>
      <c r="D78" s="281"/>
      <c r="E78" s="281"/>
    </row>
    <row r="79" spans="1:5">
      <c r="A79" s="293">
        <v>76</v>
      </c>
      <c r="B79" s="266" t="s">
        <v>258</v>
      </c>
      <c r="C79" s="281"/>
      <c r="D79" s="281"/>
      <c r="E79" s="281"/>
    </row>
    <row r="80" spans="1:5">
      <c r="A80" s="293">
        <v>77</v>
      </c>
      <c r="B80" s="266" t="s">
        <v>260</v>
      </c>
      <c r="C80" s="281"/>
      <c r="D80" s="281"/>
      <c r="E80" s="281"/>
    </row>
    <row r="81" spans="1:5">
      <c r="A81" s="209">
        <v>78</v>
      </c>
      <c r="B81" s="266" t="s">
        <v>263</v>
      </c>
      <c r="C81" s="281"/>
      <c r="D81" s="281"/>
      <c r="E81" s="281"/>
    </row>
    <row r="82" spans="1:5">
      <c r="A82" s="293">
        <v>79</v>
      </c>
      <c r="B82" s="266" t="s">
        <v>264</v>
      </c>
      <c r="C82" s="281"/>
      <c r="D82" s="281"/>
      <c r="E82" s="281"/>
    </row>
    <row r="83" spans="1:5">
      <c r="A83" s="293">
        <v>80</v>
      </c>
      <c r="B83" s="266" t="s">
        <v>265</v>
      </c>
      <c r="C83" s="281"/>
      <c r="D83" s="281"/>
      <c r="E83" s="281"/>
    </row>
    <row r="84" spans="1:5">
      <c r="A84" s="209">
        <v>81</v>
      </c>
      <c r="B84" s="266" t="s">
        <v>266</v>
      </c>
      <c r="C84" s="215">
        <v>6268048</v>
      </c>
      <c r="D84" s="210"/>
      <c r="E84" s="210">
        <v>0.66</v>
      </c>
    </row>
    <row r="85" spans="1:5">
      <c r="A85" s="293">
        <v>82</v>
      </c>
      <c r="B85" s="266" t="s">
        <v>268</v>
      </c>
      <c r="C85" s="215">
        <v>5874963</v>
      </c>
      <c r="D85" s="210"/>
      <c r="E85" s="296">
        <v>194295730</v>
      </c>
    </row>
    <row r="86" spans="1:5">
      <c r="A86" s="293">
        <v>83</v>
      </c>
      <c r="B86" s="266" t="s">
        <v>269</v>
      </c>
      <c r="C86" s="281"/>
      <c r="D86" s="281"/>
      <c r="E86" s="281"/>
    </row>
    <row r="87" spans="1:5">
      <c r="A87" s="209">
        <v>84</v>
      </c>
      <c r="B87" s="266" t="s">
        <v>270</v>
      </c>
      <c r="C87" s="281"/>
      <c r="D87" s="281"/>
      <c r="E87" s="281"/>
    </row>
    <row r="88" spans="1:5">
      <c r="A88" s="293">
        <v>85</v>
      </c>
      <c r="B88" s="266" t="s">
        <v>271</v>
      </c>
      <c r="C88" s="281"/>
      <c r="D88" s="281"/>
      <c r="E88" s="281"/>
    </row>
    <row r="89" spans="1:5">
      <c r="A89" s="293">
        <v>86</v>
      </c>
      <c r="B89" s="266" t="s">
        <v>273</v>
      </c>
      <c r="C89" s="281"/>
      <c r="D89" s="281"/>
      <c r="E89" s="281"/>
    </row>
    <row r="90" spans="1:5">
      <c r="A90" s="209">
        <v>87</v>
      </c>
      <c r="B90" s="266" t="s">
        <v>277</v>
      </c>
      <c r="C90" s="215">
        <v>2868687</v>
      </c>
      <c r="D90" s="210"/>
      <c r="E90" s="210">
        <v>0.11</v>
      </c>
    </row>
    <row r="91" spans="1:5">
      <c r="A91" s="293">
        <v>88</v>
      </c>
      <c r="B91" s="266" t="s">
        <v>279</v>
      </c>
      <c r="C91" s="215">
        <v>5877288</v>
      </c>
      <c r="D91" s="296">
        <v>67990000000</v>
      </c>
      <c r="E91" s="296">
        <v>7692030</v>
      </c>
    </row>
    <row r="92" spans="1:5">
      <c r="A92" s="293">
        <v>89</v>
      </c>
      <c r="B92" s="266" t="s">
        <v>281</v>
      </c>
      <c r="C92" s="281"/>
      <c r="D92" s="281"/>
      <c r="E92" s="281"/>
    </row>
    <row r="93" spans="1:5">
      <c r="A93" s="209">
        <v>90</v>
      </c>
      <c r="B93" s="266" t="s">
        <v>282</v>
      </c>
      <c r="C93" s="215">
        <v>6413811</v>
      </c>
      <c r="D93" s="210"/>
      <c r="E93" s="210">
        <v>43.947000000000003</v>
      </c>
    </row>
    <row r="94" spans="1:5">
      <c r="A94" s="293">
        <v>91</v>
      </c>
      <c r="B94" s="266" t="s">
        <v>283</v>
      </c>
      <c r="C94" s="215">
        <v>2887134</v>
      </c>
      <c r="D94" s="210"/>
      <c r="E94" s="296">
        <v>414838918</v>
      </c>
    </row>
    <row r="95" spans="1:5">
      <c r="A95" s="293">
        <v>92</v>
      </c>
      <c r="B95" s="266" t="s">
        <v>284</v>
      </c>
      <c r="C95" s="281"/>
      <c r="D95" s="281"/>
      <c r="E95" s="281"/>
    </row>
    <row r="96" spans="1:5">
      <c r="A96" s="209">
        <v>93</v>
      </c>
      <c r="B96" s="266" t="s">
        <v>285</v>
      </c>
      <c r="C96" s="281"/>
      <c r="D96" s="281"/>
      <c r="E96" s="281"/>
    </row>
    <row r="97" spans="1:5">
      <c r="A97" s="293">
        <v>94</v>
      </c>
      <c r="B97" s="266" t="s">
        <v>286</v>
      </c>
      <c r="C97" s="281"/>
      <c r="D97" s="281"/>
      <c r="E97" s="281"/>
    </row>
    <row r="98" spans="1:5">
      <c r="A98" s="293">
        <v>95</v>
      </c>
      <c r="B98" s="266" t="s">
        <v>287</v>
      </c>
      <c r="C98" s="281"/>
      <c r="D98" s="281"/>
      <c r="E98" s="281"/>
    </row>
    <row r="99" spans="1:5">
      <c r="A99" s="209">
        <v>96</v>
      </c>
      <c r="B99" s="266" t="s">
        <v>290</v>
      </c>
      <c r="C99" s="215">
        <v>5878756</v>
      </c>
      <c r="D99" s="210"/>
      <c r="E99" s="297">
        <v>98193.43</v>
      </c>
    </row>
    <row r="100" spans="1:5">
      <c r="A100" s="293">
        <v>97</v>
      </c>
      <c r="B100" s="266" t="s">
        <v>290</v>
      </c>
      <c r="C100" s="281"/>
      <c r="D100" s="281"/>
      <c r="E100" s="281"/>
    </row>
    <row r="101" spans="1:5">
      <c r="A101" s="293">
        <v>98</v>
      </c>
      <c r="B101" s="266" t="s">
        <v>292</v>
      </c>
      <c r="C101" s="215">
        <v>2166631</v>
      </c>
      <c r="D101" s="296">
        <v>2740000</v>
      </c>
      <c r="E101" s="297">
        <v>193637.17</v>
      </c>
    </row>
    <row r="102" spans="1:5">
      <c r="A102" s="209">
        <v>99</v>
      </c>
      <c r="B102" s="266" t="s">
        <v>296</v>
      </c>
      <c r="C102" s="281"/>
      <c r="D102" s="281"/>
      <c r="E102" s="281"/>
    </row>
    <row r="103" spans="1:5">
      <c r="A103" s="293">
        <v>100</v>
      </c>
      <c r="B103" s="266" t="s">
        <v>297</v>
      </c>
      <c r="C103" s="281"/>
      <c r="D103" s="281"/>
      <c r="E103" s="281"/>
    </row>
    <row r="104" spans="1:5">
      <c r="A104" s="293">
        <v>101</v>
      </c>
      <c r="B104" s="266" t="s">
        <v>298</v>
      </c>
      <c r="C104" s="215">
        <v>2668505</v>
      </c>
      <c r="D104" s="296">
        <v>277469226</v>
      </c>
      <c r="E104" s="296">
        <v>190907000</v>
      </c>
    </row>
    <row r="105" spans="1:5">
      <c r="A105" s="209">
        <v>102</v>
      </c>
      <c r="B105" s="266" t="s">
        <v>299</v>
      </c>
      <c r="C105" s="281"/>
      <c r="D105" s="281"/>
      <c r="E105" s="281"/>
    </row>
    <row r="106" spans="1:5">
      <c r="A106" s="293">
        <v>103</v>
      </c>
      <c r="B106" s="266" t="s">
        <v>300</v>
      </c>
      <c r="C106" s="281"/>
      <c r="D106" s="281"/>
      <c r="E106" s="281"/>
    </row>
    <row r="107" spans="1:5">
      <c r="A107" s="293">
        <v>104</v>
      </c>
      <c r="B107" s="266" t="s">
        <v>301</v>
      </c>
      <c r="C107" s="281"/>
      <c r="D107" s="281"/>
      <c r="E107" s="281"/>
    </row>
    <row r="108" spans="1:5">
      <c r="A108" s="209">
        <v>105</v>
      </c>
      <c r="B108" s="266" t="s">
        <v>303</v>
      </c>
      <c r="C108" s="281"/>
      <c r="D108" s="281"/>
      <c r="E108" s="281"/>
    </row>
    <row r="109" spans="1:5">
      <c r="A109" s="293">
        <v>106</v>
      </c>
      <c r="B109" s="266" t="s">
        <v>306</v>
      </c>
      <c r="C109" s="281"/>
      <c r="D109" s="281"/>
      <c r="E109" s="281"/>
    </row>
    <row r="110" spans="1:5">
      <c r="A110" s="293">
        <v>107</v>
      </c>
      <c r="B110" s="266" t="s">
        <v>307</v>
      </c>
      <c r="C110" s="281"/>
      <c r="D110" s="281"/>
      <c r="E110" s="281"/>
    </row>
    <row r="111" spans="1:5">
      <c r="A111" s="209">
        <v>108</v>
      </c>
      <c r="B111" s="266" t="s">
        <v>308</v>
      </c>
      <c r="C111" s="281"/>
      <c r="D111" s="281"/>
      <c r="E111" s="281"/>
    </row>
    <row r="112" spans="1:5">
      <c r="A112" s="293">
        <v>109</v>
      </c>
      <c r="B112" s="266" t="s">
        <v>309</v>
      </c>
      <c r="C112" s="215">
        <v>2050374</v>
      </c>
      <c r="D112" s="296">
        <v>2552912147500</v>
      </c>
      <c r="E112" s="296">
        <v>28053370</v>
      </c>
    </row>
    <row r="113" spans="1:5">
      <c r="A113" s="293">
        <v>110</v>
      </c>
      <c r="B113" s="266" t="s">
        <v>311</v>
      </c>
      <c r="C113" s="215">
        <v>2004879</v>
      </c>
      <c r="D113" s="296">
        <v>2560296532986</v>
      </c>
      <c r="E113" s="297">
        <v>617871059.89999998</v>
      </c>
    </row>
    <row r="114" spans="1:5">
      <c r="A114" s="209">
        <v>111</v>
      </c>
      <c r="B114" s="266" t="s">
        <v>314</v>
      </c>
      <c r="C114" s="281"/>
      <c r="D114" s="281"/>
      <c r="E114" s="281"/>
    </row>
    <row r="115" spans="1:5">
      <c r="A115" s="293">
        <v>112</v>
      </c>
      <c r="B115" s="266" t="s">
        <v>315</v>
      </c>
      <c r="C115" s="215">
        <v>5320607</v>
      </c>
      <c r="D115" s="210"/>
      <c r="E115" s="210">
        <v>0.1</v>
      </c>
    </row>
    <row r="116" spans="1:5">
      <c r="A116" s="293">
        <v>113</v>
      </c>
      <c r="B116" s="266" t="s">
        <v>316</v>
      </c>
      <c r="C116" s="281"/>
      <c r="D116" s="281"/>
      <c r="E116" s="281"/>
    </row>
    <row r="117" spans="1:5">
      <c r="A117" s="209">
        <v>114</v>
      </c>
      <c r="B117" s="266" t="s">
        <v>317</v>
      </c>
      <c r="C117" s="281"/>
      <c r="D117" s="281"/>
      <c r="E117" s="281"/>
    </row>
    <row r="118" spans="1:5">
      <c r="A118" s="293">
        <v>115</v>
      </c>
      <c r="B118" s="266" t="s">
        <v>318</v>
      </c>
      <c r="C118" s="281"/>
      <c r="D118" s="281"/>
      <c r="E118" s="281"/>
    </row>
    <row r="119" spans="1:5">
      <c r="A119" s="293">
        <v>116</v>
      </c>
      <c r="B119" s="266" t="s">
        <v>319</v>
      </c>
      <c r="C119" s="215">
        <v>2887746</v>
      </c>
      <c r="D119" s="210"/>
      <c r="E119" s="296">
        <v>576987024</v>
      </c>
    </row>
    <row r="120" spans="1:5">
      <c r="A120" s="209">
        <v>117</v>
      </c>
      <c r="B120" s="266" t="s">
        <v>320</v>
      </c>
      <c r="C120" s="281"/>
      <c r="D120" s="281"/>
      <c r="E120" s="281"/>
    </row>
    <row r="121" spans="1:5">
      <c r="A121" s="293">
        <v>118</v>
      </c>
      <c r="B121" s="266" t="s">
        <v>321</v>
      </c>
      <c r="C121" s="215">
        <v>2718243</v>
      </c>
      <c r="D121" s="296">
        <v>178500000000</v>
      </c>
      <c r="E121" s="210">
        <v>10.339</v>
      </c>
    </row>
    <row r="122" spans="1:5">
      <c r="A122" s="293">
        <v>119</v>
      </c>
      <c r="B122" s="266" t="s">
        <v>322</v>
      </c>
      <c r="C122" s="281"/>
      <c r="D122" s="281"/>
      <c r="E122" s="281"/>
    </row>
    <row r="123" spans="1:5">
      <c r="A123" s="209">
        <v>120</v>
      </c>
      <c r="B123" s="266" t="s">
        <v>323</v>
      </c>
      <c r="C123" s="215">
        <v>5435528</v>
      </c>
      <c r="D123" s="210"/>
      <c r="E123" s="296">
        <v>4020414960</v>
      </c>
    </row>
    <row r="124" spans="1:5">
      <c r="A124" s="293">
        <v>121</v>
      </c>
      <c r="B124" s="266" t="s">
        <v>324</v>
      </c>
      <c r="C124" s="281"/>
      <c r="D124" s="281"/>
      <c r="E124" s="281"/>
    </row>
    <row r="125" spans="1:5">
      <c r="A125" s="293">
        <v>122</v>
      </c>
      <c r="B125" s="266" t="s">
        <v>325</v>
      </c>
      <c r="C125" s="281"/>
      <c r="D125" s="281"/>
      <c r="E125" s="281"/>
    </row>
    <row r="126" spans="1:5">
      <c r="A126" s="209">
        <v>123</v>
      </c>
      <c r="B126" s="266" t="s">
        <v>326</v>
      </c>
      <c r="C126" s="215">
        <v>5124913</v>
      </c>
      <c r="D126" s="296">
        <v>25602965329</v>
      </c>
      <c r="E126" s="210">
        <v>617.79999999999995</v>
      </c>
    </row>
    <row r="127" spans="1:5">
      <c r="A127" s="293">
        <v>124</v>
      </c>
      <c r="B127" s="266" t="s">
        <v>327</v>
      </c>
      <c r="C127" s="215">
        <v>2074192</v>
      </c>
      <c r="D127" s="210"/>
      <c r="E127" s="297">
        <v>2993992583.8499999</v>
      </c>
    </row>
    <row r="128" spans="1:5">
      <c r="A128" s="293">
        <v>125</v>
      </c>
      <c r="B128" s="266" t="s">
        <v>331</v>
      </c>
      <c r="C128" s="281"/>
      <c r="D128" s="281"/>
      <c r="E128" s="281"/>
    </row>
    <row r="129" spans="1:5">
      <c r="A129" s="209">
        <v>126</v>
      </c>
      <c r="B129" s="266" t="s">
        <v>332</v>
      </c>
      <c r="C129" s="281"/>
      <c r="D129" s="281"/>
      <c r="E129" s="281"/>
    </row>
  </sheetData>
  <sortState xmlns:xlrd2="http://schemas.microsoft.com/office/spreadsheetml/2017/richdata2" ref="A4:E129">
    <sortCondition ref="B4:B129"/>
  </sortState>
  <mergeCells count="1">
    <mergeCell ref="A1:E1"/>
  </mergeCells>
  <conditionalFormatting sqref="B4:B8">
    <cfRule type="duplicateValues" dxfId="89" priority="1361"/>
  </conditionalFormatting>
  <conditionalFormatting sqref="B9:B17">
    <cfRule type="duplicateValues" dxfId="88" priority="1355"/>
  </conditionalFormatting>
  <conditionalFormatting sqref="B18">
    <cfRule type="duplicateValues" dxfId="87" priority="6"/>
  </conditionalFormatting>
  <conditionalFormatting sqref="B19">
    <cfRule type="duplicateValues" dxfId="86" priority="944"/>
  </conditionalFormatting>
  <conditionalFormatting sqref="B20:B32">
    <cfRule type="duplicateValues" dxfId="85" priority="1344"/>
  </conditionalFormatting>
  <conditionalFormatting sqref="B58:B94">
    <cfRule type="duplicateValues" dxfId="84" priority="1340"/>
  </conditionalFormatting>
  <conditionalFormatting sqref="B95">
    <cfRule type="duplicateValues" dxfId="83" priority="1"/>
  </conditionalFormatting>
  <conditionalFormatting sqref="B96:B99">
    <cfRule type="duplicateValues" dxfId="82" priority="2"/>
  </conditionalFormatting>
  <conditionalFormatting sqref="B100 B33:B57">
    <cfRule type="duplicateValues" dxfId="81" priority="4"/>
  </conditionalFormatting>
  <conditionalFormatting sqref="B101:B129">
    <cfRule type="duplicateValues" dxfId="80" priority="1314"/>
  </conditionalFormatting>
  <conditionalFormatting sqref="C4:C8">
    <cfRule type="duplicateValues" dxfId="79" priority="1363"/>
  </conditionalFormatting>
  <conditionalFormatting sqref="C9:C17">
    <cfRule type="duplicateValues" dxfId="78" priority="1357"/>
  </conditionalFormatting>
  <conditionalFormatting sqref="C18">
    <cfRule type="duplicateValues" dxfId="77" priority="15"/>
  </conditionalFormatting>
  <conditionalFormatting sqref="C19">
    <cfRule type="duplicateValues" dxfId="76" priority="14"/>
  </conditionalFormatting>
  <conditionalFormatting sqref="C20:C32">
    <cfRule type="duplicateValues" dxfId="75" priority="1346"/>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73D10-92BE-4C0B-BC63-9291A407F9E1}">
  <sheetPr>
    <tabColor rgb="FF006432"/>
  </sheetPr>
  <dimension ref="A1:M141"/>
  <sheetViews>
    <sheetView workbookViewId="0">
      <pane xSplit="1" ySplit="3" topLeftCell="B4" activePane="bottomRight" state="frozen"/>
      <selection pane="bottomRight" activeCell="B2" sqref="B2:B3"/>
      <selection pane="bottomLeft" activeCell="A4" sqref="A4"/>
      <selection pane="topRight" activeCell="B1" sqref="B1"/>
    </sheetView>
  </sheetViews>
  <sheetFormatPr defaultRowHeight="15"/>
  <cols>
    <col min="1" max="1" width="5.140625" customWidth="1"/>
    <col min="2" max="2" width="33.7109375" style="211" customWidth="1"/>
    <col min="3" max="3" width="16.85546875" style="8" customWidth="1"/>
    <col min="4" max="4" width="17.28515625" customWidth="1"/>
    <col min="5" max="5" width="22.140625" customWidth="1"/>
    <col min="6" max="9" width="18.5703125" customWidth="1"/>
    <col min="10" max="10" width="18" customWidth="1"/>
    <col min="11" max="11" width="18.5703125" customWidth="1"/>
    <col min="12" max="12" width="19.85546875" customWidth="1"/>
  </cols>
  <sheetData>
    <row r="1" spans="1:13" ht="15.75">
      <c r="A1" s="643" t="s">
        <v>9608</v>
      </c>
      <c r="B1" s="643"/>
      <c r="C1" s="643"/>
      <c r="D1" s="643"/>
      <c r="E1" s="63"/>
      <c r="F1" s="63"/>
      <c r="G1" s="63"/>
      <c r="H1" s="63"/>
      <c r="I1" s="63"/>
      <c r="J1" s="63"/>
      <c r="K1" s="63"/>
      <c r="L1" s="63"/>
    </row>
    <row r="2" spans="1:13" ht="45.75" customHeight="1">
      <c r="A2" s="584" t="s">
        <v>114</v>
      </c>
      <c r="B2" s="584" t="s">
        <v>690</v>
      </c>
      <c r="C2" s="584" t="s">
        <v>116</v>
      </c>
      <c r="D2" s="584" t="s">
        <v>8554</v>
      </c>
      <c r="E2" s="584" t="s">
        <v>9609</v>
      </c>
      <c r="F2" s="584" t="s">
        <v>9610</v>
      </c>
      <c r="G2" s="584" t="s">
        <v>9611</v>
      </c>
      <c r="H2" s="584"/>
      <c r="I2" s="584" t="s">
        <v>9612</v>
      </c>
      <c r="J2" s="584" t="s">
        <v>9613</v>
      </c>
      <c r="K2" s="584" t="s">
        <v>9614</v>
      </c>
      <c r="L2" s="584" t="s">
        <v>9615</v>
      </c>
    </row>
    <row r="3" spans="1:13">
      <c r="A3" s="584"/>
      <c r="B3" s="584"/>
      <c r="C3" s="584"/>
      <c r="D3" s="584"/>
      <c r="E3" s="584"/>
      <c r="F3" s="584"/>
      <c r="G3" s="225" t="s">
        <v>736</v>
      </c>
      <c r="H3" s="225" t="s">
        <v>737</v>
      </c>
      <c r="I3" s="584"/>
      <c r="J3" s="584"/>
      <c r="K3" s="584"/>
      <c r="L3" s="584"/>
    </row>
    <row r="4" spans="1:13">
      <c r="A4" s="209">
        <v>1</v>
      </c>
      <c r="B4" s="214" t="s">
        <v>121</v>
      </c>
      <c r="C4" s="281"/>
      <c r="D4" s="281"/>
      <c r="E4" s="281"/>
      <c r="F4" s="281"/>
      <c r="G4" s="281"/>
      <c r="H4" s="281"/>
      <c r="I4" s="281"/>
      <c r="J4" s="281"/>
      <c r="K4" s="281"/>
      <c r="L4" s="281"/>
    </row>
    <row r="5" spans="1:13">
      <c r="A5" s="209">
        <v>2</v>
      </c>
      <c r="B5" s="214" t="s">
        <v>126</v>
      </c>
      <c r="C5" s="281"/>
      <c r="D5" s="281"/>
      <c r="E5" s="281"/>
      <c r="F5" s="281"/>
      <c r="G5" s="281"/>
      <c r="H5" s="281"/>
      <c r="I5" s="281"/>
      <c r="J5" s="281"/>
      <c r="K5" s="281"/>
      <c r="L5" s="281"/>
    </row>
    <row r="6" spans="1:13" ht="25.5">
      <c r="A6" s="209">
        <v>3</v>
      </c>
      <c r="B6" s="266" t="s">
        <v>131</v>
      </c>
      <c r="C6" s="215">
        <v>5809797</v>
      </c>
      <c r="D6" s="216" t="s">
        <v>8659</v>
      </c>
      <c r="E6" s="216">
        <v>1</v>
      </c>
      <c r="F6" s="216"/>
      <c r="G6" s="216">
        <v>0</v>
      </c>
      <c r="H6" s="216">
        <v>0</v>
      </c>
      <c r="I6" s="216"/>
      <c r="J6" s="216">
        <v>0</v>
      </c>
      <c r="K6" s="216">
        <v>0</v>
      </c>
      <c r="L6" s="216">
        <v>0</v>
      </c>
    </row>
    <row r="7" spans="1:13">
      <c r="A7" s="209">
        <v>4</v>
      </c>
      <c r="B7" s="214" t="s">
        <v>133</v>
      </c>
      <c r="C7" s="281"/>
      <c r="D7" s="281"/>
      <c r="E7" s="281"/>
      <c r="F7" s="281"/>
      <c r="G7" s="281"/>
      <c r="H7" s="281"/>
      <c r="I7" s="281"/>
      <c r="J7" s="281"/>
      <c r="K7" s="281"/>
      <c r="L7" s="281"/>
    </row>
    <row r="8" spans="1:13" ht="25.5">
      <c r="A8" s="209">
        <v>5</v>
      </c>
      <c r="B8" s="266" t="s">
        <v>136</v>
      </c>
      <c r="C8" s="215">
        <v>5095549</v>
      </c>
      <c r="D8" s="216" t="s">
        <v>9616</v>
      </c>
      <c r="E8" s="216">
        <v>10</v>
      </c>
      <c r="F8" s="216">
        <v>445.3</v>
      </c>
      <c r="G8" s="216">
        <v>1154</v>
      </c>
      <c r="H8" s="216">
        <v>1136</v>
      </c>
      <c r="I8" s="216"/>
      <c r="J8" s="216">
        <v>160000</v>
      </c>
      <c r="K8" s="216">
        <v>380</v>
      </c>
      <c r="L8" s="216">
        <v>1</v>
      </c>
    </row>
    <row r="9" spans="1:13" ht="25.5">
      <c r="A9" s="209">
        <v>6</v>
      </c>
      <c r="B9" s="266" t="s">
        <v>140</v>
      </c>
      <c r="C9" s="215">
        <v>2784165</v>
      </c>
      <c r="D9" s="216" t="s">
        <v>9617</v>
      </c>
      <c r="E9" s="216">
        <v>3</v>
      </c>
      <c r="F9" s="216">
        <v>126.42</v>
      </c>
      <c r="G9" s="216">
        <v>8</v>
      </c>
      <c r="H9" s="216">
        <v>5</v>
      </c>
      <c r="I9" s="216">
        <v>4</v>
      </c>
      <c r="J9" s="216">
        <v>2000</v>
      </c>
      <c r="K9" s="216">
        <v>3</v>
      </c>
      <c r="L9" s="216">
        <v>0</v>
      </c>
    </row>
    <row r="10" spans="1:13">
      <c r="A10" s="209">
        <v>7</v>
      </c>
      <c r="B10" s="214" t="s">
        <v>143</v>
      </c>
      <c r="C10" s="281"/>
      <c r="D10" s="281"/>
      <c r="E10" s="281"/>
      <c r="F10" s="281"/>
      <c r="G10" s="281"/>
      <c r="H10" s="281"/>
      <c r="I10" s="281"/>
      <c r="J10" s="281"/>
      <c r="K10" s="281"/>
      <c r="L10" s="281"/>
    </row>
    <row r="11" spans="1:13">
      <c r="A11" s="209">
        <v>8</v>
      </c>
      <c r="B11" s="214" t="s">
        <v>144</v>
      </c>
      <c r="C11" s="281"/>
      <c r="D11" s="281"/>
      <c r="E11" s="281"/>
      <c r="F11" s="281"/>
      <c r="G11" s="281"/>
      <c r="H11" s="281"/>
      <c r="I11" s="281"/>
      <c r="J11" s="281"/>
      <c r="K11" s="281"/>
      <c r="L11" s="281"/>
    </row>
    <row r="12" spans="1:13">
      <c r="A12" s="209">
        <v>9</v>
      </c>
      <c r="B12" s="214" t="s">
        <v>146</v>
      </c>
      <c r="C12" s="281"/>
      <c r="D12" s="281"/>
      <c r="E12" s="281"/>
      <c r="F12" s="281"/>
      <c r="G12" s="281"/>
      <c r="H12" s="281"/>
      <c r="I12" s="281"/>
      <c r="J12" s="281"/>
      <c r="K12" s="281"/>
      <c r="L12" s="281"/>
    </row>
    <row r="13" spans="1:13">
      <c r="A13" s="209">
        <v>10</v>
      </c>
      <c r="B13" s="266" t="s">
        <v>629</v>
      </c>
      <c r="C13" s="215">
        <v>5439183</v>
      </c>
      <c r="D13" s="216" t="s">
        <v>9618</v>
      </c>
      <c r="E13" s="216">
        <v>0.5</v>
      </c>
      <c r="F13" s="216">
        <v>1</v>
      </c>
      <c r="G13" s="216">
        <v>3</v>
      </c>
      <c r="H13" s="216">
        <v>4</v>
      </c>
      <c r="I13" s="216">
        <v>4</v>
      </c>
      <c r="J13" s="216">
        <v>0</v>
      </c>
      <c r="K13" s="216">
        <v>4</v>
      </c>
      <c r="L13" s="216">
        <v>0</v>
      </c>
      <c r="M13" s="223"/>
    </row>
    <row r="14" spans="1:13">
      <c r="A14" s="209">
        <v>11</v>
      </c>
      <c r="B14" s="266" t="s">
        <v>152</v>
      </c>
      <c r="C14" s="215">
        <v>2008572</v>
      </c>
      <c r="D14" s="216" t="s">
        <v>9619</v>
      </c>
      <c r="E14" s="216">
        <v>5</v>
      </c>
      <c r="F14" s="216">
        <v>19300</v>
      </c>
      <c r="G14" s="216">
        <v>14343</v>
      </c>
      <c r="H14" s="216">
        <v>14998</v>
      </c>
      <c r="I14" s="216">
        <v>8880</v>
      </c>
      <c r="J14" s="216">
        <v>16944</v>
      </c>
      <c r="K14" s="216">
        <v>0</v>
      </c>
      <c r="L14" s="216">
        <v>1</v>
      </c>
      <c r="M14" s="223"/>
    </row>
    <row r="15" spans="1:13">
      <c r="A15" s="209">
        <v>12</v>
      </c>
      <c r="B15" s="214" t="s">
        <v>155</v>
      </c>
      <c r="C15" s="281"/>
      <c r="D15" s="281"/>
      <c r="E15" s="281"/>
      <c r="F15" s="281"/>
      <c r="G15" s="281"/>
      <c r="H15" s="281"/>
      <c r="I15" s="281"/>
      <c r="J15" s="281"/>
      <c r="K15" s="281"/>
      <c r="L15" s="281"/>
      <c r="M15" s="95"/>
    </row>
    <row r="16" spans="1:13" ht="25.5">
      <c r="A16" s="209">
        <v>13</v>
      </c>
      <c r="B16" s="266" t="s">
        <v>157</v>
      </c>
      <c r="C16" s="215">
        <v>5502977</v>
      </c>
      <c r="D16" s="216" t="s">
        <v>8590</v>
      </c>
      <c r="E16" s="216">
        <v>5</v>
      </c>
      <c r="F16" s="216">
        <v>1.4</v>
      </c>
      <c r="G16" s="216">
        <v>1</v>
      </c>
      <c r="H16" s="216">
        <v>1</v>
      </c>
      <c r="I16" s="216">
        <v>1</v>
      </c>
      <c r="J16" s="216">
        <v>800</v>
      </c>
      <c r="K16" s="216">
        <v>2</v>
      </c>
      <c r="L16" s="216">
        <v>0</v>
      </c>
    </row>
    <row r="17" spans="1:13">
      <c r="A17" s="209">
        <v>14</v>
      </c>
      <c r="B17" s="214" t="s">
        <v>159</v>
      </c>
      <c r="C17" s="281"/>
      <c r="D17" s="281"/>
      <c r="E17" s="281"/>
      <c r="F17" s="281"/>
      <c r="G17" s="281"/>
      <c r="H17" s="281"/>
      <c r="I17" s="281"/>
      <c r="J17" s="281"/>
      <c r="K17" s="281"/>
      <c r="L17" s="281"/>
    </row>
    <row r="18" spans="1:13">
      <c r="A18" s="209">
        <v>15</v>
      </c>
      <c r="B18" s="214" t="s">
        <v>161</v>
      </c>
      <c r="C18" s="281"/>
      <c r="D18" s="281"/>
      <c r="E18" s="281"/>
      <c r="F18" s="281"/>
      <c r="G18" s="281"/>
      <c r="H18" s="281"/>
      <c r="I18" s="281"/>
      <c r="J18" s="281"/>
      <c r="K18" s="281"/>
      <c r="L18" s="281"/>
    </row>
    <row r="19" spans="1:13" ht="38.25">
      <c r="A19" s="209">
        <v>16</v>
      </c>
      <c r="B19" s="266" t="s">
        <v>165</v>
      </c>
      <c r="C19" s="215">
        <v>6414877</v>
      </c>
      <c r="D19" s="216" t="s">
        <v>9620</v>
      </c>
      <c r="E19" s="216">
        <v>10</v>
      </c>
      <c r="F19" s="216">
        <v>100</v>
      </c>
      <c r="G19" s="216">
        <v>4</v>
      </c>
      <c r="H19" s="216">
        <v>5</v>
      </c>
      <c r="I19" s="216">
        <v>2</v>
      </c>
      <c r="J19" s="216">
        <v>200</v>
      </c>
      <c r="K19" s="216">
        <v>2</v>
      </c>
      <c r="L19" s="216">
        <v>0</v>
      </c>
    </row>
    <row r="20" spans="1:13" ht="38.25">
      <c r="A20" s="209">
        <v>17</v>
      </c>
      <c r="B20" s="266" t="s">
        <v>168</v>
      </c>
      <c r="C20" s="215">
        <v>5369223</v>
      </c>
      <c r="D20" s="216" t="s">
        <v>9621</v>
      </c>
      <c r="E20" s="216">
        <v>3200</v>
      </c>
      <c r="F20" s="216">
        <v>1914</v>
      </c>
      <c r="G20" s="216">
        <v>13</v>
      </c>
      <c r="H20" s="216">
        <v>15</v>
      </c>
      <c r="I20" s="216">
        <v>8</v>
      </c>
      <c r="J20" s="216">
        <v>4800</v>
      </c>
      <c r="K20" s="216">
        <v>4</v>
      </c>
      <c r="L20" s="216">
        <v>1</v>
      </c>
    </row>
    <row r="21" spans="1:13" ht="25.5">
      <c r="A21" s="209">
        <v>18</v>
      </c>
      <c r="B21" s="266" t="s">
        <v>169</v>
      </c>
      <c r="C21" s="215">
        <v>5294088</v>
      </c>
      <c r="D21" s="216" t="s">
        <v>9622</v>
      </c>
      <c r="E21" s="216">
        <v>7</v>
      </c>
      <c r="F21" s="216">
        <v>70</v>
      </c>
      <c r="G21" s="216">
        <v>16</v>
      </c>
      <c r="H21" s="216">
        <v>14</v>
      </c>
      <c r="I21" s="216">
        <v>12</v>
      </c>
      <c r="J21" s="216">
        <v>7500</v>
      </c>
      <c r="K21" s="216">
        <v>14</v>
      </c>
      <c r="L21" s="216">
        <v>1</v>
      </c>
      <c r="M21" s="223"/>
    </row>
    <row r="22" spans="1:13">
      <c r="A22" s="209">
        <v>19</v>
      </c>
      <c r="B22" s="214" t="s">
        <v>173</v>
      </c>
      <c r="C22" s="209"/>
      <c r="D22" s="281"/>
      <c r="E22" s="281"/>
      <c r="F22" s="281"/>
      <c r="G22" s="281"/>
      <c r="H22" s="281"/>
      <c r="I22" s="281"/>
      <c r="J22" s="281"/>
      <c r="K22" s="281"/>
      <c r="L22" s="281"/>
      <c r="M22" s="95"/>
    </row>
    <row r="23" spans="1:13" ht="25.5">
      <c r="A23" s="209">
        <v>20</v>
      </c>
      <c r="B23" s="464" t="s">
        <v>174</v>
      </c>
      <c r="C23" s="209">
        <v>2094533</v>
      </c>
      <c r="D23" s="216" t="s">
        <v>9623</v>
      </c>
      <c r="E23" s="216">
        <v>1</v>
      </c>
      <c r="F23" s="216">
        <v>2124</v>
      </c>
      <c r="G23" s="216">
        <v>92</v>
      </c>
      <c r="H23" s="216">
        <v>89</v>
      </c>
      <c r="I23" s="216"/>
      <c r="J23" s="216">
        <v>3200</v>
      </c>
      <c r="K23" s="216">
        <v>48</v>
      </c>
      <c r="L23" s="216">
        <v>7</v>
      </c>
    </row>
    <row r="24" spans="1:13" ht="25.5">
      <c r="A24" s="209">
        <v>21</v>
      </c>
      <c r="B24" s="464" t="s">
        <v>174</v>
      </c>
      <c r="C24" s="209">
        <v>2094533</v>
      </c>
      <c r="D24" s="216" t="s">
        <v>9624</v>
      </c>
      <c r="E24" s="216">
        <v>1</v>
      </c>
      <c r="F24" s="216">
        <v>1</v>
      </c>
      <c r="G24" s="216">
        <v>18</v>
      </c>
      <c r="H24" s="216">
        <v>16</v>
      </c>
      <c r="I24" s="216"/>
      <c r="J24" s="216">
        <v>10000</v>
      </c>
      <c r="K24" s="216">
        <v>12</v>
      </c>
      <c r="L24" s="216">
        <v>0</v>
      </c>
      <c r="M24" s="223"/>
    </row>
    <row r="25" spans="1:13" ht="25.5">
      <c r="A25" s="209">
        <v>22</v>
      </c>
      <c r="B25" s="464" t="s">
        <v>174</v>
      </c>
      <c r="C25" s="209">
        <v>2094533</v>
      </c>
      <c r="D25" s="216" t="s">
        <v>9625</v>
      </c>
      <c r="E25" s="216">
        <v>1</v>
      </c>
      <c r="F25" s="216">
        <v>520</v>
      </c>
      <c r="G25" s="216">
        <v>18</v>
      </c>
      <c r="H25" s="216">
        <v>16</v>
      </c>
      <c r="I25" s="216"/>
      <c r="J25" s="216">
        <v>6300</v>
      </c>
      <c r="K25" s="216">
        <v>9</v>
      </c>
      <c r="L25" s="216">
        <v>4</v>
      </c>
      <c r="M25" s="95"/>
    </row>
    <row r="26" spans="1:13">
      <c r="A26" s="209">
        <v>23</v>
      </c>
      <c r="B26" s="214" t="s">
        <v>175</v>
      </c>
      <c r="C26" s="281"/>
      <c r="D26" s="281"/>
      <c r="E26" s="281"/>
      <c r="F26" s="281"/>
      <c r="G26" s="281"/>
      <c r="H26" s="281"/>
      <c r="I26" s="281"/>
      <c r="J26" s="281"/>
      <c r="K26" s="281"/>
      <c r="L26" s="281"/>
      <c r="M26" s="223"/>
    </row>
    <row r="27" spans="1:13">
      <c r="A27" s="209">
        <v>24</v>
      </c>
      <c r="B27" s="214" t="s">
        <v>176</v>
      </c>
      <c r="C27" s="281"/>
      <c r="D27" s="281"/>
      <c r="E27" s="281"/>
      <c r="F27" s="281"/>
      <c r="G27" s="281"/>
      <c r="H27" s="281"/>
      <c r="I27" s="281"/>
      <c r="J27" s="281"/>
      <c r="K27" s="281"/>
      <c r="L27" s="281"/>
      <c r="M27" s="95"/>
    </row>
    <row r="28" spans="1:13">
      <c r="A28" s="209">
        <v>25</v>
      </c>
      <c r="B28" s="214" t="s">
        <v>177</v>
      </c>
      <c r="C28" s="281"/>
      <c r="D28" s="281"/>
      <c r="E28" s="281"/>
      <c r="F28" s="281"/>
      <c r="G28" s="281"/>
      <c r="H28" s="281"/>
      <c r="I28" s="281"/>
      <c r="J28" s="281"/>
      <c r="K28" s="281"/>
      <c r="L28" s="281"/>
    </row>
    <row r="29" spans="1:13">
      <c r="A29" s="209">
        <v>26</v>
      </c>
      <c r="B29" s="214" t="s">
        <v>178</v>
      </c>
      <c r="C29" s="281"/>
      <c r="D29" s="281"/>
      <c r="E29" s="281"/>
      <c r="F29" s="281"/>
      <c r="G29" s="281"/>
      <c r="H29" s="281"/>
      <c r="I29" s="281"/>
      <c r="J29" s="281"/>
      <c r="K29" s="281"/>
      <c r="L29" s="281"/>
      <c r="M29" s="223"/>
    </row>
    <row r="30" spans="1:13">
      <c r="A30" s="209">
        <v>27</v>
      </c>
      <c r="B30" s="214" t="s">
        <v>179</v>
      </c>
      <c r="C30" s="281"/>
      <c r="D30" s="281"/>
      <c r="E30" s="281"/>
      <c r="F30" s="281"/>
      <c r="G30" s="281"/>
      <c r="H30" s="281"/>
      <c r="I30" s="281"/>
      <c r="J30" s="281"/>
      <c r="K30" s="281"/>
      <c r="L30" s="281"/>
      <c r="M30" s="223"/>
    </row>
    <row r="31" spans="1:13">
      <c r="A31" s="209">
        <v>28</v>
      </c>
      <c r="B31" s="266" t="s">
        <v>183</v>
      </c>
      <c r="C31" s="215">
        <v>2061848</v>
      </c>
      <c r="D31" s="216" t="s">
        <v>9626</v>
      </c>
      <c r="E31" s="216">
        <v>1.4</v>
      </c>
      <c r="F31" s="216">
        <v>652</v>
      </c>
      <c r="G31" s="216">
        <v>3</v>
      </c>
      <c r="H31" s="216">
        <v>26</v>
      </c>
      <c r="I31" s="216">
        <v>2</v>
      </c>
      <c r="J31" s="216">
        <v>2412</v>
      </c>
      <c r="K31" s="216">
        <v>0</v>
      </c>
      <c r="L31" s="216">
        <v>0</v>
      </c>
      <c r="M31" s="223"/>
    </row>
    <row r="32" spans="1:13">
      <c r="A32" s="209">
        <v>29</v>
      </c>
      <c r="B32" s="214" t="s">
        <v>185</v>
      </c>
      <c r="C32" s="281"/>
      <c r="D32" s="281"/>
      <c r="E32" s="281"/>
      <c r="F32" s="281"/>
      <c r="G32" s="281"/>
      <c r="H32" s="281"/>
      <c r="I32" s="281"/>
      <c r="J32" s="281"/>
      <c r="K32" s="281"/>
      <c r="L32" s="281"/>
      <c r="M32" s="95"/>
    </row>
    <row r="33" spans="1:13">
      <c r="A33" s="209">
        <v>30</v>
      </c>
      <c r="B33" s="214" t="s">
        <v>187</v>
      </c>
      <c r="C33" s="281"/>
      <c r="D33" s="281"/>
      <c r="E33" s="281"/>
      <c r="F33" s="281"/>
      <c r="G33" s="281"/>
      <c r="H33" s="281"/>
      <c r="I33" s="281"/>
      <c r="J33" s="281"/>
      <c r="K33" s="281"/>
      <c r="L33" s="281"/>
    </row>
    <row r="34" spans="1:13" ht="25.5">
      <c r="A34" s="209">
        <v>31</v>
      </c>
      <c r="B34" s="266" t="s">
        <v>188</v>
      </c>
      <c r="C34" s="215">
        <v>5217652</v>
      </c>
      <c r="D34" s="216" t="s">
        <v>9627</v>
      </c>
      <c r="E34" s="216">
        <v>3</v>
      </c>
      <c r="F34" s="216">
        <v>0.3</v>
      </c>
      <c r="G34" s="216">
        <v>1</v>
      </c>
      <c r="H34" s="216">
        <v>3</v>
      </c>
      <c r="I34" s="216">
        <v>1</v>
      </c>
      <c r="J34" s="216">
        <v>100</v>
      </c>
      <c r="K34" s="216">
        <v>1</v>
      </c>
      <c r="L34" s="216">
        <v>0</v>
      </c>
    </row>
    <row r="35" spans="1:13">
      <c r="A35" s="209">
        <v>32</v>
      </c>
      <c r="B35" s="214" t="s">
        <v>189</v>
      </c>
      <c r="C35" s="281"/>
      <c r="D35" s="281"/>
      <c r="E35" s="281"/>
      <c r="F35" s="281"/>
      <c r="G35" s="281"/>
      <c r="H35" s="281"/>
      <c r="I35" s="281"/>
      <c r="J35" s="281"/>
      <c r="K35" s="281"/>
      <c r="L35" s="281"/>
      <c r="M35" s="223"/>
    </row>
    <row r="36" spans="1:13">
      <c r="A36" s="209">
        <v>33</v>
      </c>
      <c r="B36" s="214" t="s">
        <v>193</v>
      </c>
      <c r="C36" s="281"/>
      <c r="D36" s="281"/>
      <c r="E36" s="281"/>
      <c r="F36" s="281"/>
      <c r="G36" s="281"/>
      <c r="H36" s="281"/>
      <c r="I36" s="281"/>
      <c r="J36" s="281"/>
      <c r="K36" s="281"/>
      <c r="L36" s="281"/>
      <c r="M36" s="95"/>
    </row>
    <row r="37" spans="1:13">
      <c r="A37" s="209">
        <v>34</v>
      </c>
      <c r="B37" s="214" t="s">
        <v>194</v>
      </c>
      <c r="C37" s="281"/>
      <c r="D37" s="281"/>
      <c r="E37" s="281"/>
      <c r="F37" s="281"/>
      <c r="G37" s="281"/>
      <c r="H37" s="281"/>
      <c r="I37" s="281"/>
      <c r="J37" s="281"/>
      <c r="K37" s="281"/>
      <c r="L37" s="281"/>
    </row>
    <row r="38" spans="1:13" ht="25.5">
      <c r="A38" s="209">
        <v>35</v>
      </c>
      <c r="B38" s="266" t="s">
        <v>196</v>
      </c>
      <c r="C38" s="215">
        <v>5522935</v>
      </c>
      <c r="D38" s="216" t="s">
        <v>9628</v>
      </c>
      <c r="E38" s="216">
        <v>7</v>
      </c>
      <c r="F38" s="216">
        <v>31400</v>
      </c>
      <c r="G38" s="216">
        <v>0</v>
      </c>
      <c r="H38" s="216">
        <v>0</v>
      </c>
      <c r="I38" s="216">
        <v>2</v>
      </c>
      <c r="J38" s="216">
        <v>0</v>
      </c>
      <c r="K38" s="216">
        <v>0</v>
      </c>
      <c r="L38" s="216">
        <v>0</v>
      </c>
    </row>
    <row r="39" spans="1:13">
      <c r="A39" s="209">
        <v>36</v>
      </c>
      <c r="B39" s="214" t="s">
        <v>197</v>
      </c>
      <c r="C39" s="281"/>
      <c r="D39" s="281"/>
      <c r="E39" s="281"/>
      <c r="F39" s="281"/>
      <c r="G39" s="281"/>
      <c r="H39" s="281"/>
      <c r="I39" s="281"/>
      <c r="J39" s="281"/>
      <c r="K39" s="281"/>
      <c r="L39" s="281"/>
    </row>
    <row r="40" spans="1:13">
      <c r="A40" s="209">
        <v>37</v>
      </c>
      <c r="B40" s="214" t="s">
        <v>198</v>
      </c>
      <c r="C40" s="281"/>
      <c r="D40" s="281"/>
      <c r="E40" s="281"/>
      <c r="F40" s="281"/>
      <c r="G40" s="281"/>
      <c r="H40" s="281"/>
      <c r="I40" s="281"/>
      <c r="J40" s="281"/>
      <c r="K40" s="281"/>
      <c r="L40" s="281"/>
      <c r="M40" s="223"/>
    </row>
    <row r="41" spans="1:13">
      <c r="A41" s="209">
        <v>38</v>
      </c>
      <c r="B41" s="214" t="s">
        <v>199</v>
      </c>
      <c r="C41" s="281"/>
      <c r="D41" s="281"/>
      <c r="E41" s="281"/>
      <c r="F41" s="281"/>
      <c r="G41" s="281"/>
      <c r="H41" s="281"/>
      <c r="I41" s="281"/>
      <c r="J41" s="281"/>
      <c r="K41" s="281"/>
      <c r="L41" s="281"/>
      <c r="M41" s="95"/>
    </row>
    <row r="42" spans="1:13">
      <c r="A42" s="209">
        <v>39</v>
      </c>
      <c r="B42" s="214" t="s">
        <v>201</v>
      </c>
      <c r="C42" s="281"/>
      <c r="D42" s="281"/>
      <c r="E42" s="281"/>
      <c r="F42" s="281"/>
      <c r="G42" s="281"/>
      <c r="H42" s="281"/>
      <c r="I42" s="281"/>
      <c r="J42" s="281"/>
      <c r="K42" s="281"/>
      <c r="L42" s="281"/>
    </row>
    <row r="43" spans="1:13">
      <c r="A43" s="209">
        <v>40</v>
      </c>
      <c r="B43" s="214" t="s">
        <v>202</v>
      </c>
      <c r="C43" s="281"/>
      <c r="D43" s="281"/>
      <c r="E43" s="281"/>
      <c r="F43" s="281"/>
      <c r="G43" s="281"/>
      <c r="H43" s="281"/>
      <c r="I43" s="281"/>
      <c r="J43" s="281"/>
      <c r="K43" s="281"/>
      <c r="L43" s="281"/>
    </row>
    <row r="44" spans="1:13" ht="26.25" customHeight="1">
      <c r="A44" s="209">
        <v>41</v>
      </c>
      <c r="B44" s="214" t="s">
        <v>203</v>
      </c>
      <c r="C44" s="281"/>
      <c r="D44" s="281"/>
      <c r="E44" s="281"/>
      <c r="F44" s="281"/>
      <c r="G44" s="281"/>
      <c r="H44" s="281"/>
      <c r="I44" s="281"/>
      <c r="J44" s="281"/>
      <c r="K44" s="281"/>
      <c r="L44" s="281"/>
    </row>
    <row r="45" spans="1:13" ht="25.5">
      <c r="A45" s="209">
        <v>42</v>
      </c>
      <c r="B45" s="266" t="s">
        <v>204</v>
      </c>
      <c r="C45" s="215">
        <v>2034859</v>
      </c>
      <c r="D45" s="216" t="s">
        <v>9629</v>
      </c>
      <c r="E45" s="216">
        <v>1.2</v>
      </c>
      <c r="F45" s="216">
        <v>2216</v>
      </c>
      <c r="G45" s="216">
        <v>175</v>
      </c>
      <c r="H45" s="216">
        <v>171</v>
      </c>
      <c r="I45" s="216">
        <v>105</v>
      </c>
      <c r="J45" s="216">
        <v>12326</v>
      </c>
      <c r="K45" s="216">
        <v>10</v>
      </c>
      <c r="L45" s="216">
        <v>1</v>
      </c>
    </row>
    <row r="46" spans="1:13">
      <c r="A46" s="209">
        <v>43</v>
      </c>
      <c r="B46" s="214" t="s">
        <v>208</v>
      </c>
      <c r="C46" s="281"/>
      <c r="D46" s="281"/>
      <c r="E46" s="281"/>
      <c r="F46" s="281"/>
      <c r="G46" s="281"/>
      <c r="H46" s="281"/>
      <c r="I46" s="281"/>
      <c r="J46" s="281"/>
      <c r="K46" s="281"/>
      <c r="L46" s="281"/>
    </row>
    <row r="47" spans="1:13">
      <c r="A47" s="209">
        <v>44</v>
      </c>
      <c r="B47" s="214" t="s">
        <v>210</v>
      </c>
      <c r="C47" s="281"/>
      <c r="D47" s="281"/>
      <c r="E47" s="281"/>
      <c r="F47" s="281"/>
      <c r="G47" s="281"/>
      <c r="H47" s="281"/>
      <c r="I47" s="281"/>
      <c r="J47" s="281"/>
      <c r="K47" s="281"/>
      <c r="L47" s="281"/>
    </row>
    <row r="48" spans="1:13">
      <c r="A48" s="209">
        <v>45</v>
      </c>
      <c r="B48" s="214" t="s">
        <v>211</v>
      </c>
      <c r="C48" s="281"/>
      <c r="D48" s="281"/>
      <c r="E48" s="281"/>
      <c r="F48" s="281"/>
      <c r="G48" s="281"/>
      <c r="H48" s="281"/>
      <c r="I48" s="281"/>
      <c r="J48" s="281"/>
      <c r="K48" s="281"/>
      <c r="L48" s="281"/>
    </row>
    <row r="49" spans="1:13">
      <c r="A49" s="209">
        <v>46</v>
      </c>
      <c r="B49" s="214" t="s">
        <v>213</v>
      </c>
      <c r="C49" s="281"/>
      <c r="D49" s="281"/>
      <c r="E49" s="281"/>
      <c r="F49" s="281"/>
      <c r="G49" s="281"/>
      <c r="H49" s="281"/>
      <c r="I49" s="281"/>
      <c r="J49" s="281"/>
      <c r="K49" s="281"/>
      <c r="L49" s="281"/>
      <c r="M49" s="223"/>
    </row>
    <row r="50" spans="1:13">
      <c r="A50" s="209">
        <v>47</v>
      </c>
      <c r="B50" s="214" t="s">
        <v>214</v>
      </c>
      <c r="C50" s="281"/>
      <c r="D50" s="281"/>
      <c r="E50" s="281"/>
      <c r="F50" s="281"/>
      <c r="G50" s="281"/>
      <c r="H50" s="281"/>
      <c r="I50" s="281"/>
      <c r="J50" s="281"/>
      <c r="K50" s="281"/>
      <c r="L50" s="281"/>
      <c r="M50" s="95"/>
    </row>
    <row r="51" spans="1:13" ht="25.5">
      <c r="A51" s="209">
        <v>48</v>
      </c>
      <c r="B51" s="266" t="s">
        <v>216</v>
      </c>
      <c r="C51" s="215">
        <v>5051134</v>
      </c>
      <c r="D51" s="216" t="s">
        <v>8656</v>
      </c>
      <c r="E51" s="216">
        <v>2</v>
      </c>
      <c r="F51" s="216">
        <v>400</v>
      </c>
      <c r="G51" s="216">
        <v>18</v>
      </c>
      <c r="H51" s="216">
        <v>2</v>
      </c>
      <c r="I51" s="216">
        <v>2</v>
      </c>
      <c r="J51" s="216">
        <v>1500</v>
      </c>
      <c r="K51" s="216">
        <v>2</v>
      </c>
      <c r="L51" s="216">
        <v>0</v>
      </c>
      <c r="M51" s="223"/>
    </row>
    <row r="52" spans="1:13">
      <c r="A52" s="209">
        <v>49</v>
      </c>
      <c r="B52" s="214" t="s">
        <v>217</v>
      </c>
      <c r="C52" s="281"/>
      <c r="D52" s="281"/>
      <c r="E52" s="281"/>
      <c r="F52" s="281"/>
      <c r="G52" s="281"/>
      <c r="H52" s="281"/>
      <c r="I52" s="281"/>
      <c r="J52" s="281"/>
      <c r="K52" s="281"/>
      <c r="L52" s="281"/>
      <c r="M52" s="95"/>
    </row>
    <row r="53" spans="1:13">
      <c r="A53" s="298">
        <v>50</v>
      </c>
      <c r="B53" s="214" t="s">
        <v>218</v>
      </c>
      <c r="C53" s="281"/>
      <c r="D53" s="281"/>
      <c r="E53" s="281"/>
      <c r="F53" s="281"/>
      <c r="G53" s="281"/>
      <c r="H53" s="281"/>
      <c r="I53" s="281"/>
      <c r="J53" s="281"/>
      <c r="K53" s="281"/>
      <c r="L53" s="281"/>
    </row>
    <row r="54" spans="1:13" ht="51">
      <c r="A54" s="209">
        <v>51</v>
      </c>
      <c r="B54" s="464" t="s">
        <v>219</v>
      </c>
      <c r="C54" s="217">
        <v>2029278</v>
      </c>
      <c r="D54" s="216" t="s">
        <v>9630</v>
      </c>
      <c r="E54" s="216">
        <v>5</v>
      </c>
      <c r="F54" s="216">
        <v>1024</v>
      </c>
      <c r="G54" s="216">
        <v>0</v>
      </c>
      <c r="H54" s="216">
        <v>0</v>
      </c>
      <c r="I54" s="216"/>
      <c r="J54" s="216">
        <v>0</v>
      </c>
      <c r="K54" s="216">
        <v>0</v>
      </c>
      <c r="L54" s="216">
        <v>2</v>
      </c>
      <c r="M54" s="223"/>
    </row>
    <row r="55" spans="1:13" ht="25.5">
      <c r="A55" s="209">
        <v>52</v>
      </c>
      <c r="B55" s="464" t="s">
        <v>219</v>
      </c>
      <c r="C55" s="215">
        <v>2029278</v>
      </c>
      <c r="D55" s="216" t="s">
        <v>8659</v>
      </c>
      <c r="E55" s="216">
        <v>2</v>
      </c>
      <c r="F55" s="216">
        <v>455.4</v>
      </c>
      <c r="G55" s="216">
        <v>0</v>
      </c>
      <c r="H55" s="216">
        <v>0</v>
      </c>
      <c r="I55" s="216"/>
      <c r="J55" s="216">
        <v>0</v>
      </c>
      <c r="K55" s="216">
        <v>0</v>
      </c>
      <c r="L55" s="216">
        <v>1</v>
      </c>
      <c r="M55" s="95"/>
    </row>
    <row r="56" spans="1:13" ht="25.5">
      <c r="A56" s="209">
        <v>53</v>
      </c>
      <c r="B56" s="464" t="s">
        <v>220</v>
      </c>
      <c r="C56" s="215">
        <v>5106567</v>
      </c>
      <c r="D56" s="216" t="s">
        <v>9631</v>
      </c>
      <c r="E56" s="216">
        <v>2</v>
      </c>
      <c r="F56" s="216">
        <v>445.1</v>
      </c>
      <c r="G56" s="216">
        <v>0</v>
      </c>
      <c r="H56" s="216">
        <v>0</v>
      </c>
      <c r="I56" s="216"/>
      <c r="J56" s="216">
        <v>0</v>
      </c>
      <c r="K56" s="216">
        <v>0</v>
      </c>
      <c r="L56" s="216">
        <v>1</v>
      </c>
    </row>
    <row r="57" spans="1:13" ht="25.5">
      <c r="A57" s="209">
        <v>54</v>
      </c>
      <c r="B57" s="464" t="s">
        <v>222</v>
      </c>
      <c r="C57" s="217">
        <v>5141583</v>
      </c>
      <c r="D57" s="216" t="s">
        <v>9632</v>
      </c>
      <c r="E57" s="216">
        <v>20</v>
      </c>
      <c r="F57" s="216">
        <v>1256</v>
      </c>
      <c r="G57" s="216">
        <v>93</v>
      </c>
      <c r="H57" s="216">
        <v>108</v>
      </c>
      <c r="I57" s="216">
        <v>77</v>
      </c>
      <c r="J57" s="216">
        <v>4500</v>
      </c>
      <c r="K57" s="216">
        <v>66</v>
      </c>
      <c r="L57" s="216">
        <v>0</v>
      </c>
    </row>
    <row r="58" spans="1:13" ht="25.5">
      <c r="A58" s="209">
        <v>55</v>
      </c>
      <c r="B58" s="464" t="s">
        <v>222</v>
      </c>
      <c r="C58" s="215">
        <v>5141583</v>
      </c>
      <c r="D58" s="216" t="s">
        <v>9633</v>
      </c>
      <c r="E58" s="216">
        <v>20</v>
      </c>
      <c r="F58" s="216">
        <v>942</v>
      </c>
      <c r="G58" s="216">
        <v>25</v>
      </c>
      <c r="H58" s="216">
        <v>29</v>
      </c>
      <c r="I58" s="216">
        <v>51</v>
      </c>
      <c r="J58" s="216">
        <v>1200</v>
      </c>
      <c r="K58" s="216">
        <v>37</v>
      </c>
      <c r="L58" s="216">
        <v>0</v>
      </c>
    </row>
    <row r="59" spans="1:13">
      <c r="A59" s="209">
        <v>56</v>
      </c>
      <c r="B59" s="464" t="s">
        <v>223</v>
      </c>
      <c r="C59" s="281"/>
      <c r="D59" s="281"/>
      <c r="E59" s="281"/>
      <c r="F59" s="281"/>
      <c r="G59" s="281"/>
      <c r="H59" s="281"/>
      <c r="I59" s="281"/>
      <c r="J59" s="281"/>
      <c r="K59" s="281"/>
      <c r="L59" s="281"/>
    </row>
    <row r="60" spans="1:13">
      <c r="A60" s="209">
        <v>57</v>
      </c>
      <c r="B60" s="464" t="s">
        <v>224</v>
      </c>
      <c r="C60" s="281"/>
      <c r="D60" s="281"/>
      <c r="E60" s="281"/>
      <c r="F60" s="281"/>
      <c r="G60" s="281"/>
      <c r="H60" s="281"/>
      <c r="I60" s="281"/>
      <c r="J60" s="281"/>
      <c r="K60" s="281"/>
      <c r="L60" s="281"/>
    </row>
    <row r="61" spans="1:13" ht="25.5">
      <c r="A61" s="209">
        <v>58</v>
      </c>
      <c r="B61" s="464" t="s">
        <v>225</v>
      </c>
      <c r="C61" s="217">
        <v>2010895</v>
      </c>
      <c r="D61" s="216" t="s">
        <v>9634</v>
      </c>
      <c r="E61" s="216">
        <v>3</v>
      </c>
      <c r="F61" s="216">
        <v>3000</v>
      </c>
      <c r="G61" s="216">
        <v>30</v>
      </c>
      <c r="H61" s="216">
        <v>35</v>
      </c>
      <c r="I61" s="216">
        <v>10</v>
      </c>
      <c r="J61" s="216">
        <v>1200</v>
      </c>
      <c r="K61" s="216">
        <v>10</v>
      </c>
      <c r="L61" s="216">
        <v>1</v>
      </c>
    </row>
    <row r="62" spans="1:13" ht="38.25">
      <c r="A62" s="209">
        <v>59</v>
      </c>
      <c r="B62" s="464" t="s">
        <v>225</v>
      </c>
      <c r="C62" s="215">
        <v>2010895</v>
      </c>
      <c r="D62" s="216" t="s">
        <v>9635</v>
      </c>
      <c r="E62" s="216">
        <v>3</v>
      </c>
      <c r="F62" s="216">
        <v>3</v>
      </c>
      <c r="G62" s="216">
        <v>18</v>
      </c>
      <c r="H62" s="216">
        <v>12</v>
      </c>
      <c r="I62" s="216">
        <v>10</v>
      </c>
      <c r="J62" s="216">
        <v>1200</v>
      </c>
      <c r="K62" s="216">
        <v>10</v>
      </c>
      <c r="L62" s="216">
        <v>1</v>
      </c>
    </row>
    <row r="63" spans="1:13" ht="51">
      <c r="A63" s="209">
        <v>60</v>
      </c>
      <c r="B63" s="490" t="s">
        <v>227</v>
      </c>
      <c r="C63" s="209">
        <v>2595858</v>
      </c>
      <c r="D63" s="396" t="s">
        <v>9636</v>
      </c>
      <c r="E63" s="210">
        <v>20</v>
      </c>
      <c r="F63" s="210">
        <v>1284.76</v>
      </c>
      <c r="G63" s="623">
        <v>730</v>
      </c>
      <c r="H63" s="624"/>
      <c r="I63" s="210"/>
      <c r="J63" s="210">
        <v>73556</v>
      </c>
      <c r="K63" s="210">
        <v>3</v>
      </c>
      <c r="L63" s="210">
        <v>1</v>
      </c>
    </row>
    <row r="64" spans="1:13">
      <c r="A64" s="209">
        <v>61</v>
      </c>
      <c r="B64" s="490" t="s">
        <v>228</v>
      </c>
      <c r="C64" s="281"/>
      <c r="D64" s="281"/>
      <c r="E64" s="281"/>
      <c r="F64" s="281"/>
      <c r="G64" s="281"/>
      <c r="H64" s="281"/>
      <c r="I64" s="281"/>
      <c r="J64" s="281"/>
      <c r="K64" s="281"/>
      <c r="L64" s="281"/>
    </row>
    <row r="65" spans="1:12">
      <c r="A65" s="209">
        <v>62</v>
      </c>
      <c r="B65" s="490" t="s">
        <v>229</v>
      </c>
      <c r="C65" s="281"/>
      <c r="D65" s="281"/>
      <c r="E65" s="281"/>
      <c r="F65" s="281"/>
      <c r="G65" s="281"/>
      <c r="H65" s="281"/>
      <c r="I65" s="281"/>
      <c r="J65" s="281"/>
      <c r="K65" s="281"/>
      <c r="L65" s="281"/>
    </row>
    <row r="66" spans="1:12" ht="51">
      <c r="A66" s="209">
        <v>63</v>
      </c>
      <c r="B66" s="491" t="s">
        <v>231</v>
      </c>
      <c r="C66" s="215">
        <v>2657457</v>
      </c>
      <c r="D66" s="216" t="s">
        <v>9637</v>
      </c>
      <c r="E66" s="216">
        <v>10</v>
      </c>
      <c r="F66" s="216">
        <v>10500</v>
      </c>
      <c r="G66" s="216">
        <v>111</v>
      </c>
      <c r="H66" s="216">
        <v>111</v>
      </c>
      <c r="I66" s="216">
        <v>56</v>
      </c>
      <c r="J66" s="216">
        <v>21541</v>
      </c>
      <c r="K66" s="216">
        <v>101</v>
      </c>
      <c r="L66" s="216">
        <v>0</v>
      </c>
    </row>
    <row r="67" spans="1:12">
      <c r="A67" s="209">
        <v>64</v>
      </c>
      <c r="B67" s="490" t="s">
        <v>230</v>
      </c>
      <c r="C67" s="281"/>
      <c r="D67" s="281"/>
      <c r="E67" s="281"/>
      <c r="F67" s="281"/>
      <c r="G67" s="281"/>
      <c r="H67" s="281"/>
      <c r="I67" s="281"/>
      <c r="J67" s="281"/>
      <c r="K67" s="281"/>
      <c r="L67" s="281"/>
    </row>
    <row r="68" spans="1:12">
      <c r="A68" s="209">
        <v>65</v>
      </c>
      <c r="B68" s="490" t="s">
        <v>232</v>
      </c>
      <c r="C68" s="281"/>
      <c r="D68" s="281"/>
      <c r="E68" s="281"/>
      <c r="F68" s="281"/>
      <c r="G68" s="281"/>
      <c r="H68" s="281"/>
      <c r="I68" s="281"/>
      <c r="J68" s="281"/>
      <c r="K68" s="281"/>
      <c r="L68" s="281"/>
    </row>
    <row r="69" spans="1:12">
      <c r="A69" s="209">
        <v>66</v>
      </c>
      <c r="B69" s="490" t="s">
        <v>236</v>
      </c>
      <c r="C69" s="281"/>
      <c r="D69" s="281"/>
      <c r="E69" s="281"/>
      <c r="F69" s="281"/>
      <c r="G69" s="281"/>
      <c r="H69" s="281"/>
      <c r="I69" s="281"/>
      <c r="J69" s="281"/>
      <c r="K69" s="281"/>
      <c r="L69" s="281"/>
    </row>
    <row r="70" spans="1:12">
      <c r="A70" s="209">
        <v>67</v>
      </c>
      <c r="B70" s="490" t="s">
        <v>239</v>
      </c>
      <c r="C70" s="281"/>
      <c r="D70" s="281"/>
      <c r="E70" s="281"/>
      <c r="F70" s="281"/>
      <c r="G70" s="281"/>
      <c r="H70" s="281"/>
      <c r="I70" s="281"/>
      <c r="J70" s="281"/>
      <c r="K70" s="281"/>
      <c r="L70" s="281"/>
    </row>
    <row r="71" spans="1:12">
      <c r="A71" s="209">
        <v>68</v>
      </c>
      <c r="B71" s="490" t="s">
        <v>240</v>
      </c>
      <c r="C71" s="281"/>
      <c r="D71" s="281"/>
      <c r="E71" s="281"/>
      <c r="F71" s="281"/>
      <c r="G71" s="281"/>
      <c r="H71" s="281"/>
      <c r="I71" s="281"/>
      <c r="J71" s="281"/>
      <c r="K71" s="281"/>
      <c r="L71" s="281"/>
    </row>
    <row r="72" spans="1:12">
      <c r="A72" s="209">
        <v>69</v>
      </c>
      <c r="B72" s="490" t="s">
        <v>241</v>
      </c>
      <c r="C72" s="281"/>
      <c r="D72" s="281"/>
      <c r="E72" s="281"/>
      <c r="F72" s="281"/>
      <c r="G72" s="281"/>
      <c r="H72" s="281"/>
      <c r="I72" s="281"/>
      <c r="J72" s="281"/>
      <c r="K72" s="281"/>
      <c r="L72" s="281"/>
    </row>
    <row r="73" spans="1:12">
      <c r="A73" s="209">
        <v>70</v>
      </c>
      <c r="B73" s="490" t="s">
        <v>242</v>
      </c>
      <c r="C73" s="281"/>
      <c r="D73" s="281"/>
      <c r="E73" s="281"/>
      <c r="F73" s="281"/>
      <c r="G73" s="281"/>
      <c r="H73" s="281"/>
      <c r="I73" s="281"/>
      <c r="J73" s="281"/>
      <c r="K73" s="281"/>
      <c r="L73" s="281"/>
    </row>
    <row r="74" spans="1:12" ht="25.5">
      <c r="A74" s="209">
        <v>71</v>
      </c>
      <c r="B74" s="464" t="s">
        <v>243</v>
      </c>
      <c r="C74" s="217">
        <v>5084555</v>
      </c>
      <c r="D74" s="216" t="s">
        <v>9638</v>
      </c>
      <c r="E74" s="216">
        <v>38</v>
      </c>
      <c r="F74" s="216">
        <v>2796.7</v>
      </c>
      <c r="G74" s="216">
        <v>2514</v>
      </c>
      <c r="H74" s="216">
        <v>2615</v>
      </c>
      <c r="I74" s="216">
        <v>1765</v>
      </c>
      <c r="J74" s="216">
        <v>205700</v>
      </c>
      <c r="K74" s="216">
        <v>668</v>
      </c>
      <c r="L74" s="216">
        <v>6</v>
      </c>
    </row>
    <row r="75" spans="1:12">
      <c r="A75" s="209">
        <v>72</v>
      </c>
      <c r="B75" s="464" t="s">
        <v>243</v>
      </c>
      <c r="C75" s="217">
        <v>5084555</v>
      </c>
      <c r="D75" s="216" t="s">
        <v>9639</v>
      </c>
      <c r="E75" s="216">
        <v>100</v>
      </c>
      <c r="F75" s="216">
        <v>1055.32</v>
      </c>
      <c r="G75" s="216">
        <v>731</v>
      </c>
      <c r="H75" s="216">
        <v>681</v>
      </c>
      <c r="I75" s="216">
        <v>466</v>
      </c>
      <c r="J75" s="216">
        <v>154925</v>
      </c>
      <c r="K75" s="216">
        <v>418</v>
      </c>
      <c r="L75" s="216">
        <v>2</v>
      </c>
    </row>
    <row r="76" spans="1:12">
      <c r="A76" s="209">
        <v>73</v>
      </c>
      <c r="B76" s="464" t="s">
        <v>243</v>
      </c>
      <c r="C76" s="217">
        <v>5084555</v>
      </c>
      <c r="D76" s="216" t="s">
        <v>9640</v>
      </c>
      <c r="E76" s="216">
        <v>160</v>
      </c>
      <c r="F76" s="216">
        <v>814.22</v>
      </c>
      <c r="G76" s="216">
        <v>1038</v>
      </c>
      <c r="H76" s="216">
        <v>999</v>
      </c>
      <c r="I76" s="216">
        <v>667</v>
      </c>
      <c r="J76" s="216">
        <v>162970</v>
      </c>
      <c r="K76" s="216">
        <v>392</v>
      </c>
      <c r="L76" s="216">
        <v>3</v>
      </c>
    </row>
    <row r="77" spans="1:12" ht="25.5">
      <c r="A77" s="209">
        <v>74</v>
      </c>
      <c r="B77" s="464" t="s">
        <v>243</v>
      </c>
      <c r="C77" s="215">
        <v>5084555</v>
      </c>
      <c r="D77" s="216" t="s">
        <v>9641</v>
      </c>
      <c r="E77" s="216">
        <v>220</v>
      </c>
      <c r="F77" s="216">
        <v>1072</v>
      </c>
      <c r="G77" s="216">
        <v>1105</v>
      </c>
      <c r="H77" s="216">
        <v>1008</v>
      </c>
      <c r="I77" s="216">
        <v>690</v>
      </c>
      <c r="J77" s="216">
        <v>197078</v>
      </c>
      <c r="K77" s="216">
        <v>740</v>
      </c>
      <c r="L77" s="216">
        <v>3</v>
      </c>
    </row>
    <row r="78" spans="1:12">
      <c r="A78" s="209">
        <v>75</v>
      </c>
      <c r="B78" s="490" t="s">
        <v>244</v>
      </c>
      <c r="C78" s="281"/>
      <c r="D78" s="281"/>
      <c r="E78" s="281"/>
      <c r="F78" s="281"/>
      <c r="G78" s="281"/>
      <c r="H78" s="281"/>
      <c r="I78" s="281"/>
      <c r="J78" s="281"/>
      <c r="K78" s="281"/>
      <c r="L78" s="281"/>
    </row>
    <row r="79" spans="1:12">
      <c r="A79" s="209">
        <v>76</v>
      </c>
      <c r="B79" s="490" t="s">
        <v>246</v>
      </c>
      <c r="C79" s="281"/>
      <c r="D79" s="281"/>
      <c r="E79" s="281"/>
      <c r="F79" s="281"/>
      <c r="G79" s="281"/>
      <c r="H79" s="281"/>
      <c r="I79" s="281"/>
      <c r="J79" s="281"/>
      <c r="K79" s="281"/>
      <c r="L79" s="281"/>
    </row>
    <row r="80" spans="1:12" ht="51">
      <c r="A80" s="209">
        <v>77</v>
      </c>
      <c r="B80" s="491" t="s">
        <v>248</v>
      </c>
      <c r="C80" s="209">
        <v>6232485</v>
      </c>
      <c r="D80" s="216" t="s">
        <v>9642</v>
      </c>
      <c r="E80" s="216">
        <v>3.5</v>
      </c>
      <c r="F80" s="216"/>
      <c r="G80" s="216">
        <v>9</v>
      </c>
      <c r="H80" s="216">
        <v>6</v>
      </c>
      <c r="I80" s="216">
        <v>6</v>
      </c>
      <c r="J80" s="216">
        <v>3600</v>
      </c>
      <c r="K80" s="216">
        <v>4</v>
      </c>
      <c r="L80" s="216">
        <v>0</v>
      </c>
    </row>
    <row r="81" spans="1:12">
      <c r="A81" s="209">
        <v>78</v>
      </c>
      <c r="B81" s="490" t="s">
        <v>249</v>
      </c>
      <c r="C81" s="281"/>
      <c r="D81" s="281"/>
      <c r="E81" s="281"/>
      <c r="F81" s="281"/>
      <c r="G81" s="281"/>
      <c r="H81" s="281"/>
      <c r="I81" s="281"/>
      <c r="J81" s="281"/>
      <c r="K81" s="281"/>
      <c r="L81" s="281"/>
    </row>
    <row r="82" spans="1:12">
      <c r="A82" s="209">
        <v>79</v>
      </c>
      <c r="B82" s="490" t="s">
        <v>250</v>
      </c>
      <c r="C82" s="281"/>
      <c r="D82" s="281"/>
      <c r="E82" s="281"/>
      <c r="F82" s="281"/>
      <c r="G82" s="281"/>
      <c r="H82" s="281"/>
      <c r="I82" s="281"/>
      <c r="J82" s="281"/>
      <c r="K82" s="281"/>
      <c r="L82" s="281"/>
    </row>
    <row r="83" spans="1:12">
      <c r="A83" s="209">
        <v>80</v>
      </c>
      <c r="B83" s="490" t="s">
        <v>251</v>
      </c>
      <c r="C83" s="281"/>
      <c r="D83" s="281"/>
      <c r="E83" s="281"/>
      <c r="F83" s="281"/>
      <c r="G83" s="281"/>
      <c r="H83" s="281"/>
      <c r="I83" s="281"/>
      <c r="J83" s="281"/>
      <c r="K83" s="281"/>
      <c r="L83" s="281"/>
    </row>
    <row r="84" spans="1:12">
      <c r="A84" s="209">
        <v>81</v>
      </c>
      <c r="B84" s="490" t="s">
        <v>253</v>
      </c>
      <c r="C84" s="281"/>
      <c r="D84" s="281"/>
      <c r="E84" s="281"/>
      <c r="F84" s="281"/>
      <c r="G84" s="281"/>
      <c r="H84" s="281"/>
      <c r="I84" s="281"/>
      <c r="J84" s="281"/>
      <c r="K84" s="281"/>
      <c r="L84" s="281"/>
    </row>
    <row r="85" spans="1:12">
      <c r="A85" s="209">
        <v>82</v>
      </c>
      <c r="B85" s="490" t="s">
        <v>254</v>
      </c>
      <c r="C85" s="281"/>
      <c r="D85" s="281"/>
      <c r="E85" s="281"/>
      <c r="F85" s="281"/>
      <c r="G85" s="281"/>
      <c r="H85" s="281"/>
      <c r="I85" s="281"/>
      <c r="J85" s="281"/>
      <c r="K85" s="281"/>
      <c r="L85" s="281"/>
    </row>
    <row r="86" spans="1:12">
      <c r="A86" s="209">
        <v>83</v>
      </c>
      <c r="B86" s="490" t="s">
        <v>257</v>
      </c>
      <c r="C86" s="281"/>
      <c r="D86" s="281"/>
      <c r="E86" s="281"/>
      <c r="F86" s="281"/>
      <c r="G86" s="281"/>
      <c r="H86" s="281"/>
      <c r="I86" s="281"/>
      <c r="J86" s="281"/>
      <c r="K86" s="281"/>
      <c r="L86" s="281"/>
    </row>
    <row r="87" spans="1:12">
      <c r="A87" s="209">
        <v>84</v>
      </c>
      <c r="B87" s="490" t="s">
        <v>258</v>
      </c>
      <c r="C87" s="281"/>
      <c r="D87" s="281"/>
      <c r="E87" s="281"/>
      <c r="F87" s="281"/>
      <c r="G87" s="281"/>
      <c r="H87" s="281"/>
      <c r="I87" s="281"/>
      <c r="J87" s="281"/>
      <c r="K87" s="281"/>
      <c r="L87" s="281"/>
    </row>
    <row r="88" spans="1:12">
      <c r="A88" s="209">
        <v>85</v>
      </c>
      <c r="B88" s="491" t="s">
        <v>260</v>
      </c>
      <c r="C88" s="215">
        <v>2016931</v>
      </c>
      <c r="D88" s="216" t="s">
        <v>9643</v>
      </c>
      <c r="E88" s="216"/>
      <c r="F88" s="216"/>
      <c r="G88" s="216">
        <v>0</v>
      </c>
      <c r="H88" s="216">
        <v>0</v>
      </c>
      <c r="I88" s="216"/>
      <c r="J88" s="216">
        <v>0</v>
      </c>
      <c r="K88" s="216">
        <v>0</v>
      </c>
      <c r="L88" s="216">
        <v>0</v>
      </c>
    </row>
    <row r="89" spans="1:12">
      <c r="A89" s="209">
        <v>86</v>
      </c>
      <c r="B89" s="490" t="s">
        <v>263</v>
      </c>
      <c r="C89" s="281"/>
      <c r="D89" s="281"/>
      <c r="E89" s="281"/>
      <c r="F89" s="281"/>
      <c r="G89" s="281"/>
      <c r="H89" s="281"/>
      <c r="I89" s="281"/>
      <c r="J89" s="281"/>
      <c r="K89" s="281"/>
      <c r="L89" s="281"/>
    </row>
    <row r="90" spans="1:12">
      <c r="A90" s="209">
        <v>87</v>
      </c>
      <c r="B90" s="464" t="s">
        <v>264</v>
      </c>
      <c r="C90" s="217">
        <v>2807459</v>
      </c>
      <c r="D90" s="216" t="s">
        <v>9644</v>
      </c>
      <c r="E90" s="216">
        <v>30</v>
      </c>
      <c r="F90" s="216"/>
      <c r="G90" s="216">
        <v>150</v>
      </c>
      <c r="H90" s="216">
        <v>60</v>
      </c>
      <c r="I90" s="216">
        <v>50</v>
      </c>
      <c r="J90" s="216">
        <v>3500000</v>
      </c>
      <c r="K90" s="216">
        <v>8</v>
      </c>
      <c r="L90" s="216">
        <v>1</v>
      </c>
    </row>
    <row r="91" spans="1:12" ht="25.5">
      <c r="A91" s="209">
        <v>88</v>
      </c>
      <c r="B91" s="464" t="s">
        <v>264</v>
      </c>
      <c r="C91" s="215">
        <v>2807459</v>
      </c>
      <c r="D91" s="216" t="s">
        <v>9632</v>
      </c>
      <c r="E91" s="216">
        <v>30</v>
      </c>
      <c r="F91" s="216"/>
      <c r="G91" s="216">
        <v>80</v>
      </c>
      <c r="H91" s="216">
        <v>70</v>
      </c>
      <c r="I91" s="216">
        <v>50</v>
      </c>
      <c r="J91" s="216">
        <v>3500</v>
      </c>
      <c r="K91" s="216">
        <v>8</v>
      </c>
      <c r="L91" s="216">
        <v>1</v>
      </c>
    </row>
    <row r="92" spans="1:12">
      <c r="A92" s="209">
        <v>89</v>
      </c>
      <c r="B92" s="464" t="s">
        <v>265</v>
      </c>
      <c r="C92" s="281"/>
      <c r="D92" s="281"/>
      <c r="E92" s="281"/>
      <c r="F92" s="281"/>
      <c r="G92" s="281"/>
      <c r="H92" s="281"/>
      <c r="I92" s="281"/>
      <c r="J92" s="281"/>
      <c r="K92" s="281"/>
      <c r="L92" s="281"/>
    </row>
    <row r="93" spans="1:12" ht="25.5">
      <c r="A93" s="209">
        <v>90</v>
      </c>
      <c r="B93" s="464" t="s">
        <v>266</v>
      </c>
      <c r="C93" s="215">
        <v>6268048</v>
      </c>
      <c r="D93" s="216" t="s">
        <v>8659</v>
      </c>
      <c r="E93" s="216">
        <v>0.81</v>
      </c>
      <c r="F93" s="216">
        <v>208.6</v>
      </c>
      <c r="G93" s="216">
        <v>1</v>
      </c>
      <c r="H93" s="216">
        <v>1</v>
      </c>
      <c r="I93" s="216">
        <v>1</v>
      </c>
      <c r="J93" s="216">
        <v>150</v>
      </c>
      <c r="K93" s="216">
        <v>1</v>
      </c>
      <c r="L93" s="216">
        <v>0</v>
      </c>
    </row>
    <row r="94" spans="1:12" ht="25.5">
      <c r="A94" s="209">
        <v>91</v>
      </c>
      <c r="B94" s="464" t="s">
        <v>268</v>
      </c>
      <c r="C94" s="215">
        <v>5874963</v>
      </c>
      <c r="D94" s="216" t="s">
        <v>9645</v>
      </c>
      <c r="E94" s="216">
        <v>10</v>
      </c>
      <c r="F94" s="216"/>
      <c r="G94" s="216">
        <v>13</v>
      </c>
      <c r="H94" s="216">
        <v>0</v>
      </c>
      <c r="I94" s="216">
        <v>13</v>
      </c>
      <c r="J94" s="216">
        <v>0</v>
      </c>
      <c r="K94" s="216">
        <v>13</v>
      </c>
      <c r="L94" s="216">
        <v>0</v>
      </c>
    </row>
    <row r="95" spans="1:12">
      <c r="A95" s="209">
        <v>92</v>
      </c>
      <c r="B95" s="464" t="s">
        <v>269</v>
      </c>
      <c r="C95" s="281"/>
      <c r="D95" s="281"/>
      <c r="E95" s="281"/>
      <c r="F95" s="281"/>
      <c r="G95" s="281"/>
      <c r="H95" s="281"/>
      <c r="I95" s="281"/>
      <c r="J95" s="281"/>
      <c r="K95" s="281"/>
      <c r="L95" s="281"/>
    </row>
    <row r="96" spans="1:12" ht="38.25">
      <c r="A96" s="209">
        <v>93</v>
      </c>
      <c r="B96" s="464" t="s">
        <v>270</v>
      </c>
      <c r="C96" s="215">
        <v>2839717</v>
      </c>
      <c r="D96" s="216" t="s">
        <v>9646</v>
      </c>
      <c r="E96" s="216">
        <v>0.32</v>
      </c>
      <c r="F96" s="216">
        <v>32</v>
      </c>
      <c r="G96" s="216">
        <v>2</v>
      </c>
      <c r="H96" s="216">
        <v>2</v>
      </c>
      <c r="I96" s="216">
        <v>1</v>
      </c>
      <c r="J96" s="216">
        <v>600</v>
      </c>
      <c r="K96" s="216">
        <v>1</v>
      </c>
      <c r="L96" s="216">
        <v>2</v>
      </c>
    </row>
    <row r="97" spans="1:12">
      <c r="A97" s="209">
        <v>94</v>
      </c>
      <c r="B97" s="464" t="s">
        <v>271</v>
      </c>
      <c r="C97" s="281"/>
      <c r="D97" s="281"/>
      <c r="E97" s="281"/>
      <c r="F97" s="281"/>
      <c r="G97" s="281"/>
      <c r="H97" s="281"/>
      <c r="I97" s="281"/>
      <c r="J97" s="281"/>
      <c r="K97" s="281"/>
      <c r="L97" s="281"/>
    </row>
    <row r="98" spans="1:12">
      <c r="A98" s="209">
        <v>95</v>
      </c>
      <c r="B98" s="464" t="s">
        <v>273</v>
      </c>
      <c r="C98" s="281"/>
      <c r="D98" s="281"/>
      <c r="E98" s="281"/>
      <c r="F98" s="281"/>
      <c r="G98" s="281"/>
      <c r="H98" s="281"/>
      <c r="I98" s="281"/>
      <c r="J98" s="281"/>
      <c r="K98" s="281"/>
      <c r="L98" s="281"/>
    </row>
    <row r="99" spans="1:12">
      <c r="A99" s="209">
        <v>96</v>
      </c>
      <c r="B99" s="464" t="s">
        <v>277</v>
      </c>
      <c r="C99" s="281"/>
      <c r="D99" s="281"/>
      <c r="E99" s="281"/>
      <c r="F99" s="281"/>
      <c r="G99" s="281"/>
      <c r="H99" s="281"/>
      <c r="I99" s="281"/>
      <c r="J99" s="281"/>
      <c r="K99" s="281"/>
      <c r="L99" s="281"/>
    </row>
    <row r="100" spans="1:12">
      <c r="A100" s="209">
        <v>97</v>
      </c>
      <c r="B100" s="464" t="s">
        <v>279</v>
      </c>
      <c r="C100" s="281"/>
      <c r="D100" s="281"/>
      <c r="E100" s="281"/>
      <c r="F100" s="281"/>
      <c r="G100" s="281"/>
      <c r="H100" s="281"/>
      <c r="I100" s="281"/>
      <c r="J100" s="281"/>
      <c r="K100" s="281"/>
      <c r="L100" s="281"/>
    </row>
    <row r="101" spans="1:12">
      <c r="A101" s="209">
        <v>98</v>
      </c>
      <c r="B101" s="464" t="s">
        <v>281</v>
      </c>
      <c r="C101" s="281"/>
      <c r="D101" s="281"/>
      <c r="E101" s="281"/>
      <c r="F101" s="281"/>
      <c r="G101" s="281"/>
      <c r="H101" s="281"/>
      <c r="I101" s="281"/>
      <c r="J101" s="281"/>
      <c r="K101" s="281"/>
      <c r="L101" s="281"/>
    </row>
    <row r="102" spans="1:12">
      <c r="A102" s="209">
        <v>99</v>
      </c>
      <c r="B102" s="464" t="s">
        <v>282</v>
      </c>
      <c r="C102" s="281"/>
      <c r="D102" s="281"/>
      <c r="E102" s="281"/>
      <c r="F102" s="281"/>
      <c r="G102" s="281"/>
      <c r="H102" s="281"/>
      <c r="I102" s="281"/>
      <c r="J102" s="281"/>
      <c r="K102" s="281"/>
      <c r="L102" s="281"/>
    </row>
    <row r="103" spans="1:12" ht="63.75">
      <c r="A103" s="209">
        <v>100</v>
      </c>
      <c r="B103" s="464" t="s">
        <v>283</v>
      </c>
      <c r="C103" s="217">
        <v>2887134</v>
      </c>
      <c r="D103" s="216" t="s">
        <v>9647</v>
      </c>
      <c r="E103" s="216">
        <v>5</v>
      </c>
      <c r="F103" s="216"/>
      <c r="G103" s="216">
        <v>4</v>
      </c>
      <c r="H103" s="216">
        <v>4</v>
      </c>
      <c r="I103" s="216">
        <v>2</v>
      </c>
      <c r="J103" s="216">
        <v>1500</v>
      </c>
      <c r="K103" s="216">
        <v>2</v>
      </c>
      <c r="L103" s="216">
        <v>1</v>
      </c>
    </row>
    <row r="104" spans="1:12" ht="63.75">
      <c r="A104" s="209">
        <v>101</v>
      </c>
      <c r="B104" s="464" t="s">
        <v>283</v>
      </c>
      <c r="C104" s="215">
        <v>2887134</v>
      </c>
      <c r="D104" s="216" t="s">
        <v>9648</v>
      </c>
      <c r="E104" s="216">
        <v>5</v>
      </c>
      <c r="F104" s="216"/>
      <c r="G104" s="216">
        <v>5</v>
      </c>
      <c r="H104" s="216">
        <v>7</v>
      </c>
      <c r="I104" s="216">
        <v>2</v>
      </c>
      <c r="J104" s="216">
        <v>1300</v>
      </c>
      <c r="K104" s="216">
        <v>7</v>
      </c>
      <c r="L104" s="216">
        <v>0</v>
      </c>
    </row>
    <row r="105" spans="1:12" ht="25.5">
      <c r="A105" s="209">
        <v>102</v>
      </c>
      <c r="B105" s="491" t="s">
        <v>284</v>
      </c>
      <c r="C105" s="215">
        <v>2618176</v>
      </c>
      <c r="D105" s="216" t="s">
        <v>9649</v>
      </c>
      <c r="E105" s="216">
        <v>3</v>
      </c>
      <c r="F105" s="216">
        <v>9</v>
      </c>
      <c r="G105" s="216">
        <v>8</v>
      </c>
      <c r="H105" s="216">
        <v>8</v>
      </c>
      <c r="I105" s="216">
        <v>4</v>
      </c>
      <c r="J105" s="216">
        <v>1200</v>
      </c>
      <c r="K105" s="216">
        <v>4</v>
      </c>
      <c r="L105" s="216">
        <v>4</v>
      </c>
    </row>
    <row r="106" spans="1:12">
      <c r="A106" s="209">
        <v>103</v>
      </c>
      <c r="B106" s="490" t="s">
        <v>285</v>
      </c>
      <c r="C106" s="281"/>
      <c r="D106" s="281"/>
      <c r="E106" s="281"/>
      <c r="F106" s="281"/>
      <c r="G106" s="281"/>
      <c r="H106" s="281"/>
      <c r="I106" s="281"/>
      <c r="J106" s="281"/>
      <c r="K106" s="281"/>
      <c r="L106" s="281"/>
    </row>
    <row r="107" spans="1:12" ht="25.5">
      <c r="A107" s="209">
        <v>104</v>
      </c>
      <c r="B107" s="491" t="s">
        <v>286</v>
      </c>
      <c r="C107" s="215">
        <v>2100231</v>
      </c>
      <c r="D107" s="216" t="s">
        <v>9617</v>
      </c>
      <c r="E107" s="216">
        <v>3</v>
      </c>
      <c r="F107" s="216">
        <v>240.72</v>
      </c>
      <c r="G107" s="216">
        <v>17</v>
      </c>
      <c r="H107" s="216">
        <v>13</v>
      </c>
      <c r="I107" s="216">
        <v>10</v>
      </c>
      <c r="J107" s="216">
        <v>5000</v>
      </c>
      <c r="K107" s="216">
        <v>12</v>
      </c>
      <c r="L107" s="216">
        <v>0</v>
      </c>
    </row>
    <row r="108" spans="1:12">
      <c r="A108" s="209">
        <v>105</v>
      </c>
      <c r="B108" s="490" t="s">
        <v>287</v>
      </c>
      <c r="C108" s="281"/>
      <c r="D108" s="281"/>
      <c r="E108" s="281"/>
      <c r="F108" s="281"/>
      <c r="G108" s="281"/>
      <c r="H108" s="281"/>
      <c r="I108" s="281"/>
      <c r="J108" s="281"/>
      <c r="K108" s="281"/>
      <c r="L108" s="281"/>
    </row>
    <row r="109" spans="1:12">
      <c r="A109" s="209">
        <v>106</v>
      </c>
      <c r="B109" s="490" t="s">
        <v>290</v>
      </c>
      <c r="C109" s="281"/>
      <c r="D109" s="281"/>
      <c r="E109" s="281"/>
      <c r="F109" s="281"/>
      <c r="G109" s="281"/>
      <c r="H109" s="281"/>
      <c r="I109" s="281"/>
      <c r="J109" s="281"/>
      <c r="K109" s="281"/>
      <c r="L109" s="281"/>
    </row>
    <row r="110" spans="1:12">
      <c r="A110" s="209">
        <v>107</v>
      </c>
      <c r="B110" s="490" t="s">
        <v>292</v>
      </c>
      <c r="C110" s="281"/>
      <c r="D110" s="281"/>
      <c r="E110" s="281"/>
      <c r="F110" s="281"/>
      <c r="G110" s="281"/>
      <c r="H110" s="281"/>
      <c r="I110" s="281"/>
      <c r="J110" s="281"/>
      <c r="K110" s="281"/>
      <c r="L110" s="281"/>
    </row>
    <row r="111" spans="1:12">
      <c r="A111" s="209">
        <v>108</v>
      </c>
      <c r="B111" s="491" t="s">
        <v>296</v>
      </c>
      <c r="C111" s="215">
        <v>5671833</v>
      </c>
      <c r="D111" s="216" t="s">
        <v>3369</v>
      </c>
      <c r="E111" s="216">
        <v>1.3</v>
      </c>
      <c r="F111" s="216">
        <v>763</v>
      </c>
      <c r="G111" s="216">
        <v>17</v>
      </c>
      <c r="H111" s="216">
        <v>3</v>
      </c>
      <c r="I111" s="216">
        <v>20</v>
      </c>
      <c r="J111" s="216">
        <v>0</v>
      </c>
      <c r="K111" s="216">
        <v>20</v>
      </c>
      <c r="L111" s="216">
        <v>0</v>
      </c>
    </row>
    <row r="112" spans="1:12">
      <c r="A112" s="209">
        <v>109</v>
      </c>
      <c r="B112" s="490" t="s">
        <v>297</v>
      </c>
      <c r="C112" s="281"/>
      <c r="D112" s="281"/>
      <c r="E112" s="281"/>
      <c r="F112" s="281"/>
      <c r="G112" s="281"/>
      <c r="H112" s="281"/>
      <c r="I112" s="281"/>
      <c r="J112" s="281"/>
      <c r="K112" s="281"/>
      <c r="L112" s="281"/>
    </row>
    <row r="113" spans="1:12" ht="25.5">
      <c r="A113" s="209">
        <v>110</v>
      </c>
      <c r="B113" s="491" t="s">
        <v>298</v>
      </c>
      <c r="C113" s="215">
        <v>2668505</v>
      </c>
      <c r="D113" s="216" t="s">
        <v>9650</v>
      </c>
      <c r="E113" s="216">
        <v>5</v>
      </c>
      <c r="F113" s="216">
        <v>9</v>
      </c>
      <c r="G113" s="216">
        <v>25</v>
      </c>
      <c r="H113" s="216">
        <v>15</v>
      </c>
      <c r="I113" s="216">
        <v>10</v>
      </c>
      <c r="J113" s="216">
        <v>700</v>
      </c>
      <c r="K113" s="216">
        <v>12</v>
      </c>
      <c r="L113" s="216">
        <v>0</v>
      </c>
    </row>
    <row r="114" spans="1:12">
      <c r="A114" s="209">
        <v>111</v>
      </c>
      <c r="B114" s="490" t="s">
        <v>299</v>
      </c>
      <c r="C114" s="281"/>
      <c r="D114" s="281"/>
      <c r="E114" s="281"/>
      <c r="F114" s="281"/>
      <c r="G114" s="281"/>
      <c r="H114" s="281"/>
      <c r="I114" s="281"/>
      <c r="J114" s="281"/>
      <c r="K114" s="281"/>
      <c r="L114" s="281"/>
    </row>
    <row r="115" spans="1:12">
      <c r="A115" s="209">
        <v>112</v>
      </c>
      <c r="B115" s="490" t="s">
        <v>300</v>
      </c>
      <c r="C115" s="281"/>
      <c r="D115" s="281"/>
      <c r="E115" s="281"/>
      <c r="F115" s="281"/>
      <c r="G115" s="281"/>
      <c r="H115" s="281"/>
      <c r="I115" s="281"/>
      <c r="J115" s="281"/>
      <c r="K115" s="281"/>
      <c r="L115" s="281"/>
    </row>
    <row r="116" spans="1:12" ht="25.5">
      <c r="A116" s="209">
        <v>113</v>
      </c>
      <c r="B116" s="491" t="s">
        <v>301</v>
      </c>
      <c r="C116" s="215">
        <v>2548747</v>
      </c>
      <c r="D116" s="216" t="s">
        <v>301</v>
      </c>
      <c r="E116" s="216">
        <v>5</v>
      </c>
      <c r="F116" s="216">
        <v>742.93</v>
      </c>
      <c r="G116" s="216">
        <v>10</v>
      </c>
      <c r="H116" s="216">
        <v>4</v>
      </c>
      <c r="I116" s="216">
        <v>3</v>
      </c>
      <c r="J116" s="216">
        <v>700</v>
      </c>
      <c r="K116" s="216">
        <v>3</v>
      </c>
      <c r="L116" s="216">
        <v>0</v>
      </c>
    </row>
    <row r="117" spans="1:12">
      <c r="A117" s="209">
        <v>114</v>
      </c>
      <c r="B117" s="490" t="s">
        <v>303</v>
      </c>
      <c r="C117" s="281"/>
      <c r="D117" s="281"/>
      <c r="E117" s="281"/>
      <c r="F117" s="281"/>
      <c r="G117" s="281"/>
      <c r="H117" s="281"/>
      <c r="I117" s="281"/>
      <c r="J117" s="281"/>
      <c r="K117" s="281"/>
      <c r="L117" s="281"/>
    </row>
    <row r="118" spans="1:12">
      <c r="A118" s="209">
        <v>115</v>
      </c>
      <c r="B118" s="490" t="s">
        <v>306</v>
      </c>
      <c r="C118" s="281"/>
      <c r="D118" s="281"/>
      <c r="E118" s="281"/>
      <c r="F118" s="281"/>
      <c r="G118" s="281"/>
      <c r="H118" s="281"/>
      <c r="I118" s="281"/>
      <c r="J118" s="281"/>
      <c r="K118" s="281"/>
      <c r="L118" s="281"/>
    </row>
    <row r="119" spans="1:12">
      <c r="A119" s="209">
        <v>116</v>
      </c>
      <c r="B119" s="490" t="s">
        <v>307</v>
      </c>
      <c r="C119" s="281"/>
      <c r="D119" s="281"/>
      <c r="E119" s="281"/>
      <c r="F119" s="281"/>
      <c r="G119" s="281"/>
      <c r="H119" s="281"/>
      <c r="I119" s="281"/>
      <c r="J119" s="281"/>
      <c r="K119" s="281"/>
      <c r="L119" s="281"/>
    </row>
    <row r="120" spans="1:12">
      <c r="A120" s="209">
        <v>117</v>
      </c>
      <c r="B120" s="490" t="s">
        <v>308</v>
      </c>
      <c r="C120" s="281"/>
      <c r="D120" s="281"/>
      <c r="E120" s="281"/>
      <c r="F120" s="281"/>
      <c r="G120" s="281"/>
      <c r="H120" s="281"/>
      <c r="I120" s="281"/>
      <c r="J120" s="281"/>
      <c r="K120" s="281"/>
      <c r="L120" s="281"/>
    </row>
    <row r="121" spans="1:12">
      <c r="A121" s="209">
        <v>118</v>
      </c>
      <c r="B121" s="491" t="s">
        <v>309</v>
      </c>
      <c r="C121" s="215">
        <v>2050374</v>
      </c>
      <c r="D121" s="216" t="s">
        <v>309</v>
      </c>
      <c r="E121" s="216">
        <v>3</v>
      </c>
      <c r="F121" s="216">
        <v>300</v>
      </c>
      <c r="G121" s="216">
        <v>20</v>
      </c>
      <c r="H121" s="216">
        <v>35</v>
      </c>
      <c r="I121" s="216">
        <v>24</v>
      </c>
      <c r="J121" s="216">
        <v>2500</v>
      </c>
      <c r="K121" s="216">
        <v>10</v>
      </c>
      <c r="L121" s="216">
        <v>1</v>
      </c>
    </row>
    <row r="122" spans="1:12">
      <c r="A122" s="209">
        <v>119</v>
      </c>
      <c r="B122" s="490" t="s">
        <v>311</v>
      </c>
      <c r="C122" s="281"/>
      <c r="D122" s="281"/>
      <c r="E122" s="281"/>
      <c r="F122" s="281"/>
      <c r="G122" s="281"/>
      <c r="H122" s="281"/>
      <c r="I122" s="281"/>
      <c r="J122" s="281"/>
      <c r="K122" s="281"/>
      <c r="L122" s="281"/>
    </row>
    <row r="123" spans="1:12">
      <c r="A123" s="209">
        <v>120</v>
      </c>
      <c r="B123" s="490" t="s">
        <v>314</v>
      </c>
      <c r="C123" s="281"/>
      <c r="D123" s="281"/>
      <c r="E123" s="281"/>
      <c r="F123" s="281"/>
      <c r="G123" s="281"/>
      <c r="H123" s="281"/>
      <c r="I123" s="281"/>
      <c r="J123" s="281"/>
      <c r="K123" s="281"/>
      <c r="L123" s="281"/>
    </row>
    <row r="124" spans="1:12" ht="38.25">
      <c r="A124" s="209">
        <v>121</v>
      </c>
      <c r="B124" s="491" t="s">
        <v>315</v>
      </c>
      <c r="C124" s="215">
        <v>5320607</v>
      </c>
      <c r="D124" s="216" t="s">
        <v>9651</v>
      </c>
      <c r="E124" s="216">
        <v>0.1</v>
      </c>
      <c r="F124" s="216">
        <v>1055</v>
      </c>
      <c r="G124" s="216">
        <v>135</v>
      </c>
      <c r="H124" s="216">
        <v>148</v>
      </c>
      <c r="I124" s="216">
        <v>100</v>
      </c>
      <c r="J124" s="216">
        <v>33280</v>
      </c>
      <c r="K124" s="216">
        <v>82</v>
      </c>
      <c r="L124" s="216">
        <v>0</v>
      </c>
    </row>
    <row r="125" spans="1:12">
      <c r="A125" s="209">
        <v>122</v>
      </c>
      <c r="B125" s="490" t="s">
        <v>316</v>
      </c>
      <c r="C125" s="281"/>
      <c r="D125" s="281"/>
      <c r="E125" s="281"/>
      <c r="F125" s="281"/>
      <c r="G125" s="281"/>
      <c r="H125" s="281"/>
      <c r="I125" s="281"/>
      <c r="J125" s="281"/>
      <c r="K125" s="281"/>
      <c r="L125" s="281"/>
    </row>
    <row r="126" spans="1:12">
      <c r="A126" s="209">
        <v>123</v>
      </c>
      <c r="B126" s="490" t="s">
        <v>317</v>
      </c>
      <c r="C126" s="281"/>
      <c r="D126" s="281"/>
      <c r="E126" s="281"/>
      <c r="F126" s="281"/>
      <c r="G126" s="281"/>
      <c r="H126" s="281"/>
      <c r="I126" s="281"/>
      <c r="J126" s="281"/>
      <c r="K126" s="281"/>
      <c r="L126" s="281"/>
    </row>
    <row r="127" spans="1:12">
      <c r="A127" s="209">
        <v>124</v>
      </c>
      <c r="B127" s="490" t="s">
        <v>318</v>
      </c>
      <c r="C127" s="281"/>
      <c r="D127" s="281"/>
      <c r="E127" s="281"/>
      <c r="F127" s="281"/>
      <c r="G127" s="281"/>
      <c r="H127" s="281"/>
      <c r="I127" s="281"/>
      <c r="J127" s="281"/>
      <c r="K127" s="281"/>
      <c r="L127" s="281"/>
    </row>
    <row r="128" spans="1:12" ht="63.75">
      <c r="A128" s="209">
        <v>125</v>
      </c>
      <c r="B128" s="464" t="s">
        <v>319</v>
      </c>
      <c r="C128" s="217">
        <v>2887746</v>
      </c>
      <c r="D128" s="216" t="s">
        <v>9647</v>
      </c>
      <c r="E128" s="216">
        <v>5</v>
      </c>
      <c r="F128" s="216"/>
      <c r="G128" s="216">
        <v>4</v>
      </c>
      <c r="H128" s="216">
        <v>4</v>
      </c>
      <c r="I128" s="216">
        <v>2</v>
      </c>
      <c r="J128" s="216">
        <v>1500</v>
      </c>
      <c r="K128" s="216">
        <v>2</v>
      </c>
      <c r="L128" s="216">
        <v>1</v>
      </c>
    </row>
    <row r="129" spans="1:12" ht="63.75">
      <c r="A129" s="209">
        <v>126</v>
      </c>
      <c r="B129" s="464" t="s">
        <v>319</v>
      </c>
      <c r="C129" s="215">
        <v>2887746</v>
      </c>
      <c r="D129" s="216" t="s">
        <v>9648</v>
      </c>
      <c r="E129" s="216">
        <v>5</v>
      </c>
      <c r="F129" s="216"/>
      <c r="G129" s="216">
        <v>5</v>
      </c>
      <c r="H129" s="216">
        <v>7</v>
      </c>
      <c r="I129" s="216">
        <v>2</v>
      </c>
      <c r="J129" s="216">
        <v>1300</v>
      </c>
      <c r="K129" s="216">
        <v>7</v>
      </c>
      <c r="L129" s="216">
        <v>0</v>
      </c>
    </row>
    <row r="130" spans="1:12">
      <c r="A130" s="209">
        <v>127</v>
      </c>
      <c r="B130" s="464" t="s">
        <v>320</v>
      </c>
      <c r="C130" s="281"/>
      <c r="D130" s="281"/>
      <c r="E130" s="281"/>
      <c r="F130" s="281"/>
      <c r="G130" s="281"/>
      <c r="H130" s="281"/>
      <c r="I130" s="281"/>
      <c r="J130" s="281"/>
      <c r="K130" s="281"/>
      <c r="L130" s="281"/>
    </row>
    <row r="131" spans="1:12" ht="63.75">
      <c r="A131" s="209">
        <v>128</v>
      </c>
      <c r="B131" s="464" t="s">
        <v>321</v>
      </c>
      <c r="C131" s="217">
        <v>2718243</v>
      </c>
      <c r="D131" s="216" t="s">
        <v>9652</v>
      </c>
      <c r="E131" s="216">
        <v>5</v>
      </c>
      <c r="F131" s="216">
        <v>0.21</v>
      </c>
      <c r="G131" s="216">
        <v>7</v>
      </c>
      <c r="H131" s="216">
        <v>10</v>
      </c>
      <c r="I131" s="216">
        <v>3</v>
      </c>
      <c r="J131" s="216">
        <v>1372</v>
      </c>
      <c r="K131" s="216">
        <v>3</v>
      </c>
      <c r="L131" s="216">
        <v>0</v>
      </c>
    </row>
    <row r="132" spans="1:12" ht="63.75">
      <c r="A132" s="209">
        <v>129</v>
      </c>
      <c r="B132" s="464" t="s">
        <v>321</v>
      </c>
      <c r="C132" s="215">
        <v>2718243</v>
      </c>
      <c r="D132" s="216" t="s">
        <v>9652</v>
      </c>
      <c r="E132" s="216">
        <v>2.5</v>
      </c>
      <c r="F132" s="216">
        <v>2.0299999999999998</v>
      </c>
      <c r="G132" s="216">
        <v>57</v>
      </c>
      <c r="H132" s="216">
        <v>58</v>
      </c>
      <c r="I132" s="216">
        <v>29</v>
      </c>
      <c r="J132" s="216">
        <v>15128</v>
      </c>
      <c r="K132" s="216">
        <v>29</v>
      </c>
      <c r="L132" s="216">
        <v>0</v>
      </c>
    </row>
    <row r="133" spans="1:12">
      <c r="A133" s="209">
        <v>130</v>
      </c>
      <c r="B133" s="464" t="s">
        <v>322</v>
      </c>
      <c r="C133" s="281"/>
      <c r="D133" s="281"/>
      <c r="E133" s="281"/>
      <c r="F133" s="281"/>
      <c r="G133" s="281"/>
      <c r="H133" s="281"/>
      <c r="I133" s="281"/>
      <c r="J133" s="281"/>
      <c r="K133" s="281"/>
      <c r="L133" s="281"/>
    </row>
    <row r="134" spans="1:12">
      <c r="A134" s="209">
        <v>131</v>
      </c>
      <c r="B134" s="464" t="s">
        <v>323</v>
      </c>
      <c r="C134" s="215">
        <v>5435528</v>
      </c>
      <c r="D134" s="488">
        <v>2687108633.5</v>
      </c>
      <c r="E134" s="216">
        <v>70</v>
      </c>
      <c r="F134" s="216">
        <v>7250</v>
      </c>
      <c r="G134" s="216">
        <v>4954</v>
      </c>
      <c r="H134" s="216">
        <v>4906</v>
      </c>
      <c r="I134" s="216">
        <v>3225</v>
      </c>
      <c r="J134" s="216">
        <v>13495400</v>
      </c>
      <c r="K134" s="216">
        <v>55</v>
      </c>
      <c r="L134" s="216">
        <v>5</v>
      </c>
    </row>
    <row r="135" spans="1:12">
      <c r="A135" s="209">
        <v>132</v>
      </c>
      <c r="B135" s="464" t="s">
        <v>324</v>
      </c>
      <c r="C135" s="281"/>
      <c r="D135" s="281"/>
      <c r="E135" s="281"/>
      <c r="F135" s="281"/>
      <c r="G135" s="281"/>
      <c r="H135" s="281"/>
      <c r="I135" s="281"/>
      <c r="J135" s="281"/>
      <c r="K135" s="281"/>
      <c r="L135" s="281"/>
    </row>
    <row r="136" spans="1:12">
      <c r="A136" s="209">
        <v>133</v>
      </c>
      <c r="B136" s="464" t="s">
        <v>325</v>
      </c>
      <c r="C136" s="281"/>
      <c r="D136" s="281"/>
      <c r="E136" s="281"/>
      <c r="F136" s="281"/>
      <c r="G136" s="281"/>
      <c r="H136" s="281"/>
      <c r="I136" s="281"/>
      <c r="J136" s="281"/>
      <c r="K136" s="281"/>
      <c r="L136" s="281"/>
    </row>
    <row r="137" spans="1:12" ht="25.5">
      <c r="A137" s="209">
        <v>134</v>
      </c>
      <c r="B137" s="464" t="s">
        <v>326</v>
      </c>
      <c r="C137" s="217">
        <v>5124913</v>
      </c>
      <c r="D137" s="216" t="s">
        <v>9653</v>
      </c>
      <c r="E137" s="216">
        <v>2.35</v>
      </c>
      <c r="F137" s="216">
        <v>1732.72</v>
      </c>
      <c r="G137" s="216">
        <v>21</v>
      </c>
      <c r="H137" s="216">
        <v>15</v>
      </c>
      <c r="I137" s="216">
        <v>9</v>
      </c>
      <c r="J137" s="216">
        <v>2925</v>
      </c>
      <c r="K137" s="216">
        <v>12</v>
      </c>
      <c r="L137" s="216">
        <v>1</v>
      </c>
    </row>
    <row r="138" spans="1:12" ht="25.5">
      <c r="A138" s="209">
        <v>135</v>
      </c>
      <c r="B138" s="464" t="s">
        <v>326</v>
      </c>
      <c r="C138" s="215">
        <v>5124913</v>
      </c>
      <c r="D138" s="216" t="s">
        <v>9654</v>
      </c>
      <c r="E138" s="216">
        <v>5</v>
      </c>
      <c r="F138" s="216">
        <v>19300</v>
      </c>
      <c r="G138" s="216">
        <v>14343</v>
      </c>
      <c r="H138" s="216">
        <v>14998</v>
      </c>
      <c r="I138" s="216">
        <v>8880</v>
      </c>
      <c r="J138" s="216">
        <v>16944</v>
      </c>
      <c r="K138" s="216">
        <v>0</v>
      </c>
      <c r="L138" s="216">
        <v>1</v>
      </c>
    </row>
    <row r="139" spans="1:12">
      <c r="A139" s="209">
        <v>136</v>
      </c>
      <c r="B139" s="490" t="s">
        <v>327</v>
      </c>
      <c r="C139" s="281"/>
      <c r="D139" s="281"/>
      <c r="E139" s="281"/>
      <c r="F139" s="281"/>
      <c r="G139" s="281"/>
      <c r="H139" s="281"/>
      <c r="I139" s="281"/>
      <c r="J139" s="281"/>
      <c r="K139" s="281"/>
      <c r="L139" s="281"/>
    </row>
    <row r="140" spans="1:12">
      <c r="A140" s="209">
        <v>137</v>
      </c>
      <c r="B140" s="490" t="s">
        <v>331</v>
      </c>
      <c r="C140" s="281"/>
      <c r="D140" s="281"/>
      <c r="E140" s="281"/>
      <c r="F140" s="281"/>
      <c r="G140" s="281"/>
      <c r="H140" s="281"/>
      <c r="I140" s="281"/>
      <c r="J140" s="281"/>
      <c r="K140" s="281"/>
      <c r="L140" s="281"/>
    </row>
    <row r="141" spans="1:12" ht="25.5">
      <c r="A141" s="209">
        <v>138</v>
      </c>
      <c r="B141" s="491" t="s">
        <v>332</v>
      </c>
      <c r="C141" s="215">
        <v>5137977</v>
      </c>
      <c r="D141" s="216" t="s">
        <v>9655</v>
      </c>
      <c r="E141" s="216">
        <v>1</v>
      </c>
      <c r="F141" s="216">
        <v>65.2</v>
      </c>
      <c r="G141" s="216">
        <v>0</v>
      </c>
      <c r="H141" s="216">
        <v>0</v>
      </c>
      <c r="I141" s="216"/>
      <c r="J141" s="216">
        <v>0</v>
      </c>
      <c r="K141" s="216">
        <v>0</v>
      </c>
      <c r="L141" s="216">
        <v>0</v>
      </c>
    </row>
  </sheetData>
  <mergeCells count="13">
    <mergeCell ref="G63:H63"/>
    <mergeCell ref="L2:L3"/>
    <mergeCell ref="G2:H2"/>
    <mergeCell ref="E2:E3"/>
    <mergeCell ref="F2:F3"/>
    <mergeCell ref="I2:I3"/>
    <mergeCell ref="J2:J3"/>
    <mergeCell ref="K2:K3"/>
    <mergeCell ref="A1:D1"/>
    <mergeCell ref="A2:A3"/>
    <mergeCell ref="B2:B3"/>
    <mergeCell ref="C2:C3"/>
    <mergeCell ref="D2:D3"/>
  </mergeCells>
  <conditionalFormatting sqref="B12:B13 B4:B9">
    <cfRule type="duplicateValues" dxfId="74" priority="14"/>
  </conditionalFormatting>
  <conditionalFormatting sqref="B26 B14:B15 B17 B19:B20">
    <cfRule type="duplicateValues" dxfId="73" priority="9"/>
  </conditionalFormatting>
  <conditionalFormatting sqref="B27">
    <cfRule type="duplicateValues" dxfId="72" priority="2"/>
  </conditionalFormatting>
  <conditionalFormatting sqref="B28:B29">
    <cfRule type="duplicateValues" dxfId="71" priority="8"/>
  </conditionalFormatting>
  <conditionalFormatting sqref="B38:B40 B31:B36 B42:B43">
    <cfRule type="duplicateValues" dxfId="70" priority="6"/>
  </conditionalFormatting>
  <conditionalFormatting sqref="B44:B53 B63:B66">
    <cfRule type="duplicateValues" dxfId="69" priority="13"/>
  </conditionalFormatting>
  <conditionalFormatting sqref="B67:B73 B78:B89 B105:B107">
    <cfRule type="duplicateValues" dxfId="68" priority="12"/>
  </conditionalFormatting>
  <conditionalFormatting sqref="B108:B111">
    <cfRule type="duplicateValues" dxfId="67" priority="1"/>
  </conditionalFormatting>
  <conditionalFormatting sqref="B112:B127 B139:B141">
    <cfRule type="duplicateValues" dxfId="66" priority="11"/>
  </conditionalFormatting>
  <conditionalFormatting sqref="C12:C13 C4:C9">
    <cfRule type="duplicateValues" dxfId="65" priority="15"/>
  </conditionalFormatting>
  <conditionalFormatting sqref="C26 C14:C15 C17 C19:C20">
    <cfRule type="duplicateValues" dxfId="64" priority="10"/>
  </conditionalFormatting>
  <conditionalFormatting sqref="C27">
    <cfRule type="duplicateValues" dxfId="63" priority="5"/>
  </conditionalFormatting>
  <conditionalFormatting sqref="C28">
    <cfRule type="duplicateValues" dxfId="62" priority="4"/>
  </conditionalFormatting>
  <conditionalFormatting sqref="C29">
    <cfRule type="duplicateValues" dxfId="61" priority="3"/>
  </conditionalFormatting>
  <conditionalFormatting sqref="C38:C40 C31:C36 C42:C43">
    <cfRule type="duplicateValues" dxfId="60" priority="7"/>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0C68B-273E-4881-8745-3A6C7EABBB00}">
  <sheetPr>
    <tabColor rgb="FF006432"/>
  </sheetPr>
  <dimension ref="A1:H35"/>
  <sheetViews>
    <sheetView workbookViewId="0">
      <selection activeCell="B1" sqref="B1"/>
    </sheetView>
  </sheetViews>
  <sheetFormatPr defaultRowHeight="15"/>
  <cols>
    <col min="1" max="1" width="11.140625" customWidth="1"/>
    <col min="2" max="2" width="116.85546875" customWidth="1"/>
  </cols>
  <sheetData>
    <row r="1" spans="1:8" ht="16.5" thickBot="1">
      <c r="A1" s="26" t="s">
        <v>402</v>
      </c>
      <c r="B1" s="26"/>
      <c r="C1" s="26"/>
      <c r="D1" s="27"/>
      <c r="E1" s="27"/>
      <c r="F1" s="27"/>
      <c r="G1" s="27"/>
      <c r="H1" s="27"/>
    </row>
    <row r="2" spans="1:8" ht="15.75" thickTop="1">
      <c r="A2" s="494" t="s">
        <v>403</v>
      </c>
      <c r="B2" s="495"/>
    </row>
    <row r="3" spans="1:8">
      <c r="A3" s="24" t="s">
        <v>404</v>
      </c>
      <c r="B3" s="24" t="s">
        <v>405</v>
      </c>
    </row>
    <row r="4" spans="1:8">
      <c r="A4" s="423" t="s">
        <v>406</v>
      </c>
      <c r="B4" s="25" t="s">
        <v>407</v>
      </c>
    </row>
    <row r="5" spans="1:8">
      <c r="A5" s="24" t="s">
        <v>408</v>
      </c>
      <c r="B5" s="24" t="s">
        <v>409</v>
      </c>
    </row>
    <row r="6" spans="1:8">
      <c r="A6" s="423" t="s">
        <v>410</v>
      </c>
      <c r="B6" s="25" t="s">
        <v>411</v>
      </c>
    </row>
    <row r="7" spans="1:8">
      <c r="A7" s="24" t="s">
        <v>412</v>
      </c>
      <c r="B7" s="24" t="s">
        <v>413</v>
      </c>
    </row>
    <row r="8" spans="1:8">
      <c r="A8" s="423" t="s">
        <v>414</v>
      </c>
      <c r="B8" s="25" t="s">
        <v>415</v>
      </c>
    </row>
    <row r="9" spans="1:8">
      <c r="A9" s="24" t="s">
        <v>416</v>
      </c>
      <c r="B9" s="24" t="s">
        <v>417</v>
      </c>
    </row>
    <row r="10" spans="1:8">
      <c r="A10" s="494" t="s">
        <v>418</v>
      </c>
      <c r="B10" s="495"/>
    </row>
    <row r="11" spans="1:8">
      <c r="A11" s="24" t="s">
        <v>419</v>
      </c>
      <c r="B11" s="24" t="s">
        <v>420</v>
      </c>
    </row>
    <row r="12" spans="1:8">
      <c r="A12" s="25" t="s">
        <v>421</v>
      </c>
      <c r="B12" s="25" t="s">
        <v>96</v>
      </c>
    </row>
    <row r="13" spans="1:8">
      <c r="A13" s="24" t="s">
        <v>422</v>
      </c>
      <c r="B13" s="24" t="s">
        <v>66</v>
      </c>
    </row>
    <row r="14" spans="1:8">
      <c r="A14" s="25" t="s">
        <v>423</v>
      </c>
      <c r="B14" s="25" t="s">
        <v>424</v>
      </c>
    </row>
    <row r="15" spans="1:8">
      <c r="A15" s="24" t="s">
        <v>425</v>
      </c>
      <c r="B15" s="24" t="s">
        <v>426</v>
      </c>
    </row>
    <row r="16" spans="1:8">
      <c r="A16" s="25" t="s">
        <v>427</v>
      </c>
      <c r="B16" s="25" t="s">
        <v>428</v>
      </c>
    </row>
    <row r="17" spans="1:2">
      <c r="A17" s="24" t="s">
        <v>429</v>
      </c>
      <c r="B17" s="24" t="s">
        <v>430</v>
      </c>
    </row>
    <row r="18" spans="1:2">
      <c r="A18" s="25" t="s">
        <v>431</v>
      </c>
      <c r="B18" s="25" t="s">
        <v>432</v>
      </c>
    </row>
    <row r="19" spans="1:2">
      <c r="A19" s="24" t="s">
        <v>433</v>
      </c>
      <c r="B19" s="24" t="s">
        <v>434</v>
      </c>
    </row>
    <row r="20" spans="1:2">
      <c r="A20" s="25" t="s">
        <v>435</v>
      </c>
      <c r="B20" s="25" t="s">
        <v>436</v>
      </c>
    </row>
    <row r="21" spans="1:2">
      <c r="A21" s="24" t="s">
        <v>437</v>
      </c>
      <c r="B21" s="24" t="s">
        <v>74</v>
      </c>
    </row>
    <row r="22" spans="1:2">
      <c r="A22" s="25" t="s">
        <v>438</v>
      </c>
      <c r="B22" s="25" t="s">
        <v>439</v>
      </c>
    </row>
    <row r="23" spans="1:2">
      <c r="A23" s="24" t="s">
        <v>440</v>
      </c>
      <c r="B23" s="24" t="s">
        <v>78</v>
      </c>
    </row>
    <row r="24" spans="1:2">
      <c r="A24" s="25" t="s">
        <v>441</v>
      </c>
      <c r="B24" s="25" t="s">
        <v>442</v>
      </c>
    </row>
    <row r="25" spans="1:2">
      <c r="A25" s="24" t="s">
        <v>443</v>
      </c>
      <c r="B25" s="24" t="s">
        <v>444</v>
      </c>
    </row>
    <row r="26" spans="1:2">
      <c r="A26" s="25" t="s">
        <v>445</v>
      </c>
      <c r="B26" s="25" t="s">
        <v>98</v>
      </c>
    </row>
    <row r="27" spans="1:2">
      <c r="A27" s="24" t="s">
        <v>446</v>
      </c>
      <c r="B27" s="24" t="s">
        <v>447</v>
      </c>
    </row>
    <row r="28" spans="1:2">
      <c r="A28" s="25" t="s">
        <v>448</v>
      </c>
      <c r="B28" s="25" t="s">
        <v>449</v>
      </c>
    </row>
    <row r="29" spans="1:2">
      <c r="A29" s="24" t="s">
        <v>450</v>
      </c>
      <c r="B29" s="24" t="s">
        <v>451</v>
      </c>
    </row>
    <row r="30" spans="1:2">
      <c r="A30" s="25" t="s">
        <v>452</v>
      </c>
      <c r="B30" s="25" t="s">
        <v>453</v>
      </c>
    </row>
    <row r="31" spans="1:2">
      <c r="A31" s="24" t="s">
        <v>454</v>
      </c>
      <c r="B31" s="24" t="s">
        <v>102</v>
      </c>
    </row>
    <row r="32" spans="1:2">
      <c r="A32" s="25" t="s">
        <v>455</v>
      </c>
      <c r="B32" s="25" t="s">
        <v>456</v>
      </c>
    </row>
    <row r="33" spans="1:2">
      <c r="A33" s="24" t="s">
        <v>457</v>
      </c>
      <c r="B33" s="24" t="s">
        <v>458</v>
      </c>
    </row>
    <row r="34" spans="1:2">
      <c r="A34" s="25" t="s">
        <v>459</v>
      </c>
      <c r="B34" s="25" t="s">
        <v>460</v>
      </c>
    </row>
    <row r="35" spans="1:2">
      <c r="A35" s="24" t="s">
        <v>461</v>
      </c>
      <c r="B35" s="24" t="s">
        <v>462</v>
      </c>
    </row>
  </sheetData>
  <mergeCells count="2">
    <mergeCell ref="A2:B2"/>
    <mergeCell ref="A10:B10"/>
  </mergeCells>
  <phoneticPr fontId="21"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19F3-BBD4-4AEB-B97D-579D8B9D9905}">
  <sheetPr>
    <tabColor rgb="FF006432"/>
  </sheetPr>
  <dimension ref="A1:N284"/>
  <sheetViews>
    <sheetView workbookViewId="0">
      <pane ySplit="3" topLeftCell="A4" activePane="bottomLeft" state="frozen"/>
      <selection pane="bottomLeft" activeCell="C108" sqref="C108"/>
    </sheetView>
  </sheetViews>
  <sheetFormatPr defaultColWidth="9.140625" defaultRowHeight="15"/>
  <cols>
    <col min="1" max="1" width="4.5703125" style="5" customWidth="1"/>
    <col min="2" max="2" width="25.28515625" style="4" customWidth="1"/>
    <col min="3" max="3" width="11" style="5" customWidth="1"/>
    <col min="4" max="4" width="21" style="11" customWidth="1"/>
    <col min="5" max="5" width="23.7109375" style="11" customWidth="1"/>
    <col min="6" max="6" width="21" style="11" customWidth="1"/>
    <col min="7" max="7" width="17.140625" style="11" customWidth="1"/>
    <col min="8" max="8" width="15" style="11" customWidth="1"/>
    <col min="9" max="9" width="18.5703125" style="11" customWidth="1"/>
    <col min="10" max="10" width="15.42578125" style="11" customWidth="1"/>
    <col min="11" max="11" width="15.7109375" style="11" customWidth="1"/>
    <col min="12" max="12" width="21" style="11" customWidth="1"/>
    <col min="13" max="13" width="18.42578125" style="11" customWidth="1"/>
    <col min="14" max="16384" width="9.140625" style="11"/>
  </cols>
  <sheetData>
    <row r="1" spans="1:14" ht="16.5" thickBot="1">
      <c r="A1" s="15" t="s">
        <v>9656</v>
      </c>
      <c r="B1" s="15"/>
      <c r="C1" s="103"/>
      <c r="D1" s="26"/>
      <c r="E1" s="26"/>
      <c r="F1" s="26"/>
      <c r="G1" s="72"/>
      <c r="H1" s="72"/>
      <c r="I1" s="72"/>
      <c r="J1" s="72"/>
      <c r="K1" s="72"/>
      <c r="L1" s="72"/>
      <c r="M1" s="72"/>
    </row>
    <row r="2" spans="1:14" ht="6.75" customHeight="1" thickTop="1" thickBot="1">
      <c r="A2" s="103"/>
      <c r="B2" s="15"/>
      <c r="C2" s="103"/>
      <c r="D2" s="26"/>
      <c r="E2" s="26"/>
      <c r="F2" s="26"/>
      <c r="G2" s="72"/>
      <c r="H2" s="72"/>
      <c r="I2" s="72"/>
      <c r="J2" s="72"/>
      <c r="K2" s="72"/>
      <c r="L2" s="72"/>
      <c r="M2" s="72"/>
    </row>
    <row r="3" spans="1:14" ht="42" customHeight="1" thickTop="1">
      <c r="A3" s="46" t="s">
        <v>114</v>
      </c>
      <c r="B3" s="46" t="s">
        <v>690</v>
      </c>
      <c r="C3" s="300" t="s">
        <v>116</v>
      </c>
      <c r="D3" s="46" t="s">
        <v>9657</v>
      </c>
      <c r="E3" s="46" t="s">
        <v>9658</v>
      </c>
      <c r="F3" s="301" t="s">
        <v>9659</v>
      </c>
      <c r="G3" s="301" t="s">
        <v>9660</v>
      </c>
      <c r="H3" s="301" t="s">
        <v>9661</v>
      </c>
      <c r="I3" s="301" t="s">
        <v>9662</v>
      </c>
      <c r="J3" s="301" t="s">
        <v>9663</v>
      </c>
      <c r="K3" s="301" t="s">
        <v>9664</v>
      </c>
      <c r="L3" s="301" t="s">
        <v>9665</v>
      </c>
      <c r="M3" s="301" t="s">
        <v>9666</v>
      </c>
    </row>
    <row r="4" spans="1:14">
      <c r="A4" s="293">
        <v>1</v>
      </c>
      <c r="B4" s="214" t="s">
        <v>121</v>
      </c>
      <c r="C4" s="293"/>
      <c r="D4" s="294"/>
      <c r="E4" s="294"/>
      <c r="F4" s="294"/>
      <c r="G4" s="294"/>
      <c r="H4" s="294"/>
      <c r="I4" s="294"/>
      <c r="J4" s="294"/>
      <c r="K4" s="294"/>
      <c r="L4" s="294"/>
      <c r="M4" s="294"/>
      <c r="N4" s="290"/>
    </row>
    <row r="5" spans="1:14">
      <c r="A5" s="293">
        <v>2</v>
      </c>
      <c r="B5" s="214" t="s">
        <v>126</v>
      </c>
      <c r="C5" s="293"/>
      <c r="D5" s="294"/>
      <c r="E5" s="294"/>
      <c r="F5" s="294"/>
      <c r="G5" s="294"/>
      <c r="H5" s="294"/>
      <c r="I5" s="294"/>
      <c r="J5" s="294"/>
      <c r="K5" s="294"/>
      <c r="L5" s="294"/>
      <c r="M5" s="294"/>
      <c r="N5" s="290"/>
    </row>
    <row r="6" spans="1:14">
      <c r="A6" s="293">
        <v>3</v>
      </c>
      <c r="B6" s="214" t="s">
        <v>131</v>
      </c>
      <c r="C6" s="293"/>
      <c r="D6" s="294"/>
      <c r="E6" s="294"/>
      <c r="F6" s="294"/>
      <c r="G6" s="294"/>
      <c r="H6" s="294"/>
      <c r="I6" s="294"/>
      <c r="J6" s="294"/>
      <c r="K6" s="294"/>
      <c r="L6" s="294"/>
      <c r="M6" s="294"/>
      <c r="N6" s="290"/>
    </row>
    <row r="7" spans="1:14">
      <c r="A7" s="293">
        <v>4</v>
      </c>
      <c r="B7" s="214" t="s">
        <v>133</v>
      </c>
      <c r="C7" s="293"/>
      <c r="D7" s="294"/>
      <c r="E7" s="294"/>
      <c r="F7" s="294"/>
      <c r="G7" s="294"/>
      <c r="H7" s="294"/>
      <c r="I7" s="294"/>
      <c r="J7" s="294"/>
      <c r="K7" s="294"/>
      <c r="L7" s="294"/>
      <c r="M7" s="294"/>
      <c r="N7" s="290"/>
    </row>
    <row r="8" spans="1:14">
      <c r="A8" s="293">
        <v>5</v>
      </c>
      <c r="B8" s="210" t="s">
        <v>136</v>
      </c>
      <c r="C8" s="209">
        <v>5095549</v>
      </c>
      <c r="D8" s="210" t="s">
        <v>9667</v>
      </c>
      <c r="E8" s="216" t="s">
        <v>9668</v>
      </c>
      <c r="F8" s="216">
        <v>0.5</v>
      </c>
      <c r="G8" s="216">
        <v>0</v>
      </c>
      <c r="H8" s="216">
        <v>0</v>
      </c>
      <c r="I8" s="216">
        <v>0</v>
      </c>
      <c r="J8" s="216">
        <v>0.5</v>
      </c>
      <c r="K8" s="216">
        <v>0</v>
      </c>
      <c r="L8" s="216">
        <v>0</v>
      </c>
      <c r="M8" s="216">
        <v>0</v>
      </c>
      <c r="N8" s="290"/>
    </row>
    <row r="9" spans="1:14">
      <c r="A9" s="293">
        <v>6</v>
      </c>
      <c r="B9" s="210" t="s">
        <v>136</v>
      </c>
      <c r="C9" s="209">
        <v>5095549</v>
      </c>
      <c r="D9" s="210" t="s">
        <v>9667</v>
      </c>
      <c r="E9" s="216" t="s">
        <v>9669</v>
      </c>
      <c r="F9" s="216">
        <v>2</v>
      </c>
      <c r="G9" s="216">
        <v>0</v>
      </c>
      <c r="H9" s="216">
        <v>0</v>
      </c>
      <c r="I9" s="216">
        <v>2</v>
      </c>
      <c r="J9" s="216">
        <v>0</v>
      </c>
      <c r="K9" s="216">
        <v>0</v>
      </c>
      <c r="L9" s="216">
        <v>0</v>
      </c>
      <c r="M9" s="216">
        <v>0</v>
      </c>
      <c r="N9" s="290"/>
    </row>
    <row r="10" spans="1:14">
      <c r="A10" s="293">
        <v>7</v>
      </c>
      <c r="B10" s="210" t="s">
        <v>136</v>
      </c>
      <c r="C10" s="209">
        <v>5095549</v>
      </c>
      <c r="D10" s="210" t="s">
        <v>9667</v>
      </c>
      <c r="E10" s="216" t="s">
        <v>9670</v>
      </c>
      <c r="F10" s="216">
        <v>8</v>
      </c>
      <c r="G10" s="216">
        <v>0</v>
      </c>
      <c r="H10" s="216">
        <v>0</v>
      </c>
      <c r="I10" s="216">
        <v>1</v>
      </c>
      <c r="J10" s="216">
        <v>7</v>
      </c>
      <c r="K10" s="216">
        <v>0</v>
      </c>
      <c r="L10" s="216">
        <v>0</v>
      </c>
      <c r="M10" s="216">
        <v>0</v>
      </c>
      <c r="N10" s="290"/>
    </row>
    <row r="11" spans="1:14">
      <c r="A11" s="293">
        <v>8</v>
      </c>
      <c r="B11" s="210" t="s">
        <v>136</v>
      </c>
      <c r="C11" s="209">
        <v>5095549</v>
      </c>
      <c r="D11" s="210" t="s">
        <v>9667</v>
      </c>
      <c r="E11" s="216" t="s">
        <v>9671</v>
      </c>
      <c r="F11" s="216">
        <v>4</v>
      </c>
      <c r="G11" s="216">
        <v>0</v>
      </c>
      <c r="H11" s="216">
        <v>0</v>
      </c>
      <c r="I11" s="216">
        <v>0</v>
      </c>
      <c r="J11" s="216">
        <v>4</v>
      </c>
      <c r="K11" s="216">
        <v>0</v>
      </c>
      <c r="L11" s="216">
        <v>0</v>
      </c>
      <c r="M11" s="216">
        <v>0</v>
      </c>
      <c r="N11" s="290"/>
    </row>
    <row r="12" spans="1:14">
      <c r="A12" s="293">
        <v>9</v>
      </c>
      <c r="B12" s="210" t="s">
        <v>136</v>
      </c>
      <c r="C12" s="209">
        <v>5095549</v>
      </c>
      <c r="D12" s="210" t="s">
        <v>9667</v>
      </c>
      <c r="E12" s="216" t="s">
        <v>9672</v>
      </c>
      <c r="F12" s="216">
        <v>2</v>
      </c>
      <c r="G12" s="216">
        <v>0</v>
      </c>
      <c r="H12" s="216">
        <v>0</v>
      </c>
      <c r="I12" s="216">
        <v>0</v>
      </c>
      <c r="J12" s="216">
        <v>2</v>
      </c>
      <c r="K12" s="216">
        <v>0</v>
      </c>
      <c r="L12" s="216">
        <v>0</v>
      </c>
      <c r="M12" s="216">
        <v>0</v>
      </c>
      <c r="N12" s="290"/>
    </row>
    <row r="13" spans="1:14">
      <c r="A13" s="293">
        <v>10</v>
      </c>
      <c r="B13" s="210" t="s">
        <v>136</v>
      </c>
      <c r="C13" s="209">
        <v>5095549</v>
      </c>
      <c r="D13" s="210" t="s">
        <v>9667</v>
      </c>
      <c r="E13" s="216" t="s">
        <v>9673</v>
      </c>
      <c r="F13" s="216">
        <v>1</v>
      </c>
      <c r="G13" s="216">
        <v>0</v>
      </c>
      <c r="H13" s="216">
        <v>0</v>
      </c>
      <c r="I13" s="216">
        <v>0</v>
      </c>
      <c r="J13" s="216">
        <v>1</v>
      </c>
      <c r="K13" s="216">
        <v>0</v>
      </c>
      <c r="L13" s="216">
        <v>0</v>
      </c>
      <c r="M13" s="216">
        <v>0</v>
      </c>
      <c r="N13" s="290"/>
    </row>
    <row r="14" spans="1:14">
      <c r="A14" s="293">
        <v>11</v>
      </c>
      <c r="B14" s="210" t="s">
        <v>136</v>
      </c>
      <c r="C14" s="209">
        <v>5095549</v>
      </c>
      <c r="D14" s="210" t="s">
        <v>9667</v>
      </c>
      <c r="E14" s="216" t="s">
        <v>9674</v>
      </c>
      <c r="F14" s="216">
        <v>9.1</v>
      </c>
      <c r="G14" s="216">
        <v>0</v>
      </c>
      <c r="H14" s="216">
        <v>0</v>
      </c>
      <c r="I14" s="216">
        <v>0</v>
      </c>
      <c r="J14" s="216">
        <v>9.1</v>
      </c>
      <c r="K14" s="216">
        <v>0</v>
      </c>
      <c r="L14" s="216">
        <v>0</v>
      </c>
      <c r="M14" s="216">
        <v>0</v>
      </c>
      <c r="N14" s="291"/>
    </row>
    <row r="15" spans="1:14">
      <c r="A15" s="293">
        <v>12</v>
      </c>
      <c r="B15" s="210" t="s">
        <v>136</v>
      </c>
      <c r="C15" s="209">
        <v>5095549</v>
      </c>
      <c r="D15" s="210" t="s">
        <v>9667</v>
      </c>
      <c r="E15" s="216" t="s">
        <v>9675</v>
      </c>
      <c r="F15" s="216">
        <v>1</v>
      </c>
      <c r="G15" s="216">
        <v>0</v>
      </c>
      <c r="H15" s="216">
        <v>0</v>
      </c>
      <c r="I15" s="216">
        <v>0</v>
      </c>
      <c r="J15" s="216">
        <v>1</v>
      </c>
      <c r="K15" s="216">
        <v>0</v>
      </c>
      <c r="L15" s="216">
        <v>0</v>
      </c>
      <c r="M15" s="216">
        <v>0</v>
      </c>
      <c r="N15" s="290"/>
    </row>
    <row r="16" spans="1:14">
      <c r="A16" s="293">
        <v>13</v>
      </c>
      <c r="B16" s="210" t="s">
        <v>136</v>
      </c>
      <c r="C16" s="209">
        <v>5095549</v>
      </c>
      <c r="D16" s="210" t="s">
        <v>9667</v>
      </c>
      <c r="E16" s="216" t="s">
        <v>9676</v>
      </c>
      <c r="F16" s="216">
        <v>1</v>
      </c>
      <c r="G16" s="216">
        <v>0</v>
      </c>
      <c r="H16" s="216">
        <v>0</v>
      </c>
      <c r="I16" s="216">
        <v>0</v>
      </c>
      <c r="J16" s="216">
        <v>1</v>
      </c>
      <c r="K16" s="216">
        <v>0</v>
      </c>
      <c r="L16" s="216">
        <v>0</v>
      </c>
      <c r="M16" s="216">
        <v>0</v>
      </c>
      <c r="N16" s="290"/>
    </row>
    <row r="17" spans="1:14">
      <c r="A17" s="293">
        <v>14</v>
      </c>
      <c r="B17" s="210" t="s">
        <v>136</v>
      </c>
      <c r="C17" s="209">
        <v>5095549</v>
      </c>
      <c r="D17" s="210" t="s">
        <v>9667</v>
      </c>
      <c r="E17" s="216" t="s">
        <v>9677</v>
      </c>
      <c r="F17" s="216">
        <v>2</v>
      </c>
      <c r="G17" s="216">
        <v>0</v>
      </c>
      <c r="H17" s="216">
        <v>0</v>
      </c>
      <c r="I17" s="216">
        <v>0</v>
      </c>
      <c r="J17" s="216">
        <v>2</v>
      </c>
      <c r="K17" s="216">
        <v>0</v>
      </c>
      <c r="L17" s="216">
        <v>0</v>
      </c>
      <c r="M17" s="216">
        <v>0</v>
      </c>
      <c r="N17" s="290"/>
    </row>
    <row r="18" spans="1:14">
      <c r="A18" s="293">
        <v>15</v>
      </c>
      <c r="B18" s="210" t="s">
        <v>136</v>
      </c>
      <c r="C18" s="209">
        <v>5095549</v>
      </c>
      <c r="D18" s="210" t="s">
        <v>9667</v>
      </c>
      <c r="E18" s="216" t="s">
        <v>9678</v>
      </c>
      <c r="F18" s="216">
        <v>8</v>
      </c>
      <c r="G18" s="216">
        <v>0</v>
      </c>
      <c r="H18" s="216">
        <v>54</v>
      </c>
      <c r="I18" s="216">
        <v>62</v>
      </c>
      <c r="J18" s="216">
        <v>0</v>
      </c>
      <c r="K18" s="216">
        <v>0</v>
      </c>
      <c r="L18" s="216">
        <v>0</v>
      </c>
      <c r="M18" s="216">
        <v>0</v>
      </c>
      <c r="N18" s="291"/>
    </row>
    <row r="19" spans="1:14">
      <c r="A19" s="293">
        <v>16</v>
      </c>
      <c r="B19" s="210" t="s">
        <v>136</v>
      </c>
      <c r="C19" s="209">
        <v>5095549</v>
      </c>
      <c r="D19" s="210" t="s">
        <v>127</v>
      </c>
      <c r="E19" s="216" t="s">
        <v>9679</v>
      </c>
      <c r="F19" s="216">
        <v>0</v>
      </c>
      <c r="G19" s="216">
        <v>0</v>
      </c>
      <c r="H19" s="216">
        <v>69</v>
      </c>
      <c r="I19" s="216">
        <v>69</v>
      </c>
      <c r="J19" s="216">
        <v>0</v>
      </c>
      <c r="K19" s="216">
        <v>0</v>
      </c>
      <c r="L19" s="216">
        <v>0</v>
      </c>
      <c r="M19" s="216">
        <v>0</v>
      </c>
      <c r="N19" s="290"/>
    </row>
    <row r="20" spans="1:14">
      <c r="A20" s="293">
        <v>17</v>
      </c>
      <c r="B20" s="210" t="s">
        <v>136</v>
      </c>
      <c r="C20" s="209">
        <v>5095549</v>
      </c>
      <c r="D20" s="210" t="s">
        <v>127</v>
      </c>
      <c r="E20" s="216" t="s">
        <v>9680</v>
      </c>
      <c r="F20" s="216">
        <v>50</v>
      </c>
      <c r="G20" s="216">
        <v>0</v>
      </c>
      <c r="H20" s="216">
        <v>50</v>
      </c>
      <c r="I20" s="216">
        <v>50</v>
      </c>
      <c r="J20" s="216">
        <v>50</v>
      </c>
      <c r="K20" s="216">
        <v>0</v>
      </c>
      <c r="L20" s="216">
        <v>0</v>
      </c>
      <c r="M20" s="216">
        <v>0</v>
      </c>
      <c r="N20" s="290"/>
    </row>
    <row r="21" spans="1:14">
      <c r="A21" s="293">
        <v>18</v>
      </c>
      <c r="B21" s="210" t="s">
        <v>136</v>
      </c>
      <c r="C21" s="209">
        <v>5095549</v>
      </c>
      <c r="D21" s="210" t="s">
        <v>127</v>
      </c>
      <c r="E21" s="216" t="s">
        <v>9681</v>
      </c>
      <c r="F21" s="216">
        <v>2</v>
      </c>
      <c r="G21" s="216">
        <v>0</v>
      </c>
      <c r="H21" s="216">
        <v>0</v>
      </c>
      <c r="I21" s="216">
        <v>0</v>
      </c>
      <c r="J21" s="216">
        <v>2</v>
      </c>
      <c r="K21" s="216">
        <v>0</v>
      </c>
      <c r="L21" s="216">
        <v>0</v>
      </c>
      <c r="M21" s="216">
        <v>0</v>
      </c>
      <c r="N21" s="290"/>
    </row>
    <row r="22" spans="1:14">
      <c r="A22" s="293">
        <v>19</v>
      </c>
      <c r="B22" s="210" t="s">
        <v>136</v>
      </c>
      <c r="C22" s="209">
        <v>5095549</v>
      </c>
      <c r="D22" s="210" t="s">
        <v>127</v>
      </c>
      <c r="E22" s="216" t="s">
        <v>9682</v>
      </c>
      <c r="F22" s="216">
        <v>7.5</v>
      </c>
      <c r="G22" s="216">
        <v>0</v>
      </c>
      <c r="H22" s="216">
        <v>0</v>
      </c>
      <c r="I22" s="216">
        <v>0</v>
      </c>
      <c r="J22" s="216">
        <v>7.5</v>
      </c>
      <c r="K22" s="216">
        <v>0</v>
      </c>
      <c r="L22" s="216">
        <v>0</v>
      </c>
      <c r="M22" s="216">
        <v>0</v>
      </c>
      <c r="N22" s="291"/>
    </row>
    <row r="23" spans="1:14">
      <c r="A23" s="293">
        <v>20</v>
      </c>
      <c r="B23" s="214" t="s">
        <v>140</v>
      </c>
      <c r="C23" s="293"/>
      <c r="D23" s="294"/>
      <c r="E23" s="294"/>
      <c r="F23" s="294"/>
      <c r="G23" s="294"/>
      <c r="H23" s="294"/>
      <c r="I23" s="294"/>
      <c r="J23" s="294"/>
      <c r="K23" s="294"/>
      <c r="L23" s="294"/>
      <c r="M23" s="294"/>
      <c r="N23" s="290"/>
    </row>
    <row r="24" spans="1:14">
      <c r="A24" s="293">
        <v>21</v>
      </c>
      <c r="B24" s="214" t="s">
        <v>143</v>
      </c>
      <c r="C24" s="293"/>
      <c r="D24" s="294"/>
      <c r="E24" s="294"/>
      <c r="F24" s="294"/>
      <c r="G24" s="294"/>
      <c r="H24" s="294"/>
      <c r="I24" s="294"/>
      <c r="J24" s="294"/>
      <c r="K24" s="294"/>
      <c r="L24" s="294"/>
      <c r="M24" s="294"/>
      <c r="N24" s="291"/>
    </row>
    <row r="25" spans="1:14">
      <c r="A25" s="293">
        <v>22</v>
      </c>
      <c r="B25" s="214" t="s">
        <v>144</v>
      </c>
      <c r="C25" s="293"/>
      <c r="D25" s="294"/>
      <c r="E25" s="294"/>
      <c r="F25" s="294"/>
      <c r="G25" s="294"/>
      <c r="H25" s="294"/>
      <c r="I25" s="294"/>
      <c r="J25" s="294"/>
      <c r="K25" s="294"/>
      <c r="L25" s="294"/>
      <c r="M25" s="294"/>
    </row>
    <row r="26" spans="1:14">
      <c r="A26" s="293">
        <v>23</v>
      </c>
      <c r="B26" s="214" t="s">
        <v>146</v>
      </c>
      <c r="C26" s="293"/>
      <c r="D26" s="294"/>
      <c r="E26" s="294"/>
      <c r="F26" s="294"/>
      <c r="G26" s="294"/>
      <c r="H26" s="294"/>
      <c r="I26" s="294"/>
      <c r="J26" s="294"/>
      <c r="K26" s="294"/>
      <c r="L26" s="294"/>
      <c r="M26" s="294"/>
      <c r="N26" s="290"/>
    </row>
    <row r="27" spans="1:14">
      <c r="A27" s="293">
        <v>24</v>
      </c>
      <c r="B27" s="214" t="s">
        <v>629</v>
      </c>
      <c r="C27" s="293"/>
      <c r="D27" s="294"/>
      <c r="E27" s="294"/>
      <c r="F27" s="294"/>
      <c r="G27" s="294"/>
      <c r="H27" s="294"/>
      <c r="I27" s="294"/>
      <c r="J27" s="294"/>
      <c r="K27" s="294"/>
      <c r="L27" s="294"/>
      <c r="M27" s="294"/>
      <c r="N27" s="290"/>
    </row>
    <row r="28" spans="1:14">
      <c r="A28" s="293">
        <v>25</v>
      </c>
      <c r="B28" s="210" t="s">
        <v>152</v>
      </c>
      <c r="C28" s="209">
        <v>2008572</v>
      </c>
      <c r="D28" s="210" t="s">
        <v>9667</v>
      </c>
      <c r="E28" s="216" t="s">
        <v>9683</v>
      </c>
      <c r="F28" s="216">
        <v>0.12</v>
      </c>
      <c r="G28" s="216">
        <v>0</v>
      </c>
      <c r="H28" s="216">
        <v>0</v>
      </c>
      <c r="I28" s="216">
        <v>0.12</v>
      </c>
      <c r="J28" s="216">
        <v>0</v>
      </c>
      <c r="K28" s="216">
        <v>0</v>
      </c>
      <c r="L28" s="216">
        <v>0</v>
      </c>
      <c r="M28" s="216">
        <v>0</v>
      </c>
      <c r="N28" s="290"/>
    </row>
    <row r="29" spans="1:14">
      <c r="A29" s="293">
        <v>26</v>
      </c>
      <c r="B29" s="210" t="s">
        <v>152</v>
      </c>
      <c r="C29" s="209">
        <v>2008572</v>
      </c>
      <c r="D29" s="210" t="s">
        <v>9667</v>
      </c>
      <c r="E29" s="216" t="s">
        <v>9684</v>
      </c>
      <c r="F29" s="216">
        <v>0.2</v>
      </c>
      <c r="G29" s="216">
        <v>0</v>
      </c>
      <c r="H29" s="216">
        <v>0</v>
      </c>
      <c r="I29" s="216">
        <v>0.2</v>
      </c>
      <c r="J29" s="216">
        <v>0</v>
      </c>
      <c r="K29" s="216">
        <v>0</v>
      </c>
      <c r="L29" s="216">
        <v>0</v>
      </c>
      <c r="M29" s="216">
        <v>0</v>
      </c>
      <c r="N29" s="290"/>
    </row>
    <row r="30" spans="1:14">
      <c r="A30" s="293">
        <v>27</v>
      </c>
      <c r="B30" s="210" t="s">
        <v>152</v>
      </c>
      <c r="C30" s="209">
        <v>2008572</v>
      </c>
      <c r="D30" s="210" t="s">
        <v>9667</v>
      </c>
      <c r="E30" s="216" t="s">
        <v>9685</v>
      </c>
      <c r="F30" s="216">
        <v>6</v>
      </c>
      <c r="G30" s="216">
        <v>0</v>
      </c>
      <c r="H30" s="216">
        <v>0</v>
      </c>
      <c r="I30" s="216">
        <v>6</v>
      </c>
      <c r="J30" s="216">
        <v>0</v>
      </c>
      <c r="K30" s="216">
        <v>0</v>
      </c>
      <c r="L30" s="216">
        <v>0</v>
      </c>
      <c r="M30" s="216">
        <v>0</v>
      </c>
      <c r="N30" s="290"/>
    </row>
    <row r="31" spans="1:14">
      <c r="A31" s="293">
        <v>28</v>
      </c>
      <c r="B31" s="210" t="s">
        <v>152</v>
      </c>
      <c r="C31" s="209">
        <v>2008572</v>
      </c>
      <c r="D31" s="210" t="s">
        <v>9667</v>
      </c>
      <c r="E31" s="216" t="s">
        <v>9686</v>
      </c>
      <c r="F31" s="216">
        <v>0.74</v>
      </c>
      <c r="G31" s="216">
        <v>0</v>
      </c>
      <c r="H31" s="216">
        <v>0</v>
      </c>
      <c r="I31" s="216">
        <v>0.74</v>
      </c>
      <c r="J31" s="216">
        <v>0</v>
      </c>
      <c r="K31" s="216">
        <v>0</v>
      </c>
      <c r="L31" s="216">
        <v>0</v>
      </c>
      <c r="M31" s="216">
        <v>0</v>
      </c>
      <c r="N31" s="290"/>
    </row>
    <row r="32" spans="1:14">
      <c r="A32" s="293">
        <v>29</v>
      </c>
      <c r="B32" s="244" t="s">
        <v>152</v>
      </c>
      <c r="C32" s="215">
        <v>2008572</v>
      </c>
      <c r="D32" s="210" t="s">
        <v>9687</v>
      </c>
      <c r="E32" s="216" t="s">
        <v>9686</v>
      </c>
      <c r="F32" s="216">
        <v>0.12</v>
      </c>
      <c r="G32" s="216">
        <v>0</v>
      </c>
      <c r="H32" s="216">
        <v>0</v>
      </c>
      <c r="I32" s="216">
        <v>0.12</v>
      </c>
      <c r="J32" s="216">
        <v>0</v>
      </c>
      <c r="K32" s="216">
        <v>0</v>
      </c>
      <c r="L32" s="216">
        <v>0</v>
      </c>
      <c r="M32" s="216">
        <v>0</v>
      </c>
      <c r="N32" s="291"/>
    </row>
    <row r="33" spans="1:14">
      <c r="A33" s="293">
        <v>30</v>
      </c>
      <c r="B33" s="214" t="s">
        <v>155</v>
      </c>
      <c r="C33" s="293"/>
      <c r="D33" s="294"/>
      <c r="E33" s="294"/>
      <c r="F33" s="294"/>
      <c r="G33" s="294"/>
      <c r="H33" s="294"/>
      <c r="I33" s="294"/>
      <c r="J33" s="294"/>
      <c r="K33" s="294"/>
      <c r="L33" s="294"/>
      <c r="M33" s="294"/>
      <c r="N33" s="290"/>
    </row>
    <row r="34" spans="1:14">
      <c r="A34" s="293">
        <v>31</v>
      </c>
      <c r="B34" s="210" t="s">
        <v>157</v>
      </c>
      <c r="C34" s="209">
        <v>5502977</v>
      </c>
      <c r="D34" s="210" t="s">
        <v>9667</v>
      </c>
      <c r="E34" s="216" t="s">
        <v>9688</v>
      </c>
      <c r="F34" s="216">
        <v>2</v>
      </c>
      <c r="G34" s="216">
        <v>0</v>
      </c>
      <c r="H34" s="216">
        <v>0</v>
      </c>
      <c r="I34" s="216">
        <v>0</v>
      </c>
      <c r="J34" s="216">
        <v>0</v>
      </c>
      <c r="K34" s="216">
        <v>0</v>
      </c>
      <c r="L34" s="216">
        <v>2117</v>
      </c>
      <c r="M34" s="216">
        <v>0</v>
      </c>
      <c r="N34" s="291"/>
    </row>
    <row r="35" spans="1:14">
      <c r="A35" s="293">
        <v>32</v>
      </c>
      <c r="B35" s="210" t="s">
        <v>157</v>
      </c>
      <c r="C35" s="209">
        <v>5502977</v>
      </c>
      <c r="D35" s="210" t="s">
        <v>9667</v>
      </c>
      <c r="E35" s="216" t="s">
        <v>9689</v>
      </c>
      <c r="F35" s="216">
        <v>7</v>
      </c>
      <c r="G35" s="216">
        <v>0</v>
      </c>
      <c r="H35" s="216">
        <v>0</v>
      </c>
      <c r="I35" s="216">
        <v>0</v>
      </c>
      <c r="J35" s="216">
        <v>0</v>
      </c>
      <c r="K35" s="216">
        <v>0</v>
      </c>
      <c r="L35" s="216">
        <v>7665</v>
      </c>
      <c r="M35" s="216">
        <v>0</v>
      </c>
      <c r="N35" s="290"/>
    </row>
    <row r="36" spans="1:14" ht="25.5">
      <c r="A36" s="293">
        <v>33</v>
      </c>
      <c r="B36" s="244" t="s">
        <v>157</v>
      </c>
      <c r="C36" s="215">
        <v>5502977</v>
      </c>
      <c r="D36" s="210" t="s">
        <v>127</v>
      </c>
      <c r="E36" s="216" t="s">
        <v>9690</v>
      </c>
      <c r="F36" s="216">
        <v>9</v>
      </c>
      <c r="G36" s="216">
        <v>0</v>
      </c>
      <c r="H36" s="216">
        <v>0</v>
      </c>
      <c r="I36" s="216">
        <v>0</v>
      </c>
      <c r="J36" s="216">
        <v>9720</v>
      </c>
      <c r="K36" s="216">
        <v>0</v>
      </c>
      <c r="L36" s="216">
        <v>0</v>
      </c>
      <c r="M36" s="216">
        <v>0</v>
      </c>
      <c r="N36" s="290"/>
    </row>
    <row r="37" spans="1:14">
      <c r="A37" s="293">
        <v>34</v>
      </c>
      <c r="B37" s="214" t="s">
        <v>159</v>
      </c>
      <c r="C37" s="293"/>
      <c r="D37" s="294"/>
      <c r="E37" s="294"/>
      <c r="F37" s="294"/>
      <c r="G37" s="294"/>
      <c r="H37" s="294"/>
      <c r="I37" s="294"/>
      <c r="J37" s="294"/>
      <c r="K37" s="294"/>
      <c r="L37" s="294"/>
      <c r="M37" s="294"/>
      <c r="N37" s="290"/>
    </row>
    <row r="38" spans="1:14">
      <c r="A38" s="293">
        <v>35</v>
      </c>
      <c r="B38" s="214" t="s">
        <v>161</v>
      </c>
      <c r="C38" s="293"/>
      <c r="D38" s="294"/>
      <c r="E38" s="294"/>
      <c r="F38" s="294"/>
      <c r="G38" s="294"/>
      <c r="H38" s="294"/>
      <c r="I38" s="294"/>
      <c r="J38" s="294"/>
      <c r="K38" s="294"/>
      <c r="L38" s="294"/>
      <c r="M38" s="294"/>
      <c r="N38" s="291"/>
    </row>
    <row r="39" spans="1:14">
      <c r="A39" s="293">
        <v>36</v>
      </c>
      <c r="B39" s="214" t="s">
        <v>165</v>
      </c>
      <c r="C39" s="293"/>
      <c r="D39" s="294"/>
      <c r="E39" s="294"/>
      <c r="F39" s="294"/>
      <c r="G39" s="294"/>
      <c r="H39" s="294"/>
      <c r="I39" s="294"/>
      <c r="J39" s="294"/>
      <c r="K39" s="294"/>
      <c r="L39" s="294"/>
      <c r="M39" s="294"/>
      <c r="N39" s="290"/>
    </row>
    <row r="40" spans="1:14">
      <c r="A40" s="293">
        <v>37</v>
      </c>
      <c r="B40" s="214" t="s">
        <v>168</v>
      </c>
      <c r="C40" s="293"/>
      <c r="D40" s="294"/>
      <c r="E40" s="294"/>
      <c r="F40" s="294"/>
      <c r="G40" s="294"/>
      <c r="H40" s="294"/>
      <c r="I40" s="294"/>
      <c r="J40" s="294"/>
      <c r="K40" s="294"/>
      <c r="L40" s="294"/>
      <c r="M40" s="294"/>
      <c r="N40" s="291"/>
    </row>
    <row r="41" spans="1:14">
      <c r="A41" s="293">
        <v>38</v>
      </c>
      <c r="B41" s="214" t="s">
        <v>169</v>
      </c>
      <c r="C41" s="293"/>
      <c r="D41" s="294"/>
      <c r="E41" s="294"/>
      <c r="F41" s="294"/>
      <c r="G41" s="294"/>
      <c r="H41" s="294"/>
      <c r="I41" s="294"/>
      <c r="J41" s="294"/>
      <c r="K41" s="294"/>
      <c r="L41" s="294"/>
      <c r="M41" s="294"/>
      <c r="N41" s="290"/>
    </row>
    <row r="42" spans="1:14">
      <c r="A42" s="293">
        <v>39</v>
      </c>
      <c r="B42" s="214" t="s">
        <v>173</v>
      </c>
      <c r="C42" s="293"/>
      <c r="D42" s="294"/>
      <c r="E42" s="294"/>
      <c r="F42" s="294"/>
      <c r="G42" s="294"/>
      <c r="H42" s="294"/>
      <c r="I42" s="294"/>
      <c r="J42" s="294"/>
      <c r="K42" s="294"/>
      <c r="L42" s="294"/>
      <c r="M42" s="294"/>
      <c r="N42" s="290"/>
    </row>
    <row r="43" spans="1:14">
      <c r="A43" s="293">
        <v>40</v>
      </c>
      <c r="B43" s="302" t="s">
        <v>174</v>
      </c>
      <c r="C43" s="293">
        <v>2094533</v>
      </c>
      <c r="D43" s="210" t="s">
        <v>9667</v>
      </c>
      <c r="E43" s="216" t="s">
        <v>9691</v>
      </c>
      <c r="F43" s="216">
        <v>17000</v>
      </c>
      <c r="G43" s="216">
        <v>745000</v>
      </c>
      <c r="H43" s="216">
        <v>0</v>
      </c>
      <c r="I43" s="216">
        <v>646000</v>
      </c>
      <c r="J43" s="216">
        <v>116000</v>
      </c>
      <c r="K43" s="216">
        <v>0</v>
      </c>
      <c r="L43" s="216">
        <v>1292</v>
      </c>
      <c r="M43" s="216">
        <v>0</v>
      </c>
      <c r="N43" s="290"/>
    </row>
    <row r="44" spans="1:14">
      <c r="A44" s="293">
        <v>41</v>
      </c>
      <c r="B44" s="302" t="s">
        <v>174</v>
      </c>
      <c r="C44" s="293">
        <v>2094533</v>
      </c>
      <c r="D44" s="210" t="s">
        <v>9667</v>
      </c>
      <c r="E44" s="216" t="s">
        <v>9686</v>
      </c>
      <c r="F44" s="216">
        <v>6000</v>
      </c>
      <c r="G44" s="216">
        <v>179250</v>
      </c>
      <c r="H44" s="216">
        <v>0</v>
      </c>
      <c r="I44" s="216">
        <v>156000</v>
      </c>
      <c r="J44" s="216">
        <v>29250</v>
      </c>
      <c r="K44" s="216">
        <v>0</v>
      </c>
      <c r="L44" s="216">
        <v>13936</v>
      </c>
      <c r="M44" s="216">
        <v>0</v>
      </c>
      <c r="N44" s="291"/>
    </row>
    <row r="45" spans="1:14">
      <c r="A45" s="293">
        <v>42</v>
      </c>
      <c r="B45" s="302" t="s">
        <v>174</v>
      </c>
      <c r="C45" s="293">
        <v>2094533</v>
      </c>
      <c r="D45" s="210" t="s">
        <v>9667</v>
      </c>
      <c r="E45" s="216" t="s">
        <v>9692</v>
      </c>
      <c r="F45" s="216">
        <v>61775</v>
      </c>
      <c r="G45" s="216">
        <v>29250</v>
      </c>
      <c r="H45" s="216">
        <v>0</v>
      </c>
      <c r="I45" s="216">
        <v>85275</v>
      </c>
      <c r="J45" s="216">
        <v>5750</v>
      </c>
      <c r="K45" s="216">
        <v>0</v>
      </c>
      <c r="L45" s="216">
        <v>341.1</v>
      </c>
      <c r="M45" s="216">
        <v>0</v>
      </c>
      <c r="N45" s="290"/>
    </row>
    <row r="46" spans="1:14">
      <c r="A46" s="293">
        <v>43</v>
      </c>
      <c r="B46" s="302" t="s">
        <v>174</v>
      </c>
      <c r="C46" s="293">
        <v>2094533</v>
      </c>
      <c r="D46" s="210" t="s">
        <v>9667</v>
      </c>
      <c r="E46" s="216" t="s">
        <v>9693</v>
      </c>
      <c r="F46" s="216">
        <v>155500</v>
      </c>
      <c r="G46" s="216">
        <v>30000</v>
      </c>
      <c r="H46" s="216">
        <v>0</v>
      </c>
      <c r="I46" s="216">
        <v>167500</v>
      </c>
      <c r="J46" s="216">
        <v>18000</v>
      </c>
      <c r="K46" s="216">
        <v>0</v>
      </c>
      <c r="L46" s="216">
        <v>670</v>
      </c>
      <c r="M46" s="216">
        <v>0</v>
      </c>
      <c r="N46" s="290"/>
    </row>
    <row r="47" spans="1:14">
      <c r="A47" s="293">
        <v>44</v>
      </c>
      <c r="B47" s="210" t="s">
        <v>174</v>
      </c>
      <c r="C47" s="209">
        <v>2094533</v>
      </c>
      <c r="D47" s="210" t="s">
        <v>9667</v>
      </c>
      <c r="E47" s="216" t="s">
        <v>9679</v>
      </c>
      <c r="F47" s="216">
        <v>4000</v>
      </c>
      <c r="G47" s="216">
        <v>22000</v>
      </c>
      <c r="H47" s="216">
        <v>0</v>
      </c>
      <c r="I47" s="216">
        <v>19000</v>
      </c>
      <c r="J47" s="216">
        <v>7000</v>
      </c>
      <c r="K47" s="216">
        <v>0</v>
      </c>
      <c r="L47" s="216">
        <v>1273</v>
      </c>
      <c r="M47" s="216">
        <v>0</v>
      </c>
      <c r="N47" s="290"/>
    </row>
    <row r="48" spans="1:14">
      <c r="A48" s="293">
        <v>45</v>
      </c>
      <c r="B48" s="210" t="s">
        <v>174</v>
      </c>
      <c r="C48" s="209">
        <v>2094533</v>
      </c>
      <c r="D48" s="210" t="s">
        <v>9667</v>
      </c>
      <c r="E48" s="216" t="s">
        <v>9694</v>
      </c>
      <c r="F48" s="216">
        <v>59750</v>
      </c>
      <c r="G48" s="216">
        <v>0</v>
      </c>
      <c r="H48" s="216">
        <v>0</v>
      </c>
      <c r="I48" s="216">
        <v>47000</v>
      </c>
      <c r="J48" s="216">
        <v>12750</v>
      </c>
      <c r="K48" s="216">
        <v>0</v>
      </c>
      <c r="L48" s="216">
        <v>188</v>
      </c>
      <c r="M48" s="216">
        <v>0</v>
      </c>
      <c r="N48" s="290"/>
    </row>
    <row r="49" spans="1:14">
      <c r="A49" s="293">
        <v>46</v>
      </c>
      <c r="B49" s="210" t="s">
        <v>174</v>
      </c>
      <c r="C49" s="209">
        <v>2094533</v>
      </c>
      <c r="D49" s="210" t="s">
        <v>9667</v>
      </c>
      <c r="E49" s="216" t="s">
        <v>9695</v>
      </c>
      <c r="F49" s="216">
        <v>11250</v>
      </c>
      <c r="G49" s="216">
        <v>23950</v>
      </c>
      <c r="H49" s="216">
        <v>0</v>
      </c>
      <c r="I49" s="216">
        <v>30400</v>
      </c>
      <c r="J49" s="216">
        <v>4800</v>
      </c>
      <c r="K49" s="216">
        <v>0</v>
      </c>
      <c r="L49" s="216">
        <v>76</v>
      </c>
      <c r="M49" s="216">
        <v>0</v>
      </c>
      <c r="N49" s="290"/>
    </row>
    <row r="50" spans="1:14">
      <c r="A50" s="293">
        <v>47</v>
      </c>
      <c r="B50" s="210" t="s">
        <v>174</v>
      </c>
      <c r="C50" s="209">
        <v>2094533</v>
      </c>
      <c r="D50" s="210" t="s">
        <v>9687</v>
      </c>
      <c r="E50" s="216" t="s">
        <v>9696</v>
      </c>
      <c r="F50" s="216">
        <v>151000</v>
      </c>
      <c r="G50" s="216">
        <v>446000</v>
      </c>
      <c r="H50" s="216">
        <v>0</v>
      </c>
      <c r="I50" s="216">
        <v>290000</v>
      </c>
      <c r="J50" s="216">
        <v>307000</v>
      </c>
      <c r="K50" s="216">
        <v>0</v>
      </c>
      <c r="L50" s="216">
        <v>580</v>
      </c>
      <c r="M50" s="216">
        <v>0</v>
      </c>
      <c r="N50" s="290"/>
    </row>
    <row r="51" spans="1:14">
      <c r="A51" s="293">
        <v>48</v>
      </c>
      <c r="B51" s="210" t="s">
        <v>174</v>
      </c>
      <c r="C51" s="209">
        <v>2094533</v>
      </c>
      <c r="D51" s="210" t="s">
        <v>127</v>
      </c>
      <c r="E51" s="216" t="s">
        <v>9161</v>
      </c>
      <c r="F51" s="216">
        <v>0</v>
      </c>
      <c r="G51" s="216">
        <v>0</v>
      </c>
      <c r="H51" s="216">
        <v>2598290</v>
      </c>
      <c r="I51" s="216">
        <v>2598290</v>
      </c>
      <c r="J51" s="216">
        <v>0</v>
      </c>
      <c r="K51" s="216">
        <v>0</v>
      </c>
      <c r="L51" s="216">
        <v>0</v>
      </c>
      <c r="M51" s="216">
        <v>0</v>
      </c>
      <c r="N51" s="290"/>
    </row>
    <row r="52" spans="1:14">
      <c r="A52" s="293">
        <v>49</v>
      </c>
      <c r="B52" s="210" t="s">
        <v>174</v>
      </c>
      <c r="C52" s="209">
        <v>2094533</v>
      </c>
      <c r="D52" s="210" t="s">
        <v>127</v>
      </c>
      <c r="E52" s="216" t="s">
        <v>9697</v>
      </c>
      <c r="F52" s="216">
        <v>11000</v>
      </c>
      <c r="G52" s="216">
        <v>0</v>
      </c>
      <c r="H52" s="216">
        <v>0</v>
      </c>
      <c r="I52" s="216">
        <v>3000</v>
      </c>
      <c r="J52" s="216">
        <v>8000</v>
      </c>
      <c r="K52" s="216">
        <v>0</v>
      </c>
      <c r="L52" s="216">
        <v>201</v>
      </c>
      <c r="M52" s="216">
        <v>0</v>
      </c>
      <c r="N52" s="291"/>
    </row>
    <row r="53" spans="1:14">
      <c r="A53" s="293">
        <v>50</v>
      </c>
      <c r="B53" s="214" t="s">
        <v>175</v>
      </c>
      <c r="C53" s="293"/>
      <c r="D53" s="294"/>
      <c r="E53" s="294"/>
      <c r="F53" s="294"/>
      <c r="G53" s="294"/>
      <c r="H53" s="294"/>
      <c r="I53" s="294"/>
      <c r="J53" s="294"/>
      <c r="K53" s="294"/>
      <c r="L53" s="294"/>
      <c r="M53" s="294"/>
      <c r="N53" s="290"/>
    </row>
    <row r="54" spans="1:14">
      <c r="A54" s="293">
        <v>51</v>
      </c>
      <c r="B54" s="214" t="s">
        <v>176</v>
      </c>
      <c r="C54" s="293"/>
      <c r="D54" s="294"/>
      <c r="E54" s="294"/>
      <c r="F54" s="294"/>
      <c r="G54" s="294"/>
      <c r="H54" s="294"/>
      <c r="I54" s="294"/>
      <c r="J54" s="294"/>
      <c r="K54" s="294"/>
      <c r="L54" s="294"/>
      <c r="M54" s="294"/>
      <c r="N54" s="290"/>
    </row>
    <row r="55" spans="1:14">
      <c r="A55" s="293">
        <v>52</v>
      </c>
      <c r="B55" s="214" t="s">
        <v>177</v>
      </c>
      <c r="C55" s="293"/>
      <c r="D55" s="294"/>
      <c r="E55" s="294"/>
      <c r="F55" s="294"/>
      <c r="G55" s="294"/>
      <c r="H55" s="294"/>
      <c r="I55" s="294"/>
      <c r="J55" s="294"/>
      <c r="K55" s="294"/>
      <c r="L55" s="294"/>
      <c r="M55" s="294"/>
      <c r="N55" s="291"/>
    </row>
    <row r="56" spans="1:14">
      <c r="A56" s="293">
        <v>53</v>
      </c>
      <c r="B56" s="214" t="s">
        <v>178</v>
      </c>
      <c r="C56" s="293"/>
      <c r="D56" s="294"/>
      <c r="E56" s="294"/>
      <c r="F56" s="294"/>
      <c r="G56" s="294"/>
      <c r="H56" s="294"/>
      <c r="I56" s="294"/>
      <c r="J56" s="294"/>
      <c r="K56" s="294"/>
      <c r="L56" s="294"/>
      <c r="M56" s="294"/>
      <c r="N56" s="290"/>
    </row>
    <row r="57" spans="1:14">
      <c r="A57" s="293">
        <v>54</v>
      </c>
      <c r="B57" s="214" t="s">
        <v>179</v>
      </c>
      <c r="C57" s="293"/>
      <c r="D57" s="294"/>
      <c r="E57" s="294"/>
      <c r="F57" s="294"/>
      <c r="G57" s="294"/>
      <c r="H57" s="294"/>
      <c r="I57" s="294"/>
      <c r="J57" s="294"/>
      <c r="K57" s="294"/>
      <c r="L57" s="294"/>
      <c r="M57" s="294"/>
      <c r="N57" s="291"/>
    </row>
    <row r="58" spans="1:14">
      <c r="A58" s="293">
        <v>55</v>
      </c>
      <c r="B58" s="214" t="s">
        <v>183</v>
      </c>
      <c r="C58" s="293"/>
      <c r="D58" s="294"/>
      <c r="E58" s="294"/>
      <c r="F58" s="294"/>
      <c r="G58" s="294"/>
      <c r="H58" s="294"/>
      <c r="I58" s="294"/>
      <c r="J58" s="294"/>
      <c r="K58" s="294"/>
      <c r="L58" s="294"/>
      <c r="M58" s="294"/>
      <c r="N58" s="290"/>
    </row>
    <row r="59" spans="1:14">
      <c r="A59" s="293">
        <v>56</v>
      </c>
      <c r="B59" s="214" t="s">
        <v>185</v>
      </c>
      <c r="C59" s="293"/>
      <c r="D59" s="294"/>
      <c r="E59" s="294"/>
      <c r="F59" s="294"/>
      <c r="G59" s="294"/>
      <c r="H59" s="294"/>
      <c r="I59" s="294"/>
      <c r="J59" s="294"/>
      <c r="K59" s="294"/>
      <c r="L59" s="294"/>
      <c r="M59" s="294"/>
      <c r="N59" s="290"/>
    </row>
    <row r="60" spans="1:14">
      <c r="A60" s="293">
        <v>57</v>
      </c>
      <c r="B60" s="214" t="s">
        <v>187</v>
      </c>
      <c r="C60" s="293"/>
      <c r="D60" s="294"/>
      <c r="E60" s="294"/>
      <c r="F60" s="294"/>
      <c r="G60" s="294"/>
      <c r="H60" s="294"/>
      <c r="I60" s="294"/>
      <c r="J60" s="294"/>
      <c r="K60" s="294"/>
      <c r="L60" s="294"/>
      <c r="M60" s="294"/>
      <c r="N60" s="290"/>
    </row>
    <row r="61" spans="1:14">
      <c r="A61" s="293">
        <v>58</v>
      </c>
      <c r="B61" s="214" t="s">
        <v>188</v>
      </c>
      <c r="C61" s="293"/>
      <c r="D61" s="294"/>
      <c r="E61" s="294"/>
      <c r="F61" s="294"/>
      <c r="G61" s="294"/>
      <c r="H61" s="294"/>
      <c r="I61" s="294"/>
      <c r="J61" s="294"/>
      <c r="K61" s="294"/>
      <c r="L61" s="294"/>
      <c r="M61" s="294"/>
      <c r="N61" s="290"/>
    </row>
    <row r="62" spans="1:14">
      <c r="A62" s="293">
        <v>59</v>
      </c>
      <c r="B62" s="214" t="s">
        <v>189</v>
      </c>
      <c r="C62" s="293"/>
      <c r="D62" s="294"/>
      <c r="E62" s="294"/>
      <c r="F62" s="294"/>
      <c r="G62" s="294"/>
      <c r="H62" s="294"/>
      <c r="I62" s="294"/>
      <c r="J62" s="294"/>
      <c r="K62" s="294"/>
      <c r="L62" s="294"/>
      <c r="M62" s="294"/>
      <c r="N62" s="290"/>
    </row>
    <row r="63" spans="1:14">
      <c r="A63" s="293">
        <v>60</v>
      </c>
      <c r="B63" s="214" t="s">
        <v>193</v>
      </c>
      <c r="C63" s="293"/>
      <c r="D63" s="294"/>
      <c r="E63" s="294"/>
      <c r="F63" s="294"/>
      <c r="G63" s="294"/>
      <c r="H63" s="294"/>
      <c r="I63" s="294"/>
      <c r="J63" s="294"/>
      <c r="K63" s="294"/>
      <c r="L63" s="294"/>
      <c r="M63" s="294"/>
      <c r="N63" s="290"/>
    </row>
    <row r="64" spans="1:14">
      <c r="A64" s="293">
        <v>61</v>
      </c>
      <c r="B64" s="214" t="s">
        <v>194</v>
      </c>
      <c r="C64" s="293"/>
      <c r="D64" s="294"/>
      <c r="E64" s="294"/>
      <c r="F64" s="294"/>
      <c r="G64" s="294"/>
      <c r="H64" s="294"/>
      <c r="I64" s="294"/>
      <c r="J64" s="294"/>
      <c r="K64" s="294"/>
      <c r="L64" s="294"/>
      <c r="M64" s="294"/>
      <c r="N64" s="291"/>
    </row>
    <row r="65" spans="1:14">
      <c r="A65" s="293">
        <v>62</v>
      </c>
      <c r="B65" s="214" t="s">
        <v>196</v>
      </c>
      <c r="C65" s="293"/>
      <c r="D65" s="294"/>
      <c r="E65" s="294"/>
      <c r="F65" s="294"/>
      <c r="G65" s="294"/>
      <c r="H65" s="294"/>
      <c r="I65" s="294"/>
      <c r="J65" s="294"/>
      <c r="K65" s="294"/>
      <c r="L65" s="294"/>
      <c r="M65" s="294"/>
    </row>
    <row r="66" spans="1:14">
      <c r="A66" s="293">
        <v>63</v>
      </c>
      <c r="B66" s="214" t="s">
        <v>197</v>
      </c>
      <c r="C66" s="293"/>
      <c r="D66" s="294"/>
      <c r="E66" s="294"/>
      <c r="F66" s="294"/>
      <c r="G66" s="294"/>
      <c r="H66" s="294"/>
      <c r="I66" s="294"/>
      <c r="J66" s="294"/>
      <c r="K66" s="294"/>
      <c r="L66" s="294"/>
      <c r="M66" s="294"/>
      <c r="N66" s="290"/>
    </row>
    <row r="67" spans="1:14">
      <c r="A67" s="293">
        <v>64</v>
      </c>
      <c r="B67" s="214" t="s">
        <v>198</v>
      </c>
      <c r="C67" s="293"/>
      <c r="D67" s="294"/>
      <c r="E67" s="294"/>
      <c r="F67" s="294"/>
      <c r="G67" s="294"/>
      <c r="H67" s="294"/>
      <c r="I67" s="294"/>
      <c r="J67" s="294"/>
      <c r="K67" s="294"/>
      <c r="L67" s="294"/>
      <c r="M67" s="294"/>
      <c r="N67" s="290"/>
    </row>
    <row r="68" spans="1:14">
      <c r="A68" s="293">
        <v>65</v>
      </c>
      <c r="B68" s="210" t="s">
        <v>199</v>
      </c>
      <c r="C68" s="209">
        <v>5830974</v>
      </c>
      <c r="D68" s="210" t="s">
        <v>9667</v>
      </c>
      <c r="E68" s="216" t="s">
        <v>9679</v>
      </c>
      <c r="F68" s="216">
        <v>12</v>
      </c>
      <c r="G68" s="216">
        <v>0</v>
      </c>
      <c r="H68" s="216">
        <v>81.599999999999994</v>
      </c>
      <c r="I68" s="216">
        <v>68.400000000000006</v>
      </c>
      <c r="J68" s="216">
        <v>25.2</v>
      </c>
      <c r="K68" s="216">
        <v>0</v>
      </c>
      <c r="L68" s="216">
        <v>25.2</v>
      </c>
      <c r="M68" s="216">
        <v>0</v>
      </c>
      <c r="N68" s="291"/>
    </row>
    <row r="69" spans="1:14">
      <c r="A69" s="293">
        <v>66</v>
      </c>
      <c r="B69" s="210" t="s">
        <v>199</v>
      </c>
      <c r="C69" s="209">
        <v>5830974</v>
      </c>
      <c r="D69" s="210" t="s">
        <v>9667</v>
      </c>
      <c r="E69" s="216" t="s">
        <v>9698</v>
      </c>
      <c r="F69" s="216">
        <v>0</v>
      </c>
      <c r="G69" s="216">
        <v>0</v>
      </c>
      <c r="H69" s="216">
        <v>0.5</v>
      </c>
      <c r="I69" s="216">
        <v>0.25</v>
      </c>
      <c r="J69" s="216">
        <v>0.25</v>
      </c>
      <c r="K69" s="216">
        <v>0</v>
      </c>
      <c r="L69" s="216">
        <v>0.25</v>
      </c>
      <c r="M69" s="216">
        <v>0</v>
      </c>
    </row>
    <row r="70" spans="1:14">
      <c r="A70" s="293">
        <v>67</v>
      </c>
      <c r="B70" s="210" t="s">
        <v>199</v>
      </c>
      <c r="C70" s="209">
        <v>5830974</v>
      </c>
      <c r="D70" s="210" t="s">
        <v>9667</v>
      </c>
      <c r="E70" s="216" t="s">
        <v>9699</v>
      </c>
      <c r="F70" s="216">
        <v>0</v>
      </c>
      <c r="G70" s="216">
        <v>0</v>
      </c>
      <c r="H70" s="216">
        <v>0.5</v>
      </c>
      <c r="I70" s="216">
        <v>0.5</v>
      </c>
      <c r="J70" s="216">
        <v>0</v>
      </c>
      <c r="K70" s="216">
        <v>0</v>
      </c>
      <c r="L70" s="216">
        <v>0.5</v>
      </c>
      <c r="M70" s="216">
        <v>0</v>
      </c>
      <c r="N70" s="290"/>
    </row>
    <row r="71" spans="1:14">
      <c r="A71" s="293">
        <v>68</v>
      </c>
      <c r="B71" s="210" t="s">
        <v>199</v>
      </c>
      <c r="C71" s="209">
        <v>5830974</v>
      </c>
      <c r="D71" s="210" t="s">
        <v>9667</v>
      </c>
      <c r="E71" s="216" t="s">
        <v>9700</v>
      </c>
      <c r="F71" s="216">
        <v>2</v>
      </c>
      <c r="G71" s="216">
        <v>0</v>
      </c>
      <c r="H71" s="216">
        <v>2</v>
      </c>
      <c r="I71" s="216">
        <v>3</v>
      </c>
      <c r="J71" s="216">
        <v>1</v>
      </c>
      <c r="K71" s="216">
        <v>0</v>
      </c>
      <c r="L71" s="216">
        <v>3</v>
      </c>
      <c r="M71" s="216">
        <v>0</v>
      </c>
      <c r="N71" s="290"/>
    </row>
    <row r="72" spans="1:14">
      <c r="A72" s="293">
        <v>69</v>
      </c>
      <c r="B72" s="210" t="s">
        <v>199</v>
      </c>
      <c r="C72" s="209">
        <v>5830974</v>
      </c>
      <c r="D72" s="210" t="s">
        <v>9667</v>
      </c>
      <c r="E72" s="216" t="s">
        <v>9701</v>
      </c>
      <c r="F72" s="216">
        <v>50</v>
      </c>
      <c r="G72" s="216">
        <v>0</v>
      </c>
      <c r="H72" s="216">
        <v>120</v>
      </c>
      <c r="I72" s="216">
        <v>90</v>
      </c>
      <c r="J72" s="216">
        <v>80</v>
      </c>
      <c r="K72" s="216">
        <v>0</v>
      </c>
      <c r="L72" s="216">
        <v>90</v>
      </c>
      <c r="M72" s="216">
        <v>0</v>
      </c>
      <c r="N72" s="290"/>
    </row>
    <row r="73" spans="1:14">
      <c r="A73" s="293">
        <v>70</v>
      </c>
      <c r="B73" s="214" t="s">
        <v>201</v>
      </c>
      <c r="C73" s="293"/>
      <c r="D73" s="294"/>
      <c r="E73" s="294"/>
      <c r="F73" s="294"/>
      <c r="G73" s="294"/>
      <c r="H73" s="294"/>
      <c r="I73" s="294"/>
      <c r="J73" s="294"/>
      <c r="K73" s="294"/>
      <c r="L73" s="294"/>
      <c r="M73" s="294"/>
      <c r="N73" s="290"/>
    </row>
    <row r="74" spans="1:14">
      <c r="A74" s="293">
        <v>71</v>
      </c>
      <c r="B74" s="214" t="s">
        <v>202</v>
      </c>
      <c r="C74" s="293"/>
      <c r="D74" s="294"/>
      <c r="E74" s="294"/>
      <c r="F74" s="294"/>
      <c r="G74" s="294"/>
      <c r="H74" s="294"/>
      <c r="I74" s="294"/>
      <c r="J74" s="294"/>
      <c r="K74" s="294"/>
      <c r="L74" s="294"/>
      <c r="M74" s="294"/>
      <c r="N74" s="290"/>
    </row>
    <row r="75" spans="1:14">
      <c r="A75" s="293">
        <v>72</v>
      </c>
      <c r="B75" s="214" t="s">
        <v>203</v>
      </c>
      <c r="C75" s="293"/>
      <c r="D75" s="294"/>
      <c r="E75" s="294"/>
      <c r="F75" s="294"/>
      <c r="G75" s="294"/>
      <c r="H75" s="294"/>
      <c r="I75" s="294"/>
      <c r="J75" s="294"/>
      <c r="K75" s="294"/>
      <c r="L75" s="294"/>
      <c r="M75" s="294"/>
      <c r="N75" s="290"/>
    </row>
    <row r="76" spans="1:14">
      <c r="A76" s="293">
        <v>73</v>
      </c>
      <c r="B76" s="214" t="s">
        <v>204</v>
      </c>
      <c r="C76" s="293"/>
      <c r="D76" s="294"/>
      <c r="E76" s="294"/>
      <c r="F76" s="294"/>
      <c r="G76" s="294"/>
      <c r="H76" s="294"/>
      <c r="I76" s="294"/>
      <c r="J76" s="294"/>
      <c r="K76" s="294"/>
      <c r="L76" s="294"/>
      <c r="M76" s="294"/>
      <c r="N76" s="290"/>
    </row>
    <row r="77" spans="1:14">
      <c r="A77" s="293">
        <v>74</v>
      </c>
      <c r="B77" s="214" t="s">
        <v>208</v>
      </c>
      <c r="C77" s="293"/>
      <c r="D77" s="294"/>
      <c r="E77" s="294"/>
      <c r="F77" s="294"/>
      <c r="G77" s="294"/>
      <c r="H77" s="294"/>
      <c r="I77" s="294"/>
      <c r="J77" s="294"/>
      <c r="K77" s="294"/>
      <c r="L77" s="294"/>
      <c r="M77" s="294"/>
      <c r="N77" s="291"/>
    </row>
    <row r="78" spans="1:14">
      <c r="A78" s="293">
        <v>75</v>
      </c>
      <c r="B78" s="214" t="s">
        <v>210</v>
      </c>
      <c r="C78" s="293"/>
      <c r="D78" s="294"/>
      <c r="E78" s="294"/>
      <c r="F78" s="294"/>
      <c r="G78" s="294"/>
      <c r="H78" s="294"/>
      <c r="I78" s="294"/>
      <c r="J78" s="294"/>
      <c r="K78" s="294"/>
      <c r="L78" s="294"/>
      <c r="M78" s="294"/>
      <c r="N78" s="290"/>
    </row>
    <row r="79" spans="1:14">
      <c r="A79" s="293">
        <v>76</v>
      </c>
      <c r="B79" s="210" t="s">
        <v>211</v>
      </c>
      <c r="C79" s="209">
        <v>5051304</v>
      </c>
      <c r="D79" s="210" t="s">
        <v>9667</v>
      </c>
      <c r="E79" s="216" t="s">
        <v>9702</v>
      </c>
      <c r="F79" s="216">
        <v>0</v>
      </c>
      <c r="G79" s="216">
        <v>570</v>
      </c>
      <c r="H79" s="216">
        <v>0</v>
      </c>
      <c r="I79" s="216">
        <v>570</v>
      </c>
      <c r="J79" s="216">
        <v>0</v>
      </c>
      <c r="K79" s="216">
        <v>0</v>
      </c>
      <c r="L79" s="216">
        <v>1</v>
      </c>
      <c r="M79" s="216">
        <v>0</v>
      </c>
      <c r="N79" s="290"/>
    </row>
    <row r="80" spans="1:14">
      <c r="A80" s="293">
        <v>77</v>
      </c>
      <c r="B80" s="210" t="s">
        <v>211</v>
      </c>
      <c r="C80" s="209">
        <v>5051304</v>
      </c>
      <c r="D80" s="210" t="s">
        <v>9667</v>
      </c>
      <c r="E80" s="216" t="s">
        <v>9703</v>
      </c>
      <c r="F80" s="216">
        <v>0</v>
      </c>
      <c r="G80" s="216">
        <v>757</v>
      </c>
      <c r="H80" s="216">
        <v>0</v>
      </c>
      <c r="I80" s="216">
        <v>757</v>
      </c>
      <c r="J80" s="216">
        <v>0</v>
      </c>
      <c r="K80" s="216">
        <v>0</v>
      </c>
      <c r="L80" s="216">
        <v>1</v>
      </c>
      <c r="M80" s="216">
        <v>0</v>
      </c>
      <c r="N80" s="290"/>
    </row>
    <row r="81" spans="1:14">
      <c r="A81" s="293">
        <v>78</v>
      </c>
      <c r="B81" s="214" t="s">
        <v>213</v>
      </c>
      <c r="C81" s="293"/>
      <c r="D81" s="294"/>
      <c r="E81" s="294"/>
      <c r="F81" s="294"/>
      <c r="G81" s="294"/>
      <c r="H81" s="294"/>
      <c r="I81" s="294"/>
      <c r="J81" s="294"/>
      <c r="K81" s="294"/>
      <c r="L81" s="294"/>
      <c r="M81" s="294"/>
    </row>
    <row r="82" spans="1:14">
      <c r="A82" s="293">
        <v>79</v>
      </c>
      <c r="B82" s="214" t="s">
        <v>214</v>
      </c>
      <c r="C82" s="293"/>
      <c r="D82" s="294"/>
      <c r="E82" s="294"/>
      <c r="F82" s="294"/>
      <c r="G82" s="294"/>
      <c r="H82" s="294"/>
      <c r="I82" s="294"/>
      <c r="J82" s="294"/>
      <c r="K82" s="294"/>
      <c r="L82" s="294"/>
      <c r="M82" s="294"/>
      <c r="N82" s="290"/>
    </row>
    <row r="83" spans="1:14">
      <c r="A83" s="293">
        <v>80</v>
      </c>
      <c r="B83" s="210" t="s">
        <v>216</v>
      </c>
      <c r="C83" s="209">
        <v>5051134</v>
      </c>
      <c r="D83" s="210" t="s">
        <v>9667</v>
      </c>
      <c r="E83" s="216" t="s">
        <v>9704</v>
      </c>
      <c r="F83" s="216">
        <v>0</v>
      </c>
      <c r="G83" s="216">
        <v>3000</v>
      </c>
      <c r="H83" s="216">
        <v>0</v>
      </c>
      <c r="I83" s="216">
        <v>3000</v>
      </c>
      <c r="J83" s="216">
        <v>0</v>
      </c>
      <c r="K83" s="216">
        <v>0</v>
      </c>
      <c r="L83" s="216">
        <v>0</v>
      </c>
      <c r="M83" s="216">
        <v>0</v>
      </c>
      <c r="N83" s="290"/>
    </row>
    <row r="84" spans="1:14">
      <c r="A84" s="293">
        <v>81</v>
      </c>
      <c r="B84" s="210" t="s">
        <v>216</v>
      </c>
      <c r="C84" s="209">
        <v>5051134</v>
      </c>
      <c r="D84" s="210" t="s">
        <v>9667</v>
      </c>
      <c r="E84" s="216" t="s">
        <v>9705</v>
      </c>
      <c r="F84" s="216">
        <v>0</v>
      </c>
      <c r="G84" s="216">
        <v>1000</v>
      </c>
      <c r="H84" s="216">
        <v>0</v>
      </c>
      <c r="I84" s="216">
        <v>1000</v>
      </c>
      <c r="J84" s="216">
        <v>0</v>
      </c>
      <c r="K84" s="216">
        <v>0</v>
      </c>
      <c r="L84" s="216">
        <v>0</v>
      </c>
      <c r="M84" s="216">
        <v>0</v>
      </c>
      <c r="N84" s="290"/>
    </row>
    <row r="85" spans="1:14">
      <c r="A85" s="293">
        <v>82</v>
      </c>
      <c r="B85" s="244" t="s">
        <v>216</v>
      </c>
      <c r="C85" s="215">
        <v>5051134</v>
      </c>
      <c r="D85" s="210" t="s">
        <v>9667</v>
      </c>
      <c r="E85" s="216" t="s">
        <v>9706</v>
      </c>
      <c r="F85" s="216">
        <v>0</v>
      </c>
      <c r="G85" s="216">
        <v>300</v>
      </c>
      <c r="H85" s="216">
        <v>0</v>
      </c>
      <c r="I85" s="216">
        <v>300</v>
      </c>
      <c r="J85" s="216">
        <v>0</v>
      </c>
      <c r="K85" s="216">
        <v>0</v>
      </c>
      <c r="L85" s="216">
        <v>0</v>
      </c>
      <c r="M85" s="216">
        <v>0</v>
      </c>
      <c r="N85" s="290"/>
    </row>
    <row r="86" spans="1:14">
      <c r="A86" s="293">
        <v>83</v>
      </c>
      <c r="B86" s="210" t="s">
        <v>216</v>
      </c>
      <c r="C86" s="209">
        <v>5051134</v>
      </c>
      <c r="D86" s="210" t="s">
        <v>9667</v>
      </c>
      <c r="E86" s="216" t="s">
        <v>9707</v>
      </c>
      <c r="F86" s="216">
        <v>0</v>
      </c>
      <c r="G86" s="216">
        <v>1500</v>
      </c>
      <c r="H86" s="216">
        <v>0</v>
      </c>
      <c r="I86" s="216">
        <v>1500</v>
      </c>
      <c r="J86" s="216">
        <v>0</v>
      </c>
      <c r="K86" s="216">
        <v>0</v>
      </c>
      <c r="L86" s="216">
        <v>0</v>
      </c>
      <c r="M86" s="216">
        <v>0</v>
      </c>
      <c r="N86" s="290"/>
    </row>
    <row r="87" spans="1:14">
      <c r="A87" s="293">
        <v>84</v>
      </c>
      <c r="B87" s="214" t="s">
        <v>217</v>
      </c>
      <c r="C87" s="293"/>
      <c r="D87" s="294"/>
      <c r="E87" s="294"/>
      <c r="F87" s="294"/>
      <c r="G87" s="294"/>
      <c r="H87" s="294"/>
      <c r="I87" s="294"/>
      <c r="J87" s="294"/>
      <c r="K87" s="294"/>
      <c r="L87" s="294"/>
      <c r="M87" s="294"/>
      <c r="N87" s="290"/>
    </row>
    <row r="88" spans="1:14">
      <c r="A88" s="293">
        <v>85</v>
      </c>
      <c r="B88" s="214" t="s">
        <v>218</v>
      </c>
      <c r="C88" s="293"/>
      <c r="D88" s="294"/>
      <c r="E88" s="294"/>
      <c r="F88" s="294"/>
      <c r="G88" s="294"/>
      <c r="H88" s="294"/>
      <c r="I88" s="294"/>
      <c r="J88" s="294"/>
      <c r="K88" s="294"/>
      <c r="L88" s="294"/>
      <c r="M88" s="294"/>
      <c r="N88" s="291"/>
    </row>
    <row r="89" spans="1:14">
      <c r="A89" s="293">
        <v>86</v>
      </c>
      <c r="B89" s="214" t="s">
        <v>219</v>
      </c>
      <c r="C89" s="293"/>
      <c r="D89" s="294"/>
      <c r="E89" s="294"/>
      <c r="F89" s="294"/>
      <c r="G89" s="294"/>
      <c r="H89" s="294"/>
      <c r="I89" s="294"/>
      <c r="J89" s="294"/>
      <c r="K89" s="294"/>
      <c r="L89" s="294"/>
      <c r="M89" s="294"/>
    </row>
    <row r="90" spans="1:14">
      <c r="A90" s="293">
        <v>87</v>
      </c>
      <c r="B90" s="214" t="s">
        <v>220</v>
      </c>
      <c r="C90" s="293"/>
      <c r="D90" s="294"/>
      <c r="E90" s="294"/>
      <c r="F90" s="294"/>
      <c r="G90" s="294"/>
      <c r="H90" s="294"/>
      <c r="I90" s="294"/>
      <c r="J90" s="294"/>
      <c r="K90" s="294"/>
      <c r="L90" s="294"/>
      <c r="M90" s="294"/>
    </row>
    <row r="91" spans="1:14" ht="25.5">
      <c r="A91" s="293">
        <v>88</v>
      </c>
      <c r="B91" s="210" t="s">
        <v>222</v>
      </c>
      <c r="C91" s="209">
        <v>5141583</v>
      </c>
      <c r="D91" s="210" t="s">
        <v>9667</v>
      </c>
      <c r="E91" s="216" t="s">
        <v>9708</v>
      </c>
      <c r="F91" s="216">
        <v>862.3</v>
      </c>
      <c r="G91" s="216">
        <v>0</v>
      </c>
      <c r="H91" s="216">
        <v>2954</v>
      </c>
      <c r="I91" s="216">
        <v>2952.3</v>
      </c>
      <c r="J91" s="216">
        <v>864</v>
      </c>
      <c r="K91" s="216">
        <v>0</v>
      </c>
      <c r="L91" s="216">
        <v>0</v>
      </c>
      <c r="M91" s="216">
        <v>0</v>
      </c>
      <c r="N91" s="290"/>
    </row>
    <row r="92" spans="1:14" ht="25.5">
      <c r="A92" s="293">
        <v>89</v>
      </c>
      <c r="B92" s="244" t="s">
        <v>222</v>
      </c>
      <c r="C92" s="215">
        <v>5141583</v>
      </c>
      <c r="D92" s="210" t="s">
        <v>9667</v>
      </c>
      <c r="E92" s="216" t="s">
        <v>9709</v>
      </c>
      <c r="F92" s="216">
        <v>0.31</v>
      </c>
      <c r="G92" s="216">
        <v>0</v>
      </c>
      <c r="H92" s="216">
        <v>0.2</v>
      </c>
      <c r="I92" s="216">
        <v>0.26</v>
      </c>
      <c r="J92" s="216">
        <v>0.25</v>
      </c>
      <c r="K92" s="216">
        <v>0</v>
      </c>
      <c r="L92" s="216">
        <v>0</v>
      </c>
      <c r="M92" s="216">
        <v>0</v>
      </c>
      <c r="N92" s="290"/>
    </row>
    <row r="93" spans="1:14">
      <c r="A93" s="293">
        <v>90</v>
      </c>
      <c r="B93" s="210" t="s">
        <v>222</v>
      </c>
      <c r="C93" s="209">
        <v>5141583</v>
      </c>
      <c r="D93" s="210" t="s">
        <v>9667</v>
      </c>
      <c r="E93" s="216" t="s">
        <v>9710</v>
      </c>
      <c r="F93" s="216">
        <v>130</v>
      </c>
      <c r="G93" s="216">
        <v>0</v>
      </c>
      <c r="H93" s="216">
        <v>100</v>
      </c>
      <c r="I93" s="216">
        <v>140</v>
      </c>
      <c r="J93" s="216">
        <v>90</v>
      </c>
      <c r="K93" s="216">
        <v>0</v>
      </c>
      <c r="L93" s="216">
        <v>0</v>
      </c>
      <c r="M93" s="216">
        <v>0</v>
      </c>
      <c r="N93" s="290"/>
    </row>
    <row r="94" spans="1:14" ht="25.5">
      <c r="A94" s="293">
        <v>91</v>
      </c>
      <c r="B94" s="210" t="s">
        <v>222</v>
      </c>
      <c r="C94" s="209">
        <v>5141583</v>
      </c>
      <c r="D94" s="210" t="s">
        <v>9667</v>
      </c>
      <c r="E94" s="216" t="s">
        <v>9711</v>
      </c>
      <c r="F94" s="216">
        <v>13.31</v>
      </c>
      <c r="G94" s="216">
        <v>0</v>
      </c>
      <c r="H94" s="216">
        <v>0</v>
      </c>
      <c r="I94" s="216">
        <v>0.02</v>
      </c>
      <c r="J94" s="216">
        <v>13.3</v>
      </c>
      <c r="K94" s="216">
        <v>0</v>
      </c>
      <c r="L94" s="216">
        <v>0</v>
      </c>
      <c r="M94" s="216">
        <v>0</v>
      </c>
      <c r="N94" s="290"/>
    </row>
    <row r="95" spans="1:14" ht="25.5">
      <c r="A95" s="293">
        <v>92</v>
      </c>
      <c r="B95" s="210" t="s">
        <v>222</v>
      </c>
      <c r="C95" s="209">
        <v>5141583</v>
      </c>
      <c r="D95" s="210" t="s">
        <v>9667</v>
      </c>
      <c r="E95" s="216" t="s">
        <v>9712</v>
      </c>
      <c r="F95" s="216">
        <v>17.809999999999999</v>
      </c>
      <c r="G95" s="216">
        <v>0</v>
      </c>
      <c r="H95" s="216">
        <v>0</v>
      </c>
      <c r="I95" s="216">
        <v>0.31</v>
      </c>
      <c r="J95" s="216">
        <v>17.5</v>
      </c>
      <c r="K95" s="216">
        <v>0</v>
      </c>
      <c r="L95" s="216">
        <v>0</v>
      </c>
      <c r="M95" s="216">
        <v>0</v>
      </c>
      <c r="N95" s="291"/>
    </row>
    <row r="96" spans="1:14">
      <c r="A96" s="293">
        <v>93</v>
      </c>
      <c r="B96" s="210" t="s">
        <v>222</v>
      </c>
      <c r="C96" s="209">
        <v>5141583</v>
      </c>
      <c r="D96" s="210" t="s">
        <v>9667</v>
      </c>
      <c r="E96" s="216" t="s">
        <v>9713</v>
      </c>
      <c r="F96" s="216">
        <v>16.5</v>
      </c>
      <c r="G96" s="216">
        <v>0</v>
      </c>
      <c r="H96" s="216">
        <v>0</v>
      </c>
      <c r="I96" s="216">
        <v>0.06</v>
      </c>
      <c r="J96" s="216">
        <v>16.440000000000001</v>
      </c>
      <c r="K96" s="216">
        <v>0</v>
      </c>
      <c r="L96" s="216">
        <v>0</v>
      </c>
      <c r="M96" s="216">
        <v>0</v>
      </c>
      <c r="N96" s="290"/>
    </row>
    <row r="97" spans="1:14" ht="38.25">
      <c r="A97" s="293">
        <v>94</v>
      </c>
      <c r="B97" s="210" t="s">
        <v>222</v>
      </c>
      <c r="C97" s="209">
        <v>5141583</v>
      </c>
      <c r="D97" s="210" t="s">
        <v>9667</v>
      </c>
      <c r="E97" s="216" t="s">
        <v>9714</v>
      </c>
      <c r="F97" s="216">
        <v>0.47</v>
      </c>
      <c r="G97" s="216">
        <v>0</v>
      </c>
      <c r="H97" s="216">
        <v>0</v>
      </c>
      <c r="I97" s="216">
        <v>0.02</v>
      </c>
      <c r="J97" s="216">
        <v>0.45</v>
      </c>
      <c r="K97" s="216">
        <v>0</v>
      </c>
      <c r="L97" s="216">
        <v>0</v>
      </c>
      <c r="M97" s="216">
        <v>0</v>
      </c>
      <c r="N97" s="290"/>
    </row>
    <row r="98" spans="1:14" ht="25.5">
      <c r="A98" s="293">
        <v>95</v>
      </c>
      <c r="B98" s="210" t="s">
        <v>222</v>
      </c>
      <c r="C98" s="209">
        <v>5141583</v>
      </c>
      <c r="D98" s="210" t="s">
        <v>9667</v>
      </c>
      <c r="E98" s="216" t="s">
        <v>9715</v>
      </c>
      <c r="F98" s="216">
        <v>11.54</v>
      </c>
      <c r="G98" s="216">
        <v>0</v>
      </c>
      <c r="H98" s="216">
        <v>0</v>
      </c>
      <c r="I98" s="216">
        <v>0.01</v>
      </c>
      <c r="J98" s="216">
        <v>11.53</v>
      </c>
      <c r="K98" s="216">
        <v>0</v>
      </c>
      <c r="L98" s="216">
        <v>0</v>
      </c>
      <c r="M98" s="216">
        <v>0</v>
      </c>
      <c r="N98" s="290"/>
    </row>
    <row r="99" spans="1:14" ht="25.5">
      <c r="A99" s="293">
        <v>96</v>
      </c>
      <c r="B99" s="210" t="s">
        <v>222</v>
      </c>
      <c r="C99" s="209">
        <v>5141583</v>
      </c>
      <c r="D99" s="210" t="s">
        <v>9687</v>
      </c>
      <c r="E99" s="216" t="s">
        <v>9716</v>
      </c>
      <c r="F99" s="216">
        <v>150.21</v>
      </c>
      <c r="G99" s="216">
        <v>0</v>
      </c>
      <c r="H99" s="216">
        <v>750</v>
      </c>
      <c r="I99" s="216">
        <v>592</v>
      </c>
      <c r="J99" s="216">
        <v>308.2</v>
      </c>
      <c r="K99" s="216">
        <v>0</v>
      </c>
      <c r="L99" s="216">
        <v>0</v>
      </c>
      <c r="M99" s="216">
        <v>0</v>
      </c>
      <c r="N99" s="290"/>
    </row>
    <row r="100" spans="1:14">
      <c r="A100" s="293">
        <v>97</v>
      </c>
      <c r="B100" s="210" t="s">
        <v>222</v>
      </c>
      <c r="C100" s="209">
        <v>5141583</v>
      </c>
      <c r="D100" s="210" t="s">
        <v>9687</v>
      </c>
      <c r="E100" s="216" t="s">
        <v>9717</v>
      </c>
      <c r="F100" s="216">
        <v>13.56</v>
      </c>
      <c r="G100" s="216">
        <v>0</v>
      </c>
      <c r="H100" s="216">
        <v>0</v>
      </c>
      <c r="I100" s="216">
        <v>0.4</v>
      </c>
      <c r="J100" s="216">
        <v>13.16</v>
      </c>
      <c r="K100" s="216">
        <v>0</v>
      </c>
      <c r="L100" s="216">
        <v>0</v>
      </c>
      <c r="M100" s="216">
        <v>0</v>
      </c>
      <c r="N100" s="291"/>
    </row>
    <row r="101" spans="1:14" ht="25.5">
      <c r="A101" s="293">
        <v>98</v>
      </c>
      <c r="B101" s="210" t="s">
        <v>222</v>
      </c>
      <c r="C101" s="209">
        <v>5141583</v>
      </c>
      <c r="D101" s="210" t="s">
        <v>9687</v>
      </c>
      <c r="E101" s="216" t="s">
        <v>9718</v>
      </c>
      <c r="F101" s="216">
        <v>22.6</v>
      </c>
      <c r="G101" s="216">
        <v>0</v>
      </c>
      <c r="H101" s="216">
        <v>0</v>
      </c>
      <c r="I101" s="216">
        <v>0</v>
      </c>
      <c r="J101" s="216">
        <v>22.6</v>
      </c>
      <c r="K101" s="216">
        <v>0</v>
      </c>
      <c r="L101" s="216">
        <v>0</v>
      </c>
      <c r="M101" s="216">
        <v>0</v>
      </c>
      <c r="N101" s="290"/>
    </row>
    <row r="102" spans="1:14">
      <c r="A102" s="293">
        <v>99</v>
      </c>
      <c r="B102" s="210" t="s">
        <v>222</v>
      </c>
      <c r="C102" s="209">
        <v>5141583</v>
      </c>
      <c r="D102" s="210" t="s">
        <v>9687</v>
      </c>
      <c r="E102" s="216" t="s">
        <v>9719</v>
      </c>
      <c r="F102" s="216">
        <v>87.8</v>
      </c>
      <c r="G102" s="216">
        <v>0</v>
      </c>
      <c r="H102" s="216">
        <v>1000</v>
      </c>
      <c r="I102" s="216">
        <v>105</v>
      </c>
      <c r="J102" s="216">
        <v>982.8</v>
      </c>
      <c r="K102" s="216">
        <v>0</v>
      </c>
      <c r="L102" s="216">
        <v>0</v>
      </c>
      <c r="M102" s="216">
        <v>0</v>
      </c>
      <c r="N102" s="290"/>
    </row>
    <row r="103" spans="1:14" ht="25.5">
      <c r="A103" s="293">
        <v>100</v>
      </c>
      <c r="B103" s="210" t="s">
        <v>222</v>
      </c>
      <c r="C103" s="209">
        <v>5141583</v>
      </c>
      <c r="D103" s="210" t="s">
        <v>127</v>
      </c>
      <c r="E103" s="216" t="s">
        <v>9720</v>
      </c>
      <c r="F103" s="216">
        <v>2.63</v>
      </c>
      <c r="G103" s="216">
        <v>0</v>
      </c>
      <c r="H103" s="216">
        <v>0</v>
      </c>
      <c r="I103" s="216">
        <v>0.53</v>
      </c>
      <c r="J103" s="216">
        <v>2.1</v>
      </c>
      <c r="K103" s="216">
        <v>0</v>
      </c>
      <c r="L103" s="216">
        <v>0</v>
      </c>
      <c r="M103" s="216">
        <v>0</v>
      </c>
      <c r="N103" s="290"/>
    </row>
    <row r="104" spans="1:14" ht="25.5">
      <c r="A104" s="293">
        <v>101</v>
      </c>
      <c r="B104" s="210" t="s">
        <v>222</v>
      </c>
      <c r="C104" s="209">
        <v>5141583</v>
      </c>
      <c r="D104" s="210" t="s">
        <v>127</v>
      </c>
      <c r="E104" s="216" t="s">
        <v>9721</v>
      </c>
      <c r="F104" s="216">
        <v>15.38</v>
      </c>
      <c r="G104" s="216">
        <v>0</v>
      </c>
      <c r="H104" s="216">
        <v>0</v>
      </c>
      <c r="I104" s="216">
        <v>2.94</v>
      </c>
      <c r="J104" s="216">
        <v>12.44</v>
      </c>
      <c r="K104" s="216">
        <v>0</v>
      </c>
      <c r="L104" s="216">
        <v>0</v>
      </c>
      <c r="M104" s="216">
        <v>0</v>
      </c>
      <c r="N104" s="290"/>
    </row>
    <row r="105" spans="1:14">
      <c r="A105" s="293">
        <v>102</v>
      </c>
      <c r="B105" s="214" t="s">
        <v>223</v>
      </c>
      <c r="C105" s="293"/>
      <c r="D105" s="294"/>
      <c r="E105" s="294"/>
      <c r="F105" s="294"/>
      <c r="G105" s="294"/>
      <c r="H105" s="294"/>
      <c r="I105" s="294"/>
      <c r="J105" s="294"/>
      <c r="K105" s="294"/>
      <c r="L105" s="294"/>
      <c r="M105" s="294"/>
      <c r="N105" s="290"/>
    </row>
    <row r="106" spans="1:14">
      <c r="A106" s="293">
        <v>103</v>
      </c>
      <c r="B106" s="214" t="s">
        <v>224</v>
      </c>
      <c r="C106" s="293"/>
      <c r="D106" s="294"/>
      <c r="E106" s="294"/>
      <c r="F106" s="294"/>
      <c r="G106" s="294"/>
      <c r="H106" s="294"/>
      <c r="I106" s="294"/>
      <c r="J106" s="294"/>
      <c r="K106" s="294"/>
      <c r="L106" s="294"/>
      <c r="M106" s="294"/>
      <c r="N106" s="291"/>
    </row>
    <row r="107" spans="1:14">
      <c r="A107" s="293">
        <v>104</v>
      </c>
      <c r="B107" s="214" t="s">
        <v>225</v>
      </c>
      <c r="C107" s="293"/>
      <c r="D107" s="294"/>
      <c r="E107" s="294"/>
      <c r="F107" s="294"/>
      <c r="G107" s="294"/>
      <c r="H107" s="294"/>
      <c r="I107" s="294"/>
      <c r="J107" s="294"/>
      <c r="K107" s="294"/>
      <c r="L107" s="294"/>
      <c r="M107" s="294"/>
      <c r="N107" s="290"/>
    </row>
    <row r="108" spans="1:14" ht="25.5">
      <c r="A108" s="293">
        <v>105</v>
      </c>
      <c r="B108" s="266" t="s">
        <v>227</v>
      </c>
      <c r="C108" s="293"/>
      <c r="D108" s="294"/>
      <c r="E108" s="294"/>
      <c r="F108" s="294"/>
      <c r="G108" s="294"/>
      <c r="H108" s="294"/>
      <c r="I108" s="294"/>
      <c r="J108" s="294"/>
      <c r="K108" s="294"/>
      <c r="L108" s="294"/>
      <c r="M108" s="294"/>
      <c r="N108" s="290"/>
    </row>
    <row r="109" spans="1:14">
      <c r="A109" s="293">
        <v>106</v>
      </c>
      <c r="B109" s="214" t="s">
        <v>228</v>
      </c>
      <c r="C109" s="293"/>
      <c r="D109" s="294"/>
      <c r="E109" s="294"/>
      <c r="F109" s="294"/>
      <c r="G109" s="294"/>
      <c r="H109" s="294"/>
      <c r="I109" s="294"/>
      <c r="J109" s="294"/>
      <c r="K109" s="294"/>
      <c r="L109" s="294"/>
      <c r="M109" s="294"/>
      <c r="N109" s="290"/>
    </row>
    <row r="110" spans="1:14">
      <c r="A110" s="293">
        <v>107</v>
      </c>
      <c r="B110" s="214" t="s">
        <v>229</v>
      </c>
      <c r="C110" s="293"/>
      <c r="D110" s="294"/>
      <c r="E110" s="294"/>
      <c r="F110" s="294"/>
      <c r="G110" s="294"/>
      <c r="H110" s="294"/>
      <c r="I110" s="294"/>
      <c r="J110" s="294"/>
      <c r="K110" s="294"/>
      <c r="L110" s="294"/>
      <c r="M110" s="294"/>
      <c r="N110" s="290"/>
    </row>
    <row r="111" spans="1:14">
      <c r="A111" s="293">
        <v>108</v>
      </c>
      <c r="B111" s="210" t="s">
        <v>231</v>
      </c>
      <c r="C111" s="209">
        <v>2657457</v>
      </c>
      <c r="D111" s="210" t="s">
        <v>9667</v>
      </c>
      <c r="E111" s="216" t="s">
        <v>9722</v>
      </c>
      <c r="F111" s="216">
        <v>432</v>
      </c>
      <c r="G111" s="216">
        <v>0</v>
      </c>
      <c r="H111" s="216">
        <v>6912</v>
      </c>
      <c r="I111" s="216">
        <v>7344</v>
      </c>
      <c r="J111" s="216">
        <v>0</v>
      </c>
      <c r="K111" s="216">
        <v>0</v>
      </c>
      <c r="L111" s="216">
        <v>0</v>
      </c>
      <c r="M111" s="216">
        <v>0</v>
      </c>
      <c r="N111" s="290"/>
    </row>
    <row r="112" spans="1:14" ht="25.5">
      <c r="A112" s="293">
        <v>109</v>
      </c>
      <c r="B112" s="210" t="s">
        <v>231</v>
      </c>
      <c r="C112" s="209">
        <v>2657457</v>
      </c>
      <c r="D112" s="210" t="s">
        <v>9667</v>
      </c>
      <c r="E112" s="216" t="s">
        <v>9723</v>
      </c>
      <c r="F112" s="216">
        <v>72591</v>
      </c>
      <c r="G112" s="216">
        <v>0</v>
      </c>
      <c r="H112" s="216">
        <v>399690</v>
      </c>
      <c r="I112" s="216">
        <v>399386</v>
      </c>
      <c r="J112" s="216">
        <v>72895</v>
      </c>
      <c r="K112" s="216">
        <v>0</v>
      </c>
      <c r="L112" s="216">
        <v>0</v>
      </c>
      <c r="M112" s="216">
        <v>0</v>
      </c>
      <c r="N112" s="290"/>
    </row>
    <row r="113" spans="1:14" ht="25.5">
      <c r="A113" s="293">
        <v>110</v>
      </c>
      <c r="B113" s="210" t="s">
        <v>231</v>
      </c>
      <c r="C113" s="209">
        <v>2657457</v>
      </c>
      <c r="D113" s="210" t="s">
        <v>9667</v>
      </c>
      <c r="E113" s="216" t="s">
        <v>9724</v>
      </c>
      <c r="F113" s="216">
        <v>217756</v>
      </c>
      <c r="G113" s="216">
        <v>0</v>
      </c>
      <c r="H113" s="216">
        <v>27301</v>
      </c>
      <c r="I113" s="216">
        <v>170080</v>
      </c>
      <c r="J113" s="216">
        <v>74977</v>
      </c>
      <c r="K113" s="216">
        <v>0</v>
      </c>
      <c r="L113" s="216">
        <v>0</v>
      </c>
      <c r="M113" s="216">
        <v>0</v>
      </c>
      <c r="N113" s="290"/>
    </row>
    <row r="114" spans="1:14" ht="38.25">
      <c r="A114" s="293">
        <v>111</v>
      </c>
      <c r="B114" s="210" t="s">
        <v>231</v>
      </c>
      <c r="C114" s="209">
        <v>2657457</v>
      </c>
      <c r="D114" s="210" t="s">
        <v>9667</v>
      </c>
      <c r="E114" s="216" t="s">
        <v>9725</v>
      </c>
      <c r="F114" s="216">
        <v>1762</v>
      </c>
      <c r="G114" s="216">
        <v>0</v>
      </c>
      <c r="H114" s="216">
        <v>11076</v>
      </c>
      <c r="I114" s="216">
        <v>7554</v>
      </c>
      <c r="J114" s="216">
        <v>5284</v>
      </c>
      <c r="K114" s="216">
        <v>0</v>
      </c>
      <c r="L114" s="216">
        <v>0</v>
      </c>
      <c r="M114" s="216">
        <v>0</v>
      </c>
      <c r="N114" s="290"/>
    </row>
    <row r="115" spans="1:14">
      <c r="A115" s="293">
        <v>112</v>
      </c>
      <c r="B115" s="210" t="s">
        <v>231</v>
      </c>
      <c r="C115" s="209">
        <v>2657457</v>
      </c>
      <c r="D115" s="210" t="s">
        <v>9667</v>
      </c>
      <c r="E115" s="216" t="s">
        <v>9161</v>
      </c>
      <c r="F115" s="216">
        <v>161792</v>
      </c>
      <c r="G115" s="216">
        <v>0</v>
      </c>
      <c r="H115" s="216">
        <v>27590600</v>
      </c>
      <c r="I115" s="216">
        <v>28644200</v>
      </c>
      <c r="J115" s="216">
        <v>2715050</v>
      </c>
      <c r="K115" s="216">
        <v>0</v>
      </c>
      <c r="L115" s="216">
        <v>0</v>
      </c>
      <c r="M115" s="216">
        <v>0</v>
      </c>
      <c r="N115" s="290"/>
    </row>
    <row r="116" spans="1:14" ht="25.5">
      <c r="A116" s="293">
        <v>113</v>
      </c>
      <c r="B116" s="210" t="s">
        <v>231</v>
      </c>
      <c r="C116" s="209">
        <v>2657457</v>
      </c>
      <c r="D116" s="210" t="s">
        <v>9667</v>
      </c>
      <c r="E116" s="216" t="s">
        <v>9726</v>
      </c>
      <c r="F116" s="216">
        <v>161792</v>
      </c>
      <c r="G116" s="216">
        <v>0</v>
      </c>
      <c r="H116" s="216">
        <v>190300</v>
      </c>
      <c r="I116" s="216">
        <v>236309</v>
      </c>
      <c r="J116" s="216">
        <v>115783</v>
      </c>
      <c r="K116" s="216">
        <v>0</v>
      </c>
      <c r="L116" s="216">
        <v>0</v>
      </c>
      <c r="M116" s="216">
        <v>0</v>
      </c>
      <c r="N116" s="290"/>
    </row>
    <row r="117" spans="1:14">
      <c r="A117" s="293">
        <v>114</v>
      </c>
      <c r="B117" s="210" t="s">
        <v>231</v>
      </c>
      <c r="C117" s="209">
        <v>2657457</v>
      </c>
      <c r="D117" s="210" t="s">
        <v>9667</v>
      </c>
      <c r="E117" s="216" t="s">
        <v>9727</v>
      </c>
      <c r="F117" s="216">
        <v>49313</v>
      </c>
      <c r="G117" s="216">
        <v>0</v>
      </c>
      <c r="H117" s="216">
        <v>540250</v>
      </c>
      <c r="I117" s="216">
        <v>537819</v>
      </c>
      <c r="J117" s="216">
        <v>51744</v>
      </c>
      <c r="K117" s="216">
        <v>0</v>
      </c>
      <c r="L117" s="216">
        <v>0</v>
      </c>
      <c r="M117" s="216">
        <v>0</v>
      </c>
      <c r="N117" s="291"/>
    </row>
    <row r="118" spans="1:14">
      <c r="A118" s="293">
        <v>115</v>
      </c>
      <c r="B118" s="214" t="s">
        <v>230</v>
      </c>
      <c r="C118" s="293"/>
      <c r="D118" s="294"/>
      <c r="E118" s="294"/>
      <c r="F118" s="294"/>
      <c r="G118" s="294"/>
      <c r="H118" s="294"/>
      <c r="I118" s="294"/>
      <c r="J118" s="294"/>
      <c r="K118" s="294"/>
      <c r="L118" s="294"/>
      <c r="M118" s="294"/>
      <c r="N118" s="290"/>
    </row>
    <row r="119" spans="1:14">
      <c r="A119" s="293">
        <v>116</v>
      </c>
      <c r="B119" s="214" t="s">
        <v>232</v>
      </c>
      <c r="C119" s="293"/>
      <c r="D119" s="294"/>
      <c r="E119" s="294"/>
      <c r="F119" s="294"/>
      <c r="G119" s="294"/>
      <c r="H119" s="294"/>
      <c r="I119" s="294"/>
      <c r="J119" s="294"/>
      <c r="K119" s="294"/>
      <c r="L119" s="294"/>
      <c r="M119" s="294"/>
      <c r="N119" s="290"/>
    </row>
    <row r="120" spans="1:14">
      <c r="A120" s="293">
        <v>117</v>
      </c>
      <c r="B120" s="214" t="s">
        <v>236</v>
      </c>
      <c r="C120" s="293"/>
      <c r="D120" s="294"/>
      <c r="E120" s="294"/>
      <c r="F120" s="294"/>
      <c r="G120" s="294"/>
      <c r="H120" s="294"/>
      <c r="I120" s="294"/>
      <c r="J120" s="294"/>
      <c r="K120" s="294"/>
      <c r="L120" s="294"/>
      <c r="M120" s="294"/>
      <c r="N120" s="290"/>
    </row>
    <row r="121" spans="1:14">
      <c r="A121" s="293">
        <v>118</v>
      </c>
      <c r="B121" s="214" t="s">
        <v>239</v>
      </c>
      <c r="C121" s="293"/>
      <c r="D121" s="294"/>
      <c r="E121" s="294"/>
      <c r="F121" s="294"/>
      <c r="G121" s="294"/>
      <c r="H121" s="294"/>
      <c r="I121" s="294"/>
      <c r="J121" s="294"/>
      <c r="K121" s="294"/>
      <c r="L121" s="294"/>
      <c r="M121" s="294"/>
      <c r="N121" s="291"/>
    </row>
    <row r="122" spans="1:14">
      <c r="A122" s="293">
        <v>119</v>
      </c>
      <c r="B122" s="214" t="s">
        <v>240</v>
      </c>
      <c r="C122" s="293"/>
      <c r="D122" s="294"/>
      <c r="E122" s="294"/>
      <c r="F122" s="294"/>
      <c r="G122" s="294"/>
      <c r="H122" s="294"/>
      <c r="I122" s="294"/>
      <c r="J122" s="294"/>
      <c r="K122" s="294"/>
      <c r="L122" s="294"/>
      <c r="M122" s="294"/>
      <c r="N122" s="290"/>
    </row>
    <row r="123" spans="1:14">
      <c r="A123" s="293">
        <v>120</v>
      </c>
      <c r="B123" s="214" t="s">
        <v>241</v>
      </c>
      <c r="C123" s="293"/>
      <c r="D123" s="294"/>
      <c r="E123" s="294"/>
      <c r="F123" s="294"/>
      <c r="G123" s="294"/>
      <c r="H123" s="294"/>
      <c r="I123" s="294"/>
      <c r="J123" s="294"/>
      <c r="K123" s="294"/>
      <c r="L123" s="294"/>
      <c r="M123" s="294"/>
      <c r="N123" s="290"/>
    </row>
    <row r="124" spans="1:14">
      <c r="A124" s="293">
        <v>121</v>
      </c>
      <c r="B124" s="214" t="s">
        <v>242</v>
      </c>
      <c r="C124" s="293"/>
      <c r="D124" s="294"/>
      <c r="E124" s="294"/>
      <c r="F124" s="294"/>
      <c r="G124" s="294"/>
      <c r="H124" s="294"/>
      <c r="I124" s="294"/>
      <c r="J124" s="294"/>
      <c r="K124" s="294"/>
      <c r="L124" s="294"/>
      <c r="M124" s="294"/>
      <c r="N124" s="291"/>
    </row>
    <row r="125" spans="1:14">
      <c r="A125" s="293">
        <v>122</v>
      </c>
      <c r="B125" s="244" t="s">
        <v>243</v>
      </c>
      <c r="C125" s="215">
        <v>5084555</v>
      </c>
      <c r="D125" s="210" t="s">
        <v>127</v>
      </c>
      <c r="E125" s="216" t="s">
        <v>9728</v>
      </c>
      <c r="F125" s="216">
        <v>0</v>
      </c>
      <c r="G125" s="216">
        <v>0</v>
      </c>
      <c r="H125" s="216">
        <v>18000</v>
      </c>
      <c r="I125" s="216">
        <v>14925</v>
      </c>
      <c r="J125" s="216">
        <v>3075</v>
      </c>
      <c r="K125" s="216">
        <v>0</v>
      </c>
      <c r="L125" s="216">
        <v>0</v>
      </c>
      <c r="M125" s="216">
        <v>0</v>
      </c>
      <c r="N125" s="290"/>
    </row>
    <row r="126" spans="1:14">
      <c r="A126" s="293">
        <v>123</v>
      </c>
      <c r="B126" s="214" t="s">
        <v>244</v>
      </c>
      <c r="C126" s="293"/>
      <c r="D126" s="294"/>
      <c r="E126" s="294"/>
      <c r="F126" s="294"/>
      <c r="G126" s="294"/>
      <c r="H126" s="294"/>
      <c r="I126" s="294"/>
      <c r="J126" s="294"/>
      <c r="K126" s="294"/>
      <c r="L126" s="294"/>
      <c r="M126" s="294"/>
      <c r="N126" s="290"/>
    </row>
    <row r="127" spans="1:14">
      <c r="A127" s="293">
        <v>124</v>
      </c>
      <c r="B127" s="210" t="s">
        <v>246</v>
      </c>
      <c r="C127" s="209">
        <v>5288703</v>
      </c>
      <c r="D127" s="210" t="s">
        <v>9667</v>
      </c>
      <c r="E127" s="216" t="s">
        <v>9729</v>
      </c>
      <c r="F127" s="216">
        <v>14.8</v>
      </c>
      <c r="G127" s="216">
        <v>60</v>
      </c>
      <c r="H127" s="216">
        <v>0</v>
      </c>
      <c r="I127" s="216">
        <v>42.3</v>
      </c>
      <c r="J127" s="216">
        <v>32.5</v>
      </c>
      <c r="K127" s="216">
        <v>0</v>
      </c>
      <c r="L127" s="216">
        <v>0</v>
      </c>
      <c r="M127" s="216">
        <v>0</v>
      </c>
      <c r="N127" s="290"/>
    </row>
    <row r="128" spans="1:14">
      <c r="A128" s="293">
        <v>125</v>
      </c>
      <c r="B128" s="210" t="s">
        <v>246</v>
      </c>
      <c r="C128" s="209">
        <v>5288703</v>
      </c>
      <c r="D128" s="210" t="s">
        <v>9667</v>
      </c>
      <c r="E128" s="216" t="s">
        <v>9730</v>
      </c>
      <c r="F128" s="216">
        <v>17.600000000000001</v>
      </c>
      <c r="G128" s="216">
        <v>124.7</v>
      </c>
      <c r="H128" s="216">
        <v>0</v>
      </c>
      <c r="I128" s="216">
        <v>116.7</v>
      </c>
      <c r="J128" s="216">
        <v>25.6</v>
      </c>
      <c r="K128" s="216">
        <v>0</v>
      </c>
      <c r="L128" s="216">
        <v>0</v>
      </c>
      <c r="M128" s="216">
        <v>0</v>
      </c>
      <c r="N128" s="290"/>
    </row>
    <row r="129" spans="1:14">
      <c r="A129" s="293">
        <v>126</v>
      </c>
      <c r="B129" s="244" t="s">
        <v>246</v>
      </c>
      <c r="C129" s="215">
        <v>5288703</v>
      </c>
      <c r="D129" s="210" t="s">
        <v>9667</v>
      </c>
      <c r="E129" s="216" t="s">
        <v>9731</v>
      </c>
      <c r="F129" s="216">
        <v>18.899999999999999</v>
      </c>
      <c r="G129" s="216">
        <v>0</v>
      </c>
      <c r="H129" s="216">
        <v>0</v>
      </c>
      <c r="I129" s="216">
        <v>0</v>
      </c>
      <c r="J129" s="216">
        <v>18.899999999999999</v>
      </c>
      <c r="K129" s="216">
        <v>0</v>
      </c>
      <c r="L129" s="216">
        <v>0</v>
      </c>
      <c r="M129" s="216">
        <v>0</v>
      </c>
      <c r="N129" s="290"/>
    </row>
    <row r="130" spans="1:14">
      <c r="A130" s="293">
        <v>127</v>
      </c>
      <c r="B130" s="214" t="s">
        <v>248</v>
      </c>
      <c r="C130" s="293"/>
      <c r="D130" s="294"/>
      <c r="E130" s="294"/>
      <c r="F130" s="294"/>
      <c r="G130" s="294"/>
      <c r="H130" s="294"/>
      <c r="I130" s="294"/>
      <c r="J130" s="294"/>
      <c r="K130" s="294"/>
      <c r="L130" s="294"/>
      <c r="M130" s="294"/>
      <c r="N130" s="290"/>
    </row>
    <row r="131" spans="1:14">
      <c r="A131" s="293">
        <v>128</v>
      </c>
      <c r="B131" s="210" t="s">
        <v>249</v>
      </c>
      <c r="C131" s="209">
        <v>6101615</v>
      </c>
      <c r="D131" s="210" t="s">
        <v>9667</v>
      </c>
      <c r="E131" s="216" t="s">
        <v>9732</v>
      </c>
      <c r="F131" s="216">
        <v>181</v>
      </c>
      <c r="G131" s="216">
        <v>690000</v>
      </c>
      <c r="H131" s="216">
        <v>0</v>
      </c>
      <c r="I131" s="216">
        <v>711750</v>
      </c>
      <c r="J131" s="216">
        <v>163400</v>
      </c>
      <c r="K131" s="216">
        <v>0</v>
      </c>
      <c r="L131" s="216">
        <v>35459.1</v>
      </c>
      <c r="M131" s="216">
        <v>0</v>
      </c>
      <c r="N131" s="290"/>
    </row>
    <row r="132" spans="1:14">
      <c r="A132" s="293">
        <v>129</v>
      </c>
      <c r="B132" s="210" t="s">
        <v>249</v>
      </c>
      <c r="C132" s="209">
        <v>6101615</v>
      </c>
      <c r="D132" s="210" t="s">
        <v>9687</v>
      </c>
      <c r="E132" s="216" t="s">
        <v>9733</v>
      </c>
      <c r="F132" s="216">
        <v>31</v>
      </c>
      <c r="G132" s="216">
        <v>0</v>
      </c>
      <c r="H132" s="216">
        <v>10000</v>
      </c>
      <c r="I132" s="216">
        <v>35650</v>
      </c>
      <c r="J132" s="216">
        <v>5724</v>
      </c>
      <c r="K132" s="216">
        <v>0</v>
      </c>
      <c r="L132" s="216">
        <v>33375</v>
      </c>
      <c r="M132" s="216">
        <v>0</v>
      </c>
      <c r="N132" s="290"/>
    </row>
    <row r="133" spans="1:14">
      <c r="A133" s="293">
        <v>130</v>
      </c>
      <c r="B133" s="210" t="s">
        <v>249</v>
      </c>
      <c r="C133" s="209">
        <v>6101615</v>
      </c>
      <c r="D133" s="210" t="s">
        <v>9687</v>
      </c>
      <c r="E133" s="216" t="s">
        <v>9734</v>
      </c>
      <c r="F133" s="216">
        <v>18</v>
      </c>
      <c r="G133" s="216">
        <v>0</v>
      </c>
      <c r="H133" s="216">
        <v>105913</v>
      </c>
      <c r="I133" s="216">
        <v>115158</v>
      </c>
      <c r="J133" s="216">
        <v>9400</v>
      </c>
      <c r="K133" s="216">
        <v>0</v>
      </c>
      <c r="L133" s="216">
        <v>220</v>
      </c>
      <c r="M133" s="216">
        <v>0</v>
      </c>
      <c r="N133" s="290"/>
    </row>
    <row r="134" spans="1:14" ht="25.5">
      <c r="A134" s="293">
        <v>131</v>
      </c>
      <c r="B134" s="210" t="s">
        <v>249</v>
      </c>
      <c r="C134" s="209">
        <v>6101615</v>
      </c>
      <c r="D134" s="210" t="s">
        <v>9687</v>
      </c>
      <c r="E134" s="216" t="s">
        <v>9735</v>
      </c>
      <c r="F134" s="216">
        <v>16</v>
      </c>
      <c r="G134" s="216">
        <v>0</v>
      </c>
      <c r="H134" s="216">
        <v>55900</v>
      </c>
      <c r="I134" s="216">
        <v>62975</v>
      </c>
      <c r="J134" s="216">
        <v>9075</v>
      </c>
      <c r="K134" s="216">
        <v>0</v>
      </c>
      <c r="L134" s="216">
        <v>0</v>
      </c>
      <c r="M134" s="216">
        <v>0</v>
      </c>
      <c r="N134" s="290"/>
    </row>
    <row r="135" spans="1:14" ht="25.5">
      <c r="A135" s="293">
        <v>132</v>
      </c>
      <c r="B135" s="210" t="s">
        <v>249</v>
      </c>
      <c r="C135" s="209">
        <v>6101615</v>
      </c>
      <c r="D135" s="210" t="s">
        <v>9687</v>
      </c>
      <c r="E135" s="216" t="s">
        <v>9736</v>
      </c>
      <c r="F135" s="216">
        <v>2</v>
      </c>
      <c r="G135" s="216">
        <v>0</v>
      </c>
      <c r="H135" s="216">
        <v>0</v>
      </c>
      <c r="I135" s="216">
        <v>560</v>
      </c>
      <c r="J135" s="216">
        <v>1865</v>
      </c>
      <c r="K135" s="216">
        <v>0</v>
      </c>
      <c r="L135" s="216">
        <v>0</v>
      </c>
      <c r="M135" s="216">
        <v>0</v>
      </c>
      <c r="N135" s="290"/>
    </row>
    <row r="136" spans="1:14" ht="25.5">
      <c r="A136" s="293">
        <v>133</v>
      </c>
      <c r="B136" s="210" t="s">
        <v>249</v>
      </c>
      <c r="C136" s="209">
        <v>6101615</v>
      </c>
      <c r="D136" s="210" t="s">
        <v>9687</v>
      </c>
      <c r="E136" s="216" t="s">
        <v>9737</v>
      </c>
      <c r="F136" s="216">
        <v>500</v>
      </c>
      <c r="G136" s="216">
        <v>0</v>
      </c>
      <c r="H136" s="216">
        <v>675</v>
      </c>
      <c r="I136" s="216">
        <v>725</v>
      </c>
      <c r="J136" s="216">
        <v>450</v>
      </c>
      <c r="K136" s="216">
        <v>0</v>
      </c>
      <c r="L136" s="216">
        <v>0</v>
      </c>
      <c r="M136" s="216">
        <v>0</v>
      </c>
      <c r="N136" s="290"/>
    </row>
    <row r="137" spans="1:14">
      <c r="A137" s="293">
        <v>134</v>
      </c>
      <c r="B137" s="210" t="s">
        <v>249</v>
      </c>
      <c r="C137" s="209">
        <v>6101615</v>
      </c>
      <c r="D137" s="210" t="s">
        <v>9687</v>
      </c>
      <c r="E137" s="216" t="s">
        <v>9738</v>
      </c>
      <c r="F137" s="216">
        <v>5</v>
      </c>
      <c r="G137" s="216">
        <v>0</v>
      </c>
      <c r="H137" s="216">
        <v>0</v>
      </c>
      <c r="I137" s="216">
        <v>3450</v>
      </c>
      <c r="J137" s="216">
        <v>2150</v>
      </c>
      <c r="K137" s="216">
        <v>0</v>
      </c>
      <c r="L137" s="216">
        <v>0</v>
      </c>
      <c r="M137" s="216">
        <v>0</v>
      </c>
      <c r="N137" s="290"/>
    </row>
    <row r="138" spans="1:14">
      <c r="A138" s="293">
        <v>135</v>
      </c>
      <c r="B138" s="210" t="s">
        <v>249</v>
      </c>
      <c r="C138" s="209">
        <v>6101615</v>
      </c>
      <c r="D138" s="210" t="s">
        <v>9687</v>
      </c>
      <c r="E138" s="216" t="s">
        <v>9739</v>
      </c>
      <c r="F138" s="216">
        <v>4</v>
      </c>
      <c r="G138" s="216">
        <v>0</v>
      </c>
      <c r="H138" s="216">
        <v>9975</v>
      </c>
      <c r="I138" s="216">
        <v>7325</v>
      </c>
      <c r="J138" s="216">
        <v>7250</v>
      </c>
      <c r="K138" s="216">
        <v>0</v>
      </c>
      <c r="L138" s="216">
        <v>439.5</v>
      </c>
      <c r="M138" s="216">
        <v>0</v>
      </c>
      <c r="N138" s="290"/>
    </row>
    <row r="139" spans="1:14" ht="25.5">
      <c r="A139" s="293">
        <v>136</v>
      </c>
      <c r="B139" s="210" t="s">
        <v>249</v>
      </c>
      <c r="C139" s="209">
        <v>6101615</v>
      </c>
      <c r="D139" s="210" t="s">
        <v>9687</v>
      </c>
      <c r="E139" s="216" t="s">
        <v>9740</v>
      </c>
      <c r="F139" s="216">
        <v>3</v>
      </c>
      <c r="G139" s="216">
        <v>0</v>
      </c>
      <c r="H139" s="216">
        <v>0</v>
      </c>
      <c r="I139" s="216">
        <v>300</v>
      </c>
      <c r="J139" s="216">
        <v>3225</v>
      </c>
      <c r="K139" s="216">
        <v>0</v>
      </c>
      <c r="L139" s="216">
        <v>0</v>
      </c>
      <c r="M139" s="216">
        <v>0</v>
      </c>
      <c r="N139" s="290"/>
    </row>
    <row r="140" spans="1:14" ht="25.5">
      <c r="A140" s="293">
        <v>137</v>
      </c>
      <c r="B140" s="210" t="s">
        <v>249</v>
      </c>
      <c r="C140" s="209">
        <v>6101615</v>
      </c>
      <c r="D140" s="210" t="s">
        <v>9687</v>
      </c>
      <c r="E140" s="216" t="s">
        <v>9741</v>
      </c>
      <c r="F140" s="216">
        <v>500</v>
      </c>
      <c r="G140" s="216">
        <v>0</v>
      </c>
      <c r="H140" s="216">
        <v>0</v>
      </c>
      <c r="I140" s="216">
        <v>0</v>
      </c>
      <c r="J140" s="216">
        <v>500</v>
      </c>
      <c r="K140" s="216">
        <v>0</v>
      </c>
      <c r="L140" s="216">
        <v>0</v>
      </c>
      <c r="M140" s="216">
        <v>0</v>
      </c>
      <c r="N140" s="290"/>
    </row>
    <row r="141" spans="1:14">
      <c r="A141" s="293">
        <v>138</v>
      </c>
      <c r="B141" s="214" t="s">
        <v>250</v>
      </c>
      <c r="C141" s="293"/>
      <c r="D141" s="294"/>
      <c r="E141" s="294"/>
      <c r="F141" s="294"/>
      <c r="G141" s="294"/>
      <c r="H141" s="294"/>
      <c r="I141" s="294"/>
      <c r="J141" s="294"/>
      <c r="K141" s="294"/>
      <c r="L141" s="294"/>
      <c r="M141" s="294"/>
      <c r="N141" s="290"/>
    </row>
    <row r="142" spans="1:14">
      <c r="A142" s="293">
        <v>139</v>
      </c>
      <c r="B142" s="214" t="s">
        <v>251</v>
      </c>
      <c r="C142" s="293"/>
      <c r="D142" s="294"/>
      <c r="E142" s="294"/>
      <c r="F142" s="294"/>
      <c r="G142" s="294"/>
      <c r="H142" s="294"/>
      <c r="I142" s="294"/>
      <c r="J142" s="294"/>
      <c r="K142" s="294"/>
      <c r="L142" s="294"/>
      <c r="M142" s="294"/>
      <c r="N142" s="290"/>
    </row>
    <row r="143" spans="1:14">
      <c r="A143" s="293">
        <v>140</v>
      </c>
      <c r="B143" s="214" t="s">
        <v>253</v>
      </c>
      <c r="C143" s="293"/>
      <c r="D143" s="294"/>
      <c r="E143" s="294"/>
      <c r="F143" s="294"/>
      <c r="G143" s="294"/>
      <c r="H143" s="294"/>
      <c r="I143" s="294"/>
      <c r="J143" s="294"/>
      <c r="K143" s="294"/>
      <c r="L143" s="294"/>
      <c r="M143" s="294"/>
      <c r="N143" s="290"/>
    </row>
    <row r="144" spans="1:14">
      <c r="A144" s="293">
        <v>141</v>
      </c>
      <c r="B144" s="214" t="s">
        <v>254</v>
      </c>
      <c r="C144" s="293"/>
      <c r="D144" s="294"/>
      <c r="E144" s="294"/>
      <c r="F144" s="294"/>
      <c r="G144" s="294"/>
      <c r="H144" s="294"/>
      <c r="I144" s="294"/>
      <c r="J144" s="294"/>
      <c r="K144" s="294"/>
      <c r="L144" s="294"/>
      <c r="M144" s="294"/>
      <c r="N144" s="290"/>
    </row>
    <row r="145" spans="1:14">
      <c r="A145" s="293">
        <v>142</v>
      </c>
      <c r="B145" s="214" t="s">
        <v>257</v>
      </c>
      <c r="C145" s="293"/>
      <c r="D145" s="294"/>
      <c r="E145" s="294"/>
      <c r="F145" s="294"/>
      <c r="G145" s="294"/>
      <c r="H145" s="294"/>
      <c r="I145" s="294"/>
      <c r="J145" s="294"/>
      <c r="K145" s="294"/>
      <c r="L145" s="294"/>
      <c r="M145" s="294"/>
      <c r="N145" s="290"/>
    </row>
    <row r="146" spans="1:14">
      <c r="A146" s="293">
        <v>143</v>
      </c>
      <c r="B146" s="214" t="s">
        <v>258</v>
      </c>
      <c r="C146" s="293"/>
      <c r="D146" s="294"/>
      <c r="E146" s="294"/>
      <c r="F146" s="294"/>
      <c r="G146" s="294"/>
      <c r="H146" s="294"/>
      <c r="I146" s="294"/>
      <c r="J146" s="294"/>
      <c r="K146" s="294"/>
      <c r="L146" s="294"/>
      <c r="M146" s="294"/>
      <c r="N146" s="290"/>
    </row>
    <row r="147" spans="1:14">
      <c r="A147" s="293">
        <v>144</v>
      </c>
      <c r="B147" s="214" t="s">
        <v>260</v>
      </c>
      <c r="C147" s="293"/>
      <c r="D147" s="294"/>
      <c r="E147" s="294"/>
      <c r="F147" s="294"/>
      <c r="G147" s="294"/>
      <c r="H147" s="294"/>
      <c r="I147" s="294"/>
      <c r="J147" s="294"/>
      <c r="K147" s="294"/>
      <c r="L147" s="294"/>
      <c r="M147" s="294"/>
      <c r="N147" s="290"/>
    </row>
    <row r="148" spans="1:14">
      <c r="A148" s="293">
        <v>145</v>
      </c>
      <c r="B148" s="214" t="s">
        <v>263</v>
      </c>
      <c r="C148" s="293"/>
      <c r="D148" s="294"/>
      <c r="E148" s="294"/>
      <c r="F148" s="294"/>
      <c r="G148" s="294"/>
      <c r="H148" s="294"/>
      <c r="I148" s="294"/>
      <c r="J148" s="294"/>
      <c r="K148" s="294"/>
      <c r="L148" s="294"/>
      <c r="M148" s="294"/>
      <c r="N148" s="290"/>
    </row>
    <row r="149" spans="1:14">
      <c r="A149" s="293">
        <v>146</v>
      </c>
      <c r="B149" s="214" t="s">
        <v>264</v>
      </c>
      <c r="C149" s="293"/>
      <c r="D149" s="294"/>
      <c r="E149" s="294"/>
      <c r="F149" s="294"/>
      <c r="G149" s="294"/>
      <c r="H149" s="294"/>
      <c r="I149" s="294"/>
      <c r="J149" s="294"/>
      <c r="K149" s="294"/>
      <c r="L149" s="294"/>
      <c r="M149" s="294"/>
      <c r="N149" s="290"/>
    </row>
    <row r="150" spans="1:14">
      <c r="A150" s="293">
        <v>147</v>
      </c>
      <c r="B150" s="214" t="s">
        <v>265</v>
      </c>
      <c r="C150" s="293"/>
      <c r="D150" s="294"/>
      <c r="E150" s="294"/>
      <c r="F150" s="294"/>
      <c r="G150" s="294"/>
      <c r="H150" s="294"/>
      <c r="I150" s="294"/>
      <c r="J150" s="294"/>
      <c r="K150" s="294"/>
      <c r="L150" s="294"/>
      <c r="M150" s="294"/>
      <c r="N150" s="290"/>
    </row>
    <row r="151" spans="1:14">
      <c r="A151" s="293">
        <v>148</v>
      </c>
      <c r="B151" s="214" t="s">
        <v>266</v>
      </c>
      <c r="C151" s="293"/>
      <c r="D151" s="294"/>
      <c r="E151" s="294"/>
      <c r="F151" s="294"/>
      <c r="G151" s="294"/>
      <c r="H151" s="294"/>
      <c r="I151" s="294"/>
      <c r="J151" s="294"/>
      <c r="K151" s="294"/>
      <c r="L151" s="294"/>
      <c r="M151" s="294"/>
      <c r="N151" s="290"/>
    </row>
    <row r="152" spans="1:14">
      <c r="A152" s="293">
        <v>149</v>
      </c>
      <c r="B152" s="214" t="s">
        <v>268</v>
      </c>
      <c r="C152" s="293"/>
      <c r="D152" s="294"/>
      <c r="E152" s="294"/>
      <c r="F152" s="294"/>
      <c r="G152" s="294"/>
      <c r="H152" s="294"/>
      <c r="I152" s="294"/>
      <c r="J152" s="294"/>
      <c r="K152" s="294"/>
      <c r="L152" s="294"/>
      <c r="M152" s="294"/>
      <c r="N152" s="290"/>
    </row>
    <row r="153" spans="1:14">
      <c r="A153" s="293">
        <v>150</v>
      </c>
      <c r="B153" s="214" t="s">
        <v>269</v>
      </c>
      <c r="C153" s="293"/>
      <c r="D153" s="294"/>
      <c r="E153" s="294"/>
      <c r="F153" s="294"/>
      <c r="G153" s="294"/>
      <c r="H153" s="294"/>
      <c r="I153" s="294"/>
      <c r="J153" s="294"/>
      <c r="K153" s="294"/>
      <c r="L153" s="294"/>
      <c r="M153" s="294"/>
      <c r="N153" s="290"/>
    </row>
    <row r="154" spans="1:14">
      <c r="A154" s="293">
        <v>151</v>
      </c>
      <c r="B154" s="210" t="s">
        <v>270</v>
      </c>
      <c r="C154" s="209">
        <v>2839717</v>
      </c>
      <c r="D154" s="210" t="s">
        <v>9667</v>
      </c>
      <c r="E154" s="216" t="s">
        <v>9679</v>
      </c>
      <c r="F154" s="216">
        <v>897</v>
      </c>
      <c r="G154" s="216">
        <v>0</v>
      </c>
      <c r="H154" s="216">
        <v>0</v>
      </c>
      <c r="I154" s="216">
        <v>644</v>
      </c>
      <c r="J154" s="216">
        <v>253</v>
      </c>
      <c r="K154" s="216">
        <v>10</v>
      </c>
      <c r="L154" s="216">
        <v>0</v>
      </c>
      <c r="M154" s="216">
        <v>0</v>
      </c>
      <c r="N154" s="290"/>
    </row>
    <row r="155" spans="1:14">
      <c r="A155" s="293">
        <v>152</v>
      </c>
      <c r="B155" s="210" t="s">
        <v>270</v>
      </c>
      <c r="C155" s="209">
        <v>2839717</v>
      </c>
      <c r="D155" s="210" t="s">
        <v>9667</v>
      </c>
      <c r="E155" s="216" t="s">
        <v>9742</v>
      </c>
      <c r="F155" s="216">
        <v>1975</v>
      </c>
      <c r="G155" s="216">
        <v>0</v>
      </c>
      <c r="H155" s="216">
        <v>23575</v>
      </c>
      <c r="I155" s="216">
        <v>9675</v>
      </c>
      <c r="J155" s="216">
        <v>15875</v>
      </c>
      <c r="K155" s="216">
        <v>0</v>
      </c>
      <c r="L155" s="216">
        <v>38</v>
      </c>
      <c r="M155" s="216">
        <v>0</v>
      </c>
      <c r="N155" s="290"/>
    </row>
    <row r="156" spans="1:14">
      <c r="A156" s="293">
        <v>153</v>
      </c>
      <c r="B156" s="210" t="s">
        <v>270</v>
      </c>
      <c r="C156" s="209">
        <v>2839717</v>
      </c>
      <c r="D156" s="210" t="s">
        <v>9667</v>
      </c>
      <c r="E156" s="216" t="s">
        <v>9678</v>
      </c>
      <c r="F156" s="216">
        <v>7722</v>
      </c>
      <c r="G156" s="216">
        <v>0</v>
      </c>
      <c r="H156" s="216">
        <v>10017</v>
      </c>
      <c r="I156" s="216">
        <v>3618</v>
      </c>
      <c r="J156" s="216">
        <v>14121</v>
      </c>
      <c r="K156" s="216">
        <v>34</v>
      </c>
      <c r="L156" s="216">
        <v>0</v>
      </c>
      <c r="M156" s="216">
        <v>0</v>
      </c>
      <c r="N156" s="290"/>
    </row>
    <row r="157" spans="1:14">
      <c r="A157" s="293">
        <v>154</v>
      </c>
      <c r="B157" s="210" t="s">
        <v>270</v>
      </c>
      <c r="C157" s="209">
        <v>2839717</v>
      </c>
      <c r="D157" s="210" t="s">
        <v>9667</v>
      </c>
      <c r="E157" s="216" t="s">
        <v>9743</v>
      </c>
      <c r="F157" s="216">
        <v>21150</v>
      </c>
      <c r="G157" s="216">
        <v>0</v>
      </c>
      <c r="H157" s="216">
        <v>67975</v>
      </c>
      <c r="I157" s="216">
        <v>74175</v>
      </c>
      <c r="J157" s="216">
        <v>14950</v>
      </c>
      <c r="K157" s="216">
        <v>741</v>
      </c>
      <c r="L157" s="216">
        <v>0</v>
      </c>
      <c r="M157" s="216">
        <v>0</v>
      </c>
      <c r="N157" s="290"/>
    </row>
    <row r="158" spans="1:14">
      <c r="A158" s="293">
        <v>155</v>
      </c>
      <c r="B158" s="210" t="s">
        <v>270</v>
      </c>
      <c r="C158" s="209">
        <v>2839717</v>
      </c>
      <c r="D158" s="210" t="s">
        <v>9687</v>
      </c>
      <c r="E158" s="216" t="s">
        <v>9696</v>
      </c>
      <c r="F158" s="216">
        <v>13500</v>
      </c>
      <c r="G158" s="216">
        <v>38800</v>
      </c>
      <c r="H158" s="216">
        <v>0</v>
      </c>
      <c r="I158" s="216">
        <v>39450</v>
      </c>
      <c r="J158" s="216">
        <v>12850</v>
      </c>
      <c r="K158" s="216">
        <v>0</v>
      </c>
      <c r="L158" s="216">
        <v>1900</v>
      </c>
      <c r="M158" s="216">
        <v>0</v>
      </c>
      <c r="N158" s="290"/>
    </row>
    <row r="159" spans="1:14">
      <c r="A159" s="293">
        <v>156</v>
      </c>
      <c r="B159" s="210" t="s">
        <v>270</v>
      </c>
      <c r="C159" s="209">
        <v>2839717</v>
      </c>
      <c r="D159" s="210" t="s">
        <v>127</v>
      </c>
      <c r="E159" s="216" t="s">
        <v>9744</v>
      </c>
      <c r="F159" s="216">
        <v>1.6</v>
      </c>
      <c r="G159" s="216">
        <v>0</v>
      </c>
      <c r="H159" s="216">
        <v>16</v>
      </c>
      <c r="I159" s="216">
        <v>0.8</v>
      </c>
      <c r="J159" s="216">
        <v>16.8</v>
      </c>
      <c r="K159" s="216">
        <v>1</v>
      </c>
      <c r="L159" s="216">
        <v>0</v>
      </c>
      <c r="M159" s="216">
        <v>0</v>
      </c>
      <c r="N159" s="290"/>
    </row>
    <row r="160" spans="1:14">
      <c r="A160" s="293">
        <v>157</v>
      </c>
      <c r="B160" s="210" t="s">
        <v>270</v>
      </c>
      <c r="C160" s="209">
        <v>2839717</v>
      </c>
      <c r="D160" s="210" t="s">
        <v>127</v>
      </c>
      <c r="E160" s="216" t="s">
        <v>9745</v>
      </c>
      <c r="F160" s="216">
        <v>5.5</v>
      </c>
      <c r="G160" s="216">
        <v>0</v>
      </c>
      <c r="H160" s="216">
        <v>140</v>
      </c>
      <c r="I160" s="216">
        <v>16.5</v>
      </c>
      <c r="J160" s="216">
        <v>129</v>
      </c>
      <c r="K160" s="216">
        <v>2</v>
      </c>
      <c r="L160" s="216">
        <v>0</v>
      </c>
      <c r="M160" s="216">
        <v>0</v>
      </c>
      <c r="N160" s="290"/>
    </row>
    <row r="161" spans="1:14">
      <c r="A161" s="293">
        <v>158</v>
      </c>
      <c r="B161" s="210" t="s">
        <v>270</v>
      </c>
      <c r="C161" s="209">
        <v>2839717</v>
      </c>
      <c r="D161" s="210" t="s">
        <v>127</v>
      </c>
      <c r="E161" s="216" t="s">
        <v>9746</v>
      </c>
      <c r="F161" s="216">
        <v>35</v>
      </c>
      <c r="G161" s="216">
        <v>0</v>
      </c>
      <c r="H161" s="216">
        <v>140</v>
      </c>
      <c r="I161" s="216">
        <v>27</v>
      </c>
      <c r="J161" s="216">
        <v>148</v>
      </c>
      <c r="K161" s="216">
        <v>4</v>
      </c>
      <c r="L161" s="216">
        <v>0</v>
      </c>
      <c r="M161" s="216">
        <v>0</v>
      </c>
      <c r="N161" s="290"/>
    </row>
    <row r="162" spans="1:14" ht="25.5">
      <c r="A162" s="293">
        <v>159</v>
      </c>
      <c r="B162" s="210" t="s">
        <v>270</v>
      </c>
      <c r="C162" s="209">
        <v>2839717</v>
      </c>
      <c r="D162" s="210" t="s">
        <v>127</v>
      </c>
      <c r="E162" s="216" t="s">
        <v>9747</v>
      </c>
      <c r="F162" s="216">
        <v>0.25</v>
      </c>
      <c r="G162" s="216">
        <v>0</v>
      </c>
      <c r="H162" s="216">
        <v>0</v>
      </c>
      <c r="I162" s="216">
        <v>2.5000000000000001E-2</v>
      </c>
      <c r="J162" s="216">
        <v>0.22500000000000001</v>
      </c>
      <c r="K162" s="216">
        <v>0.5</v>
      </c>
      <c r="L162" s="216">
        <v>0</v>
      </c>
      <c r="M162" s="216">
        <v>0</v>
      </c>
      <c r="N162" s="290"/>
    </row>
    <row r="163" spans="1:14">
      <c r="A163" s="293">
        <v>160</v>
      </c>
      <c r="B163" s="244" t="s">
        <v>270</v>
      </c>
      <c r="C163" s="215">
        <v>2839717</v>
      </c>
      <c r="D163" s="210" t="s">
        <v>127</v>
      </c>
      <c r="E163" s="216" t="s">
        <v>9699</v>
      </c>
      <c r="F163" s="216">
        <v>300</v>
      </c>
      <c r="G163" s="216">
        <v>0</v>
      </c>
      <c r="H163" s="216">
        <v>0</v>
      </c>
      <c r="I163" s="216">
        <v>300</v>
      </c>
      <c r="J163" s="216">
        <v>0</v>
      </c>
      <c r="K163" s="216">
        <v>2</v>
      </c>
      <c r="L163" s="216">
        <v>0</v>
      </c>
      <c r="M163" s="216">
        <v>0</v>
      </c>
      <c r="N163" s="290"/>
    </row>
    <row r="164" spans="1:14">
      <c r="A164" s="293">
        <v>161</v>
      </c>
      <c r="B164" s="210" t="s">
        <v>270</v>
      </c>
      <c r="C164" s="209">
        <v>2839717</v>
      </c>
      <c r="D164" s="210" t="s">
        <v>127</v>
      </c>
      <c r="E164" s="216" t="s">
        <v>9748</v>
      </c>
      <c r="F164" s="216">
        <v>100</v>
      </c>
      <c r="G164" s="216">
        <v>0</v>
      </c>
      <c r="H164" s="216">
        <v>0</v>
      </c>
      <c r="I164" s="216">
        <v>100</v>
      </c>
      <c r="J164" s="216">
        <v>0</v>
      </c>
      <c r="K164" s="216">
        <v>1</v>
      </c>
      <c r="L164" s="216">
        <v>0</v>
      </c>
      <c r="M164" s="216">
        <v>0</v>
      </c>
      <c r="N164" s="290"/>
    </row>
    <row r="165" spans="1:14">
      <c r="A165" s="293">
        <v>162</v>
      </c>
      <c r="B165" s="214" t="s">
        <v>271</v>
      </c>
      <c r="C165" s="293"/>
      <c r="D165" s="294"/>
      <c r="E165" s="294"/>
      <c r="F165" s="294"/>
      <c r="G165" s="294"/>
      <c r="H165" s="294"/>
      <c r="I165" s="294"/>
      <c r="J165" s="294"/>
      <c r="K165" s="294"/>
      <c r="L165" s="294"/>
      <c r="M165" s="294"/>
    </row>
    <row r="166" spans="1:14">
      <c r="A166" s="293">
        <v>163</v>
      </c>
      <c r="B166" s="214" t="s">
        <v>273</v>
      </c>
      <c r="C166" s="293"/>
      <c r="D166" s="294"/>
      <c r="E166" s="294"/>
      <c r="F166" s="294"/>
      <c r="G166" s="294"/>
      <c r="H166" s="294"/>
      <c r="I166" s="294"/>
      <c r="J166" s="294"/>
      <c r="K166" s="294"/>
      <c r="L166" s="294"/>
      <c r="M166" s="294"/>
    </row>
    <row r="167" spans="1:14">
      <c r="A167" s="293">
        <v>164</v>
      </c>
      <c r="B167" s="214" t="s">
        <v>277</v>
      </c>
      <c r="C167" s="293"/>
      <c r="D167" s="294"/>
      <c r="E167" s="294"/>
      <c r="F167" s="294"/>
      <c r="G167" s="294"/>
      <c r="H167" s="294"/>
      <c r="I167" s="294"/>
      <c r="J167" s="294"/>
      <c r="K167" s="294"/>
      <c r="L167" s="294"/>
      <c r="M167" s="294"/>
    </row>
    <row r="168" spans="1:14">
      <c r="A168" s="293">
        <v>165</v>
      </c>
      <c r="B168" s="214" t="s">
        <v>279</v>
      </c>
      <c r="C168" s="293"/>
      <c r="D168" s="294"/>
      <c r="E168" s="294"/>
      <c r="F168" s="294"/>
      <c r="G168" s="294"/>
      <c r="H168" s="294"/>
      <c r="I168" s="294"/>
      <c r="J168" s="294"/>
      <c r="K168" s="294"/>
      <c r="L168" s="294"/>
      <c r="M168" s="294"/>
    </row>
    <row r="169" spans="1:14">
      <c r="A169" s="293">
        <v>166</v>
      </c>
      <c r="B169" s="214" t="s">
        <v>281</v>
      </c>
      <c r="C169" s="293"/>
      <c r="D169" s="294"/>
      <c r="E169" s="294"/>
      <c r="F169" s="294"/>
      <c r="G169" s="294"/>
      <c r="H169" s="294"/>
      <c r="I169" s="294"/>
      <c r="J169" s="294"/>
      <c r="K169" s="294"/>
      <c r="L169" s="294"/>
      <c r="M169" s="294"/>
    </row>
    <row r="170" spans="1:14">
      <c r="A170" s="293">
        <v>167</v>
      </c>
      <c r="B170" s="214" t="s">
        <v>282</v>
      </c>
      <c r="C170" s="293"/>
      <c r="D170" s="294"/>
      <c r="E170" s="294"/>
      <c r="F170" s="294"/>
      <c r="G170" s="294"/>
      <c r="H170" s="294"/>
      <c r="I170" s="294"/>
      <c r="J170" s="294"/>
      <c r="K170" s="294"/>
      <c r="L170" s="294"/>
      <c r="M170" s="294"/>
    </row>
    <row r="171" spans="1:14">
      <c r="A171" s="293">
        <v>168</v>
      </c>
      <c r="B171" s="214" t="s">
        <v>283</v>
      </c>
      <c r="C171" s="293"/>
      <c r="D171" s="294"/>
      <c r="E171" s="294"/>
      <c r="F171" s="294"/>
      <c r="G171" s="294"/>
      <c r="H171" s="294"/>
      <c r="I171" s="294"/>
      <c r="J171" s="294"/>
      <c r="K171" s="294"/>
      <c r="L171" s="294"/>
      <c r="M171" s="294"/>
    </row>
    <row r="172" spans="1:14">
      <c r="A172" s="293">
        <v>169</v>
      </c>
      <c r="B172" s="302" t="s">
        <v>284</v>
      </c>
      <c r="C172" s="209">
        <v>2618176</v>
      </c>
      <c r="D172" s="210" t="s">
        <v>127</v>
      </c>
      <c r="E172" s="216" t="s">
        <v>9749</v>
      </c>
      <c r="F172" s="216">
        <v>0</v>
      </c>
      <c r="G172" s="216">
        <v>64.040000000000006</v>
      </c>
      <c r="H172" s="216">
        <v>26</v>
      </c>
      <c r="I172" s="216">
        <v>90.04</v>
      </c>
      <c r="J172" s="216">
        <v>0</v>
      </c>
      <c r="K172" s="216">
        <v>0</v>
      </c>
      <c r="L172" s="216">
        <v>0</v>
      </c>
      <c r="M172" s="216">
        <v>0</v>
      </c>
    </row>
    <row r="173" spans="1:14">
      <c r="A173" s="293">
        <v>170</v>
      </c>
      <c r="B173" s="302" t="s">
        <v>284</v>
      </c>
      <c r="C173" s="215">
        <v>2618176</v>
      </c>
      <c r="D173" s="210" t="s">
        <v>127</v>
      </c>
      <c r="E173" s="216" t="s">
        <v>9750</v>
      </c>
      <c r="F173" s="216">
        <v>0</v>
      </c>
      <c r="G173" s="216">
        <v>66</v>
      </c>
      <c r="H173" s="216">
        <v>0</v>
      </c>
      <c r="I173" s="216">
        <v>66</v>
      </c>
      <c r="J173" s="216">
        <v>0</v>
      </c>
      <c r="K173" s="216">
        <v>0</v>
      </c>
      <c r="L173" s="216">
        <v>0</v>
      </c>
      <c r="M173" s="216">
        <v>0</v>
      </c>
    </row>
    <row r="174" spans="1:14">
      <c r="A174" s="293">
        <v>171</v>
      </c>
      <c r="B174" s="302" t="s">
        <v>285</v>
      </c>
      <c r="C174" s="293"/>
      <c r="D174" s="294"/>
      <c r="E174" s="294"/>
      <c r="F174" s="294"/>
      <c r="G174" s="294"/>
      <c r="H174" s="294"/>
      <c r="I174" s="294"/>
      <c r="J174" s="294"/>
      <c r="K174" s="294"/>
      <c r="L174" s="294"/>
      <c r="M174" s="294"/>
    </row>
    <row r="175" spans="1:14">
      <c r="A175" s="293">
        <v>172</v>
      </c>
      <c r="B175" s="302" t="s">
        <v>286</v>
      </c>
      <c r="C175" s="293"/>
      <c r="D175" s="294"/>
      <c r="E175" s="294"/>
      <c r="F175" s="294"/>
      <c r="G175" s="294"/>
      <c r="H175" s="294"/>
      <c r="I175" s="294"/>
      <c r="J175" s="294"/>
      <c r="K175" s="294"/>
      <c r="L175" s="294"/>
      <c r="M175" s="294"/>
    </row>
    <row r="176" spans="1:14">
      <c r="A176" s="293">
        <v>173</v>
      </c>
      <c r="B176" s="302" t="s">
        <v>287</v>
      </c>
      <c r="C176" s="293"/>
      <c r="D176" s="294"/>
      <c r="E176" s="294"/>
      <c r="F176" s="294"/>
      <c r="G176" s="294"/>
      <c r="H176" s="294"/>
      <c r="I176" s="294"/>
      <c r="J176" s="294"/>
      <c r="K176" s="294"/>
      <c r="L176" s="294"/>
      <c r="M176" s="294"/>
    </row>
    <row r="177" spans="1:13">
      <c r="A177" s="293">
        <v>174</v>
      </c>
      <c r="B177" s="302" t="s">
        <v>290</v>
      </c>
      <c r="C177" s="293"/>
      <c r="D177" s="294"/>
      <c r="E177" s="294"/>
      <c r="F177" s="294"/>
      <c r="G177" s="294"/>
      <c r="H177" s="294"/>
      <c r="I177" s="294"/>
      <c r="J177" s="294"/>
      <c r="K177" s="294"/>
      <c r="L177" s="294"/>
      <c r="M177" s="294"/>
    </row>
    <row r="178" spans="1:13">
      <c r="A178" s="293">
        <v>175</v>
      </c>
      <c r="B178" s="302" t="s">
        <v>292</v>
      </c>
      <c r="C178" s="293"/>
      <c r="D178" s="294"/>
      <c r="E178" s="294"/>
      <c r="F178" s="294"/>
      <c r="G178" s="294"/>
      <c r="H178" s="294"/>
      <c r="I178" s="294"/>
      <c r="J178" s="294"/>
      <c r="K178" s="294"/>
      <c r="L178" s="294"/>
      <c r="M178" s="294"/>
    </row>
    <row r="179" spans="1:13">
      <c r="A179" s="293">
        <v>176</v>
      </c>
      <c r="B179" s="302" t="s">
        <v>296</v>
      </c>
      <c r="C179" s="293"/>
      <c r="D179" s="294"/>
      <c r="E179" s="294"/>
      <c r="F179" s="294"/>
      <c r="G179" s="294"/>
      <c r="H179" s="294"/>
      <c r="I179" s="294"/>
      <c r="J179" s="294"/>
      <c r="K179" s="294"/>
      <c r="L179" s="294"/>
      <c r="M179" s="294"/>
    </row>
    <row r="180" spans="1:13">
      <c r="A180" s="293">
        <v>177</v>
      </c>
      <c r="B180" s="302" t="s">
        <v>297</v>
      </c>
      <c r="C180" s="293"/>
      <c r="D180" s="294"/>
      <c r="E180" s="294"/>
      <c r="F180" s="294"/>
      <c r="G180" s="294"/>
      <c r="H180" s="294"/>
      <c r="I180" s="294"/>
      <c r="J180" s="294"/>
      <c r="K180" s="294"/>
      <c r="L180" s="294"/>
      <c r="M180" s="294"/>
    </row>
    <row r="181" spans="1:13">
      <c r="A181" s="293">
        <v>178</v>
      </c>
      <c r="B181" s="302" t="s">
        <v>298</v>
      </c>
      <c r="C181" s="293"/>
      <c r="D181" s="294"/>
      <c r="E181" s="294"/>
      <c r="F181" s="294"/>
      <c r="G181" s="294"/>
      <c r="H181" s="294"/>
      <c r="I181" s="294"/>
      <c r="J181" s="294"/>
      <c r="K181" s="294"/>
      <c r="L181" s="294"/>
      <c r="M181" s="294"/>
    </row>
    <row r="182" spans="1:13">
      <c r="A182" s="293">
        <v>179</v>
      </c>
      <c r="B182" s="302" t="s">
        <v>299</v>
      </c>
      <c r="C182" s="293"/>
      <c r="D182" s="294"/>
      <c r="E182" s="294"/>
      <c r="F182" s="294"/>
      <c r="G182" s="294"/>
      <c r="H182" s="294"/>
      <c r="I182" s="294"/>
      <c r="J182" s="294"/>
      <c r="K182" s="294"/>
      <c r="L182" s="294"/>
      <c r="M182" s="294"/>
    </row>
    <row r="183" spans="1:13">
      <c r="A183" s="293">
        <v>180</v>
      </c>
      <c r="B183" s="302" t="s">
        <v>300</v>
      </c>
      <c r="C183" s="293"/>
      <c r="D183" s="294"/>
      <c r="E183" s="294"/>
      <c r="F183" s="294"/>
      <c r="G183" s="294"/>
      <c r="H183" s="294"/>
      <c r="I183" s="294"/>
      <c r="J183" s="294"/>
      <c r="K183" s="294"/>
      <c r="L183" s="294"/>
      <c r="M183" s="294"/>
    </row>
    <row r="184" spans="1:13">
      <c r="A184" s="293">
        <v>181</v>
      </c>
      <c r="B184" s="302" t="s">
        <v>301</v>
      </c>
      <c r="C184" s="209">
        <v>2548747</v>
      </c>
      <c r="D184" s="210" t="s">
        <v>9667</v>
      </c>
      <c r="E184" s="216" t="s">
        <v>9751</v>
      </c>
      <c r="F184" s="216">
        <v>121605</v>
      </c>
      <c r="G184" s="216">
        <v>300000</v>
      </c>
      <c r="H184" s="216">
        <v>701</v>
      </c>
      <c r="I184" s="216">
        <v>360540</v>
      </c>
      <c r="J184" s="216">
        <v>61765.4</v>
      </c>
      <c r="K184" s="216">
        <v>0</v>
      </c>
      <c r="L184" s="216">
        <v>0</v>
      </c>
      <c r="M184" s="216">
        <v>0</v>
      </c>
    </row>
    <row r="185" spans="1:13">
      <c r="A185" s="293">
        <v>182</v>
      </c>
      <c r="B185" s="302" t="s">
        <v>301</v>
      </c>
      <c r="C185" s="209">
        <v>2548747</v>
      </c>
      <c r="D185" s="210" t="s">
        <v>9687</v>
      </c>
      <c r="E185" s="216" t="s">
        <v>9752</v>
      </c>
      <c r="F185" s="216">
        <v>37818</v>
      </c>
      <c r="G185" s="216">
        <v>86400</v>
      </c>
      <c r="H185" s="216">
        <v>295.5</v>
      </c>
      <c r="I185" s="216">
        <v>60525</v>
      </c>
      <c r="J185" s="216">
        <v>63988.5</v>
      </c>
      <c r="K185" s="216">
        <v>0</v>
      </c>
      <c r="L185" s="216">
        <v>0</v>
      </c>
      <c r="M185" s="216">
        <v>0</v>
      </c>
    </row>
    <row r="186" spans="1:13">
      <c r="A186" s="293">
        <v>183</v>
      </c>
      <c r="B186" s="302" t="s">
        <v>303</v>
      </c>
      <c r="C186" s="293"/>
      <c r="D186" s="294"/>
      <c r="E186" s="294"/>
      <c r="F186" s="294"/>
      <c r="G186" s="294"/>
      <c r="H186" s="294"/>
      <c r="I186" s="294"/>
      <c r="J186" s="294"/>
      <c r="K186" s="294"/>
      <c r="L186" s="294"/>
      <c r="M186" s="294"/>
    </row>
    <row r="187" spans="1:13">
      <c r="A187" s="293">
        <v>184</v>
      </c>
      <c r="B187" s="302" t="s">
        <v>306</v>
      </c>
      <c r="C187" s="293"/>
      <c r="D187" s="294"/>
      <c r="E187" s="294"/>
      <c r="F187" s="294"/>
      <c r="G187" s="294"/>
      <c r="H187" s="294"/>
      <c r="I187" s="294"/>
      <c r="J187" s="294"/>
      <c r="K187" s="294"/>
      <c r="L187" s="294"/>
      <c r="M187" s="294"/>
    </row>
    <row r="188" spans="1:13">
      <c r="A188" s="293">
        <v>185</v>
      </c>
      <c r="B188" s="302" t="s">
        <v>307</v>
      </c>
      <c r="C188" s="293"/>
      <c r="D188" s="294"/>
      <c r="E188" s="294"/>
      <c r="F188" s="294"/>
      <c r="G188" s="294"/>
      <c r="H188" s="294"/>
      <c r="I188" s="294"/>
      <c r="J188" s="294"/>
      <c r="K188" s="294"/>
      <c r="L188" s="294"/>
      <c r="M188" s="294"/>
    </row>
    <row r="189" spans="1:13">
      <c r="A189" s="293">
        <v>186</v>
      </c>
      <c r="B189" s="302" t="s">
        <v>308</v>
      </c>
      <c r="C189" s="293"/>
      <c r="D189" s="294"/>
      <c r="E189" s="294"/>
      <c r="F189" s="294"/>
      <c r="G189" s="294"/>
      <c r="H189" s="294"/>
      <c r="I189" s="294"/>
      <c r="J189" s="294"/>
      <c r="K189" s="294"/>
      <c r="L189" s="294"/>
      <c r="M189" s="294"/>
    </row>
    <row r="190" spans="1:13">
      <c r="A190" s="293">
        <v>187</v>
      </c>
      <c r="B190" s="302" t="s">
        <v>309</v>
      </c>
      <c r="C190" s="209">
        <v>2050374</v>
      </c>
      <c r="D190" s="210" t="s">
        <v>9667</v>
      </c>
      <c r="E190" s="216" t="s">
        <v>9753</v>
      </c>
      <c r="F190" s="216">
        <v>900</v>
      </c>
      <c r="G190" s="216">
        <v>0</v>
      </c>
      <c r="H190" s="216">
        <v>1000</v>
      </c>
      <c r="I190" s="216">
        <v>100</v>
      </c>
      <c r="J190" s="216">
        <v>800</v>
      </c>
      <c r="K190" s="216">
        <v>0</v>
      </c>
      <c r="L190" s="216">
        <v>0</v>
      </c>
      <c r="M190" s="216">
        <v>0</v>
      </c>
    </row>
    <row r="191" spans="1:13">
      <c r="A191" s="293">
        <v>188</v>
      </c>
      <c r="B191" s="302" t="s">
        <v>309</v>
      </c>
      <c r="C191" s="209">
        <v>2050374</v>
      </c>
      <c r="D191" s="210" t="s">
        <v>9667</v>
      </c>
      <c r="E191" s="216" t="s">
        <v>9754</v>
      </c>
      <c r="F191" s="216">
        <v>1</v>
      </c>
      <c r="G191" s="216">
        <v>0</v>
      </c>
      <c r="H191" s="216">
        <v>1000</v>
      </c>
      <c r="I191" s="216">
        <v>60</v>
      </c>
      <c r="J191" s="216">
        <v>940</v>
      </c>
      <c r="K191" s="216">
        <v>0</v>
      </c>
      <c r="L191" s="216">
        <v>0</v>
      </c>
      <c r="M191" s="216">
        <v>0</v>
      </c>
    </row>
    <row r="192" spans="1:13">
      <c r="A192" s="293">
        <v>189</v>
      </c>
      <c r="B192" s="302" t="s">
        <v>309</v>
      </c>
      <c r="C192" s="209">
        <v>2050374</v>
      </c>
      <c r="D192" s="210" t="s">
        <v>9667</v>
      </c>
      <c r="E192" s="216" t="s">
        <v>9755</v>
      </c>
      <c r="F192" s="216">
        <v>1</v>
      </c>
      <c r="G192" s="216">
        <v>0</v>
      </c>
      <c r="H192" s="216">
        <v>1000</v>
      </c>
      <c r="I192" s="216">
        <v>90</v>
      </c>
      <c r="J192" s="216">
        <v>910</v>
      </c>
      <c r="K192" s="216">
        <v>0</v>
      </c>
      <c r="L192" s="216">
        <v>0</v>
      </c>
      <c r="M192" s="216">
        <v>0</v>
      </c>
    </row>
    <row r="193" spans="1:13">
      <c r="A193" s="293">
        <v>190</v>
      </c>
      <c r="B193" s="302" t="s">
        <v>309</v>
      </c>
      <c r="C193" s="209">
        <v>2050374</v>
      </c>
      <c r="D193" s="210" t="s">
        <v>9667</v>
      </c>
      <c r="E193" s="216" t="s">
        <v>9756</v>
      </c>
      <c r="F193" s="216">
        <v>1</v>
      </c>
      <c r="G193" s="216">
        <v>0</v>
      </c>
      <c r="H193" s="216">
        <v>1000</v>
      </c>
      <c r="I193" s="216">
        <v>100</v>
      </c>
      <c r="J193" s="216">
        <v>900</v>
      </c>
      <c r="K193" s="216">
        <v>0</v>
      </c>
      <c r="L193" s="216">
        <v>0</v>
      </c>
      <c r="M193" s="216">
        <v>0</v>
      </c>
    </row>
    <row r="194" spans="1:13">
      <c r="A194" s="293">
        <v>191</v>
      </c>
      <c r="B194" s="302" t="s">
        <v>309</v>
      </c>
      <c r="C194" s="209">
        <v>2050374</v>
      </c>
      <c r="D194" s="210" t="s">
        <v>9667</v>
      </c>
      <c r="E194" s="216" t="s">
        <v>9757</v>
      </c>
      <c r="F194" s="216">
        <v>200</v>
      </c>
      <c r="G194" s="216">
        <v>0</v>
      </c>
      <c r="H194" s="216">
        <v>200</v>
      </c>
      <c r="I194" s="216">
        <v>200</v>
      </c>
      <c r="J194" s="216">
        <v>0</v>
      </c>
      <c r="K194" s="216">
        <v>0</v>
      </c>
      <c r="L194" s="216">
        <v>0</v>
      </c>
      <c r="M194" s="216">
        <v>0</v>
      </c>
    </row>
    <row r="195" spans="1:13">
      <c r="A195" s="293">
        <v>192</v>
      </c>
      <c r="B195" s="302" t="s">
        <v>311</v>
      </c>
      <c r="C195" s="209">
        <v>2004879</v>
      </c>
      <c r="D195" s="210" t="s">
        <v>9667</v>
      </c>
      <c r="E195" s="216" t="s">
        <v>9758</v>
      </c>
      <c r="F195" s="216">
        <v>0.5</v>
      </c>
      <c r="G195" s="216">
        <v>0</v>
      </c>
      <c r="H195" s="216">
        <v>0</v>
      </c>
      <c r="I195" s="216">
        <v>0</v>
      </c>
      <c r="J195" s="216">
        <v>0.5</v>
      </c>
      <c r="K195" s="216">
        <v>0</v>
      </c>
      <c r="L195" s="216">
        <v>0</v>
      </c>
      <c r="M195" s="216">
        <v>0</v>
      </c>
    </row>
    <row r="196" spans="1:13">
      <c r="A196" s="293">
        <v>193</v>
      </c>
      <c r="B196" s="302" t="s">
        <v>311</v>
      </c>
      <c r="C196" s="209">
        <v>2004879</v>
      </c>
      <c r="D196" s="210" t="s">
        <v>9667</v>
      </c>
      <c r="E196" s="216" t="s">
        <v>9759</v>
      </c>
      <c r="F196" s="216">
        <v>5.0000000000000001E-3</v>
      </c>
      <c r="G196" s="216">
        <v>0</v>
      </c>
      <c r="H196" s="216">
        <v>0</v>
      </c>
      <c r="I196" s="216">
        <v>0</v>
      </c>
      <c r="J196" s="216">
        <v>5.0000000000000001E-3</v>
      </c>
      <c r="K196" s="216">
        <v>0</v>
      </c>
      <c r="L196" s="216">
        <v>0</v>
      </c>
      <c r="M196" s="216">
        <v>0</v>
      </c>
    </row>
    <row r="197" spans="1:13">
      <c r="A197" s="293">
        <v>194</v>
      </c>
      <c r="B197" s="302" t="s">
        <v>311</v>
      </c>
      <c r="C197" s="209">
        <v>2004879</v>
      </c>
      <c r="D197" s="210" t="s">
        <v>9667</v>
      </c>
      <c r="E197" s="216" t="s">
        <v>9755</v>
      </c>
      <c r="F197" s="216">
        <v>0.2</v>
      </c>
      <c r="G197" s="216">
        <v>0</v>
      </c>
      <c r="H197" s="216">
        <v>0</v>
      </c>
      <c r="I197" s="216">
        <v>0.02</v>
      </c>
      <c r="J197" s="216">
        <v>0.18</v>
      </c>
      <c r="K197" s="216">
        <v>0</v>
      </c>
      <c r="L197" s="216">
        <v>0</v>
      </c>
      <c r="M197" s="216">
        <v>0</v>
      </c>
    </row>
    <row r="198" spans="1:13">
      <c r="A198" s="293">
        <v>195</v>
      </c>
      <c r="B198" s="302" t="s">
        <v>311</v>
      </c>
      <c r="C198" s="209">
        <v>2004879</v>
      </c>
      <c r="D198" s="210" t="s">
        <v>9667</v>
      </c>
      <c r="E198" s="216" t="s">
        <v>9760</v>
      </c>
      <c r="F198" s="216">
        <v>0.5</v>
      </c>
      <c r="G198" s="216">
        <v>0</v>
      </c>
      <c r="H198" s="216">
        <v>0</v>
      </c>
      <c r="I198" s="216">
        <v>0</v>
      </c>
      <c r="J198" s="216">
        <v>0.5</v>
      </c>
      <c r="K198" s="216">
        <v>0</v>
      </c>
      <c r="L198" s="216">
        <v>0</v>
      </c>
      <c r="M198" s="216">
        <v>0</v>
      </c>
    </row>
    <row r="199" spans="1:13">
      <c r="A199" s="293">
        <v>196</v>
      </c>
      <c r="B199" s="302" t="s">
        <v>311</v>
      </c>
      <c r="C199" s="209">
        <v>2004879</v>
      </c>
      <c r="D199" s="210" t="s">
        <v>9667</v>
      </c>
      <c r="E199" s="216" t="s">
        <v>9761</v>
      </c>
      <c r="F199" s="216">
        <v>0.3</v>
      </c>
      <c r="G199" s="216">
        <v>0</v>
      </c>
      <c r="H199" s="216">
        <v>0</v>
      </c>
      <c r="I199" s="216">
        <v>0</v>
      </c>
      <c r="J199" s="216">
        <v>0.3</v>
      </c>
      <c r="K199" s="216">
        <v>0</v>
      </c>
      <c r="L199" s="216">
        <v>0</v>
      </c>
      <c r="M199" s="216">
        <v>0</v>
      </c>
    </row>
    <row r="200" spans="1:13">
      <c r="A200" s="293">
        <v>197</v>
      </c>
      <c r="B200" s="302" t="s">
        <v>311</v>
      </c>
      <c r="C200" s="209">
        <v>2004879</v>
      </c>
      <c r="D200" s="210" t="s">
        <v>9687</v>
      </c>
      <c r="E200" s="216" t="s">
        <v>9762</v>
      </c>
      <c r="F200" s="216">
        <v>0.01</v>
      </c>
      <c r="G200" s="216">
        <v>0</v>
      </c>
      <c r="H200" s="216">
        <v>0</v>
      </c>
      <c r="I200" s="216">
        <v>0</v>
      </c>
      <c r="J200" s="216">
        <v>0.01</v>
      </c>
      <c r="K200" s="216">
        <v>0</v>
      </c>
      <c r="L200" s="216">
        <v>0</v>
      </c>
      <c r="M200" s="216">
        <v>0</v>
      </c>
    </row>
    <row r="201" spans="1:13">
      <c r="A201" s="293">
        <v>198</v>
      </c>
      <c r="B201" s="302" t="s">
        <v>311</v>
      </c>
      <c r="C201" s="209">
        <v>2004879</v>
      </c>
      <c r="D201" s="210" t="s">
        <v>9687</v>
      </c>
      <c r="E201" s="216" t="s">
        <v>9763</v>
      </c>
      <c r="F201" s="216">
        <v>5.0000000000000001E-3</v>
      </c>
      <c r="G201" s="216">
        <v>0</v>
      </c>
      <c r="H201" s="216">
        <v>0</v>
      </c>
      <c r="I201" s="216">
        <v>0</v>
      </c>
      <c r="J201" s="216">
        <v>5.0000000000000001E-3</v>
      </c>
      <c r="K201" s="216">
        <v>0</v>
      </c>
      <c r="L201" s="216">
        <v>0</v>
      </c>
      <c r="M201" s="216">
        <v>0</v>
      </c>
    </row>
    <row r="202" spans="1:13">
      <c r="A202" s="293">
        <v>199</v>
      </c>
      <c r="B202" s="302" t="s">
        <v>311</v>
      </c>
      <c r="C202" s="209">
        <v>2004879</v>
      </c>
      <c r="D202" s="210" t="s">
        <v>9687</v>
      </c>
      <c r="E202" s="216" t="s">
        <v>9764</v>
      </c>
      <c r="F202" s="216">
        <v>1.2</v>
      </c>
      <c r="G202" s="216">
        <v>0</v>
      </c>
      <c r="H202" s="216">
        <v>0</v>
      </c>
      <c r="I202" s="216">
        <v>0</v>
      </c>
      <c r="J202" s="216">
        <v>1.2</v>
      </c>
      <c r="K202" s="216">
        <v>0</v>
      </c>
      <c r="L202" s="216">
        <v>0</v>
      </c>
      <c r="M202" s="216">
        <v>0</v>
      </c>
    </row>
    <row r="203" spans="1:13">
      <c r="A203" s="293">
        <v>200</v>
      </c>
      <c r="B203" s="302" t="s">
        <v>311</v>
      </c>
      <c r="C203" s="209">
        <v>2004879</v>
      </c>
      <c r="D203" s="210" t="s">
        <v>9687</v>
      </c>
      <c r="E203" s="216" t="s">
        <v>9765</v>
      </c>
      <c r="F203" s="216">
        <v>7</v>
      </c>
      <c r="G203" s="216">
        <v>0</v>
      </c>
      <c r="H203" s="216">
        <v>0</v>
      </c>
      <c r="I203" s="216">
        <v>0</v>
      </c>
      <c r="J203" s="216">
        <v>7</v>
      </c>
      <c r="K203" s="216">
        <v>0</v>
      </c>
      <c r="L203" s="216">
        <v>0</v>
      </c>
      <c r="M203" s="216">
        <v>0</v>
      </c>
    </row>
    <row r="204" spans="1:13">
      <c r="A204" s="293">
        <v>201</v>
      </c>
      <c r="B204" s="302" t="s">
        <v>311</v>
      </c>
      <c r="C204" s="209">
        <v>2004879</v>
      </c>
      <c r="D204" s="210" t="s">
        <v>9687</v>
      </c>
      <c r="E204" s="216" t="s">
        <v>9766</v>
      </c>
      <c r="F204" s="216">
        <v>2</v>
      </c>
      <c r="G204" s="216">
        <v>0</v>
      </c>
      <c r="H204" s="216">
        <v>0</v>
      </c>
      <c r="I204" s="216">
        <v>0</v>
      </c>
      <c r="J204" s="216">
        <v>2</v>
      </c>
      <c r="K204" s="216">
        <v>0</v>
      </c>
      <c r="L204" s="216">
        <v>0</v>
      </c>
      <c r="M204" s="216">
        <v>0</v>
      </c>
    </row>
    <row r="205" spans="1:13">
      <c r="A205" s="293">
        <v>202</v>
      </c>
      <c r="B205" s="302" t="s">
        <v>311</v>
      </c>
      <c r="C205" s="209">
        <v>2004879</v>
      </c>
      <c r="D205" s="210" t="s">
        <v>9687</v>
      </c>
      <c r="E205" s="216" t="s">
        <v>9767</v>
      </c>
      <c r="F205" s="216">
        <v>1</v>
      </c>
      <c r="G205" s="216">
        <v>0</v>
      </c>
      <c r="H205" s="216">
        <v>0</v>
      </c>
      <c r="I205" s="216">
        <v>0</v>
      </c>
      <c r="J205" s="216">
        <v>1</v>
      </c>
      <c r="K205" s="216">
        <v>0</v>
      </c>
      <c r="L205" s="216">
        <v>0</v>
      </c>
      <c r="M205" s="216">
        <v>0</v>
      </c>
    </row>
    <row r="206" spans="1:13">
      <c r="A206" s="293">
        <v>203</v>
      </c>
      <c r="B206" s="302" t="s">
        <v>311</v>
      </c>
      <c r="C206" s="209">
        <v>2004879</v>
      </c>
      <c r="D206" s="210" t="s">
        <v>9687</v>
      </c>
      <c r="E206" s="216" t="s">
        <v>9742</v>
      </c>
      <c r="F206" s="216">
        <v>1</v>
      </c>
      <c r="G206" s="216">
        <v>0</v>
      </c>
      <c r="H206" s="216">
        <v>0</v>
      </c>
      <c r="I206" s="216">
        <v>0</v>
      </c>
      <c r="J206" s="216">
        <v>1</v>
      </c>
      <c r="K206" s="216">
        <v>0</v>
      </c>
      <c r="L206" s="216">
        <v>0</v>
      </c>
      <c r="M206" s="216">
        <v>0</v>
      </c>
    </row>
    <row r="207" spans="1:13">
      <c r="A207" s="293">
        <v>204</v>
      </c>
      <c r="B207" s="302" t="s">
        <v>311</v>
      </c>
      <c r="C207" s="209">
        <v>2004879</v>
      </c>
      <c r="D207" s="210" t="s">
        <v>127</v>
      </c>
      <c r="E207" s="216" t="s">
        <v>9768</v>
      </c>
      <c r="F207" s="216">
        <v>3.3000000000000002E-2</v>
      </c>
      <c r="G207" s="216">
        <v>0</v>
      </c>
      <c r="H207" s="216">
        <v>0</v>
      </c>
      <c r="I207" s="216">
        <v>3.0000000000000001E-3</v>
      </c>
      <c r="J207" s="216">
        <v>0.03</v>
      </c>
      <c r="K207" s="216">
        <v>0</v>
      </c>
      <c r="L207" s="216">
        <v>0</v>
      </c>
      <c r="M207" s="216">
        <v>0</v>
      </c>
    </row>
    <row r="208" spans="1:13">
      <c r="A208" s="293">
        <v>205</v>
      </c>
      <c r="B208" s="302" t="s">
        <v>311</v>
      </c>
      <c r="C208" s="209">
        <v>2004879</v>
      </c>
      <c r="D208" s="210" t="s">
        <v>127</v>
      </c>
      <c r="E208" s="216" t="s">
        <v>9769</v>
      </c>
      <c r="F208" s="216">
        <v>0.02</v>
      </c>
      <c r="G208" s="216">
        <v>0</v>
      </c>
      <c r="H208" s="216">
        <v>0</v>
      </c>
      <c r="I208" s="216">
        <v>0</v>
      </c>
      <c r="J208" s="216">
        <v>0.02</v>
      </c>
      <c r="K208" s="216">
        <v>0</v>
      </c>
      <c r="L208" s="216">
        <v>0</v>
      </c>
      <c r="M208" s="216">
        <v>0</v>
      </c>
    </row>
    <row r="209" spans="1:13">
      <c r="A209" s="293">
        <v>206</v>
      </c>
      <c r="B209" s="302" t="s">
        <v>311</v>
      </c>
      <c r="C209" s="209">
        <v>2004879</v>
      </c>
      <c r="D209" s="210" t="s">
        <v>127</v>
      </c>
      <c r="E209" s="216" t="s">
        <v>9770</v>
      </c>
      <c r="F209" s="216">
        <v>0.02</v>
      </c>
      <c r="G209" s="216">
        <v>0</v>
      </c>
      <c r="H209" s="216">
        <v>0</v>
      </c>
      <c r="I209" s="216">
        <v>0</v>
      </c>
      <c r="J209" s="216">
        <v>0.02</v>
      </c>
      <c r="K209" s="216">
        <v>0</v>
      </c>
      <c r="L209" s="216">
        <v>0</v>
      </c>
      <c r="M209" s="216">
        <v>0</v>
      </c>
    </row>
    <row r="210" spans="1:13">
      <c r="A210" s="293">
        <v>207</v>
      </c>
      <c r="B210" s="302" t="s">
        <v>311</v>
      </c>
      <c r="C210" s="209">
        <v>2004879</v>
      </c>
      <c r="D210" s="210" t="s">
        <v>127</v>
      </c>
      <c r="E210" s="216" t="s">
        <v>9771</v>
      </c>
      <c r="F210" s="216">
        <v>3.5</v>
      </c>
      <c r="G210" s="216">
        <v>0</v>
      </c>
      <c r="H210" s="216">
        <v>0</v>
      </c>
      <c r="I210" s="216">
        <v>0</v>
      </c>
      <c r="J210" s="216">
        <v>3.5</v>
      </c>
      <c r="K210" s="216">
        <v>0</v>
      </c>
      <c r="L210" s="216">
        <v>0</v>
      </c>
      <c r="M210" s="216">
        <v>0</v>
      </c>
    </row>
    <row r="211" spans="1:13">
      <c r="A211" s="293">
        <v>208</v>
      </c>
      <c r="B211" s="302" t="s">
        <v>311</v>
      </c>
      <c r="C211" s="209">
        <v>2004879</v>
      </c>
      <c r="D211" s="210" t="s">
        <v>127</v>
      </c>
      <c r="E211" s="216" t="s">
        <v>9772</v>
      </c>
      <c r="F211" s="216">
        <v>2</v>
      </c>
      <c r="G211" s="216">
        <v>0</v>
      </c>
      <c r="H211" s="216">
        <v>0</v>
      </c>
      <c r="I211" s="216">
        <v>0</v>
      </c>
      <c r="J211" s="216">
        <v>2</v>
      </c>
      <c r="K211" s="216">
        <v>0</v>
      </c>
      <c r="L211" s="216">
        <v>0</v>
      </c>
      <c r="M211" s="216">
        <v>0</v>
      </c>
    </row>
    <row r="212" spans="1:13">
      <c r="A212" s="293">
        <v>209</v>
      </c>
      <c r="B212" s="302" t="s">
        <v>311</v>
      </c>
      <c r="C212" s="209">
        <v>2004879</v>
      </c>
      <c r="D212" s="210" t="s">
        <v>127</v>
      </c>
      <c r="E212" s="216" t="s">
        <v>9773</v>
      </c>
      <c r="F212" s="216">
        <v>8.4</v>
      </c>
      <c r="G212" s="216">
        <v>0</v>
      </c>
      <c r="H212" s="216">
        <v>0</v>
      </c>
      <c r="I212" s="216">
        <v>0</v>
      </c>
      <c r="J212" s="216">
        <v>8.4</v>
      </c>
      <c r="K212" s="216">
        <v>0</v>
      </c>
      <c r="L212" s="216">
        <v>0</v>
      </c>
      <c r="M212" s="216">
        <v>0</v>
      </c>
    </row>
    <row r="213" spans="1:13">
      <c r="A213" s="293">
        <v>210</v>
      </c>
      <c r="B213" s="302" t="s">
        <v>311</v>
      </c>
      <c r="C213" s="209">
        <v>2004879</v>
      </c>
      <c r="D213" s="210" t="s">
        <v>127</v>
      </c>
      <c r="E213" s="216" t="s">
        <v>9774</v>
      </c>
      <c r="F213" s="216">
        <v>0.01</v>
      </c>
      <c r="G213" s="216">
        <v>0</v>
      </c>
      <c r="H213" s="216">
        <v>0</v>
      </c>
      <c r="I213" s="216">
        <v>0</v>
      </c>
      <c r="J213" s="216">
        <v>0.01</v>
      </c>
      <c r="K213" s="216">
        <v>0</v>
      </c>
      <c r="L213" s="216">
        <v>0</v>
      </c>
      <c r="M213" s="216">
        <v>0</v>
      </c>
    </row>
    <row r="214" spans="1:13">
      <c r="A214" s="293">
        <v>211</v>
      </c>
      <c r="B214" s="302" t="s">
        <v>311</v>
      </c>
      <c r="C214" s="209">
        <v>2004879</v>
      </c>
      <c r="D214" s="210" t="s">
        <v>127</v>
      </c>
      <c r="E214" s="216" t="s">
        <v>9775</v>
      </c>
      <c r="F214" s="216">
        <v>0.05</v>
      </c>
      <c r="G214" s="216">
        <v>0</v>
      </c>
      <c r="H214" s="216">
        <v>0</v>
      </c>
      <c r="I214" s="216">
        <v>0</v>
      </c>
      <c r="J214" s="216">
        <v>0.05</v>
      </c>
      <c r="K214" s="216">
        <v>0</v>
      </c>
      <c r="L214" s="216">
        <v>0</v>
      </c>
      <c r="M214" s="216">
        <v>0</v>
      </c>
    </row>
    <row r="215" spans="1:13">
      <c r="A215" s="293">
        <v>212</v>
      </c>
      <c r="B215" s="302" t="s">
        <v>311</v>
      </c>
      <c r="C215" s="209">
        <v>2004879</v>
      </c>
      <c r="D215" s="210" t="s">
        <v>127</v>
      </c>
      <c r="E215" s="216" t="s">
        <v>9776</v>
      </c>
      <c r="F215" s="216">
        <v>2.5000000000000001E-2</v>
      </c>
      <c r="G215" s="216">
        <v>0</v>
      </c>
      <c r="H215" s="216">
        <v>0</v>
      </c>
      <c r="I215" s="216">
        <v>0</v>
      </c>
      <c r="J215" s="216">
        <v>2.5000000000000001E-2</v>
      </c>
      <c r="K215" s="216">
        <v>0</v>
      </c>
      <c r="L215" s="216">
        <v>0</v>
      </c>
      <c r="M215" s="216">
        <v>0</v>
      </c>
    </row>
    <row r="216" spans="1:13">
      <c r="A216" s="293">
        <v>213</v>
      </c>
      <c r="B216" s="302" t="s">
        <v>311</v>
      </c>
      <c r="C216" s="209">
        <v>2004879</v>
      </c>
      <c r="D216" s="210" t="s">
        <v>127</v>
      </c>
      <c r="E216" s="216" t="s">
        <v>9777</v>
      </c>
      <c r="F216" s="216">
        <v>0.05</v>
      </c>
      <c r="G216" s="216">
        <v>0</v>
      </c>
      <c r="H216" s="216">
        <v>0</v>
      </c>
      <c r="I216" s="216">
        <v>0</v>
      </c>
      <c r="J216" s="216">
        <v>0.05</v>
      </c>
      <c r="K216" s="216">
        <v>0</v>
      </c>
      <c r="L216" s="216">
        <v>0</v>
      </c>
      <c r="M216" s="216">
        <v>0</v>
      </c>
    </row>
    <row r="217" spans="1:13">
      <c r="A217" s="293">
        <v>214</v>
      </c>
      <c r="B217" s="302" t="s">
        <v>311</v>
      </c>
      <c r="C217" s="209">
        <v>2004879</v>
      </c>
      <c r="D217" s="210" t="s">
        <v>127</v>
      </c>
      <c r="E217" s="216" t="s">
        <v>9778</v>
      </c>
      <c r="F217" s="216">
        <v>0.05</v>
      </c>
      <c r="G217" s="216">
        <v>0</v>
      </c>
      <c r="H217" s="216">
        <v>0</v>
      </c>
      <c r="I217" s="216">
        <v>0</v>
      </c>
      <c r="J217" s="216">
        <v>0.05</v>
      </c>
      <c r="K217" s="216">
        <v>0</v>
      </c>
      <c r="L217" s="216">
        <v>0</v>
      </c>
      <c r="M217" s="216">
        <v>0</v>
      </c>
    </row>
    <row r="218" spans="1:13">
      <c r="A218" s="293">
        <v>215</v>
      </c>
      <c r="B218" s="302" t="s">
        <v>314</v>
      </c>
      <c r="C218" s="293"/>
      <c r="D218" s="294"/>
      <c r="E218" s="294"/>
      <c r="F218" s="294"/>
      <c r="G218" s="294"/>
      <c r="H218" s="294"/>
      <c r="I218" s="294"/>
      <c r="J218" s="294"/>
      <c r="K218" s="294"/>
      <c r="L218" s="294"/>
      <c r="M218" s="294"/>
    </row>
    <row r="219" spans="1:13">
      <c r="A219" s="293">
        <v>216</v>
      </c>
      <c r="B219" s="302" t="s">
        <v>315</v>
      </c>
      <c r="C219" s="293"/>
      <c r="D219" s="294"/>
      <c r="E219" s="294"/>
      <c r="F219" s="294"/>
      <c r="G219" s="294"/>
      <c r="H219" s="294"/>
      <c r="I219" s="294"/>
      <c r="J219" s="294"/>
      <c r="K219" s="294"/>
      <c r="L219" s="294"/>
      <c r="M219" s="294"/>
    </row>
    <row r="220" spans="1:13">
      <c r="A220" s="293">
        <v>217</v>
      </c>
      <c r="B220" s="302" t="s">
        <v>316</v>
      </c>
      <c r="C220" s="293"/>
      <c r="D220" s="294"/>
      <c r="E220" s="294"/>
      <c r="F220" s="294"/>
      <c r="G220" s="294"/>
      <c r="H220" s="294"/>
      <c r="I220" s="294"/>
      <c r="J220" s="294"/>
      <c r="K220" s="294"/>
      <c r="L220" s="294"/>
      <c r="M220" s="294"/>
    </row>
    <row r="221" spans="1:13">
      <c r="A221" s="293">
        <v>218</v>
      </c>
      <c r="B221" s="302" t="s">
        <v>317</v>
      </c>
      <c r="C221" s="293"/>
      <c r="D221" s="294"/>
      <c r="E221" s="294"/>
      <c r="F221" s="294"/>
      <c r="G221" s="294"/>
      <c r="H221" s="294"/>
      <c r="I221" s="294"/>
      <c r="J221" s="294"/>
      <c r="K221" s="294"/>
      <c r="L221" s="294"/>
      <c r="M221" s="294"/>
    </row>
    <row r="222" spans="1:13">
      <c r="A222" s="293">
        <v>219</v>
      </c>
      <c r="B222" s="302" t="s">
        <v>318</v>
      </c>
      <c r="C222" s="293"/>
      <c r="D222" s="294"/>
      <c r="E222" s="294"/>
      <c r="F222" s="294"/>
      <c r="G222" s="294"/>
      <c r="H222" s="294"/>
      <c r="I222" s="294"/>
      <c r="J222" s="294"/>
      <c r="K222" s="294"/>
      <c r="L222" s="294"/>
      <c r="M222" s="294"/>
    </row>
    <row r="223" spans="1:13">
      <c r="A223" s="293">
        <v>220</v>
      </c>
      <c r="B223" s="302" t="s">
        <v>319</v>
      </c>
      <c r="C223" s="209">
        <v>2887746</v>
      </c>
      <c r="D223" s="210" t="s">
        <v>9667</v>
      </c>
      <c r="E223" s="216" t="s">
        <v>9695</v>
      </c>
      <c r="F223" s="216">
        <v>52500</v>
      </c>
      <c r="G223" s="216">
        <v>245540</v>
      </c>
      <c r="H223" s="216">
        <v>0</v>
      </c>
      <c r="I223" s="216">
        <v>212440</v>
      </c>
      <c r="J223" s="216">
        <v>85600</v>
      </c>
      <c r="K223" s="216">
        <v>0</v>
      </c>
      <c r="L223" s="216">
        <v>0</v>
      </c>
      <c r="M223" s="216">
        <v>0</v>
      </c>
    </row>
    <row r="224" spans="1:13">
      <c r="A224" s="293">
        <v>221</v>
      </c>
      <c r="B224" s="302" t="s">
        <v>319</v>
      </c>
      <c r="C224" s="209">
        <v>2887746</v>
      </c>
      <c r="D224" s="210" t="s">
        <v>9667</v>
      </c>
      <c r="E224" s="216" t="s">
        <v>9082</v>
      </c>
      <c r="F224" s="216">
        <v>8929</v>
      </c>
      <c r="G224" s="216">
        <v>766106</v>
      </c>
      <c r="H224" s="216">
        <v>0</v>
      </c>
      <c r="I224" s="216">
        <v>762091</v>
      </c>
      <c r="J224" s="216">
        <v>12943.3</v>
      </c>
      <c r="K224" s="216">
        <v>0</v>
      </c>
      <c r="L224" s="216">
        <v>0</v>
      </c>
      <c r="M224" s="216">
        <v>0</v>
      </c>
    </row>
    <row r="225" spans="1:13">
      <c r="A225" s="293">
        <v>222</v>
      </c>
      <c r="B225" s="302" t="s">
        <v>319</v>
      </c>
      <c r="C225" s="209">
        <v>2887746</v>
      </c>
      <c r="D225" s="210" t="s">
        <v>9667</v>
      </c>
      <c r="E225" s="216" t="s">
        <v>9779</v>
      </c>
      <c r="F225" s="216">
        <v>57200</v>
      </c>
      <c r="G225" s="216">
        <v>417820</v>
      </c>
      <c r="H225" s="216">
        <v>0</v>
      </c>
      <c r="I225" s="216">
        <v>367760</v>
      </c>
      <c r="J225" s="216">
        <v>107260</v>
      </c>
      <c r="K225" s="216">
        <v>0</v>
      </c>
      <c r="L225" s="216">
        <v>0</v>
      </c>
      <c r="M225" s="216">
        <v>0</v>
      </c>
    </row>
    <row r="226" spans="1:13">
      <c r="A226" s="293">
        <v>223</v>
      </c>
      <c r="B226" s="302" t="s">
        <v>319</v>
      </c>
      <c r="C226" s="209">
        <v>2887746</v>
      </c>
      <c r="D226" s="210" t="s">
        <v>9667</v>
      </c>
      <c r="E226" s="216" t="s">
        <v>9780</v>
      </c>
      <c r="F226" s="216">
        <v>10600</v>
      </c>
      <c r="G226" s="216">
        <v>0</v>
      </c>
      <c r="H226" s="216">
        <v>0</v>
      </c>
      <c r="I226" s="216">
        <v>4300</v>
      </c>
      <c r="J226" s="216">
        <v>6300</v>
      </c>
      <c r="K226" s="216">
        <v>0</v>
      </c>
      <c r="L226" s="216">
        <v>0</v>
      </c>
      <c r="M226" s="216">
        <v>0</v>
      </c>
    </row>
    <row r="227" spans="1:13">
      <c r="A227" s="293">
        <v>224</v>
      </c>
      <c r="B227" s="302" t="s">
        <v>319</v>
      </c>
      <c r="C227" s="209">
        <v>2887746</v>
      </c>
      <c r="D227" s="210" t="s">
        <v>9667</v>
      </c>
      <c r="E227" s="216" t="s">
        <v>9781</v>
      </c>
      <c r="F227" s="216">
        <v>1530300</v>
      </c>
      <c r="G227" s="216">
        <v>11973800</v>
      </c>
      <c r="H227" s="216">
        <v>0</v>
      </c>
      <c r="I227" s="216">
        <v>12386300</v>
      </c>
      <c r="J227" s="216">
        <v>1117850</v>
      </c>
      <c r="K227" s="216">
        <v>0</v>
      </c>
      <c r="L227" s="216">
        <v>0</v>
      </c>
      <c r="M227" s="216">
        <v>0</v>
      </c>
    </row>
    <row r="228" spans="1:13">
      <c r="A228" s="293">
        <v>225</v>
      </c>
      <c r="B228" s="302" t="s">
        <v>319</v>
      </c>
      <c r="C228" s="209">
        <v>2887746</v>
      </c>
      <c r="D228" s="210" t="s">
        <v>9667</v>
      </c>
      <c r="E228" s="216" t="s">
        <v>9684</v>
      </c>
      <c r="F228" s="216">
        <v>0.2</v>
      </c>
      <c r="G228" s="216">
        <v>0</v>
      </c>
      <c r="H228" s="216">
        <v>0</v>
      </c>
      <c r="I228" s="216">
        <v>0</v>
      </c>
      <c r="J228" s="216">
        <v>0.2</v>
      </c>
      <c r="K228" s="216">
        <v>0</v>
      </c>
      <c r="L228" s="216">
        <v>0</v>
      </c>
      <c r="M228" s="216">
        <v>0</v>
      </c>
    </row>
    <row r="229" spans="1:13">
      <c r="A229" s="293">
        <v>226</v>
      </c>
      <c r="B229" s="302" t="s">
        <v>319</v>
      </c>
      <c r="C229" s="209">
        <v>2887746</v>
      </c>
      <c r="D229" s="210" t="s">
        <v>9667</v>
      </c>
      <c r="E229" s="216" t="s">
        <v>9685</v>
      </c>
      <c r="F229" s="216">
        <v>6</v>
      </c>
      <c r="G229" s="216">
        <v>0</v>
      </c>
      <c r="H229" s="216">
        <v>0</v>
      </c>
      <c r="I229" s="216">
        <v>0</v>
      </c>
      <c r="J229" s="216">
        <v>6</v>
      </c>
      <c r="K229" s="216">
        <v>0</v>
      </c>
      <c r="L229" s="216">
        <v>0</v>
      </c>
      <c r="M229" s="216">
        <v>0</v>
      </c>
    </row>
    <row r="230" spans="1:13">
      <c r="A230" s="293">
        <v>227</v>
      </c>
      <c r="B230" s="302" t="s">
        <v>319</v>
      </c>
      <c r="C230" s="209">
        <v>2887746</v>
      </c>
      <c r="D230" s="210" t="s">
        <v>9667</v>
      </c>
      <c r="E230" s="216" t="s">
        <v>9686</v>
      </c>
      <c r="F230" s="216">
        <v>0.74</v>
      </c>
      <c r="G230" s="216">
        <v>0</v>
      </c>
      <c r="H230" s="216">
        <v>0</v>
      </c>
      <c r="I230" s="216">
        <v>0</v>
      </c>
      <c r="J230" s="216">
        <v>0.74</v>
      </c>
      <c r="K230" s="216">
        <v>0</v>
      </c>
      <c r="L230" s="216">
        <v>0</v>
      </c>
      <c r="M230" s="216">
        <v>0</v>
      </c>
    </row>
    <row r="231" spans="1:13">
      <c r="A231" s="293">
        <v>228</v>
      </c>
      <c r="B231" s="302" t="s">
        <v>319</v>
      </c>
      <c r="C231" s="209">
        <v>2887746</v>
      </c>
      <c r="D231" s="210" t="s">
        <v>9687</v>
      </c>
      <c r="E231" s="216" t="s">
        <v>9769</v>
      </c>
      <c r="F231" s="216">
        <v>0.2</v>
      </c>
      <c r="G231" s="216">
        <v>0</v>
      </c>
      <c r="H231" s="216">
        <v>0</v>
      </c>
      <c r="I231" s="216">
        <v>0</v>
      </c>
      <c r="J231" s="216">
        <v>0.2</v>
      </c>
      <c r="K231" s="216">
        <v>0</v>
      </c>
      <c r="L231" s="216">
        <v>0</v>
      </c>
      <c r="M231" s="216">
        <v>0</v>
      </c>
    </row>
    <row r="232" spans="1:13">
      <c r="A232" s="293">
        <v>229</v>
      </c>
      <c r="B232" s="302" t="s">
        <v>319</v>
      </c>
      <c r="C232" s="209">
        <v>2887746</v>
      </c>
      <c r="D232" s="210" t="s">
        <v>9687</v>
      </c>
      <c r="E232" s="216" t="s">
        <v>9782</v>
      </c>
      <c r="F232" s="216">
        <v>0.33</v>
      </c>
      <c r="G232" s="216">
        <v>0</v>
      </c>
      <c r="H232" s="216">
        <v>0</v>
      </c>
      <c r="I232" s="216">
        <v>0.03</v>
      </c>
      <c r="J232" s="216">
        <v>0.3</v>
      </c>
      <c r="K232" s="216">
        <v>0</v>
      </c>
      <c r="L232" s="216">
        <v>0</v>
      </c>
      <c r="M232" s="216">
        <v>0</v>
      </c>
    </row>
    <row r="233" spans="1:13">
      <c r="A233" s="293">
        <v>230</v>
      </c>
      <c r="B233" s="302" t="s">
        <v>319</v>
      </c>
      <c r="C233" s="209">
        <v>2887746</v>
      </c>
      <c r="D233" s="210" t="s">
        <v>9687</v>
      </c>
      <c r="E233" s="216" t="s">
        <v>9770</v>
      </c>
      <c r="F233" s="216">
        <v>0.2</v>
      </c>
      <c r="G233" s="216">
        <v>0</v>
      </c>
      <c r="H233" s="216">
        <v>0</v>
      </c>
      <c r="I233" s="216">
        <v>0</v>
      </c>
      <c r="J233" s="216">
        <v>0.2</v>
      </c>
      <c r="K233" s="216">
        <v>0</v>
      </c>
      <c r="L233" s="216">
        <v>0</v>
      </c>
      <c r="M233" s="216">
        <v>0</v>
      </c>
    </row>
    <row r="234" spans="1:13">
      <c r="A234" s="293">
        <v>231</v>
      </c>
      <c r="B234" s="302" t="s">
        <v>319</v>
      </c>
      <c r="C234" s="209">
        <v>2887746</v>
      </c>
      <c r="D234" s="210" t="s">
        <v>9687</v>
      </c>
      <c r="E234" s="216" t="s">
        <v>9755</v>
      </c>
      <c r="F234" s="216">
        <v>0.2</v>
      </c>
      <c r="G234" s="216">
        <v>0</v>
      </c>
      <c r="H234" s="216">
        <v>0</v>
      </c>
      <c r="I234" s="216">
        <v>0.02</v>
      </c>
      <c r="J234" s="216">
        <v>0.18</v>
      </c>
      <c r="K234" s="216">
        <v>0</v>
      </c>
      <c r="L234" s="216">
        <v>0</v>
      </c>
      <c r="M234" s="216">
        <v>0</v>
      </c>
    </row>
    <row r="235" spans="1:13">
      <c r="A235" s="293">
        <v>232</v>
      </c>
      <c r="B235" s="302" t="s">
        <v>319</v>
      </c>
      <c r="C235" s="215">
        <v>2887746</v>
      </c>
      <c r="D235" s="210" t="s">
        <v>9687</v>
      </c>
      <c r="E235" s="216" t="s">
        <v>9771</v>
      </c>
      <c r="F235" s="216">
        <v>3.5</v>
      </c>
      <c r="G235" s="216">
        <v>0</v>
      </c>
      <c r="H235" s="216">
        <v>0</v>
      </c>
      <c r="I235" s="216">
        <v>0</v>
      </c>
      <c r="J235" s="216">
        <v>3.5</v>
      </c>
      <c r="K235" s="216">
        <v>0</v>
      </c>
      <c r="L235" s="216">
        <v>0</v>
      </c>
      <c r="M235" s="216">
        <v>0</v>
      </c>
    </row>
    <row r="236" spans="1:13">
      <c r="A236" s="293">
        <v>233</v>
      </c>
      <c r="B236" s="302" t="s">
        <v>319</v>
      </c>
      <c r="C236" s="209">
        <v>2887746</v>
      </c>
      <c r="D236" s="210" t="s">
        <v>9687</v>
      </c>
      <c r="E236" s="216" t="s">
        <v>9762</v>
      </c>
      <c r="F236" s="216">
        <v>0.01</v>
      </c>
      <c r="G236" s="216">
        <v>0</v>
      </c>
      <c r="H236" s="216">
        <v>0</v>
      </c>
      <c r="I236" s="216">
        <v>0</v>
      </c>
      <c r="J236" s="216">
        <v>0.01</v>
      </c>
      <c r="K236" s="216">
        <v>0</v>
      </c>
      <c r="L236" s="216">
        <v>0</v>
      </c>
      <c r="M236" s="216">
        <v>0</v>
      </c>
    </row>
    <row r="237" spans="1:13">
      <c r="A237" s="293">
        <v>234</v>
      </c>
      <c r="B237" s="302" t="s">
        <v>319</v>
      </c>
      <c r="C237" s="209">
        <v>2887746</v>
      </c>
      <c r="D237" s="210" t="s">
        <v>9687</v>
      </c>
      <c r="E237" s="216" t="s">
        <v>9783</v>
      </c>
      <c r="F237" s="216">
        <v>0.12</v>
      </c>
      <c r="G237" s="216">
        <v>0</v>
      </c>
      <c r="H237" s="216">
        <v>0</v>
      </c>
      <c r="I237" s="216">
        <v>0</v>
      </c>
      <c r="J237" s="216">
        <v>0.12</v>
      </c>
      <c r="K237" s="216">
        <v>0</v>
      </c>
      <c r="L237" s="216">
        <v>0</v>
      </c>
      <c r="M237" s="216">
        <v>0</v>
      </c>
    </row>
    <row r="238" spans="1:13">
      <c r="A238" s="293">
        <v>235</v>
      </c>
      <c r="B238" s="302" t="s">
        <v>320</v>
      </c>
      <c r="C238" s="293"/>
      <c r="D238" s="294"/>
      <c r="E238" s="294"/>
      <c r="F238" s="294"/>
      <c r="G238" s="294"/>
      <c r="H238" s="294"/>
      <c r="I238" s="294"/>
      <c r="J238" s="294"/>
      <c r="K238" s="294"/>
      <c r="L238" s="294"/>
      <c r="M238" s="294"/>
    </row>
    <row r="239" spans="1:13">
      <c r="A239" s="293">
        <v>236</v>
      </c>
      <c r="B239" s="302" t="s">
        <v>321</v>
      </c>
      <c r="C239" s="293"/>
      <c r="D239" s="294"/>
      <c r="E239" s="294"/>
      <c r="F239" s="294"/>
      <c r="G239" s="294"/>
      <c r="H239" s="294"/>
      <c r="I239" s="294"/>
      <c r="J239" s="294"/>
      <c r="K239" s="294"/>
      <c r="L239" s="294"/>
      <c r="M239" s="294"/>
    </row>
    <row r="240" spans="1:13">
      <c r="A240" s="293">
        <v>237</v>
      </c>
      <c r="B240" s="302" t="s">
        <v>322</v>
      </c>
      <c r="C240" s="293"/>
      <c r="D240" s="294"/>
      <c r="E240" s="294"/>
      <c r="F240" s="294"/>
      <c r="G240" s="294"/>
      <c r="H240" s="294"/>
      <c r="I240" s="294"/>
      <c r="J240" s="294"/>
      <c r="K240" s="294"/>
      <c r="L240" s="294"/>
      <c r="M240" s="294"/>
    </row>
    <row r="241" spans="1:13">
      <c r="A241" s="293">
        <v>238</v>
      </c>
      <c r="B241" s="302" t="s">
        <v>323</v>
      </c>
      <c r="C241" s="293"/>
      <c r="D241" s="294"/>
      <c r="E241" s="294"/>
      <c r="F241" s="294"/>
      <c r="G241" s="294"/>
      <c r="H241" s="294"/>
      <c r="I241" s="294"/>
      <c r="J241" s="294"/>
      <c r="K241" s="294"/>
      <c r="L241" s="294"/>
      <c r="M241" s="294"/>
    </row>
    <row r="242" spans="1:13">
      <c r="A242" s="293">
        <v>239</v>
      </c>
      <c r="B242" s="302" t="s">
        <v>324</v>
      </c>
      <c r="C242" s="293"/>
      <c r="D242" s="294"/>
      <c r="E242" s="294"/>
      <c r="F242" s="294"/>
      <c r="G242" s="294"/>
      <c r="H242" s="294"/>
      <c r="I242" s="294"/>
      <c r="J242" s="294"/>
      <c r="K242" s="294"/>
      <c r="L242" s="294"/>
      <c r="M242" s="294"/>
    </row>
    <row r="243" spans="1:13">
      <c r="A243" s="293">
        <v>240</v>
      </c>
      <c r="B243" s="302" t="s">
        <v>325</v>
      </c>
      <c r="C243" s="293"/>
      <c r="D243" s="294"/>
      <c r="E243" s="294"/>
      <c r="F243" s="294"/>
      <c r="G243" s="294"/>
      <c r="H243" s="294"/>
      <c r="I243" s="294"/>
      <c r="J243" s="294"/>
      <c r="K243" s="294"/>
      <c r="L243" s="294"/>
      <c r="M243" s="294"/>
    </row>
    <row r="244" spans="1:13">
      <c r="A244" s="293">
        <v>241</v>
      </c>
      <c r="B244" s="302" t="s">
        <v>326</v>
      </c>
      <c r="C244" s="293"/>
      <c r="D244" s="294"/>
      <c r="E244" s="294"/>
      <c r="F244" s="294"/>
      <c r="G244" s="294"/>
      <c r="H244" s="294"/>
      <c r="I244" s="294"/>
      <c r="J244" s="294"/>
      <c r="K244" s="294"/>
      <c r="L244" s="294"/>
      <c r="M244" s="294"/>
    </row>
    <row r="245" spans="1:13">
      <c r="A245" s="293">
        <v>242</v>
      </c>
      <c r="B245" s="302" t="s">
        <v>327</v>
      </c>
      <c r="C245" s="215">
        <v>2074192</v>
      </c>
      <c r="D245" s="210" t="s">
        <v>9667</v>
      </c>
      <c r="E245" s="216" t="s">
        <v>9784</v>
      </c>
      <c r="F245" s="216">
        <v>2</v>
      </c>
      <c r="G245" s="216">
        <v>5537530</v>
      </c>
      <c r="H245" s="216">
        <v>0</v>
      </c>
      <c r="I245" s="216">
        <v>6580000</v>
      </c>
      <c r="J245" s="216">
        <v>995945</v>
      </c>
      <c r="K245" s="216">
        <v>0</v>
      </c>
      <c r="L245" s="216">
        <v>6580000</v>
      </c>
      <c r="M245" s="216">
        <v>0</v>
      </c>
    </row>
    <row r="246" spans="1:13" ht="38.25">
      <c r="A246" s="293">
        <v>243</v>
      </c>
      <c r="B246" s="302" t="s">
        <v>327</v>
      </c>
      <c r="C246" s="209">
        <v>2074192</v>
      </c>
      <c r="D246" s="210" t="s">
        <v>9667</v>
      </c>
      <c r="E246" s="216" t="s">
        <v>9785</v>
      </c>
      <c r="F246" s="216">
        <v>176</v>
      </c>
      <c r="G246" s="216">
        <v>776800</v>
      </c>
      <c r="H246" s="216">
        <v>0</v>
      </c>
      <c r="I246" s="216">
        <v>176000</v>
      </c>
      <c r="J246" s="216">
        <v>776800</v>
      </c>
      <c r="K246" s="216">
        <v>0</v>
      </c>
      <c r="L246" s="216">
        <v>176000</v>
      </c>
      <c r="M246" s="216">
        <v>0</v>
      </c>
    </row>
    <row r="247" spans="1:13" ht="38.25">
      <c r="A247" s="293">
        <v>244</v>
      </c>
      <c r="B247" s="302" t="s">
        <v>327</v>
      </c>
      <c r="C247" s="209">
        <v>2074192</v>
      </c>
      <c r="D247" s="210" t="s">
        <v>9667</v>
      </c>
      <c r="E247" s="216" t="s">
        <v>9786</v>
      </c>
      <c r="F247" s="216">
        <v>52</v>
      </c>
      <c r="G247" s="216">
        <v>229400</v>
      </c>
      <c r="H247" s="216">
        <v>0</v>
      </c>
      <c r="I247" s="216">
        <v>168158</v>
      </c>
      <c r="J247" s="216">
        <v>113794</v>
      </c>
      <c r="K247" s="216">
        <v>0</v>
      </c>
      <c r="L247" s="216">
        <v>168158</v>
      </c>
      <c r="M247" s="216">
        <v>0</v>
      </c>
    </row>
    <row r="248" spans="1:13" ht="25.5">
      <c r="A248" s="293">
        <v>245</v>
      </c>
      <c r="B248" s="302" t="s">
        <v>327</v>
      </c>
      <c r="C248" s="209">
        <v>2074192</v>
      </c>
      <c r="D248" s="210" t="s">
        <v>9667</v>
      </c>
      <c r="E248" s="216" t="s">
        <v>9787</v>
      </c>
      <c r="F248" s="216">
        <v>72</v>
      </c>
      <c r="G248" s="216">
        <v>0</v>
      </c>
      <c r="H248" s="216">
        <v>0</v>
      </c>
      <c r="I248" s="216">
        <v>70000</v>
      </c>
      <c r="J248" s="216">
        <v>2000</v>
      </c>
      <c r="K248" s="216">
        <v>0</v>
      </c>
      <c r="L248" s="216">
        <v>70000</v>
      </c>
      <c r="M248" s="216">
        <v>0</v>
      </c>
    </row>
    <row r="249" spans="1:13">
      <c r="A249" s="293">
        <v>246</v>
      </c>
      <c r="B249" s="302" t="s">
        <v>327</v>
      </c>
      <c r="C249" s="209">
        <v>2074192</v>
      </c>
      <c r="D249" s="210" t="s">
        <v>9667</v>
      </c>
      <c r="E249" s="216" t="s">
        <v>9788</v>
      </c>
      <c r="F249" s="216">
        <v>550</v>
      </c>
      <c r="G249" s="216">
        <v>20000</v>
      </c>
      <c r="H249" s="216">
        <v>0</v>
      </c>
      <c r="I249" s="216">
        <v>4650</v>
      </c>
      <c r="J249" s="216">
        <v>15900</v>
      </c>
      <c r="K249" s="216">
        <v>0</v>
      </c>
      <c r="L249" s="216">
        <v>4650</v>
      </c>
      <c r="M249" s="216">
        <v>0</v>
      </c>
    </row>
    <row r="250" spans="1:13">
      <c r="A250" s="293">
        <v>247</v>
      </c>
      <c r="B250" s="302" t="s">
        <v>327</v>
      </c>
      <c r="C250" s="209">
        <v>2074192</v>
      </c>
      <c r="D250" s="210" t="s">
        <v>9667</v>
      </c>
      <c r="E250" s="216" t="s">
        <v>9789</v>
      </c>
      <c r="F250" s="216">
        <v>0</v>
      </c>
      <c r="G250" s="216">
        <v>5000</v>
      </c>
      <c r="H250" s="216">
        <v>0</v>
      </c>
      <c r="I250" s="216">
        <v>0</v>
      </c>
      <c r="J250" s="216">
        <v>5000</v>
      </c>
      <c r="K250" s="216">
        <v>0</v>
      </c>
      <c r="L250" s="216">
        <v>0</v>
      </c>
      <c r="M250" s="216">
        <v>0</v>
      </c>
    </row>
    <row r="251" spans="1:13">
      <c r="A251" s="293">
        <v>248</v>
      </c>
      <c r="B251" s="302" t="s">
        <v>327</v>
      </c>
      <c r="C251" s="209">
        <v>2074192</v>
      </c>
      <c r="D251" s="210" t="s">
        <v>9667</v>
      </c>
      <c r="E251" s="216" t="s">
        <v>9790</v>
      </c>
      <c r="F251" s="216">
        <v>45</v>
      </c>
      <c r="G251" s="216">
        <v>0</v>
      </c>
      <c r="H251" s="216">
        <v>0</v>
      </c>
      <c r="I251" s="216">
        <v>26120</v>
      </c>
      <c r="J251" s="216">
        <v>19000</v>
      </c>
      <c r="K251" s="216">
        <v>0</v>
      </c>
      <c r="L251" s="216">
        <v>26120</v>
      </c>
      <c r="M251" s="216">
        <v>0</v>
      </c>
    </row>
    <row r="252" spans="1:13">
      <c r="A252" s="293">
        <v>249</v>
      </c>
      <c r="B252" s="302" t="s">
        <v>327</v>
      </c>
      <c r="C252" s="209">
        <v>2074192</v>
      </c>
      <c r="D252" s="210" t="s">
        <v>9667</v>
      </c>
      <c r="E252" s="216" t="s">
        <v>9791</v>
      </c>
      <c r="F252" s="216">
        <v>385</v>
      </c>
      <c r="G252" s="216">
        <v>203200</v>
      </c>
      <c r="H252" s="216">
        <v>0</v>
      </c>
      <c r="I252" s="216">
        <v>481006</v>
      </c>
      <c r="J252" s="216">
        <v>107607</v>
      </c>
      <c r="K252" s="216">
        <v>0</v>
      </c>
      <c r="L252" s="216">
        <v>481006</v>
      </c>
      <c r="M252" s="216">
        <v>0</v>
      </c>
    </row>
    <row r="253" spans="1:13">
      <c r="A253" s="293">
        <v>250</v>
      </c>
      <c r="B253" s="302" t="s">
        <v>327</v>
      </c>
      <c r="C253" s="209">
        <v>2074192</v>
      </c>
      <c r="D253" s="210" t="s">
        <v>9667</v>
      </c>
      <c r="E253" s="216" t="s">
        <v>9161</v>
      </c>
      <c r="F253" s="216">
        <v>5</v>
      </c>
      <c r="G253" s="216">
        <v>0</v>
      </c>
      <c r="H253" s="216">
        <v>22946600</v>
      </c>
      <c r="I253" s="216">
        <v>0</v>
      </c>
      <c r="J253" s="216">
        <v>28055600</v>
      </c>
      <c r="K253" s="216">
        <v>0</v>
      </c>
      <c r="L253" s="216">
        <v>0</v>
      </c>
      <c r="M253" s="216">
        <v>0</v>
      </c>
    </row>
    <row r="254" spans="1:13" ht="25.5">
      <c r="A254" s="293">
        <v>251</v>
      </c>
      <c r="B254" s="302" t="s">
        <v>327</v>
      </c>
      <c r="C254" s="209">
        <v>2074192</v>
      </c>
      <c r="D254" s="210" t="s">
        <v>9667</v>
      </c>
      <c r="E254" s="216" t="s">
        <v>9792</v>
      </c>
      <c r="F254" s="216">
        <v>104</v>
      </c>
      <c r="G254" s="216">
        <v>200000</v>
      </c>
      <c r="H254" s="216">
        <v>0</v>
      </c>
      <c r="I254" s="216">
        <v>228630</v>
      </c>
      <c r="J254" s="216">
        <v>75400</v>
      </c>
      <c r="K254" s="216">
        <v>0</v>
      </c>
      <c r="L254" s="216">
        <v>228630</v>
      </c>
      <c r="M254" s="216">
        <v>0</v>
      </c>
    </row>
    <row r="255" spans="1:13" ht="25.5">
      <c r="A255" s="293">
        <v>252</v>
      </c>
      <c r="B255" s="302" t="s">
        <v>327</v>
      </c>
      <c r="C255" s="209">
        <v>2074192</v>
      </c>
      <c r="D255" s="210" t="s">
        <v>9667</v>
      </c>
      <c r="E255" s="216" t="s">
        <v>9793</v>
      </c>
      <c r="F255" s="216">
        <v>11</v>
      </c>
      <c r="G255" s="216">
        <v>0</v>
      </c>
      <c r="H255" s="216">
        <v>1453050</v>
      </c>
      <c r="I255" s="216">
        <v>6172400</v>
      </c>
      <c r="J255" s="216">
        <v>6312300</v>
      </c>
      <c r="K255" s="216">
        <v>0</v>
      </c>
      <c r="L255" s="216">
        <v>6172400</v>
      </c>
      <c r="M255" s="216">
        <v>0</v>
      </c>
    </row>
    <row r="256" spans="1:13" ht="25.5">
      <c r="A256" s="293">
        <v>253</v>
      </c>
      <c r="B256" s="302" t="s">
        <v>327</v>
      </c>
      <c r="C256" s="209">
        <v>2074192</v>
      </c>
      <c r="D256" s="210" t="s">
        <v>9667</v>
      </c>
      <c r="E256" s="216" t="s">
        <v>9794</v>
      </c>
      <c r="F256" s="216">
        <v>4.5</v>
      </c>
      <c r="G256" s="216">
        <v>201030</v>
      </c>
      <c r="H256" s="216">
        <v>0</v>
      </c>
      <c r="I256" s="216">
        <v>154930</v>
      </c>
      <c r="J256" s="216">
        <v>46104.5</v>
      </c>
      <c r="K256" s="216">
        <v>0</v>
      </c>
      <c r="L256" s="216">
        <v>154930</v>
      </c>
      <c r="M256" s="216">
        <v>0</v>
      </c>
    </row>
    <row r="257" spans="1:13">
      <c r="A257" s="293">
        <v>254</v>
      </c>
      <c r="B257" s="302" t="s">
        <v>327</v>
      </c>
      <c r="C257" s="209">
        <v>2074192</v>
      </c>
      <c r="D257" s="210" t="s">
        <v>9667</v>
      </c>
      <c r="E257" s="216" t="s">
        <v>9795</v>
      </c>
      <c r="F257" s="216">
        <v>209</v>
      </c>
      <c r="G257" s="216">
        <v>0</v>
      </c>
      <c r="H257" s="216">
        <v>119894</v>
      </c>
      <c r="I257" s="216">
        <v>290944</v>
      </c>
      <c r="J257" s="216">
        <v>37950</v>
      </c>
      <c r="K257" s="216">
        <v>0</v>
      </c>
      <c r="L257" s="216">
        <v>290944</v>
      </c>
      <c r="M257" s="216">
        <v>0</v>
      </c>
    </row>
    <row r="258" spans="1:13" ht="25.5">
      <c r="A258" s="293">
        <v>255</v>
      </c>
      <c r="B258" s="302" t="s">
        <v>327</v>
      </c>
      <c r="C258" s="209">
        <v>2074192</v>
      </c>
      <c r="D258" s="210" t="s">
        <v>9667</v>
      </c>
      <c r="E258" s="216" t="s">
        <v>9796</v>
      </c>
      <c r="F258" s="216">
        <v>680</v>
      </c>
      <c r="G258" s="216">
        <v>0</v>
      </c>
      <c r="H258" s="216">
        <v>196196</v>
      </c>
      <c r="I258" s="216">
        <v>373721</v>
      </c>
      <c r="J258" s="216">
        <v>502700</v>
      </c>
      <c r="K258" s="216">
        <v>0</v>
      </c>
      <c r="L258" s="216">
        <v>373721</v>
      </c>
      <c r="M258" s="216">
        <v>0</v>
      </c>
    </row>
    <row r="259" spans="1:13">
      <c r="A259" s="293">
        <v>256</v>
      </c>
      <c r="B259" s="302" t="s">
        <v>327</v>
      </c>
      <c r="C259" s="209">
        <v>2074192</v>
      </c>
      <c r="D259" s="210" t="s">
        <v>9667</v>
      </c>
      <c r="E259" s="216" t="s">
        <v>9797</v>
      </c>
      <c r="F259" s="216">
        <v>82</v>
      </c>
      <c r="G259" s="216">
        <v>0</v>
      </c>
      <c r="H259" s="216">
        <v>122000</v>
      </c>
      <c r="I259" s="216">
        <v>59150</v>
      </c>
      <c r="J259" s="216">
        <v>145100</v>
      </c>
      <c r="K259" s="216">
        <v>0</v>
      </c>
      <c r="L259" s="216">
        <v>59150</v>
      </c>
      <c r="M259" s="216">
        <v>0</v>
      </c>
    </row>
    <row r="260" spans="1:13" ht="25.5">
      <c r="A260" s="293">
        <v>257</v>
      </c>
      <c r="B260" s="302" t="s">
        <v>327</v>
      </c>
      <c r="C260" s="209">
        <v>2074192</v>
      </c>
      <c r="D260" s="210" t="s">
        <v>9667</v>
      </c>
      <c r="E260" s="216" t="s">
        <v>9798</v>
      </c>
      <c r="F260" s="216">
        <v>9</v>
      </c>
      <c r="G260" s="216">
        <v>0</v>
      </c>
      <c r="H260" s="216">
        <v>15425</v>
      </c>
      <c r="I260" s="216">
        <v>5775</v>
      </c>
      <c r="J260" s="216">
        <v>19300</v>
      </c>
      <c r="K260" s="216">
        <v>0</v>
      </c>
      <c r="L260" s="216">
        <v>5775</v>
      </c>
      <c r="M260" s="216">
        <v>0</v>
      </c>
    </row>
    <row r="261" spans="1:13" ht="38.25">
      <c r="A261" s="293">
        <v>258</v>
      </c>
      <c r="B261" s="302" t="s">
        <v>327</v>
      </c>
      <c r="C261" s="209">
        <v>2074192</v>
      </c>
      <c r="D261" s="210" t="s">
        <v>9667</v>
      </c>
      <c r="E261" s="216" t="s">
        <v>9799</v>
      </c>
      <c r="F261" s="216">
        <v>113</v>
      </c>
      <c r="G261" s="216">
        <v>0</v>
      </c>
      <c r="H261" s="216">
        <v>179100</v>
      </c>
      <c r="I261" s="216">
        <v>201300</v>
      </c>
      <c r="J261" s="216">
        <v>111700</v>
      </c>
      <c r="K261" s="216">
        <v>0</v>
      </c>
      <c r="L261" s="216">
        <v>201300</v>
      </c>
      <c r="M261" s="216">
        <v>0</v>
      </c>
    </row>
    <row r="262" spans="1:13" ht="25.5">
      <c r="A262" s="293">
        <v>259</v>
      </c>
      <c r="B262" s="302" t="s">
        <v>327</v>
      </c>
      <c r="C262" s="209">
        <v>2074192</v>
      </c>
      <c r="D262" s="210" t="s">
        <v>9667</v>
      </c>
      <c r="E262" s="216" t="s">
        <v>9800</v>
      </c>
      <c r="F262" s="216">
        <v>1</v>
      </c>
      <c r="G262" s="216">
        <v>0</v>
      </c>
      <c r="H262" s="216">
        <v>0</v>
      </c>
      <c r="I262" s="216">
        <v>32</v>
      </c>
      <c r="J262" s="216">
        <v>1032</v>
      </c>
      <c r="K262" s="216">
        <v>0</v>
      </c>
      <c r="L262" s="216">
        <v>32</v>
      </c>
      <c r="M262" s="216">
        <v>0</v>
      </c>
    </row>
    <row r="263" spans="1:13" ht="25.5">
      <c r="A263" s="293">
        <v>260</v>
      </c>
      <c r="B263" s="302" t="s">
        <v>327</v>
      </c>
      <c r="C263" s="209">
        <v>2074192</v>
      </c>
      <c r="D263" s="210" t="s">
        <v>9667</v>
      </c>
      <c r="E263" s="216" t="s">
        <v>9801</v>
      </c>
      <c r="F263" s="216">
        <v>940</v>
      </c>
      <c r="G263" s="216">
        <v>0</v>
      </c>
      <c r="H263" s="216">
        <v>1200</v>
      </c>
      <c r="I263" s="216">
        <v>400</v>
      </c>
      <c r="J263" s="216">
        <v>1740</v>
      </c>
      <c r="K263" s="216">
        <v>0</v>
      </c>
      <c r="L263" s="216">
        <v>400</v>
      </c>
      <c r="M263" s="216">
        <v>0</v>
      </c>
    </row>
    <row r="264" spans="1:13" ht="38.25">
      <c r="A264" s="293">
        <v>261</v>
      </c>
      <c r="B264" s="302" t="s">
        <v>327</v>
      </c>
      <c r="C264" s="209">
        <v>2074192</v>
      </c>
      <c r="D264" s="210" t="s">
        <v>9667</v>
      </c>
      <c r="E264" s="216" t="s">
        <v>9802</v>
      </c>
      <c r="F264" s="216">
        <v>123</v>
      </c>
      <c r="G264" s="216">
        <v>0</v>
      </c>
      <c r="H264" s="216">
        <v>55400</v>
      </c>
      <c r="I264" s="216">
        <v>59800</v>
      </c>
      <c r="J264" s="216">
        <v>119100</v>
      </c>
      <c r="K264" s="216">
        <v>0</v>
      </c>
      <c r="L264" s="216">
        <v>59800</v>
      </c>
      <c r="M264" s="216">
        <v>0</v>
      </c>
    </row>
    <row r="265" spans="1:13" ht="38.25">
      <c r="A265" s="293">
        <v>262</v>
      </c>
      <c r="B265" s="302" t="s">
        <v>327</v>
      </c>
      <c r="C265" s="209">
        <v>2074192</v>
      </c>
      <c r="D265" s="210" t="s">
        <v>9667</v>
      </c>
      <c r="E265" s="216" t="s">
        <v>9803</v>
      </c>
      <c r="F265" s="216">
        <v>234</v>
      </c>
      <c r="G265" s="216">
        <v>0</v>
      </c>
      <c r="H265" s="216">
        <v>0</v>
      </c>
      <c r="I265" s="216">
        <v>98</v>
      </c>
      <c r="J265" s="216">
        <v>136</v>
      </c>
      <c r="K265" s="216">
        <v>0</v>
      </c>
      <c r="L265" s="216">
        <v>98</v>
      </c>
      <c r="M265" s="216">
        <v>0</v>
      </c>
    </row>
    <row r="266" spans="1:13" ht="38.25">
      <c r="A266" s="293">
        <v>263</v>
      </c>
      <c r="B266" s="302" t="s">
        <v>327</v>
      </c>
      <c r="C266" s="209">
        <v>2074192</v>
      </c>
      <c r="D266" s="210" t="s">
        <v>9667</v>
      </c>
      <c r="E266" s="216" t="s">
        <v>9804</v>
      </c>
      <c r="F266" s="216">
        <v>34</v>
      </c>
      <c r="G266" s="216">
        <v>0</v>
      </c>
      <c r="H266" s="216">
        <v>70240</v>
      </c>
      <c r="I266" s="216">
        <v>58136</v>
      </c>
      <c r="J266" s="216">
        <v>46834</v>
      </c>
      <c r="K266" s="216">
        <v>0</v>
      </c>
      <c r="L266" s="216">
        <v>58136</v>
      </c>
      <c r="M266" s="216">
        <v>0</v>
      </c>
    </row>
    <row r="267" spans="1:13" ht="25.5">
      <c r="A267" s="293">
        <v>264</v>
      </c>
      <c r="B267" s="302" t="s">
        <v>327</v>
      </c>
      <c r="C267" s="209">
        <v>2074192</v>
      </c>
      <c r="D267" s="210" t="s">
        <v>9667</v>
      </c>
      <c r="E267" s="216" t="s">
        <v>9805</v>
      </c>
      <c r="F267" s="216">
        <v>1</v>
      </c>
      <c r="G267" s="216">
        <v>0</v>
      </c>
      <c r="H267" s="216">
        <v>200</v>
      </c>
      <c r="I267" s="216">
        <v>140</v>
      </c>
      <c r="J267" s="216">
        <v>1540</v>
      </c>
      <c r="K267" s="216">
        <v>0</v>
      </c>
      <c r="L267" s="216">
        <v>140</v>
      </c>
      <c r="M267" s="216">
        <v>0</v>
      </c>
    </row>
    <row r="268" spans="1:13" ht="25.5">
      <c r="A268" s="293">
        <v>265</v>
      </c>
      <c r="B268" s="302" t="s">
        <v>327</v>
      </c>
      <c r="C268" s="209">
        <v>2074192</v>
      </c>
      <c r="D268" s="210" t="s">
        <v>9667</v>
      </c>
      <c r="E268" s="216" t="s">
        <v>9806</v>
      </c>
      <c r="F268" s="216">
        <v>21</v>
      </c>
      <c r="G268" s="216">
        <v>0</v>
      </c>
      <c r="H268" s="216">
        <v>15000</v>
      </c>
      <c r="I268" s="216">
        <v>26700</v>
      </c>
      <c r="J268" s="216">
        <v>9865</v>
      </c>
      <c r="K268" s="216">
        <v>0</v>
      </c>
      <c r="L268" s="216">
        <v>26700</v>
      </c>
      <c r="M268" s="216">
        <v>0</v>
      </c>
    </row>
    <row r="269" spans="1:13" ht="51">
      <c r="A269" s="293">
        <v>266</v>
      </c>
      <c r="B269" s="302" t="s">
        <v>327</v>
      </c>
      <c r="C269" s="209">
        <v>2074192</v>
      </c>
      <c r="D269" s="210" t="s">
        <v>9667</v>
      </c>
      <c r="E269" s="216" t="s">
        <v>9807</v>
      </c>
      <c r="F269" s="216">
        <v>1</v>
      </c>
      <c r="G269" s="216">
        <v>0</v>
      </c>
      <c r="H269" s="216">
        <v>6029</v>
      </c>
      <c r="I269" s="216">
        <v>1853</v>
      </c>
      <c r="J269" s="216">
        <v>6063</v>
      </c>
      <c r="K269" s="216">
        <v>0</v>
      </c>
      <c r="L269" s="216">
        <v>6063</v>
      </c>
      <c r="M269" s="216">
        <v>0</v>
      </c>
    </row>
    <row r="270" spans="1:13">
      <c r="A270" s="293">
        <v>267</v>
      </c>
      <c r="B270" s="302" t="s">
        <v>327</v>
      </c>
      <c r="C270" s="209">
        <v>2074192</v>
      </c>
      <c r="D270" s="210" t="s">
        <v>9667</v>
      </c>
      <c r="E270" s="216" t="s">
        <v>9808</v>
      </c>
      <c r="F270" s="216">
        <v>4</v>
      </c>
      <c r="G270" s="216">
        <v>0</v>
      </c>
      <c r="H270" s="216">
        <v>4000</v>
      </c>
      <c r="I270" s="216">
        <v>4004.2</v>
      </c>
      <c r="J270" s="216">
        <v>4079.2</v>
      </c>
      <c r="K270" s="216">
        <v>0</v>
      </c>
      <c r="L270" s="216">
        <v>4004.2</v>
      </c>
      <c r="M270" s="216">
        <v>0</v>
      </c>
    </row>
    <row r="271" spans="1:13">
      <c r="A271" s="293">
        <v>268</v>
      </c>
      <c r="B271" s="302" t="s">
        <v>327</v>
      </c>
      <c r="C271" s="209">
        <v>2074192</v>
      </c>
      <c r="D271" s="210" t="s">
        <v>9667</v>
      </c>
      <c r="E271" s="216" t="s">
        <v>9809</v>
      </c>
      <c r="F271" s="216">
        <v>450</v>
      </c>
      <c r="G271" s="216">
        <v>0</v>
      </c>
      <c r="H271" s="216">
        <v>61300</v>
      </c>
      <c r="I271" s="216">
        <v>40000</v>
      </c>
      <c r="J271" s="216">
        <v>21750</v>
      </c>
      <c r="K271" s="216">
        <v>0</v>
      </c>
      <c r="L271" s="216">
        <v>40000</v>
      </c>
      <c r="M271" s="216">
        <v>0</v>
      </c>
    </row>
    <row r="272" spans="1:13">
      <c r="A272" s="293">
        <v>269</v>
      </c>
      <c r="B272" s="302" t="s">
        <v>327</v>
      </c>
      <c r="C272" s="209">
        <v>2074192</v>
      </c>
      <c r="D272" s="210" t="s">
        <v>9667</v>
      </c>
      <c r="E272" s="216" t="s">
        <v>9810</v>
      </c>
      <c r="F272" s="216">
        <v>7</v>
      </c>
      <c r="G272" s="216">
        <v>0</v>
      </c>
      <c r="H272" s="216">
        <v>6000</v>
      </c>
      <c r="I272" s="216">
        <v>4850</v>
      </c>
      <c r="J272" s="216">
        <v>8200</v>
      </c>
      <c r="K272" s="216">
        <v>0</v>
      </c>
      <c r="L272" s="216">
        <v>4850</v>
      </c>
      <c r="M272" s="216">
        <v>0</v>
      </c>
    </row>
    <row r="273" spans="1:13" ht="25.5">
      <c r="A273" s="293">
        <v>270</v>
      </c>
      <c r="B273" s="302" t="s">
        <v>327</v>
      </c>
      <c r="C273" s="209">
        <v>2074192</v>
      </c>
      <c r="D273" s="210" t="s">
        <v>9667</v>
      </c>
      <c r="E273" s="216" t="s">
        <v>9811</v>
      </c>
      <c r="F273" s="216">
        <v>1</v>
      </c>
      <c r="G273" s="216">
        <v>0</v>
      </c>
      <c r="H273" s="216">
        <v>4500</v>
      </c>
      <c r="I273" s="216">
        <v>1955</v>
      </c>
      <c r="J273" s="216">
        <v>3545</v>
      </c>
      <c r="K273" s="216">
        <v>0</v>
      </c>
      <c r="L273" s="216">
        <v>1955</v>
      </c>
      <c r="M273" s="216">
        <v>0</v>
      </c>
    </row>
    <row r="274" spans="1:13" ht="25.5">
      <c r="A274" s="293">
        <v>271</v>
      </c>
      <c r="B274" s="302" t="s">
        <v>327</v>
      </c>
      <c r="C274" s="209">
        <v>2074192</v>
      </c>
      <c r="D274" s="210" t="s">
        <v>9667</v>
      </c>
      <c r="E274" s="216" t="s">
        <v>9812</v>
      </c>
      <c r="F274" s="216">
        <v>7</v>
      </c>
      <c r="G274" s="216">
        <v>4000</v>
      </c>
      <c r="H274" s="216">
        <v>0</v>
      </c>
      <c r="I274" s="216">
        <v>0</v>
      </c>
      <c r="J274" s="216">
        <v>11950</v>
      </c>
      <c r="K274" s="216">
        <v>0</v>
      </c>
      <c r="L274" s="216">
        <v>0</v>
      </c>
      <c r="M274" s="216">
        <v>0</v>
      </c>
    </row>
    <row r="275" spans="1:13" ht="25.5">
      <c r="A275" s="293">
        <v>272</v>
      </c>
      <c r="B275" s="302" t="s">
        <v>327</v>
      </c>
      <c r="C275" s="209">
        <v>2074192</v>
      </c>
      <c r="D275" s="210" t="s">
        <v>9667</v>
      </c>
      <c r="E275" s="216" t="s">
        <v>9813</v>
      </c>
      <c r="F275" s="216">
        <v>4</v>
      </c>
      <c r="G275" s="216">
        <v>0</v>
      </c>
      <c r="H275" s="216">
        <v>3805</v>
      </c>
      <c r="I275" s="216">
        <v>1932.1</v>
      </c>
      <c r="J275" s="216">
        <v>6362.4</v>
      </c>
      <c r="K275" s="216">
        <v>0</v>
      </c>
      <c r="L275" s="216">
        <v>1932.1</v>
      </c>
      <c r="M275" s="216">
        <v>0</v>
      </c>
    </row>
    <row r="276" spans="1:13" ht="38.25">
      <c r="A276" s="293">
        <v>273</v>
      </c>
      <c r="B276" s="302" t="s">
        <v>327</v>
      </c>
      <c r="C276" s="209">
        <v>2074192</v>
      </c>
      <c r="D276" s="210" t="s">
        <v>9667</v>
      </c>
      <c r="E276" s="216" t="s">
        <v>9814</v>
      </c>
      <c r="F276" s="216">
        <v>8.8000000000000007</v>
      </c>
      <c r="G276" s="216">
        <v>0</v>
      </c>
      <c r="H276" s="216">
        <v>9</v>
      </c>
      <c r="I276" s="216">
        <v>1.3</v>
      </c>
      <c r="J276" s="216">
        <v>16.5</v>
      </c>
      <c r="K276" s="216">
        <v>0</v>
      </c>
      <c r="L276" s="216">
        <v>1.3</v>
      </c>
      <c r="M276" s="216">
        <v>0</v>
      </c>
    </row>
    <row r="277" spans="1:13" ht="25.5">
      <c r="A277" s="293">
        <v>274</v>
      </c>
      <c r="B277" s="302" t="s">
        <v>327</v>
      </c>
      <c r="C277" s="209">
        <v>2074192</v>
      </c>
      <c r="D277" s="210" t="s">
        <v>9667</v>
      </c>
      <c r="E277" s="216" t="s">
        <v>9815</v>
      </c>
      <c r="F277" s="216">
        <v>907</v>
      </c>
      <c r="G277" s="216">
        <v>0</v>
      </c>
      <c r="H277" s="216">
        <v>2000</v>
      </c>
      <c r="I277" s="216">
        <v>490</v>
      </c>
      <c r="J277" s="216">
        <v>2417</v>
      </c>
      <c r="K277" s="216">
        <v>0</v>
      </c>
      <c r="L277" s="216">
        <v>490</v>
      </c>
      <c r="M277" s="216">
        <v>0</v>
      </c>
    </row>
    <row r="278" spans="1:13" ht="25.5">
      <c r="A278" s="293">
        <v>275</v>
      </c>
      <c r="B278" s="302" t="s">
        <v>327</v>
      </c>
      <c r="C278" s="209">
        <v>2074192</v>
      </c>
      <c r="D278" s="210" t="s">
        <v>9667</v>
      </c>
      <c r="E278" s="216" t="s">
        <v>9816</v>
      </c>
      <c r="F278" s="216">
        <v>13</v>
      </c>
      <c r="G278" s="216">
        <v>0</v>
      </c>
      <c r="H278" s="216">
        <v>8150</v>
      </c>
      <c r="I278" s="216">
        <v>10210</v>
      </c>
      <c r="J278" s="216">
        <v>11785</v>
      </c>
      <c r="K278" s="216">
        <v>0</v>
      </c>
      <c r="L278" s="216">
        <v>10210</v>
      </c>
      <c r="M278" s="216">
        <v>0</v>
      </c>
    </row>
    <row r="279" spans="1:13">
      <c r="A279" s="293">
        <v>276</v>
      </c>
      <c r="B279" s="302" t="s">
        <v>327</v>
      </c>
      <c r="C279" s="209">
        <v>2074192</v>
      </c>
      <c r="D279" s="210" t="s">
        <v>9667</v>
      </c>
      <c r="E279" s="216" t="s">
        <v>9817</v>
      </c>
      <c r="F279" s="216">
        <v>12</v>
      </c>
      <c r="G279" s="216">
        <v>0</v>
      </c>
      <c r="H279" s="216">
        <v>10000</v>
      </c>
      <c r="I279" s="216">
        <v>10497</v>
      </c>
      <c r="J279" s="216">
        <v>12096</v>
      </c>
      <c r="K279" s="216">
        <v>0</v>
      </c>
      <c r="L279" s="216">
        <v>10497</v>
      </c>
      <c r="M279" s="216">
        <v>0</v>
      </c>
    </row>
    <row r="280" spans="1:13" ht="25.5">
      <c r="A280" s="293">
        <v>277</v>
      </c>
      <c r="B280" s="302" t="s">
        <v>327</v>
      </c>
      <c r="C280" s="209">
        <v>2074192</v>
      </c>
      <c r="D280" s="210" t="s">
        <v>9667</v>
      </c>
      <c r="E280" s="216" t="s">
        <v>9818</v>
      </c>
      <c r="F280" s="216">
        <v>2</v>
      </c>
      <c r="G280" s="216">
        <v>0</v>
      </c>
      <c r="H280" s="216">
        <v>38</v>
      </c>
      <c r="I280" s="216">
        <v>800</v>
      </c>
      <c r="J280" s="216">
        <v>1243</v>
      </c>
      <c r="K280" s="216">
        <v>0</v>
      </c>
      <c r="L280" s="216">
        <v>800</v>
      </c>
      <c r="M280" s="216">
        <v>0</v>
      </c>
    </row>
    <row r="281" spans="1:13">
      <c r="A281" s="293">
        <v>278</v>
      </c>
      <c r="B281" s="302" t="s">
        <v>327</v>
      </c>
      <c r="C281" s="209">
        <v>2074192</v>
      </c>
      <c r="D281" s="210" t="s">
        <v>9667</v>
      </c>
      <c r="E281" s="216" t="s">
        <v>9819</v>
      </c>
      <c r="F281" s="216">
        <v>24.5</v>
      </c>
      <c r="G281" s="216">
        <v>0</v>
      </c>
      <c r="H281" s="216">
        <v>4820</v>
      </c>
      <c r="I281" s="216">
        <v>292.3</v>
      </c>
      <c r="J281" s="216">
        <v>4552.2</v>
      </c>
      <c r="K281" s="216">
        <v>0</v>
      </c>
      <c r="L281" s="216">
        <v>292.3</v>
      </c>
      <c r="M281" s="216">
        <v>0</v>
      </c>
    </row>
    <row r="282" spans="1:13">
      <c r="A282" s="293">
        <v>279</v>
      </c>
      <c r="B282" s="214" t="s">
        <v>331</v>
      </c>
      <c r="C282" s="293"/>
      <c r="D282" s="294"/>
      <c r="E282" s="294"/>
      <c r="F282" s="294"/>
      <c r="G282" s="294"/>
      <c r="H282" s="294"/>
      <c r="I282" s="294"/>
      <c r="J282" s="294"/>
      <c r="K282" s="294"/>
      <c r="L282" s="294"/>
      <c r="M282" s="294"/>
    </row>
    <row r="283" spans="1:13">
      <c r="A283" s="293">
        <v>280</v>
      </c>
      <c r="B283" s="214" t="s">
        <v>332</v>
      </c>
      <c r="C283" s="293"/>
      <c r="D283" s="294"/>
      <c r="E283" s="294"/>
      <c r="F283" s="294"/>
      <c r="G283" s="294"/>
      <c r="H283" s="294"/>
      <c r="I283" s="294"/>
      <c r="J283" s="294"/>
      <c r="K283" s="294"/>
      <c r="L283" s="294"/>
      <c r="M283" s="294"/>
    </row>
    <row r="284" spans="1:13">
      <c r="A284" s="293"/>
    </row>
  </sheetData>
  <sortState xmlns:xlrd2="http://schemas.microsoft.com/office/spreadsheetml/2017/richdata2" ref="A4:M283">
    <sortCondition ref="B4:B283"/>
  </sortState>
  <conditionalFormatting sqref="B165:B171">
    <cfRule type="duplicateValues" dxfId="59" priority="4"/>
  </conditionalFormatting>
  <conditionalFormatting sqref="B282:B283">
    <cfRule type="duplicateValues" dxfId="58" priority="1364"/>
  </conditionalFormatting>
  <conditionalFormatting sqref="B25:C25">
    <cfRule type="duplicateValues" dxfId="57" priority="814"/>
  </conditionalFormatting>
  <conditionalFormatting sqref="B130:C130 B68:C68 B88:C88 B65:C65 B86:C86 B128:C128">
    <cfRule type="duplicateValues" dxfId="56" priority="6"/>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FDA7-C176-40A3-AB4C-FE138A204ADC}">
  <sheetPr>
    <tabColor rgb="FF006432"/>
  </sheetPr>
  <dimension ref="A1:O156"/>
  <sheetViews>
    <sheetView workbookViewId="0">
      <pane xSplit="3" ySplit="2" topLeftCell="D3" activePane="bottomRight" state="frozen"/>
      <selection pane="bottomRight" activeCell="B2" sqref="B2"/>
      <selection pane="bottomLeft" activeCell="A3" sqref="A3"/>
      <selection pane="topRight" activeCell="D1" sqref="D1"/>
    </sheetView>
  </sheetViews>
  <sheetFormatPr defaultRowHeight="15"/>
  <cols>
    <col min="1" max="1" width="4.28515625" customWidth="1"/>
    <col min="2" max="2" width="21.85546875" customWidth="1"/>
    <col min="3" max="3" width="13.85546875" customWidth="1"/>
    <col min="4" max="4" width="38.7109375" style="8" customWidth="1"/>
    <col min="5" max="5" width="18.5703125" style="8" customWidth="1"/>
    <col min="6" max="6" width="19.28515625" style="8" customWidth="1"/>
    <col min="7" max="7" width="18.5703125" style="8" customWidth="1"/>
    <col min="8" max="8" width="12.140625" style="289" customWidth="1"/>
    <col min="9" max="10" width="20" style="8" customWidth="1"/>
    <col min="11" max="11" width="17.7109375" style="8" customWidth="1"/>
    <col min="12" max="12" width="18.42578125" style="8" customWidth="1"/>
    <col min="13" max="13" width="16.5703125" style="8" customWidth="1"/>
    <col min="14" max="14" width="18" style="8" customWidth="1"/>
    <col min="15" max="15" width="9.140625" style="8"/>
  </cols>
  <sheetData>
    <row r="1" spans="1:15" ht="16.5" thickBot="1">
      <c r="A1" s="26" t="s">
        <v>9820</v>
      </c>
      <c r="B1" s="26"/>
      <c r="C1" s="26"/>
      <c r="D1" s="103"/>
      <c r="E1" s="103"/>
      <c r="F1" s="284"/>
      <c r="G1" s="284"/>
      <c r="H1" s="287"/>
      <c r="I1" s="287"/>
      <c r="J1" s="284"/>
      <c r="K1" s="284"/>
      <c r="L1" s="284"/>
      <c r="M1" s="284"/>
      <c r="N1" s="286"/>
      <c r="O1" s="284"/>
    </row>
    <row r="2" spans="1:15" ht="39" thickTop="1">
      <c r="A2" s="18" t="s">
        <v>114</v>
      </c>
      <c r="B2" s="18" t="s">
        <v>690</v>
      </c>
      <c r="C2" s="18" t="s">
        <v>116</v>
      </c>
      <c r="D2" s="18" t="s">
        <v>9821</v>
      </c>
      <c r="E2" s="18" t="s">
        <v>9822</v>
      </c>
      <c r="F2" s="18" t="s">
        <v>9823</v>
      </c>
      <c r="G2" s="18" t="s">
        <v>9824</v>
      </c>
      <c r="H2" s="18" t="s">
        <v>9825</v>
      </c>
      <c r="I2" s="18" t="s">
        <v>9826</v>
      </c>
      <c r="J2" s="18" t="s">
        <v>9827</v>
      </c>
      <c r="K2" s="18" t="s">
        <v>9828</v>
      </c>
      <c r="L2" s="18" t="s">
        <v>9829</v>
      </c>
      <c r="M2" s="18" t="s">
        <v>9830</v>
      </c>
      <c r="N2" s="55" t="s">
        <v>9831</v>
      </c>
      <c r="O2" s="18" t="s">
        <v>8571</v>
      </c>
    </row>
    <row r="3" spans="1:15">
      <c r="A3" s="6">
        <v>1</v>
      </c>
      <c r="B3" s="20" t="s">
        <v>121</v>
      </c>
      <c r="C3" s="9">
        <v>2011239</v>
      </c>
      <c r="D3" s="285" t="s">
        <v>382</v>
      </c>
      <c r="E3" s="285" t="s">
        <v>382</v>
      </c>
      <c r="F3" s="285" t="s">
        <v>382</v>
      </c>
      <c r="G3" s="285" t="s">
        <v>382</v>
      </c>
      <c r="H3" s="288" t="s">
        <v>382</v>
      </c>
      <c r="I3" s="285" t="s">
        <v>382</v>
      </c>
      <c r="J3" s="285" t="s">
        <v>382</v>
      </c>
      <c r="K3" s="285" t="s">
        <v>382</v>
      </c>
      <c r="L3" s="285" t="s">
        <v>382</v>
      </c>
      <c r="M3" s="285" t="s">
        <v>382</v>
      </c>
      <c r="N3" s="285" t="s">
        <v>382</v>
      </c>
      <c r="O3" s="285" t="s">
        <v>382</v>
      </c>
    </row>
    <row r="4" spans="1:15">
      <c r="A4" s="186">
        <v>2</v>
      </c>
      <c r="B4" s="184" t="s">
        <v>126</v>
      </c>
      <c r="C4" s="9">
        <v>5097517</v>
      </c>
      <c r="D4" s="285"/>
      <c r="E4" s="285"/>
      <c r="F4" s="285"/>
      <c r="G4" s="285"/>
      <c r="H4" s="288"/>
      <c r="I4" s="285"/>
      <c r="J4" s="285"/>
      <c r="K4" s="285"/>
      <c r="L4" s="285"/>
      <c r="M4" s="285"/>
      <c r="N4" s="285"/>
      <c r="O4" s="285"/>
    </row>
    <row r="5" spans="1:15">
      <c r="A5" s="6">
        <v>3</v>
      </c>
      <c r="B5" s="20" t="s">
        <v>131</v>
      </c>
      <c r="C5" s="9">
        <v>5809797</v>
      </c>
      <c r="D5" s="285" t="s">
        <v>382</v>
      </c>
      <c r="E5" s="285" t="s">
        <v>382</v>
      </c>
      <c r="F5" s="285" t="s">
        <v>382</v>
      </c>
      <c r="G5" s="285" t="s">
        <v>382</v>
      </c>
      <c r="H5" s="288" t="s">
        <v>382</v>
      </c>
      <c r="I5" s="285" t="s">
        <v>382</v>
      </c>
      <c r="J5" s="285" t="s">
        <v>382</v>
      </c>
      <c r="K5" s="285" t="s">
        <v>382</v>
      </c>
      <c r="L5" s="285" t="s">
        <v>382</v>
      </c>
      <c r="M5" s="285" t="s">
        <v>382</v>
      </c>
      <c r="N5" s="285" t="s">
        <v>382</v>
      </c>
      <c r="O5" s="285" t="s">
        <v>382</v>
      </c>
    </row>
    <row r="6" spans="1:15">
      <c r="A6" s="6">
        <v>4</v>
      </c>
      <c r="B6" s="20" t="s">
        <v>133</v>
      </c>
      <c r="C6" s="9">
        <v>5118344</v>
      </c>
      <c r="D6" s="285" t="s">
        <v>382</v>
      </c>
      <c r="E6" s="285" t="s">
        <v>382</v>
      </c>
      <c r="F6" s="285" t="s">
        <v>382</v>
      </c>
      <c r="G6" s="285" t="s">
        <v>382</v>
      </c>
      <c r="H6" s="288" t="s">
        <v>382</v>
      </c>
      <c r="I6" s="285" t="s">
        <v>382</v>
      </c>
      <c r="J6" s="285" t="s">
        <v>382</v>
      </c>
      <c r="K6" s="285" t="s">
        <v>382</v>
      </c>
      <c r="L6" s="285" t="s">
        <v>382</v>
      </c>
      <c r="M6" s="285" t="s">
        <v>382</v>
      </c>
      <c r="N6" s="285" t="s">
        <v>382</v>
      </c>
      <c r="O6" s="285" t="s">
        <v>382</v>
      </c>
    </row>
    <row r="7" spans="1:15">
      <c r="A7" s="6">
        <v>5</v>
      </c>
      <c r="B7" s="20" t="s">
        <v>136</v>
      </c>
      <c r="C7" s="9">
        <v>5095549</v>
      </c>
      <c r="D7" s="285" t="s">
        <v>382</v>
      </c>
      <c r="E7" s="285" t="s">
        <v>382</v>
      </c>
      <c r="F7" s="285" t="s">
        <v>382</v>
      </c>
      <c r="G7" s="285" t="s">
        <v>382</v>
      </c>
      <c r="H7" s="288" t="s">
        <v>382</v>
      </c>
      <c r="I7" s="285" t="s">
        <v>382</v>
      </c>
      <c r="J7" s="285" t="s">
        <v>382</v>
      </c>
      <c r="K7" s="285" t="s">
        <v>382</v>
      </c>
      <c r="L7" s="285" t="s">
        <v>382</v>
      </c>
      <c r="M7" s="285" t="s">
        <v>382</v>
      </c>
      <c r="N7" s="285" t="s">
        <v>382</v>
      </c>
      <c r="O7" s="285" t="s">
        <v>382</v>
      </c>
    </row>
    <row r="8" spans="1:15" ht="25.5">
      <c r="A8" s="6">
        <v>6</v>
      </c>
      <c r="B8" s="222" t="s">
        <v>140</v>
      </c>
      <c r="C8" s="9">
        <v>2784165</v>
      </c>
      <c r="D8" s="285" t="s">
        <v>382</v>
      </c>
      <c r="E8" s="285" t="s">
        <v>382</v>
      </c>
      <c r="F8" s="285" t="s">
        <v>382</v>
      </c>
      <c r="G8" s="285" t="s">
        <v>382</v>
      </c>
      <c r="H8" s="288" t="s">
        <v>382</v>
      </c>
      <c r="I8" s="285" t="s">
        <v>382</v>
      </c>
      <c r="J8" s="285" t="s">
        <v>382</v>
      </c>
      <c r="K8" s="285" t="s">
        <v>382</v>
      </c>
      <c r="L8" s="285" t="s">
        <v>382</v>
      </c>
      <c r="M8" s="285" t="s">
        <v>382</v>
      </c>
      <c r="N8" s="285" t="s">
        <v>382</v>
      </c>
      <c r="O8" s="285" t="s">
        <v>382</v>
      </c>
    </row>
    <row r="9" spans="1:15">
      <c r="A9" s="6">
        <v>7</v>
      </c>
      <c r="B9" s="20" t="s">
        <v>143</v>
      </c>
      <c r="C9" s="9">
        <v>5133351</v>
      </c>
      <c r="D9" s="285" t="s">
        <v>382</v>
      </c>
      <c r="E9" s="285" t="s">
        <v>382</v>
      </c>
      <c r="F9" s="285" t="s">
        <v>382</v>
      </c>
      <c r="G9" s="285" t="s">
        <v>382</v>
      </c>
      <c r="H9" s="288" t="s">
        <v>382</v>
      </c>
      <c r="I9" s="285" t="s">
        <v>382</v>
      </c>
      <c r="J9" s="285" t="s">
        <v>382</v>
      </c>
      <c r="K9" s="285" t="s">
        <v>382</v>
      </c>
      <c r="L9" s="285" t="s">
        <v>382</v>
      </c>
      <c r="M9" s="285" t="s">
        <v>382</v>
      </c>
      <c r="N9" s="285" t="s">
        <v>382</v>
      </c>
      <c r="O9" s="285" t="s">
        <v>382</v>
      </c>
    </row>
    <row r="10" spans="1:15">
      <c r="A10" s="6">
        <v>8</v>
      </c>
      <c r="B10" s="20" t="s">
        <v>144</v>
      </c>
      <c r="C10" s="9">
        <v>6172768</v>
      </c>
      <c r="D10" s="285" t="s">
        <v>382</v>
      </c>
      <c r="E10" s="285" t="s">
        <v>382</v>
      </c>
      <c r="F10" s="285" t="s">
        <v>382</v>
      </c>
      <c r="G10" s="285" t="s">
        <v>382</v>
      </c>
      <c r="H10" s="288" t="s">
        <v>382</v>
      </c>
      <c r="I10" s="285" t="s">
        <v>382</v>
      </c>
      <c r="J10" s="285" t="s">
        <v>382</v>
      </c>
      <c r="K10" s="285" t="s">
        <v>382</v>
      </c>
      <c r="L10" s="285" t="s">
        <v>382</v>
      </c>
      <c r="M10" s="285" t="s">
        <v>382</v>
      </c>
      <c r="N10" s="285" t="s">
        <v>382</v>
      </c>
      <c r="O10" s="285" t="s">
        <v>382</v>
      </c>
    </row>
    <row r="11" spans="1:15">
      <c r="A11" s="186">
        <v>9</v>
      </c>
      <c r="B11" s="184" t="s">
        <v>146</v>
      </c>
      <c r="C11" s="9">
        <v>2788705</v>
      </c>
      <c r="D11" s="285"/>
      <c r="E11" s="285"/>
      <c r="F11" s="285"/>
      <c r="G11" s="285"/>
      <c r="H11" s="288"/>
      <c r="I11" s="285"/>
      <c r="J11" s="285"/>
      <c r="K11" s="285"/>
      <c r="L11" s="285"/>
      <c r="M11" s="285"/>
      <c r="N11" s="285"/>
      <c r="O11" s="285"/>
    </row>
    <row r="12" spans="1:15">
      <c r="A12" s="6">
        <v>10</v>
      </c>
      <c r="B12" s="20" t="s">
        <v>629</v>
      </c>
      <c r="C12" s="9">
        <v>5439183</v>
      </c>
      <c r="D12" s="285" t="s">
        <v>382</v>
      </c>
      <c r="E12" s="285" t="s">
        <v>382</v>
      </c>
      <c r="F12" s="285" t="s">
        <v>382</v>
      </c>
      <c r="G12" s="285" t="s">
        <v>382</v>
      </c>
      <c r="H12" s="288" t="s">
        <v>382</v>
      </c>
      <c r="I12" s="285" t="s">
        <v>382</v>
      </c>
      <c r="J12" s="285" t="s">
        <v>382</v>
      </c>
      <c r="K12" s="285" t="s">
        <v>382</v>
      </c>
      <c r="L12" s="285" t="s">
        <v>382</v>
      </c>
      <c r="M12" s="285" t="s">
        <v>382</v>
      </c>
      <c r="N12" s="285" t="s">
        <v>382</v>
      </c>
      <c r="O12" s="285" t="s">
        <v>382</v>
      </c>
    </row>
    <row r="13" spans="1:15">
      <c r="A13" s="6">
        <v>11</v>
      </c>
      <c r="B13" s="20" t="s">
        <v>152</v>
      </c>
      <c r="C13" s="9">
        <v>2008572</v>
      </c>
      <c r="D13" s="285" t="s">
        <v>382</v>
      </c>
      <c r="E13" s="285" t="s">
        <v>382</v>
      </c>
      <c r="F13" s="285" t="s">
        <v>382</v>
      </c>
      <c r="G13" s="285" t="s">
        <v>382</v>
      </c>
      <c r="H13" s="288" t="s">
        <v>382</v>
      </c>
      <c r="I13" s="285" t="s">
        <v>382</v>
      </c>
      <c r="J13" s="285" t="s">
        <v>382</v>
      </c>
      <c r="K13" s="285" t="s">
        <v>382</v>
      </c>
      <c r="L13" s="285" t="s">
        <v>382</v>
      </c>
      <c r="M13" s="285" t="s">
        <v>382</v>
      </c>
      <c r="N13" s="285" t="s">
        <v>382</v>
      </c>
      <c r="O13" s="285" t="s">
        <v>382</v>
      </c>
    </row>
    <row r="14" spans="1:15">
      <c r="A14" s="6">
        <v>12</v>
      </c>
      <c r="B14" s="20" t="s">
        <v>155</v>
      </c>
      <c r="C14" s="9">
        <v>5215919</v>
      </c>
      <c r="D14" s="285" t="s">
        <v>382</v>
      </c>
      <c r="E14" s="285" t="s">
        <v>382</v>
      </c>
      <c r="F14" s="285" t="s">
        <v>382</v>
      </c>
      <c r="G14" s="285" t="s">
        <v>382</v>
      </c>
      <c r="H14" s="288" t="s">
        <v>382</v>
      </c>
      <c r="I14" s="285" t="s">
        <v>382</v>
      </c>
      <c r="J14" s="285" t="s">
        <v>382</v>
      </c>
      <c r="K14" s="285" t="s">
        <v>382</v>
      </c>
      <c r="L14" s="285" t="s">
        <v>382</v>
      </c>
      <c r="M14" s="285" t="s">
        <v>382</v>
      </c>
      <c r="N14" s="285" t="s">
        <v>382</v>
      </c>
      <c r="O14" s="285" t="s">
        <v>382</v>
      </c>
    </row>
    <row r="15" spans="1:15">
      <c r="A15" s="6">
        <v>13</v>
      </c>
      <c r="B15" s="20" t="s">
        <v>157</v>
      </c>
      <c r="C15" s="9">
        <v>5502977</v>
      </c>
      <c r="D15" s="285" t="s">
        <v>382</v>
      </c>
      <c r="E15" s="285" t="s">
        <v>382</v>
      </c>
      <c r="F15" s="285" t="s">
        <v>382</v>
      </c>
      <c r="G15" s="285" t="s">
        <v>382</v>
      </c>
      <c r="H15" s="288" t="s">
        <v>382</v>
      </c>
      <c r="I15" s="285" t="s">
        <v>382</v>
      </c>
      <c r="J15" s="285" t="s">
        <v>382</v>
      </c>
      <c r="K15" s="285" t="s">
        <v>382</v>
      </c>
      <c r="L15" s="285" t="s">
        <v>382</v>
      </c>
      <c r="M15" s="285" t="s">
        <v>382</v>
      </c>
      <c r="N15" s="285" t="s">
        <v>382</v>
      </c>
      <c r="O15" s="285" t="s">
        <v>382</v>
      </c>
    </row>
    <row r="16" spans="1:15" ht="63.75">
      <c r="A16" s="517">
        <v>14</v>
      </c>
      <c r="B16" s="625" t="s">
        <v>159</v>
      </c>
      <c r="C16" s="545">
        <v>2708701</v>
      </c>
      <c r="D16" s="1" t="s">
        <v>9832</v>
      </c>
      <c r="E16" s="228">
        <v>44927</v>
      </c>
      <c r="F16" s="228">
        <v>45092</v>
      </c>
      <c r="G16" s="6" t="s">
        <v>9833</v>
      </c>
      <c r="H16" s="1" t="s">
        <v>9834</v>
      </c>
      <c r="I16" s="93">
        <v>1065420000</v>
      </c>
      <c r="J16" s="6" t="s">
        <v>9835</v>
      </c>
      <c r="K16" s="1" t="s">
        <v>9836</v>
      </c>
      <c r="L16" s="1" t="s">
        <v>9837</v>
      </c>
      <c r="M16" s="6" t="s">
        <v>8259</v>
      </c>
      <c r="N16" s="6" t="s">
        <v>9838</v>
      </c>
      <c r="O16" s="6" t="s">
        <v>8250</v>
      </c>
    </row>
    <row r="17" spans="1:15" ht="63.75">
      <c r="A17" s="518"/>
      <c r="B17" s="626"/>
      <c r="C17" s="546"/>
      <c r="D17" s="1" t="s">
        <v>9839</v>
      </c>
      <c r="E17" s="228">
        <v>45212</v>
      </c>
      <c r="F17" s="228">
        <v>45250</v>
      </c>
      <c r="G17" s="6" t="s">
        <v>9840</v>
      </c>
      <c r="H17" s="1" t="s">
        <v>9834</v>
      </c>
      <c r="I17" s="93">
        <v>274000000</v>
      </c>
      <c r="J17" s="1" t="s">
        <v>9841</v>
      </c>
      <c r="K17" s="1" t="s">
        <v>9842</v>
      </c>
      <c r="L17" s="1" t="s">
        <v>9843</v>
      </c>
      <c r="M17" s="6" t="s">
        <v>8259</v>
      </c>
      <c r="N17" s="93">
        <v>274000000</v>
      </c>
      <c r="O17" s="6" t="s">
        <v>8250</v>
      </c>
    </row>
    <row r="18" spans="1:15">
      <c r="A18" s="186">
        <v>15</v>
      </c>
      <c r="B18" s="184" t="s">
        <v>161</v>
      </c>
      <c r="C18" s="9">
        <v>2014491</v>
      </c>
      <c r="D18" s="6"/>
      <c r="E18" s="6"/>
      <c r="F18" s="6"/>
      <c r="G18" s="6"/>
      <c r="H18" s="1"/>
      <c r="I18" s="6"/>
      <c r="J18" s="6"/>
      <c r="K18" s="6"/>
      <c r="L18" s="6"/>
      <c r="M18" s="6"/>
      <c r="N18" s="6"/>
      <c r="O18" s="6"/>
    </row>
    <row r="19" spans="1:15">
      <c r="A19" s="6">
        <v>16</v>
      </c>
      <c r="B19" s="20" t="s">
        <v>165</v>
      </c>
      <c r="C19" s="9">
        <v>6414877</v>
      </c>
      <c r="D19" s="285" t="s">
        <v>382</v>
      </c>
      <c r="E19" s="285" t="s">
        <v>382</v>
      </c>
      <c r="F19" s="285" t="s">
        <v>382</v>
      </c>
      <c r="G19" s="285" t="s">
        <v>382</v>
      </c>
      <c r="H19" s="285" t="s">
        <v>382</v>
      </c>
      <c r="I19" s="285" t="s">
        <v>382</v>
      </c>
      <c r="J19" s="285" t="s">
        <v>382</v>
      </c>
      <c r="K19" s="285" t="s">
        <v>382</v>
      </c>
      <c r="L19" s="285" t="s">
        <v>382</v>
      </c>
      <c r="M19" s="285" t="s">
        <v>382</v>
      </c>
      <c r="N19" s="285" t="s">
        <v>382</v>
      </c>
      <c r="O19" s="285" t="s">
        <v>382</v>
      </c>
    </row>
    <row r="20" spans="1:15">
      <c r="A20" s="6">
        <v>17</v>
      </c>
      <c r="B20" s="20" t="s">
        <v>168</v>
      </c>
      <c r="C20" s="9">
        <v>5369223</v>
      </c>
      <c r="D20" s="285" t="s">
        <v>382</v>
      </c>
      <c r="E20" s="285" t="s">
        <v>382</v>
      </c>
      <c r="F20" s="285" t="s">
        <v>382</v>
      </c>
      <c r="G20" s="285" t="s">
        <v>382</v>
      </c>
      <c r="H20" s="285" t="s">
        <v>382</v>
      </c>
      <c r="I20" s="285" t="s">
        <v>382</v>
      </c>
      <c r="J20" s="285" t="s">
        <v>382</v>
      </c>
      <c r="K20" s="285" t="s">
        <v>382</v>
      </c>
      <c r="L20" s="285" t="s">
        <v>382</v>
      </c>
      <c r="M20" s="285" t="s">
        <v>382</v>
      </c>
      <c r="N20" s="285" t="s">
        <v>382</v>
      </c>
      <c r="O20" s="285" t="s">
        <v>382</v>
      </c>
    </row>
    <row r="21" spans="1:15">
      <c r="A21" s="6">
        <v>18</v>
      </c>
      <c r="B21" s="20" t="s">
        <v>169</v>
      </c>
      <c r="C21" s="9">
        <v>5294088</v>
      </c>
      <c r="D21" s="285" t="s">
        <v>382</v>
      </c>
      <c r="E21" s="285" t="s">
        <v>382</v>
      </c>
      <c r="F21" s="285" t="s">
        <v>382</v>
      </c>
      <c r="G21" s="285" t="s">
        <v>382</v>
      </c>
      <c r="H21" s="285" t="s">
        <v>382</v>
      </c>
      <c r="I21" s="285" t="s">
        <v>382</v>
      </c>
      <c r="J21" s="285" t="s">
        <v>382</v>
      </c>
      <c r="K21" s="285" t="s">
        <v>382</v>
      </c>
      <c r="L21" s="285" t="s">
        <v>382</v>
      </c>
      <c r="M21" s="285" t="s">
        <v>382</v>
      </c>
      <c r="N21" s="285" t="s">
        <v>382</v>
      </c>
      <c r="O21" s="285" t="s">
        <v>382</v>
      </c>
    </row>
    <row r="22" spans="1:15">
      <c r="A22" s="6">
        <v>19</v>
      </c>
      <c r="B22" s="20" t="s">
        <v>173</v>
      </c>
      <c r="C22" s="9">
        <v>2855119</v>
      </c>
      <c r="D22" s="285" t="s">
        <v>382</v>
      </c>
      <c r="E22" s="285" t="s">
        <v>382</v>
      </c>
      <c r="F22" s="285" t="s">
        <v>382</v>
      </c>
      <c r="G22" s="285" t="s">
        <v>382</v>
      </c>
      <c r="H22" s="285" t="s">
        <v>382</v>
      </c>
      <c r="I22" s="285" t="s">
        <v>382</v>
      </c>
      <c r="J22" s="285" t="s">
        <v>382</v>
      </c>
      <c r="K22" s="285" t="s">
        <v>382</v>
      </c>
      <c r="L22" s="285" t="s">
        <v>382</v>
      </c>
      <c r="M22" s="285" t="s">
        <v>382</v>
      </c>
      <c r="N22" s="285" t="s">
        <v>382</v>
      </c>
      <c r="O22" s="285" t="s">
        <v>382</v>
      </c>
    </row>
    <row r="23" spans="1:15" ht="38.25">
      <c r="A23" s="177">
        <v>20</v>
      </c>
      <c r="B23" s="192" t="s">
        <v>174</v>
      </c>
      <c r="C23" s="167">
        <v>2094533</v>
      </c>
      <c r="D23" s="1" t="s">
        <v>9844</v>
      </c>
      <c r="E23" s="228">
        <v>44197</v>
      </c>
      <c r="F23" s="228">
        <v>45443</v>
      </c>
      <c r="G23" s="6" t="s">
        <v>9845</v>
      </c>
      <c r="H23" s="1" t="s">
        <v>9834</v>
      </c>
      <c r="I23" s="93">
        <v>840000000</v>
      </c>
      <c r="J23" s="1" t="s">
        <v>9846</v>
      </c>
      <c r="K23" s="1" t="s">
        <v>9847</v>
      </c>
      <c r="L23" s="6" t="s">
        <v>9848</v>
      </c>
      <c r="M23" s="6" t="s">
        <v>8259</v>
      </c>
      <c r="N23" s="60" t="s">
        <v>382</v>
      </c>
      <c r="O23" s="6" t="s">
        <v>8259</v>
      </c>
    </row>
    <row r="24" spans="1:15">
      <c r="A24" s="6">
        <v>21</v>
      </c>
      <c r="B24" s="20" t="s">
        <v>175</v>
      </c>
      <c r="C24" s="9">
        <v>5722942</v>
      </c>
      <c r="D24" s="285" t="s">
        <v>382</v>
      </c>
      <c r="E24" s="285" t="s">
        <v>382</v>
      </c>
      <c r="F24" s="285" t="s">
        <v>382</v>
      </c>
      <c r="G24" s="285" t="s">
        <v>382</v>
      </c>
      <c r="H24" s="285" t="s">
        <v>382</v>
      </c>
      <c r="I24" s="285" t="s">
        <v>382</v>
      </c>
      <c r="J24" s="285" t="s">
        <v>382</v>
      </c>
      <c r="K24" s="285" t="s">
        <v>382</v>
      </c>
      <c r="L24" s="285" t="s">
        <v>382</v>
      </c>
      <c r="M24" s="285" t="s">
        <v>382</v>
      </c>
      <c r="N24" s="285" t="s">
        <v>382</v>
      </c>
      <c r="O24" s="285" t="s">
        <v>382</v>
      </c>
    </row>
    <row r="25" spans="1:15">
      <c r="A25" s="6">
        <v>22</v>
      </c>
      <c r="B25" s="20" t="s">
        <v>176</v>
      </c>
      <c r="C25" s="9">
        <v>2867494</v>
      </c>
      <c r="D25" s="285" t="s">
        <v>382</v>
      </c>
      <c r="E25" s="285" t="s">
        <v>382</v>
      </c>
      <c r="F25" s="285" t="s">
        <v>382</v>
      </c>
      <c r="G25" s="285" t="s">
        <v>382</v>
      </c>
      <c r="H25" s="285" t="s">
        <v>382</v>
      </c>
      <c r="I25" s="285" t="s">
        <v>382</v>
      </c>
      <c r="J25" s="285" t="s">
        <v>382</v>
      </c>
      <c r="K25" s="285" t="s">
        <v>382</v>
      </c>
      <c r="L25" s="285" t="s">
        <v>382</v>
      </c>
      <c r="M25" s="285" t="s">
        <v>382</v>
      </c>
      <c r="N25" s="285" t="s">
        <v>382</v>
      </c>
      <c r="O25" s="285" t="s">
        <v>382</v>
      </c>
    </row>
    <row r="26" spans="1:15">
      <c r="A26" s="6">
        <v>23</v>
      </c>
      <c r="B26" s="20" t="s">
        <v>177</v>
      </c>
      <c r="C26" s="9">
        <v>6463932</v>
      </c>
      <c r="D26" s="285" t="s">
        <v>382</v>
      </c>
      <c r="E26" s="285" t="s">
        <v>382</v>
      </c>
      <c r="F26" s="285" t="s">
        <v>382</v>
      </c>
      <c r="G26" s="285" t="s">
        <v>382</v>
      </c>
      <c r="H26" s="285" t="s">
        <v>382</v>
      </c>
      <c r="I26" s="285" t="s">
        <v>382</v>
      </c>
      <c r="J26" s="285" t="s">
        <v>382</v>
      </c>
      <c r="K26" s="285" t="s">
        <v>382</v>
      </c>
      <c r="L26" s="285" t="s">
        <v>382</v>
      </c>
      <c r="M26" s="285" t="s">
        <v>382</v>
      </c>
      <c r="N26" s="285" t="s">
        <v>382</v>
      </c>
      <c r="O26" s="285" t="s">
        <v>382</v>
      </c>
    </row>
    <row r="27" spans="1:15">
      <c r="A27" s="186">
        <v>24</v>
      </c>
      <c r="B27" s="184" t="s">
        <v>178</v>
      </c>
      <c r="C27" s="9">
        <v>5260833</v>
      </c>
      <c r="D27" s="6"/>
      <c r="E27" s="6"/>
      <c r="F27" s="6"/>
      <c r="G27" s="6"/>
      <c r="H27" s="1"/>
      <c r="I27" s="6"/>
      <c r="J27" s="6"/>
      <c r="K27" s="6"/>
      <c r="L27" s="6"/>
      <c r="M27" s="6"/>
      <c r="N27" s="6"/>
      <c r="O27" s="6"/>
    </row>
    <row r="28" spans="1:15">
      <c r="A28" s="186">
        <v>25</v>
      </c>
      <c r="B28" s="184" t="s">
        <v>179</v>
      </c>
      <c r="C28" s="9">
        <v>2051303</v>
      </c>
      <c r="D28" s="6"/>
      <c r="E28" s="6"/>
      <c r="F28" s="6"/>
      <c r="G28" s="6"/>
      <c r="H28" s="1"/>
      <c r="I28" s="6"/>
      <c r="J28" s="6"/>
      <c r="K28" s="6"/>
      <c r="L28" s="6"/>
      <c r="M28" s="6"/>
      <c r="N28" s="6"/>
      <c r="O28" s="6"/>
    </row>
    <row r="29" spans="1:15">
      <c r="A29" s="6">
        <v>26</v>
      </c>
      <c r="B29" s="20" t="s">
        <v>183</v>
      </c>
      <c r="C29" s="9">
        <v>2061848</v>
      </c>
      <c r="D29" s="285" t="s">
        <v>382</v>
      </c>
      <c r="E29" s="285" t="s">
        <v>382</v>
      </c>
      <c r="F29" s="285" t="s">
        <v>382</v>
      </c>
      <c r="G29" s="285" t="s">
        <v>382</v>
      </c>
      <c r="H29" s="285" t="s">
        <v>382</v>
      </c>
      <c r="I29" s="285" t="s">
        <v>382</v>
      </c>
      <c r="J29" s="285" t="s">
        <v>382</v>
      </c>
      <c r="K29" s="285" t="s">
        <v>382</v>
      </c>
      <c r="L29" s="285" t="s">
        <v>382</v>
      </c>
      <c r="M29" s="285" t="s">
        <v>382</v>
      </c>
      <c r="N29" s="285" t="s">
        <v>382</v>
      </c>
      <c r="O29" s="285" t="s">
        <v>382</v>
      </c>
    </row>
    <row r="30" spans="1:15">
      <c r="A30" s="186">
        <v>27</v>
      </c>
      <c r="B30" s="184" t="s">
        <v>185</v>
      </c>
      <c r="C30" s="9">
        <v>2766337</v>
      </c>
      <c r="D30" s="6"/>
      <c r="E30" s="6"/>
      <c r="F30" s="6"/>
      <c r="G30" s="6"/>
      <c r="H30" s="1"/>
      <c r="I30" s="6"/>
      <c r="J30" s="6"/>
      <c r="K30" s="6"/>
      <c r="L30" s="6"/>
      <c r="M30" s="6"/>
      <c r="N30" s="6"/>
      <c r="O30" s="6"/>
    </row>
    <row r="31" spans="1:15">
      <c r="A31" s="186">
        <v>28</v>
      </c>
      <c r="B31" s="184" t="s">
        <v>187</v>
      </c>
      <c r="C31" s="9">
        <v>5810086</v>
      </c>
      <c r="D31" s="6"/>
      <c r="E31" s="6"/>
      <c r="F31" s="6"/>
      <c r="G31" s="6"/>
      <c r="H31" s="1"/>
      <c r="I31" s="6"/>
      <c r="J31" s="6"/>
      <c r="K31" s="6"/>
      <c r="L31" s="6"/>
      <c r="M31" s="6"/>
      <c r="N31" s="6"/>
      <c r="O31" s="6"/>
    </row>
    <row r="32" spans="1:15">
      <c r="A32" s="6">
        <v>29</v>
      </c>
      <c r="B32" s="20" t="s">
        <v>188</v>
      </c>
      <c r="C32" s="9">
        <v>5217652</v>
      </c>
      <c r="D32" s="285" t="s">
        <v>382</v>
      </c>
      <c r="E32" s="285" t="s">
        <v>382</v>
      </c>
      <c r="F32" s="285" t="s">
        <v>382</v>
      </c>
      <c r="G32" s="285" t="s">
        <v>382</v>
      </c>
      <c r="H32" s="285" t="s">
        <v>382</v>
      </c>
      <c r="I32" s="285" t="s">
        <v>382</v>
      </c>
      <c r="J32" s="285" t="s">
        <v>382</v>
      </c>
      <c r="K32" s="285" t="s">
        <v>382</v>
      </c>
      <c r="L32" s="285" t="s">
        <v>382</v>
      </c>
      <c r="M32" s="285" t="s">
        <v>382</v>
      </c>
      <c r="N32" s="285" t="s">
        <v>382</v>
      </c>
      <c r="O32" s="285" t="s">
        <v>382</v>
      </c>
    </row>
    <row r="33" spans="1:15">
      <c r="A33" s="6">
        <v>30</v>
      </c>
      <c r="B33" s="20" t="s">
        <v>189</v>
      </c>
      <c r="C33" s="9">
        <v>2780518</v>
      </c>
      <c r="D33" s="285" t="s">
        <v>382</v>
      </c>
      <c r="E33" s="285" t="s">
        <v>382</v>
      </c>
      <c r="F33" s="285" t="s">
        <v>382</v>
      </c>
      <c r="G33" s="285" t="s">
        <v>382</v>
      </c>
      <c r="H33" s="285" t="s">
        <v>382</v>
      </c>
      <c r="I33" s="285" t="s">
        <v>382</v>
      </c>
      <c r="J33" s="285" t="s">
        <v>382</v>
      </c>
      <c r="K33" s="285" t="s">
        <v>382</v>
      </c>
      <c r="L33" s="285" t="s">
        <v>382</v>
      </c>
      <c r="M33" s="285" t="s">
        <v>382</v>
      </c>
      <c r="N33" s="285" t="s">
        <v>382</v>
      </c>
      <c r="O33" s="285" t="s">
        <v>382</v>
      </c>
    </row>
    <row r="34" spans="1:15">
      <c r="A34" s="186">
        <v>31</v>
      </c>
      <c r="B34" s="184" t="s">
        <v>193</v>
      </c>
      <c r="C34" s="9">
        <v>5272378</v>
      </c>
      <c r="D34" s="6"/>
      <c r="E34" s="6"/>
      <c r="F34" s="6"/>
      <c r="G34" s="6"/>
      <c r="H34" s="1"/>
      <c r="I34" s="6"/>
      <c r="J34" s="6"/>
      <c r="K34" s="6"/>
      <c r="L34" s="6"/>
      <c r="M34" s="6"/>
      <c r="N34" s="6"/>
      <c r="O34" s="6"/>
    </row>
    <row r="35" spans="1:15">
      <c r="A35" s="6">
        <v>32</v>
      </c>
      <c r="B35" s="20" t="s">
        <v>194</v>
      </c>
      <c r="C35" s="9">
        <v>5467268</v>
      </c>
      <c r="D35" s="285" t="s">
        <v>382</v>
      </c>
      <c r="E35" s="285" t="s">
        <v>382</v>
      </c>
      <c r="F35" s="285" t="s">
        <v>382</v>
      </c>
      <c r="G35" s="285" t="s">
        <v>382</v>
      </c>
      <c r="H35" s="285" t="s">
        <v>382</v>
      </c>
      <c r="I35" s="285" t="s">
        <v>382</v>
      </c>
      <c r="J35" s="285" t="s">
        <v>382</v>
      </c>
      <c r="K35" s="285" t="s">
        <v>382</v>
      </c>
      <c r="L35" s="285" t="s">
        <v>382</v>
      </c>
      <c r="M35" s="285" t="s">
        <v>382</v>
      </c>
      <c r="N35" s="285" t="s">
        <v>382</v>
      </c>
      <c r="O35" s="285" t="s">
        <v>382</v>
      </c>
    </row>
    <row r="36" spans="1:15">
      <c r="A36" s="6">
        <v>33</v>
      </c>
      <c r="B36" s="20" t="s">
        <v>196</v>
      </c>
      <c r="C36" s="9">
        <v>5522935</v>
      </c>
      <c r="D36" s="285" t="s">
        <v>382</v>
      </c>
      <c r="E36" s="285" t="s">
        <v>382</v>
      </c>
      <c r="F36" s="285" t="s">
        <v>382</v>
      </c>
      <c r="G36" s="285" t="s">
        <v>382</v>
      </c>
      <c r="H36" s="285" t="s">
        <v>382</v>
      </c>
      <c r="I36" s="285" t="s">
        <v>382</v>
      </c>
      <c r="J36" s="285" t="s">
        <v>382</v>
      </c>
      <c r="K36" s="285" t="s">
        <v>382</v>
      </c>
      <c r="L36" s="285" t="s">
        <v>382</v>
      </c>
      <c r="M36" s="285" t="s">
        <v>382</v>
      </c>
      <c r="N36" s="285" t="s">
        <v>382</v>
      </c>
      <c r="O36" s="285" t="s">
        <v>382</v>
      </c>
    </row>
    <row r="37" spans="1:15">
      <c r="A37" s="186">
        <v>34</v>
      </c>
      <c r="B37" s="184" t="s">
        <v>197</v>
      </c>
      <c r="C37" s="9">
        <v>5528089</v>
      </c>
      <c r="D37" s="6"/>
      <c r="E37" s="6"/>
      <c r="F37" s="6"/>
      <c r="G37" s="6"/>
      <c r="H37" s="1"/>
      <c r="I37" s="6"/>
      <c r="J37" s="6"/>
      <c r="K37" s="6"/>
      <c r="L37" s="6"/>
      <c r="M37" s="6"/>
      <c r="N37" s="6"/>
      <c r="O37" s="6"/>
    </row>
    <row r="38" spans="1:15">
      <c r="A38" s="6">
        <v>35</v>
      </c>
      <c r="B38" s="20" t="s">
        <v>198</v>
      </c>
      <c r="C38" s="9">
        <v>5396662</v>
      </c>
      <c r="D38" s="285" t="s">
        <v>382</v>
      </c>
      <c r="E38" s="285" t="s">
        <v>382</v>
      </c>
      <c r="F38" s="285" t="s">
        <v>382</v>
      </c>
      <c r="G38" s="285" t="s">
        <v>382</v>
      </c>
      <c r="H38" s="285" t="s">
        <v>382</v>
      </c>
      <c r="I38" s="285" t="s">
        <v>382</v>
      </c>
      <c r="J38" s="285" t="s">
        <v>382</v>
      </c>
      <c r="K38" s="285" t="s">
        <v>382</v>
      </c>
      <c r="L38" s="285" t="s">
        <v>382</v>
      </c>
      <c r="M38" s="285" t="s">
        <v>382</v>
      </c>
      <c r="N38" s="285" t="s">
        <v>382</v>
      </c>
      <c r="O38" s="285" t="s">
        <v>382</v>
      </c>
    </row>
    <row r="39" spans="1:15">
      <c r="A39" s="6">
        <v>36</v>
      </c>
      <c r="B39" s="20" t="s">
        <v>199</v>
      </c>
      <c r="C39" s="9">
        <v>5830974</v>
      </c>
      <c r="D39" s="285" t="s">
        <v>382</v>
      </c>
      <c r="E39" s="285" t="s">
        <v>382</v>
      </c>
      <c r="F39" s="285" t="s">
        <v>382</v>
      </c>
      <c r="G39" s="285" t="s">
        <v>382</v>
      </c>
      <c r="H39" s="285" t="s">
        <v>382</v>
      </c>
      <c r="I39" s="285" t="s">
        <v>382</v>
      </c>
      <c r="J39" s="285" t="s">
        <v>382</v>
      </c>
      <c r="K39" s="285" t="s">
        <v>382</v>
      </c>
      <c r="L39" s="285" t="s">
        <v>382</v>
      </c>
      <c r="M39" s="285" t="s">
        <v>382</v>
      </c>
      <c r="N39" s="285" t="s">
        <v>382</v>
      </c>
      <c r="O39" s="285" t="s">
        <v>382</v>
      </c>
    </row>
    <row r="40" spans="1:15">
      <c r="A40" s="6">
        <v>37</v>
      </c>
      <c r="B40" s="20" t="s">
        <v>201</v>
      </c>
      <c r="C40" s="9">
        <v>2057573</v>
      </c>
      <c r="D40" s="285" t="s">
        <v>382</v>
      </c>
      <c r="E40" s="285" t="s">
        <v>382</v>
      </c>
      <c r="F40" s="285" t="s">
        <v>382</v>
      </c>
      <c r="G40" s="285" t="s">
        <v>382</v>
      </c>
      <c r="H40" s="285" t="s">
        <v>382</v>
      </c>
      <c r="I40" s="285" t="s">
        <v>382</v>
      </c>
      <c r="J40" s="285" t="s">
        <v>382</v>
      </c>
      <c r="K40" s="285" t="s">
        <v>382</v>
      </c>
      <c r="L40" s="285" t="s">
        <v>382</v>
      </c>
      <c r="M40" s="285" t="s">
        <v>382</v>
      </c>
      <c r="N40" s="285" t="s">
        <v>382</v>
      </c>
      <c r="O40" s="285" t="s">
        <v>382</v>
      </c>
    </row>
    <row r="41" spans="1:15">
      <c r="A41" s="6">
        <v>38</v>
      </c>
      <c r="B41" s="20" t="s">
        <v>202</v>
      </c>
      <c r="C41" s="9">
        <v>5699134</v>
      </c>
      <c r="D41" s="285" t="s">
        <v>382</v>
      </c>
      <c r="E41" s="285" t="s">
        <v>382</v>
      </c>
      <c r="F41" s="285" t="s">
        <v>382</v>
      </c>
      <c r="G41" s="285" t="s">
        <v>382</v>
      </c>
      <c r="H41" s="285" t="s">
        <v>382</v>
      </c>
      <c r="I41" s="285" t="s">
        <v>382</v>
      </c>
      <c r="J41" s="285" t="s">
        <v>382</v>
      </c>
      <c r="K41" s="285" t="s">
        <v>382</v>
      </c>
      <c r="L41" s="285" t="s">
        <v>382</v>
      </c>
      <c r="M41" s="285" t="s">
        <v>382</v>
      </c>
      <c r="N41" s="285" t="s">
        <v>382</v>
      </c>
      <c r="O41" s="285" t="s">
        <v>382</v>
      </c>
    </row>
    <row r="42" spans="1:15">
      <c r="A42" s="6">
        <v>39</v>
      </c>
      <c r="B42" s="20" t="s">
        <v>203</v>
      </c>
      <c r="C42" s="9">
        <v>5412153</v>
      </c>
      <c r="D42" s="285" t="s">
        <v>382</v>
      </c>
      <c r="E42" s="285" t="s">
        <v>382</v>
      </c>
      <c r="F42" s="285" t="s">
        <v>382</v>
      </c>
      <c r="G42" s="285" t="s">
        <v>382</v>
      </c>
      <c r="H42" s="285" t="s">
        <v>382</v>
      </c>
      <c r="I42" s="285" t="s">
        <v>382</v>
      </c>
      <c r="J42" s="285" t="s">
        <v>382</v>
      </c>
      <c r="K42" s="285" t="s">
        <v>382</v>
      </c>
      <c r="L42" s="285" t="s">
        <v>382</v>
      </c>
      <c r="M42" s="285" t="s">
        <v>382</v>
      </c>
      <c r="N42" s="285" t="s">
        <v>382</v>
      </c>
      <c r="O42" s="285" t="s">
        <v>382</v>
      </c>
    </row>
    <row r="43" spans="1:15">
      <c r="A43" s="6">
        <v>40</v>
      </c>
      <c r="B43" s="20" t="s">
        <v>204</v>
      </c>
      <c r="C43" s="9">
        <v>2034859</v>
      </c>
      <c r="D43" s="285" t="s">
        <v>382</v>
      </c>
      <c r="E43" s="285" t="s">
        <v>382</v>
      </c>
      <c r="F43" s="285" t="s">
        <v>382</v>
      </c>
      <c r="G43" s="285" t="s">
        <v>382</v>
      </c>
      <c r="H43" s="285" t="s">
        <v>382</v>
      </c>
      <c r="I43" s="285" t="s">
        <v>382</v>
      </c>
      <c r="J43" s="285" t="s">
        <v>382</v>
      </c>
      <c r="K43" s="285" t="s">
        <v>382</v>
      </c>
      <c r="L43" s="285" t="s">
        <v>382</v>
      </c>
      <c r="M43" s="285" t="s">
        <v>382</v>
      </c>
      <c r="N43" s="285" t="s">
        <v>382</v>
      </c>
      <c r="O43" s="285" t="s">
        <v>382</v>
      </c>
    </row>
    <row r="44" spans="1:15">
      <c r="A44" s="6">
        <v>41</v>
      </c>
      <c r="B44" s="20" t="s">
        <v>208</v>
      </c>
      <c r="C44" s="9">
        <v>5253535</v>
      </c>
      <c r="D44" s="285" t="s">
        <v>382</v>
      </c>
      <c r="E44" s="285" t="s">
        <v>382</v>
      </c>
      <c r="F44" s="285" t="s">
        <v>382</v>
      </c>
      <c r="G44" s="285" t="s">
        <v>382</v>
      </c>
      <c r="H44" s="285" t="s">
        <v>382</v>
      </c>
      <c r="I44" s="285" t="s">
        <v>382</v>
      </c>
      <c r="J44" s="285" t="s">
        <v>382</v>
      </c>
      <c r="K44" s="285" t="s">
        <v>382</v>
      </c>
      <c r="L44" s="285" t="s">
        <v>382</v>
      </c>
      <c r="M44" s="285" t="s">
        <v>382</v>
      </c>
      <c r="N44" s="285" t="s">
        <v>382</v>
      </c>
      <c r="O44" s="285" t="s">
        <v>382</v>
      </c>
    </row>
    <row r="45" spans="1:15">
      <c r="A45" s="6">
        <v>42</v>
      </c>
      <c r="B45" s="20" t="s">
        <v>210</v>
      </c>
      <c r="C45" s="9">
        <v>5150884</v>
      </c>
      <c r="D45" s="285" t="s">
        <v>382</v>
      </c>
      <c r="E45" s="285" t="s">
        <v>382</v>
      </c>
      <c r="F45" s="285" t="s">
        <v>382</v>
      </c>
      <c r="G45" s="285" t="s">
        <v>382</v>
      </c>
      <c r="H45" s="285" t="s">
        <v>382</v>
      </c>
      <c r="I45" s="285" t="s">
        <v>382</v>
      </c>
      <c r="J45" s="285" t="s">
        <v>382</v>
      </c>
      <c r="K45" s="285" t="s">
        <v>382</v>
      </c>
      <c r="L45" s="285" t="s">
        <v>382</v>
      </c>
      <c r="M45" s="285" t="s">
        <v>382</v>
      </c>
      <c r="N45" s="285" t="s">
        <v>382</v>
      </c>
      <c r="O45" s="285" t="s">
        <v>382</v>
      </c>
    </row>
    <row r="46" spans="1:15">
      <c r="A46" s="6">
        <v>43</v>
      </c>
      <c r="B46" s="20" t="s">
        <v>211</v>
      </c>
      <c r="C46" s="9">
        <v>5051304</v>
      </c>
      <c r="D46" s="285" t="s">
        <v>382</v>
      </c>
      <c r="E46" s="285" t="s">
        <v>382</v>
      </c>
      <c r="F46" s="285" t="s">
        <v>382</v>
      </c>
      <c r="G46" s="285" t="s">
        <v>382</v>
      </c>
      <c r="H46" s="285" t="s">
        <v>382</v>
      </c>
      <c r="I46" s="285" t="s">
        <v>382</v>
      </c>
      <c r="J46" s="285" t="s">
        <v>382</v>
      </c>
      <c r="K46" s="285" t="s">
        <v>382</v>
      </c>
      <c r="L46" s="285" t="s">
        <v>382</v>
      </c>
      <c r="M46" s="285" t="s">
        <v>382</v>
      </c>
      <c r="N46" s="285" t="s">
        <v>382</v>
      </c>
      <c r="O46" s="285" t="s">
        <v>382</v>
      </c>
    </row>
    <row r="47" spans="1:15">
      <c r="A47" s="186">
        <v>44</v>
      </c>
      <c r="B47" s="184" t="s">
        <v>213</v>
      </c>
      <c r="C47" s="9">
        <v>5401801</v>
      </c>
      <c r="D47" s="6"/>
      <c r="E47" s="6"/>
      <c r="F47" s="6"/>
      <c r="G47" s="6"/>
      <c r="H47" s="1"/>
      <c r="I47" s="6"/>
      <c r="J47" s="6"/>
      <c r="K47" s="6"/>
      <c r="L47" s="6"/>
      <c r="M47" s="6"/>
      <c r="N47" s="6"/>
      <c r="O47" s="6"/>
    </row>
    <row r="48" spans="1:15">
      <c r="A48" s="177">
        <v>45</v>
      </c>
      <c r="B48" s="192" t="s">
        <v>214</v>
      </c>
      <c r="C48" s="167">
        <v>2550466</v>
      </c>
      <c r="D48" s="285" t="s">
        <v>382</v>
      </c>
      <c r="E48" s="285" t="s">
        <v>382</v>
      </c>
      <c r="F48" s="285" t="s">
        <v>382</v>
      </c>
      <c r="G48" s="285" t="s">
        <v>382</v>
      </c>
      <c r="H48" s="285" t="s">
        <v>382</v>
      </c>
      <c r="I48" s="285" t="s">
        <v>382</v>
      </c>
      <c r="J48" s="285" t="s">
        <v>382</v>
      </c>
      <c r="K48" s="285" t="s">
        <v>382</v>
      </c>
      <c r="L48" s="285" t="s">
        <v>382</v>
      </c>
      <c r="M48" s="285" t="s">
        <v>382</v>
      </c>
      <c r="N48" s="285" t="s">
        <v>382</v>
      </c>
      <c r="O48" s="285" t="s">
        <v>382</v>
      </c>
    </row>
    <row r="49" spans="1:15">
      <c r="A49" s="6">
        <v>46</v>
      </c>
      <c r="B49" s="20" t="s">
        <v>216</v>
      </c>
      <c r="C49" s="9">
        <v>5051134</v>
      </c>
      <c r="D49" s="285" t="s">
        <v>382</v>
      </c>
      <c r="E49" s="285" t="s">
        <v>382</v>
      </c>
      <c r="F49" s="285" t="s">
        <v>382</v>
      </c>
      <c r="G49" s="285" t="s">
        <v>382</v>
      </c>
      <c r="H49" s="285" t="s">
        <v>382</v>
      </c>
      <c r="I49" s="285" t="s">
        <v>382</v>
      </c>
      <c r="J49" s="285" t="s">
        <v>382</v>
      </c>
      <c r="K49" s="285" t="s">
        <v>382</v>
      </c>
      <c r="L49" s="285" t="s">
        <v>382</v>
      </c>
      <c r="M49" s="285" t="s">
        <v>382</v>
      </c>
      <c r="N49" s="285" t="s">
        <v>382</v>
      </c>
      <c r="O49" s="285" t="s">
        <v>382</v>
      </c>
    </row>
    <row r="50" spans="1:15">
      <c r="A50" s="6">
        <v>47</v>
      </c>
      <c r="B50" s="20" t="s">
        <v>217</v>
      </c>
      <c r="C50" s="9">
        <v>2095025</v>
      </c>
      <c r="D50" s="285" t="s">
        <v>382</v>
      </c>
      <c r="E50" s="285" t="s">
        <v>382</v>
      </c>
      <c r="F50" s="285" t="s">
        <v>382</v>
      </c>
      <c r="G50" s="285" t="s">
        <v>382</v>
      </c>
      <c r="H50" s="285" t="s">
        <v>382</v>
      </c>
      <c r="I50" s="285" t="s">
        <v>382</v>
      </c>
      <c r="J50" s="285" t="s">
        <v>382</v>
      </c>
      <c r="K50" s="285" t="s">
        <v>382</v>
      </c>
      <c r="L50" s="285" t="s">
        <v>382</v>
      </c>
      <c r="M50" s="285" t="s">
        <v>382</v>
      </c>
      <c r="N50" s="285" t="s">
        <v>382</v>
      </c>
      <c r="O50" s="285" t="s">
        <v>382</v>
      </c>
    </row>
    <row r="51" spans="1:15">
      <c r="A51" s="6">
        <v>48</v>
      </c>
      <c r="B51" s="20" t="s">
        <v>218</v>
      </c>
      <c r="C51" s="9">
        <v>2045931</v>
      </c>
      <c r="D51" s="285" t="s">
        <v>382</v>
      </c>
      <c r="E51" s="285" t="s">
        <v>382</v>
      </c>
      <c r="F51" s="285" t="s">
        <v>382</v>
      </c>
      <c r="G51" s="285" t="s">
        <v>382</v>
      </c>
      <c r="H51" s="285" t="s">
        <v>382</v>
      </c>
      <c r="I51" s="285" t="s">
        <v>382</v>
      </c>
      <c r="J51" s="285" t="s">
        <v>382</v>
      </c>
      <c r="K51" s="285" t="s">
        <v>382</v>
      </c>
      <c r="L51" s="285" t="s">
        <v>382</v>
      </c>
      <c r="M51" s="285" t="s">
        <v>382</v>
      </c>
      <c r="N51" s="285" t="s">
        <v>382</v>
      </c>
      <c r="O51" s="285" t="s">
        <v>382</v>
      </c>
    </row>
    <row r="52" spans="1:15">
      <c r="A52" s="177">
        <v>49</v>
      </c>
      <c r="B52" s="192" t="s">
        <v>219</v>
      </c>
      <c r="C52" s="167">
        <v>2029278</v>
      </c>
      <c r="D52" s="285" t="s">
        <v>382</v>
      </c>
      <c r="E52" s="285" t="s">
        <v>382</v>
      </c>
      <c r="F52" s="285" t="s">
        <v>382</v>
      </c>
      <c r="G52" s="285" t="s">
        <v>382</v>
      </c>
      <c r="H52" s="285" t="s">
        <v>382</v>
      </c>
      <c r="I52" s="285" t="s">
        <v>382</v>
      </c>
      <c r="J52" s="285" t="s">
        <v>382</v>
      </c>
      <c r="K52" s="285" t="s">
        <v>382</v>
      </c>
      <c r="L52" s="285" t="s">
        <v>382</v>
      </c>
      <c r="M52" s="285" t="s">
        <v>382</v>
      </c>
      <c r="N52" s="285" t="s">
        <v>382</v>
      </c>
      <c r="O52" s="285" t="s">
        <v>382</v>
      </c>
    </row>
    <row r="53" spans="1:15" ht="25.5">
      <c r="A53" s="6">
        <v>50</v>
      </c>
      <c r="B53" s="20" t="s">
        <v>220</v>
      </c>
      <c r="C53" s="9">
        <v>5106567</v>
      </c>
      <c r="D53" s="6" t="s">
        <v>9849</v>
      </c>
      <c r="E53" s="228">
        <v>43647</v>
      </c>
      <c r="F53" s="228">
        <v>45467</v>
      </c>
      <c r="G53" s="6" t="s">
        <v>9850</v>
      </c>
      <c r="H53" s="1" t="s">
        <v>9834</v>
      </c>
      <c r="I53" s="93">
        <v>1345870000</v>
      </c>
      <c r="J53" s="6" t="s">
        <v>9851</v>
      </c>
      <c r="K53" s="60" t="s">
        <v>382</v>
      </c>
      <c r="L53" s="6" t="s">
        <v>9852</v>
      </c>
      <c r="M53" s="6" t="s">
        <v>8259</v>
      </c>
      <c r="N53" s="93">
        <v>1345870000</v>
      </c>
      <c r="O53" s="6" t="s">
        <v>8259</v>
      </c>
    </row>
    <row r="54" spans="1:15">
      <c r="A54" s="6">
        <v>51</v>
      </c>
      <c r="B54" s="20" t="s">
        <v>222</v>
      </c>
      <c r="C54" s="9">
        <v>5141583</v>
      </c>
      <c r="D54" s="285" t="s">
        <v>382</v>
      </c>
      <c r="E54" s="285" t="s">
        <v>382</v>
      </c>
      <c r="F54" s="285" t="s">
        <v>382</v>
      </c>
      <c r="G54" s="285" t="s">
        <v>382</v>
      </c>
      <c r="H54" s="285" t="s">
        <v>382</v>
      </c>
      <c r="I54" s="285" t="s">
        <v>382</v>
      </c>
      <c r="J54" s="285" t="s">
        <v>382</v>
      </c>
      <c r="K54" s="285" t="s">
        <v>382</v>
      </c>
      <c r="L54" s="285" t="s">
        <v>382</v>
      </c>
      <c r="M54" s="285" t="s">
        <v>382</v>
      </c>
      <c r="N54" s="285" t="s">
        <v>382</v>
      </c>
      <c r="O54" s="285" t="s">
        <v>382</v>
      </c>
    </row>
    <row r="55" spans="1:15">
      <c r="A55" s="177">
        <v>52</v>
      </c>
      <c r="B55" s="192" t="s">
        <v>223</v>
      </c>
      <c r="C55" s="167">
        <v>5118115</v>
      </c>
      <c r="D55" s="285" t="s">
        <v>382</v>
      </c>
      <c r="E55" s="285" t="s">
        <v>382</v>
      </c>
      <c r="F55" s="285" t="s">
        <v>382</v>
      </c>
      <c r="G55" s="285" t="s">
        <v>382</v>
      </c>
      <c r="H55" s="285" t="s">
        <v>382</v>
      </c>
      <c r="I55" s="285" t="s">
        <v>382</v>
      </c>
      <c r="J55" s="285" t="s">
        <v>382</v>
      </c>
      <c r="K55" s="285" t="s">
        <v>382</v>
      </c>
      <c r="L55" s="285" t="s">
        <v>382</v>
      </c>
      <c r="M55" s="285" t="s">
        <v>382</v>
      </c>
      <c r="N55" s="285" t="s">
        <v>382</v>
      </c>
      <c r="O55" s="285" t="s">
        <v>382</v>
      </c>
    </row>
    <row r="56" spans="1:15">
      <c r="A56" s="6">
        <v>53</v>
      </c>
      <c r="B56" s="20" t="s">
        <v>224</v>
      </c>
      <c r="C56" s="9">
        <v>5106656</v>
      </c>
      <c r="D56" s="285" t="s">
        <v>382</v>
      </c>
      <c r="E56" s="285" t="s">
        <v>382</v>
      </c>
      <c r="F56" s="285" t="s">
        <v>382</v>
      </c>
      <c r="G56" s="285" t="s">
        <v>382</v>
      </c>
      <c r="H56" s="285" t="s">
        <v>382</v>
      </c>
      <c r="I56" s="285" t="s">
        <v>382</v>
      </c>
      <c r="J56" s="285" t="s">
        <v>382</v>
      </c>
      <c r="K56" s="285" t="s">
        <v>382</v>
      </c>
      <c r="L56" s="285" t="s">
        <v>382</v>
      </c>
      <c r="M56" s="285" t="s">
        <v>382</v>
      </c>
      <c r="N56" s="285" t="s">
        <v>382</v>
      </c>
      <c r="O56" s="285" t="s">
        <v>382</v>
      </c>
    </row>
    <row r="57" spans="1:15" ht="25.5">
      <c r="A57" s="517">
        <v>54</v>
      </c>
      <c r="B57" s="543" t="s">
        <v>225</v>
      </c>
      <c r="C57" s="545">
        <v>2010895</v>
      </c>
      <c r="D57" s="6" t="s">
        <v>9853</v>
      </c>
      <c r="E57" s="228">
        <v>44958</v>
      </c>
      <c r="F57" s="228">
        <v>45289</v>
      </c>
      <c r="G57" s="6" t="s">
        <v>8381</v>
      </c>
      <c r="H57" s="1" t="s">
        <v>9834</v>
      </c>
      <c r="I57" s="93">
        <v>356084000</v>
      </c>
      <c r="J57" s="60" t="s">
        <v>382</v>
      </c>
      <c r="K57" s="60" t="s">
        <v>382</v>
      </c>
      <c r="L57" s="60" t="s">
        <v>382</v>
      </c>
      <c r="M57" s="6" t="s">
        <v>8259</v>
      </c>
      <c r="N57" s="93">
        <v>356084000</v>
      </c>
      <c r="O57" s="6" t="s">
        <v>8250</v>
      </c>
    </row>
    <row r="58" spans="1:15" ht="25.5">
      <c r="A58" s="518"/>
      <c r="B58" s="544"/>
      <c r="C58" s="546"/>
      <c r="D58" s="6" t="s">
        <v>9854</v>
      </c>
      <c r="E58" s="228">
        <v>44958</v>
      </c>
      <c r="F58" s="228">
        <v>45289</v>
      </c>
      <c r="G58" s="6" t="s">
        <v>8381</v>
      </c>
      <c r="H58" s="1" t="s">
        <v>9834</v>
      </c>
      <c r="I58" s="93">
        <v>135322000</v>
      </c>
      <c r="J58" s="60" t="s">
        <v>382</v>
      </c>
      <c r="K58" s="60" t="s">
        <v>382</v>
      </c>
      <c r="L58" s="60" t="s">
        <v>382</v>
      </c>
      <c r="M58" s="6" t="s">
        <v>8259</v>
      </c>
      <c r="N58" s="93">
        <v>135322000</v>
      </c>
      <c r="O58" s="6" t="s">
        <v>8250</v>
      </c>
    </row>
    <row r="59" spans="1:15">
      <c r="A59" s="186">
        <v>55</v>
      </c>
      <c r="B59" s="184" t="s">
        <v>227</v>
      </c>
      <c r="C59" s="9">
        <v>5295858</v>
      </c>
      <c r="D59" s="6"/>
      <c r="E59" s="6"/>
      <c r="F59" s="6"/>
      <c r="G59" s="6"/>
      <c r="H59" s="1"/>
      <c r="I59" s="6"/>
      <c r="J59" s="6"/>
      <c r="K59" s="6"/>
      <c r="L59" s="6"/>
      <c r="M59" s="6"/>
      <c r="N59" s="6"/>
      <c r="O59" s="6"/>
    </row>
    <row r="60" spans="1:15">
      <c r="A60" s="6">
        <v>56</v>
      </c>
      <c r="B60" s="20" t="s">
        <v>228</v>
      </c>
      <c r="C60" s="9">
        <v>6287727</v>
      </c>
      <c r="D60" s="285" t="s">
        <v>382</v>
      </c>
      <c r="E60" s="285" t="s">
        <v>382</v>
      </c>
      <c r="F60" s="285" t="s">
        <v>382</v>
      </c>
      <c r="G60" s="285" t="s">
        <v>382</v>
      </c>
      <c r="H60" s="285" t="s">
        <v>382</v>
      </c>
      <c r="I60" s="285" t="s">
        <v>382</v>
      </c>
      <c r="J60" s="285" t="s">
        <v>382</v>
      </c>
      <c r="K60" s="285" t="s">
        <v>382</v>
      </c>
      <c r="L60" s="285" t="s">
        <v>382</v>
      </c>
      <c r="M60" s="285" t="s">
        <v>382</v>
      </c>
      <c r="N60" s="285" t="s">
        <v>382</v>
      </c>
      <c r="O60" s="285" t="s">
        <v>382</v>
      </c>
    </row>
    <row r="61" spans="1:15">
      <c r="A61" s="186">
        <v>57</v>
      </c>
      <c r="B61" s="184" t="s">
        <v>229</v>
      </c>
      <c r="C61" s="9">
        <v>2659603</v>
      </c>
      <c r="D61" s="6"/>
      <c r="E61" s="6"/>
      <c r="F61" s="6"/>
      <c r="G61" s="6"/>
      <c r="H61" s="1"/>
      <c r="I61" s="6"/>
      <c r="J61" s="6"/>
      <c r="K61" s="6"/>
      <c r="L61" s="6"/>
      <c r="M61" s="6"/>
      <c r="N61" s="6"/>
      <c r="O61" s="6"/>
    </row>
    <row r="62" spans="1:15">
      <c r="A62" s="6">
        <v>58</v>
      </c>
      <c r="B62" s="20" t="s">
        <v>230</v>
      </c>
      <c r="C62" s="9">
        <v>2678187</v>
      </c>
      <c r="D62" s="285" t="s">
        <v>382</v>
      </c>
      <c r="E62" s="285" t="s">
        <v>382</v>
      </c>
      <c r="F62" s="285" t="s">
        <v>382</v>
      </c>
      <c r="G62" s="285" t="s">
        <v>382</v>
      </c>
      <c r="H62" s="285" t="s">
        <v>382</v>
      </c>
      <c r="I62" s="285" t="s">
        <v>382</v>
      </c>
      <c r="J62" s="285" t="s">
        <v>382</v>
      </c>
      <c r="K62" s="285" t="s">
        <v>382</v>
      </c>
      <c r="L62" s="285" t="s">
        <v>382</v>
      </c>
      <c r="M62" s="285" t="s">
        <v>382</v>
      </c>
      <c r="N62" s="285" t="s">
        <v>382</v>
      </c>
      <c r="O62" s="285" t="s">
        <v>382</v>
      </c>
    </row>
    <row r="63" spans="1:15">
      <c r="A63" s="6">
        <v>59</v>
      </c>
      <c r="B63" s="20" t="s">
        <v>231</v>
      </c>
      <c r="C63" s="9">
        <v>2657457</v>
      </c>
      <c r="D63" s="285" t="s">
        <v>382</v>
      </c>
      <c r="E63" s="285" t="s">
        <v>382</v>
      </c>
      <c r="F63" s="285" t="s">
        <v>382</v>
      </c>
      <c r="G63" s="285" t="s">
        <v>382</v>
      </c>
      <c r="H63" s="285" t="s">
        <v>382</v>
      </c>
      <c r="I63" s="285" t="s">
        <v>382</v>
      </c>
      <c r="J63" s="285" t="s">
        <v>382</v>
      </c>
      <c r="K63" s="285" t="s">
        <v>382</v>
      </c>
      <c r="L63" s="285" t="s">
        <v>382</v>
      </c>
      <c r="M63" s="285" t="s">
        <v>382</v>
      </c>
      <c r="N63" s="285" t="s">
        <v>382</v>
      </c>
      <c r="O63" s="285" t="s">
        <v>382</v>
      </c>
    </row>
    <row r="64" spans="1:15">
      <c r="A64" s="6">
        <v>60</v>
      </c>
      <c r="B64" s="20" t="s">
        <v>232</v>
      </c>
      <c r="C64" s="9">
        <v>3615243</v>
      </c>
      <c r="D64" s="285" t="s">
        <v>382</v>
      </c>
      <c r="E64" s="285" t="s">
        <v>382</v>
      </c>
      <c r="F64" s="285" t="s">
        <v>382</v>
      </c>
      <c r="G64" s="285" t="s">
        <v>382</v>
      </c>
      <c r="H64" s="285" t="s">
        <v>382</v>
      </c>
      <c r="I64" s="285" t="s">
        <v>382</v>
      </c>
      <c r="J64" s="285" t="s">
        <v>382</v>
      </c>
      <c r="K64" s="285" t="s">
        <v>382</v>
      </c>
      <c r="L64" s="285" t="s">
        <v>382</v>
      </c>
      <c r="M64" s="285" t="s">
        <v>382</v>
      </c>
      <c r="N64" s="285" t="s">
        <v>382</v>
      </c>
      <c r="O64" s="285" t="s">
        <v>382</v>
      </c>
    </row>
    <row r="65" spans="1:15">
      <c r="A65" s="6">
        <v>61</v>
      </c>
      <c r="B65" s="20" t="s">
        <v>236</v>
      </c>
      <c r="C65" s="9">
        <v>3623955</v>
      </c>
      <c r="D65" s="285" t="s">
        <v>382</v>
      </c>
      <c r="E65" s="285" t="s">
        <v>382</v>
      </c>
      <c r="F65" s="285" t="s">
        <v>382</v>
      </c>
      <c r="G65" s="285" t="s">
        <v>382</v>
      </c>
      <c r="H65" s="285" t="s">
        <v>382</v>
      </c>
      <c r="I65" s="285" t="s">
        <v>382</v>
      </c>
      <c r="J65" s="285" t="s">
        <v>382</v>
      </c>
      <c r="K65" s="285" t="s">
        <v>382</v>
      </c>
      <c r="L65" s="285" t="s">
        <v>382</v>
      </c>
      <c r="M65" s="285" t="s">
        <v>382</v>
      </c>
      <c r="N65" s="285" t="s">
        <v>382</v>
      </c>
      <c r="O65" s="285" t="s">
        <v>382</v>
      </c>
    </row>
    <row r="66" spans="1:15">
      <c r="A66" s="6">
        <v>62</v>
      </c>
      <c r="B66" s="20" t="s">
        <v>239</v>
      </c>
      <c r="C66" s="9">
        <v>5199077</v>
      </c>
      <c r="D66" s="285" t="s">
        <v>382</v>
      </c>
      <c r="E66" s="285" t="s">
        <v>382</v>
      </c>
      <c r="F66" s="285" t="s">
        <v>382</v>
      </c>
      <c r="G66" s="285" t="s">
        <v>382</v>
      </c>
      <c r="H66" s="285" t="s">
        <v>382</v>
      </c>
      <c r="I66" s="285" t="s">
        <v>382</v>
      </c>
      <c r="J66" s="285" t="s">
        <v>382</v>
      </c>
      <c r="K66" s="285" t="s">
        <v>382</v>
      </c>
      <c r="L66" s="285" t="s">
        <v>382</v>
      </c>
      <c r="M66" s="285" t="s">
        <v>382</v>
      </c>
      <c r="N66" s="285" t="s">
        <v>382</v>
      </c>
      <c r="O66" s="285" t="s">
        <v>382</v>
      </c>
    </row>
    <row r="67" spans="1:15">
      <c r="A67" s="186">
        <v>63</v>
      </c>
      <c r="B67" s="184" t="s">
        <v>240</v>
      </c>
      <c r="C67" s="9">
        <v>2075385</v>
      </c>
      <c r="D67" s="6"/>
      <c r="E67" s="6"/>
      <c r="F67" s="6"/>
      <c r="G67" s="6"/>
      <c r="H67" s="1"/>
      <c r="I67" s="6"/>
      <c r="J67" s="6"/>
      <c r="K67" s="6"/>
      <c r="L67" s="6"/>
      <c r="M67" s="6"/>
      <c r="N67" s="6"/>
      <c r="O67" s="6"/>
    </row>
    <row r="68" spans="1:15">
      <c r="A68" s="186">
        <v>64</v>
      </c>
      <c r="B68" s="184" t="s">
        <v>241</v>
      </c>
      <c r="C68" s="9">
        <v>2867095</v>
      </c>
      <c r="D68" s="6"/>
      <c r="E68" s="6"/>
      <c r="F68" s="6"/>
      <c r="G68" s="6"/>
      <c r="H68" s="1"/>
      <c r="I68" s="6"/>
      <c r="J68" s="6"/>
      <c r="K68" s="6"/>
      <c r="L68" s="6"/>
      <c r="M68" s="6"/>
      <c r="N68" s="6"/>
      <c r="O68" s="6"/>
    </row>
    <row r="69" spans="1:15">
      <c r="A69" s="6">
        <v>65</v>
      </c>
      <c r="B69" s="20" t="s">
        <v>242</v>
      </c>
      <c r="C69" s="9">
        <v>5076285</v>
      </c>
      <c r="D69" s="285" t="s">
        <v>382</v>
      </c>
      <c r="E69" s="285" t="s">
        <v>382</v>
      </c>
      <c r="F69" s="285" t="s">
        <v>382</v>
      </c>
      <c r="G69" s="285" t="s">
        <v>382</v>
      </c>
      <c r="H69" s="285" t="s">
        <v>382</v>
      </c>
      <c r="I69" s="285" t="s">
        <v>382</v>
      </c>
      <c r="J69" s="285" t="s">
        <v>382</v>
      </c>
      <c r="K69" s="285" t="s">
        <v>382</v>
      </c>
      <c r="L69" s="285" t="s">
        <v>382</v>
      </c>
      <c r="M69" s="285" t="s">
        <v>382</v>
      </c>
      <c r="N69" s="285" t="s">
        <v>382</v>
      </c>
      <c r="O69" s="285" t="s">
        <v>382</v>
      </c>
    </row>
    <row r="70" spans="1:15" ht="25.5">
      <c r="A70" s="517">
        <v>66</v>
      </c>
      <c r="B70" s="543" t="s">
        <v>243</v>
      </c>
      <c r="C70" s="545">
        <v>5084555</v>
      </c>
      <c r="D70" s="1" t="s">
        <v>9855</v>
      </c>
      <c r="E70" s="228">
        <v>43000</v>
      </c>
      <c r="F70" s="228">
        <v>45657</v>
      </c>
      <c r="G70" s="6" t="s">
        <v>9856</v>
      </c>
      <c r="H70" s="1" t="s">
        <v>9834</v>
      </c>
      <c r="I70" s="93">
        <v>9200000000</v>
      </c>
      <c r="J70" s="1" t="s">
        <v>9855</v>
      </c>
      <c r="K70" s="1" t="s">
        <v>9857</v>
      </c>
      <c r="L70" s="6" t="s">
        <v>243</v>
      </c>
      <c r="M70" s="6" t="s">
        <v>8259</v>
      </c>
      <c r="N70" s="60" t="s">
        <v>382</v>
      </c>
      <c r="O70" s="6" t="s">
        <v>8259</v>
      </c>
    </row>
    <row r="71" spans="1:15" ht="51">
      <c r="A71" s="523"/>
      <c r="B71" s="547"/>
      <c r="C71" s="548"/>
      <c r="D71" s="1" t="s">
        <v>9858</v>
      </c>
      <c r="E71" s="228">
        <v>44440</v>
      </c>
      <c r="F71" s="228">
        <v>45291</v>
      </c>
      <c r="G71" s="60" t="s">
        <v>382</v>
      </c>
      <c r="H71" s="1" t="s">
        <v>9834</v>
      </c>
      <c r="I71" s="60" t="s">
        <v>382</v>
      </c>
      <c r="J71" s="1" t="s">
        <v>9858</v>
      </c>
      <c r="K71" s="1" t="s">
        <v>9859</v>
      </c>
      <c r="L71" s="1" t="s">
        <v>9859</v>
      </c>
      <c r="M71" s="6" t="s">
        <v>8259</v>
      </c>
      <c r="N71" s="60" t="s">
        <v>382</v>
      </c>
      <c r="O71" s="6" t="s">
        <v>8259</v>
      </c>
    </row>
    <row r="72" spans="1:15" ht="51">
      <c r="A72" s="518"/>
      <c r="B72" s="544"/>
      <c r="C72" s="546"/>
      <c r="D72" s="1" t="s">
        <v>9860</v>
      </c>
      <c r="E72" s="228">
        <v>44890</v>
      </c>
      <c r="F72" s="228">
        <v>45657</v>
      </c>
      <c r="G72" s="6" t="s">
        <v>9861</v>
      </c>
      <c r="H72" s="1" t="s">
        <v>9834</v>
      </c>
      <c r="I72" s="60" t="s">
        <v>382</v>
      </c>
      <c r="J72" s="1" t="s">
        <v>9860</v>
      </c>
      <c r="K72" s="1" t="s">
        <v>9862</v>
      </c>
      <c r="L72" s="6" t="s">
        <v>9863</v>
      </c>
      <c r="M72" s="6" t="s">
        <v>8259</v>
      </c>
      <c r="N72" s="60" t="s">
        <v>382</v>
      </c>
      <c r="O72" s="6" t="s">
        <v>8259</v>
      </c>
    </row>
    <row r="73" spans="1:15">
      <c r="A73" s="6">
        <v>67</v>
      </c>
      <c r="B73" s="20" t="s">
        <v>244</v>
      </c>
      <c r="C73" s="9">
        <v>5261198</v>
      </c>
      <c r="D73" s="285" t="s">
        <v>382</v>
      </c>
      <c r="E73" s="285" t="s">
        <v>382</v>
      </c>
      <c r="F73" s="285" t="s">
        <v>382</v>
      </c>
      <c r="G73" s="285" t="s">
        <v>382</v>
      </c>
      <c r="H73" s="285" t="s">
        <v>382</v>
      </c>
      <c r="I73" s="285" t="s">
        <v>382</v>
      </c>
      <c r="J73" s="285" t="s">
        <v>382</v>
      </c>
      <c r="K73" s="285" t="s">
        <v>382</v>
      </c>
      <c r="L73" s="285" t="s">
        <v>382</v>
      </c>
      <c r="M73" s="285" t="s">
        <v>382</v>
      </c>
      <c r="N73" s="285" t="s">
        <v>382</v>
      </c>
      <c r="O73" s="285" t="s">
        <v>382</v>
      </c>
    </row>
    <row r="74" spans="1:15">
      <c r="A74" s="6">
        <v>68</v>
      </c>
      <c r="B74" s="20" t="s">
        <v>246</v>
      </c>
      <c r="C74" s="9">
        <v>5288703</v>
      </c>
      <c r="D74" s="285" t="s">
        <v>382</v>
      </c>
      <c r="E74" s="285" t="s">
        <v>382</v>
      </c>
      <c r="F74" s="285" t="s">
        <v>382</v>
      </c>
      <c r="G74" s="285" t="s">
        <v>382</v>
      </c>
      <c r="H74" s="285" t="s">
        <v>382</v>
      </c>
      <c r="I74" s="285" t="s">
        <v>382</v>
      </c>
      <c r="J74" s="285" t="s">
        <v>382</v>
      </c>
      <c r="K74" s="285" t="s">
        <v>382</v>
      </c>
      <c r="L74" s="285" t="s">
        <v>382</v>
      </c>
      <c r="M74" s="285" t="s">
        <v>382</v>
      </c>
      <c r="N74" s="285" t="s">
        <v>382</v>
      </c>
      <c r="O74" s="285" t="s">
        <v>382</v>
      </c>
    </row>
    <row r="75" spans="1:15">
      <c r="A75" s="6">
        <v>69</v>
      </c>
      <c r="B75" s="20" t="s">
        <v>248</v>
      </c>
      <c r="C75" s="9">
        <v>6232485</v>
      </c>
      <c r="D75" s="285" t="s">
        <v>382</v>
      </c>
      <c r="E75" s="285" t="s">
        <v>382</v>
      </c>
      <c r="F75" s="285" t="s">
        <v>382</v>
      </c>
      <c r="G75" s="285" t="s">
        <v>382</v>
      </c>
      <c r="H75" s="285" t="s">
        <v>382</v>
      </c>
      <c r="I75" s="285" t="s">
        <v>382</v>
      </c>
      <c r="J75" s="285" t="s">
        <v>382</v>
      </c>
      <c r="K75" s="285" t="s">
        <v>382</v>
      </c>
      <c r="L75" s="285" t="s">
        <v>382</v>
      </c>
      <c r="M75" s="285" t="s">
        <v>382</v>
      </c>
      <c r="N75" s="285" t="s">
        <v>382</v>
      </c>
      <c r="O75" s="285" t="s">
        <v>382</v>
      </c>
    </row>
    <row r="76" spans="1:15">
      <c r="A76" s="6">
        <v>70</v>
      </c>
      <c r="B76" s="20" t="s">
        <v>249</v>
      </c>
      <c r="C76" s="9">
        <v>6101615</v>
      </c>
      <c r="D76" s="285" t="s">
        <v>382</v>
      </c>
      <c r="E76" s="285" t="s">
        <v>382</v>
      </c>
      <c r="F76" s="285" t="s">
        <v>382</v>
      </c>
      <c r="G76" s="285" t="s">
        <v>382</v>
      </c>
      <c r="H76" s="285" t="s">
        <v>382</v>
      </c>
      <c r="I76" s="285" t="s">
        <v>382</v>
      </c>
      <c r="J76" s="285" t="s">
        <v>382</v>
      </c>
      <c r="K76" s="285" t="s">
        <v>382</v>
      </c>
      <c r="L76" s="285" t="s">
        <v>382</v>
      </c>
      <c r="M76" s="285" t="s">
        <v>382</v>
      </c>
      <c r="N76" s="285" t="s">
        <v>382</v>
      </c>
      <c r="O76" s="285" t="s">
        <v>382</v>
      </c>
    </row>
    <row r="77" spans="1:15">
      <c r="A77" s="186">
        <v>71</v>
      </c>
      <c r="B77" s="184" t="s">
        <v>250</v>
      </c>
      <c r="C77" s="9">
        <v>5120365</v>
      </c>
      <c r="D77" s="6"/>
      <c r="E77" s="6"/>
      <c r="F77" s="6"/>
      <c r="G77" s="6"/>
      <c r="H77" s="1"/>
      <c r="I77" s="6"/>
      <c r="J77" s="6"/>
      <c r="K77" s="6"/>
      <c r="L77" s="6"/>
      <c r="M77" s="6"/>
      <c r="N77" s="6"/>
      <c r="O77" s="6"/>
    </row>
    <row r="78" spans="1:15">
      <c r="A78" s="186">
        <v>72</v>
      </c>
      <c r="B78" s="184" t="s">
        <v>251</v>
      </c>
      <c r="C78" s="9">
        <v>2016656</v>
      </c>
      <c r="D78" s="6"/>
      <c r="E78" s="6"/>
      <c r="F78" s="6"/>
      <c r="G78" s="6"/>
      <c r="H78" s="1"/>
      <c r="I78" s="6"/>
      <c r="J78" s="6"/>
      <c r="K78" s="6"/>
      <c r="L78" s="6"/>
      <c r="M78" s="6"/>
      <c r="N78" s="6"/>
      <c r="O78" s="6"/>
    </row>
    <row r="79" spans="1:15">
      <c r="A79" s="6">
        <v>73</v>
      </c>
      <c r="B79" s="20" t="s">
        <v>253</v>
      </c>
      <c r="C79" s="9">
        <v>5872006</v>
      </c>
      <c r="D79" s="285" t="s">
        <v>382</v>
      </c>
      <c r="E79" s="285" t="s">
        <v>382</v>
      </c>
      <c r="F79" s="285" t="s">
        <v>382</v>
      </c>
      <c r="G79" s="285" t="s">
        <v>382</v>
      </c>
      <c r="H79" s="285" t="s">
        <v>382</v>
      </c>
      <c r="I79" s="285" t="s">
        <v>382</v>
      </c>
      <c r="J79" s="285" t="s">
        <v>382</v>
      </c>
      <c r="K79" s="285" t="s">
        <v>382</v>
      </c>
      <c r="L79" s="285" t="s">
        <v>382</v>
      </c>
      <c r="M79" s="285" t="s">
        <v>382</v>
      </c>
      <c r="N79" s="285" t="s">
        <v>382</v>
      </c>
      <c r="O79" s="285" t="s">
        <v>382</v>
      </c>
    </row>
    <row r="80" spans="1:15">
      <c r="A80" s="186">
        <v>74</v>
      </c>
      <c r="B80" s="184" t="s">
        <v>254</v>
      </c>
      <c r="C80" s="9">
        <v>5774047</v>
      </c>
      <c r="D80" s="6"/>
      <c r="E80" s="6"/>
      <c r="F80" s="6"/>
      <c r="G80" s="6"/>
      <c r="H80" s="1"/>
      <c r="I80" s="6"/>
      <c r="J80" s="6"/>
      <c r="K80" s="6"/>
      <c r="L80" s="6"/>
      <c r="M80" s="6"/>
      <c r="N80" s="6"/>
      <c r="O80" s="6"/>
    </row>
    <row r="81" spans="1:15">
      <c r="A81" s="186">
        <v>75</v>
      </c>
      <c r="B81" s="184" t="s">
        <v>257</v>
      </c>
      <c r="C81" s="9">
        <v>5105439</v>
      </c>
      <c r="D81" s="6"/>
      <c r="E81" s="6"/>
      <c r="F81" s="6"/>
      <c r="G81" s="6"/>
      <c r="H81" s="1"/>
      <c r="I81" s="6"/>
      <c r="J81" s="6"/>
      <c r="K81" s="6"/>
      <c r="L81" s="6"/>
      <c r="M81" s="6"/>
      <c r="N81" s="6"/>
      <c r="O81" s="6"/>
    </row>
    <row r="82" spans="1:15">
      <c r="A82" s="6">
        <v>76</v>
      </c>
      <c r="B82" s="20" t="s">
        <v>258</v>
      </c>
      <c r="C82" s="9">
        <v>2663813</v>
      </c>
      <c r="D82" s="285" t="s">
        <v>382</v>
      </c>
      <c r="E82" s="285" t="s">
        <v>382</v>
      </c>
      <c r="F82" s="285" t="s">
        <v>382</v>
      </c>
      <c r="G82" s="285" t="s">
        <v>382</v>
      </c>
      <c r="H82" s="285" t="s">
        <v>382</v>
      </c>
      <c r="I82" s="285" t="s">
        <v>382</v>
      </c>
      <c r="J82" s="285" t="s">
        <v>382</v>
      </c>
      <c r="K82" s="285" t="s">
        <v>382</v>
      </c>
      <c r="L82" s="285" t="s">
        <v>382</v>
      </c>
      <c r="M82" s="285" t="s">
        <v>382</v>
      </c>
      <c r="N82" s="285" t="s">
        <v>382</v>
      </c>
      <c r="O82" s="285" t="s">
        <v>382</v>
      </c>
    </row>
    <row r="83" spans="1:15">
      <c r="A83" s="6">
        <v>77</v>
      </c>
      <c r="B83" s="20" t="s">
        <v>260</v>
      </c>
      <c r="C83" s="9">
        <v>2016931</v>
      </c>
      <c r="D83" s="285" t="s">
        <v>382</v>
      </c>
      <c r="E83" s="285" t="s">
        <v>382</v>
      </c>
      <c r="F83" s="285" t="s">
        <v>382</v>
      </c>
      <c r="G83" s="285" t="s">
        <v>382</v>
      </c>
      <c r="H83" s="285" t="s">
        <v>382</v>
      </c>
      <c r="I83" s="285" t="s">
        <v>382</v>
      </c>
      <c r="J83" s="285" t="s">
        <v>382</v>
      </c>
      <c r="K83" s="285" t="s">
        <v>382</v>
      </c>
      <c r="L83" s="285" t="s">
        <v>382</v>
      </c>
      <c r="M83" s="285" t="s">
        <v>382</v>
      </c>
      <c r="N83" s="285" t="s">
        <v>382</v>
      </c>
      <c r="O83" s="285" t="s">
        <v>382</v>
      </c>
    </row>
    <row r="84" spans="1:15">
      <c r="A84" s="6">
        <v>78</v>
      </c>
      <c r="B84" s="20" t="s">
        <v>263</v>
      </c>
      <c r="C84" s="9">
        <v>5513618</v>
      </c>
      <c r="D84" s="285" t="s">
        <v>382</v>
      </c>
      <c r="E84" s="285" t="s">
        <v>382</v>
      </c>
      <c r="F84" s="285" t="s">
        <v>382</v>
      </c>
      <c r="G84" s="285" t="s">
        <v>382</v>
      </c>
      <c r="H84" s="285" t="s">
        <v>382</v>
      </c>
      <c r="I84" s="285" t="s">
        <v>382</v>
      </c>
      <c r="J84" s="285" t="s">
        <v>382</v>
      </c>
      <c r="K84" s="285" t="s">
        <v>382</v>
      </c>
      <c r="L84" s="285" t="s">
        <v>382</v>
      </c>
      <c r="M84" s="285" t="s">
        <v>382</v>
      </c>
      <c r="N84" s="285" t="s">
        <v>382</v>
      </c>
      <c r="O84" s="285" t="s">
        <v>382</v>
      </c>
    </row>
    <row r="85" spans="1:15" ht="51">
      <c r="A85" s="6">
        <v>79</v>
      </c>
      <c r="B85" s="20" t="s">
        <v>264</v>
      </c>
      <c r="C85" s="9">
        <v>2807459</v>
      </c>
      <c r="D85" s="1" t="s">
        <v>9864</v>
      </c>
      <c r="E85" s="228">
        <v>45063</v>
      </c>
      <c r="F85" s="228">
        <v>47573</v>
      </c>
      <c r="G85" s="6" t="s">
        <v>9865</v>
      </c>
      <c r="H85" s="1" t="s">
        <v>9834</v>
      </c>
      <c r="I85" s="93">
        <v>620640000</v>
      </c>
      <c r="J85" s="292">
        <v>0.5</v>
      </c>
      <c r="K85" s="6" t="s">
        <v>9866</v>
      </c>
      <c r="L85" s="1" t="s">
        <v>9867</v>
      </c>
      <c r="M85" s="6" t="s">
        <v>8259</v>
      </c>
      <c r="N85" s="93">
        <v>620640000</v>
      </c>
      <c r="O85" s="6" t="s">
        <v>8259</v>
      </c>
    </row>
    <row r="86" spans="1:15">
      <c r="A86" s="177">
        <v>80</v>
      </c>
      <c r="B86" s="192" t="s">
        <v>265</v>
      </c>
      <c r="C86" s="9">
        <v>2872943</v>
      </c>
      <c r="D86" s="285" t="s">
        <v>382</v>
      </c>
      <c r="E86" s="285" t="s">
        <v>382</v>
      </c>
      <c r="F86" s="285" t="s">
        <v>382</v>
      </c>
      <c r="G86" s="285" t="s">
        <v>382</v>
      </c>
      <c r="H86" s="285" t="s">
        <v>382</v>
      </c>
      <c r="I86" s="285" t="s">
        <v>382</v>
      </c>
      <c r="J86" s="285" t="s">
        <v>382</v>
      </c>
      <c r="K86" s="285" t="s">
        <v>382</v>
      </c>
      <c r="L86" s="285" t="s">
        <v>382</v>
      </c>
      <c r="M86" s="285" t="s">
        <v>382</v>
      </c>
      <c r="N86" s="285" t="s">
        <v>382</v>
      </c>
      <c r="O86" s="285" t="s">
        <v>382</v>
      </c>
    </row>
    <row r="87" spans="1:15" ht="51">
      <c r="A87" s="6">
        <v>81</v>
      </c>
      <c r="B87" s="20" t="s">
        <v>266</v>
      </c>
      <c r="C87" s="9">
        <v>6268048</v>
      </c>
      <c r="D87" s="6" t="s">
        <v>9868</v>
      </c>
      <c r="E87" s="228">
        <v>44896</v>
      </c>
      <c r="F87" s="228">
        <v>45657</v>
      </c>
      <c r="G87" s="6" t="s">
        <v>9833</v>
      </c>
      <c r="H87" s="1" t="s">
        <v>9834</v>
      </c>
      <c r="I87" s="93">
        <v>2093000000</v>
      </c>
      <c r="J87" s="6" t="s">
        <v>9869</v>
      </c>
      <c r="K87" s="6">
        <v>4</v>
      </c>
      <c r="L87" s="1" t="s">
        <v>9870</v>
      </c>
      <c r="M87" s="6" t="s">
        <v>8259</v>
      </c>
      <c r="N87" s="93">
        <v>720000000</v>
      </c>
      <c r="O87" s="6" t="s">
        <v>8250</v>
      </c>
    </row>
    <row r="88" spans="1:15" ht="51">
      <c r="A88" s="6">
        <v>82</v>
      </c>
      <c r="B88" s="20" t="s">
        <v>268</v>
      </c>
      <c r="C88" s="9">
        <v>5874963</v>
      </c>
      <c r="D88" s="1" t="s">
        <v>9871</v>
      </c>
      <c r="E88" s="228">
        <v>45236</v>
      </c>
      <c r="F88" s="228">
        <v>47063</v>
      </c>
      <c r="G88" s="6" t="s">
        <v>8381</v>
      </c>
      <c r="H88" s="1" t="s">
        <v>9834</v>
      </c>
      <c r="I88" s="93">
        <v>4857800000</v>
      </c>
      <c r="J88" s="1" t="s">
        <v>9872</v>
      </c>
      <c r="K88" s="6" t="s">
        <v>9873</v>
      </c>
      <c r="L88" s="6" t="s">
        <v>9873</v>
      </c>
      <c r="M88" s="6" t="s">
        <v>8259</v>
      </c>
      <c r="N88" s="60" t="s">
        <v>382</v>
      </c>
      <c r="O88" s="6" t="s">
        <v>8259</v>
      </c>
    </row>
    <row r="89" spans="1:15">
      <c r="A89" s="6">
        <v>83</v>
      </c>
      <c r="B89" s="20" t="s">
        <v>269</v>
      </c>
      <c r="C89" s="9">
        <v>6636624</v>
      </c>
      <c r="D89" s="285" t="s">
        <v>382</v>
      </c>
      <c r="E89" s="285" t="s">
        <v>382</v>
      </c>
      <c r="F89" s="285" t="s">
        <v>382</v>
      </c>
      <c r="G89" s="285" t="s">
        <v>382</v>
      </c>
      <c r="H89" s="285" t="s">
        <v>382</v>
      </c>
      <c r="I89" s="285" t="s">
        <v>382</v>
      </c>
      <c r="J89" s="285" t="s">
        <v>382</v>
      </c>
      <c r="K89" s="285" t="s">
        <v>382</v>
      </c>
      <c r="L89" s="285" t="s">
        <v>382</v>
      </c>
      <c r="M89" s="285" t="s">
        <v>382</v>
      </c>
      <c r="N89" s="285" t="s">
        <v>382</v>
      </c>
      <c r="O89" s="285" t="s">
        <v>382</v>
      </c>
    </row>
    <row r="90" spans="1:15">
      <c r="A90" s="6">
        <v>84</v>
      </c>
      <c r="B90" s="20" t="s">
        <v>270</v>
      </c>
      <c r="C90" s="9">
        <v>2839717</v>
      </c>
      <c r="D90" s="285" t="s">
        <v>382</v>
      </c>
      <c r="E90" s="285" t="s">
        <v>382</v>
      </c>
      <c r="F90" s="285" t="s">
        <v>382</v>
      </c>
      <c r="G90" s="285" t="s">
        <v>382</v>
      </c>
      <c r="H90" s="285" t="s">
        <v>382</v>
      </c>
      <c r="I90" s="285" t="s">
        <v>382</v>
      </c>
      <c r="J90" s="285" t="s">
        <v>382</v>
      </c>
      <c r="K90" s="285" t="s">
        <v>382</v>
      </c>
      <c r="L90" s="285" t="s">
        <v>382</v>
      </c>
      <c r="M90" s="285" t="s">
        <v>382</v>
      </c>
      <c r="N90" s="285" t="s">
        <v>382</v>
      </c>
      <c r="O90" s="285" t="s">
        <v>382</v>
      </c>
    </row>
    <row r="91" spans="1:15">
      <c r="A91" s="6">
        <v>85</v>
      </c>
      <c r="B91" s="20" t="s">
        <v>271</v>
      </c>
      <c r="C91" s="9">
        <v>2344343</v>
      </c>
      <c r="D91" s="285" t="s">
        <v>382</v>
      </c>
      <c r="E91" s="285" t="s">
        <v>382</v>
      </c>
      <c r="F91" s="285" t="s">
        <v>382</v>
      </c>
      <c r="G91" s="285" t="s">
        <v>382</v>
      </c>
      <c r="H91" s="285" t="s">
        <v>382</v>
      </c>
      <c r="I91" s="285" t="s">
        <v>382</v>
      </c>
      <c r="J91" s="285" t="s">
        <v>382</v>
      </c>
      <c r="K91" s="285" t="s">
        <v>382</v>
      </c>
      <c r="L91" s="285" t="s">
        <v>382</v>
      </c>
      <c r="M91" s="285" t="s">
        <v>382</v>
      </c>
      <c r="N91" s="285" t="s">
        <v>382</v>
      </c>
      <c r="O91" s="285" t="s">
        <v>382</v>
      </c>
    </row>
    <row r="92" spans="1:15">
      <c r="A92" s="6">
        <v>86</v>
      </c>
      <c r="B92" s="20" t="s">
        <v>273</v>
      </c>
      <c r="C92" s="9">
        <v>2819996</v>
      </c>
      <c r="D92" s="285" t="s">
        <v>382</v>
      </c>
      <c r="E92" s="285" t="s">
        <v>382</v>
      </c>
      <c r="F92" s="285" t="s">
        <v>382</v>
      </c>
      <c r="G92" s="285" t="s">
        <v>382</v>
      </c>
      <c r="H92" s="285" t="s">
        <v>382</v>
      </c>
      <c r="I92" s="285" t="s">
        <v>382</v>
      </c>
      <c r="J92" s="285" t="s">
        <v>382</v>
      </c>
      <c r="K92" s="285" t="s">
        <v>382</v>
      </c>
      <c r="L92" s="285" t="s">
        <v>382</v>
      </c>
      <c r="M92" s="285" t="s">
        <v>382</v>
      </c>
      <c r="N92" s="285" t="s">
        <v>382</v>
      </c>
      <c r="O92" s="285" t="s">
        <v>382</v>
      </c>
    </row>
    <row r="93" spans="1:15">
      <c r="A93" s="6">
        <v>87</v>
      </c>
      <c r="B93" s="20" t="s">
        <v>277</v>
      </c>
      <c r="C93" s="9">
        <v>2868687</v>
      </c>
      <c r="D93" s="285" t="s">
        <v>382</v>
      </c>
      <c r="E93" s="285" t="s">
        <v>382</v>
      </c>
      <c r="F93" s="285" t="s">
        <v>382</v>
      </c>
      <c r="G93" s="285" t="s">
        <v>382</v>
      </c>
      <c r="H93" s="285" t="s">
        <v>382</v>
      </c>
      <c r="I93" s="285" t="s">
        <v>382</v>
      </c>
      <c r="J93" s="285" t="s">
        <v>382</v>
      </c>
      <c r="K93" s="285" t="s">
        <v>382</v>
      </c>
      <c r="L93" s="285" t="s">
        <v>382</v>
      </c>
      <c r="M93" s="285" t="s">
        <v>382</v>
      </c>
      <c r="N93" s="285" t="s">
        <v>382</v>
      </c>
      <c r="O93" s="285" t="s">
        <v>382</v>
      </c>
    </row>
    <row r="94" spans="1:15">
      <c r="A94" s="6">
        <v>88</v>
      </c>
      <c r="B94" s="20" t="s">
        <v>279</v>
      </c>
      <c r="C94" s="9">
        <v>5877288</v>
      </c>
      <c r="D94" s="285" t="s">
        <v>382</v>
      </c>
      <c r="E94" s="285" t="s">
        <v>382</v>
      </c>
      <c r="F94" s="285" t="s">
        <v>382</v>
      </c>
      <c r="G94" s="285" t="s">
        <v>382</v>
      </c>
      <c r="H94" s="285" t="s">
        <v>382</v>
      </c>
      <c r="I94" s="285" t="s">
        <v>382</v>
      </c>
      <c r="J94" s="285" t="s">
        <v>382</v>
      </c>
      <c r="K94" s="285" t="s">
        <v>382</v>
      </c>
      <c r="L94" s="285" t="s">
        <v>382</v>
      </c>
      <c r="M94" s="285" t="s">
        <v>382</v>
      </c>
      <c r="N94" s="285" t="s">
        <v>382</v>
      </c>
      <c r="O94" s="285" t="s">
        <v>382</v>
      </c>
    </row>
    <row r="95" spans="1:15">
      <c r="A95" s="6">
        <v>89</v>
      </c>
      <c r="B95" s="20" t="s">
        <v>281</v>
      </c>
      <c r="C95" s="9">
        <v>6195598</v>
      </c>
      <c r="D95" s="285" t="s">
        <v>382</v>
      </c>
      <c r="E95" s="285" t="s">
        <v>382</v>
      </c>
      <c r="F95" s="285" t="s">
        <v>382</v>
      </c>
      <c r="G95" s="285" t="s">
        <v>382</v>
      </c>
      <c r="H95" s="285" t="s">
        <v>382</v>
      </c>
      <c r="I95" s="285" t="s">
        <v>382</v>
      </c>
      <c r="J95" s="285" t="s">
        <v>382</v>
      </c>
      <c r="K95" s="285" t="s">
        <v>382</v>
      </c>
      <c r="L95" s="285" t="s">
        <v>382</v>
      </c>
      <c r="M95" s="285" t="s">
        <v>382</v>
      </c>
      <c r="N95" s="285" t="s">
        <v>382</v>
      </c>
      <c r="O95" s="285" t="s">
        <v>382</v>
      </c>
    </row>
    <row r="96" spans="1:15">
      <c r="A96" s="6">
        <v>90</v>
      </c>
      <c r="B96" s="20" t="s">
        <v>282</v>
      </c>
      <c r="C96" s="9">
        <v>6413811</v>
      </c>
      <c r="D96" s="285" t="s">
        <v>382</v>
      </c>
      <c r="E96" s="285" t="s">
        <v>382</v>
      </c>
      <c r="F96" s="285" t="s">
        <v>382</v>
      </c>
      <c r="G96" s="285" t="s">
        <v>382</v>
      </c>
      <c r="H96" s="285" t="s">
        <v>382</v>
      </c>
      <c r="I96" s="285" t="s">
        <v>382</v>
      </c>
      <c r="J96" s="285" t="s">
        <v>382</v>
      </c>
      <c r="K96" s="285" t="s">
        <v>382</v>
      </c>
      <c r="L96" s="285" t="s">
        <v>382</v>
      </c>
      <c r="M96" s="285" t="s">
        <v>382</v>
      </c>
      <c r="N96" s="285" t="s">
        <v>382</v>
      </c>
      <c r="O96" s="285" t="s">
        <v>382</v>
      </c>
    </row>
    <row r="97" spans="1:15">
      <c r="A97" s="6">
        <v>91</v>
      </c>
      <c r="B97" s="20" t="s">
        <v>283</v>
      </c>
      <c r="C97" s="9">
        <v>2887134</v>
      </c>
      <c r="D97" s="285" t="s">
        <v>382</v>
      </c>
      <c r="E97" s="285" t="s">
        <v>382</v>
      </c>
      <c r="F97" s="285" t="s">
        <v>382</v>
      </c>
      <c r="G97" s="285" t="s">
        <v>382</v>
      </c>
      <c r="H97" s="285" t="s">
        <v>382</v>
      </c>
      <c r="I97" s="285" t="s">
        <v>382</v>
      </c>
      <c r="J97" s="285" t="s">
        <v>382</v>
      </c>
      <c r="K97" s="285" t="s">
        <v>382</v>
      </c>
      <c r="L97" s="285" t="s">
        <v>382</v>
      </c>
      <c r="M97" s="285" t="s">
        <v>382</v>
      </c>
      <c r="N97" s="285" t="s">
        <v>382</v>
      </c>
      <c r="O97" s="285" t="s">
        <v>382</v>
      </c>
    </row>
    <row r="98" spans="1:15">
      <c r="A98" s="6">
        <v>92</v>
      </c>
      <c r="B98" s="20" t="s">
        <v>284</v>
      </c>
      <c r="C98" s="9">
        <v>2618176</v>
      </c>
      <c r="D98" s="285" t="s">
        <v>382</v>
      </c>
      <c r="E98" s="285" t="s">
        <v>382</v>
      </c>
      <c r="F98" s="285" t="s">
        <v>382</v>
      </c>
      <c r="G98" s="285" t="s">
        <v>382</v>
      </c>
      <c r="H98" s="285" t="s">
        <v>382</v>
      </c>
      <c r="I98" s="285" t="s">
        <v>382</v>
      </c>
      <c r="J98" s="285" t="s">
        <v>382</v>
      </c>
      <c r="K98" s="285" t="s">
        <v>382</v>
      </c>
      <c r="L98" s="285" t="s">
        <v>382</v>
      </c>
      <c r="M98" s="285" t="s">
        <v>382</v>
      </c>
      <c r="N98" s="285" t="s">
        <v>382</v>
      </c>
      <c r="O98" s="285" t="s">
        <v>382</v>
      </c>
    </row>
    <row r="99" spans="1:15">
      <c r="A99" s="186">
        <v>93</v>
      </c>
      <c r="B99" s="184" t="s">
        <v>285</v>
      </c>
      <c r="C99" s="9">
        <v>5364884</v>
      </c>
      <c r="D99" s="6"/>
      <c r="E99" s="6"/>
      <c r="F99" s="6"/>
      <c r="G99" s="6"/>
      <c r="H99" s="1"/>
      <c r="I99" s="6"/>
      <c r="J99" s="6"/>
      <c r="K99" s="6"/>
      <c r="L99" s="6"/>
      <c r="M99" s="6"/>
      <c r="N99" s="6"/>
      <c r="O99" s="6"/>
    </row>
    <row r="100" spans="1:15">
      <c r="A100" s="6">
        <v>94</v>
      </c>
      <c r="B100" s="20" t="s">
        <v>286</v>
      </c>
      <c r="C100" s="9">
        <v>2100231</v>
      </c>
      <c r="D100" s="285" t="s">
        <v>382</v>
      </c>
      <c r="E100" s="285" t="s">
        <v>382</v>
      </c>
      <c r="F100" s="285" t="s">
        <v>382</v>
      </c>
      <c r="G100" s="285" t="s">
        <v>382</v>
      </c>
      <c r="H100" s="285" t="s">
        <v>382</v>
      </c>
      <c r="I100" s="285" t="s">
        <v>382</v>
      </c>
      <c r="J100" s="285" t="s">
        <v>382</v>
      </c>
      <c r="K100" s="285" t="s">
        <v>382</v>
      </c>
      <c r="L100" s="285" t="s">
        <v>382</v>
      </c>
      <c r="M100" s="285" t="s">
        <v>382</v>
      </c>
      <c r="N100" s="285" t="s">
        <v>382</v>
      </c>
      <c r="O100" s="285" t="s">
        <v>382</v>
      </c>
    </row>
    <row r="101" spans="1:15">
      <c r="A101" s="6">
        <v>95</v>
      </c>
      <c r="B101" s="20" t="s">
        <v>287</v>
      </c>
      <c r="C101" s="9">
        <v>2661128</v>
      </c>
      <c r="D101" s="285" t="s">
        <v>382</v>
      </c>
      <c r="E101" s="285" t="s">
        <v>382</v>
      </c>
      <c r="F101" s="285" t="s">
        <v>382</v>
      </c>
      <c r="G101" s="285" t="s">
        <v>382</v>
      </c>
      <c r="H101" s="285" t="s">
        <v>382</v>
      </c>
      <c r="I101" s="285" t="s">
        <v>382</v>
      </c>
      <c r="J101" s="285" t="s">
        <v>382</v>
      </c>
      <c r="K101" s="285" t="s">
        <v>382</v>
      </c>
      <c r="L101" s="285" t="s">
        <v>382</v>
      </c>
      <c r="M101" s="285" t="s">
        <v>382</v>
      </c>
      <c r="N101" s="285" t="s">
        <v>382</v>
      </c>
      <c r="O101" s="285" t="s">
        <v>382</v>
      </c>
    </row>
    <row r="102" spans="1:15">
      <c r="A102" s="6">
        <v>96</v>
      </c>
      <c r="B102" s="20" t="s">
        <v>290</v>
      </c>
      <c r="C102" s="9">
        <v>5878756</v>
      </c>
      <c r="D102" s="285" t="s">
        <v>382</v>
      </c>
      <c r="E102" s="285" t="s">
        <v>382</v>
      </c>
      <c r="F102" s="285" t="s">
        <v>382</v>
      </c>
      <c r="G102" s="285" t="s">
        <v>382</v>
      </c>
      <c r="H102" s="285" t="s">
        <v>382</v>
      </c>
      <c r="I102" s="285" t="s">
        <v>382</v>
      </c>
      <c r="J102" s="285" t="s">
        <v>382</v>
      </c>
      <c r="K102" s="285" t="s">
        <v>382</v>
      </c>
      <c r="L102" s="285" t="s">
        <v>382</v>
      </c>
      <c r="M102" s="285" t="s">
        <v>382</v>
      </c>
      <c r="N102" s="285" t="s">
        <v>382</v>
      </c>
      <c r="O102" s="285" t="s">
        <v>382</v>
      </c>
    </row>
    <row r="103" spans="1:15">
      <c r="A103" s="6">
        <v>97</v>
      </c>
      <c r="B103" s="20" t="s">
        <v>292</v>
      </c>
      <c r="C103" s="9">
        <v>2166631</v>
      </c>
      <c r="D103" s="285" t="s">
        <v>382</v>
      </c>
      <c r="E103" s="285" t="s">
        <v>382</v>
      </c>
      <c r="F103" s="285" t="s">
        <v>382</v>
      </c>
      <c r="G103" s="285" t="s">
        <v>382</v>
      </c>
      <c r="H103" s="285" t="s">
        <v>382</v>
      </c>
      <c r="I103" s="285" t="s">
        <v>382</v>
      </c>
      <c r="J103" s="285" t="s">
        <v>382</v>
      </c>
      <c r="K103" s="285" t="s">
        <v>382</v>
      </c>
      <c r="L103" s="285" t="s">
        <v>382</v>
      </c>
      <c r="M103" s="285" t="s">
        <v>382</v>
      </c>
      <c r="N103" s="285" t="s">
        <v>382</v>
      </c>
      <c r="O103" s="285" t="s">
        <v>382</v>
      </c>
    </row>
    <row r="104" spans="1:15">
      <c r="A104" s="6">
        <v>98</v>
      </c>
      <c r="B104" s="20" t="s">
        <v>296</v>
      </c>
      <c r="C104" s="9">
        <v>5671833</v>
      </c>
      <c r="D104" s="285" t="s">
        <v>382</v>
      </c>
      <c r="E104" s="285" t="s">
        <v>382</v>
      </c>
      <c r="F104" s="285" t="s">
        <v>382</v>
      </c>
      <c r="G104" s="285" t="s">
        <v>382</v>
      </c>
      <c r="H104" s="285" t="s">
        <v>382</v>
      </c>
      <c r="I104" s="285" t="s">
        <v>382</v>
      </c>
      <c r="J104" s="285" t="s">
        <v>382</v>
      </c>
      <c r="K104" s="285" t="s">
        <v>382</v>
      </c>
      <c r="L104" s="285" t="s">
        <v>382</v>
      </c>
      <c r="M104" s="285" t="s">
        <v>382</v>
      </c>
      <c r="N104" s="285" t="s">
        <v>382</v>
      </c>
      <c r="O104" s="285" t="s">
        <v>382</v>
      </c>
    </row>
    <row r="105" spans="1:15">
      <c r="A105" s="186">
        <v>99</v>
      </c>
      <c r="B105" s="184" t="s">
        <v>297</v>
      </c>
      <c r="C105" s="9">
        <v>5104424</v>
      </c>
      <c r="D105" s="6"/>
      <c r="E105" s="6"/>
      <c r="F105" s="6"/>
      <c r="G105" s="6"/>
      <c r="H105" s="1"/>
      <c r="I105" s="6"/>
      <c r="J105" s="6"/>
      <c r="K105" s="6"/>
      <c r="L105" s="6"/>
      <c r="M105" s="6"/>
      <c r="N105" s="6"/>
      <c r="O105" s="6"/>
    </row>
    <row r="106" spans="1:15">
      <c r="A106" s="177">
        <v>100</v>
      </c>
      <c r="B106" s="167" t="s">
        <v>298</v>
      </c>
      <c r="C106" s="285" t="s">
        <v>382</v>
      </c>
      <c r="D106" s="285" t="s">
        <v>382</v>
      </c>
      <c r="E106" s="285" t="s">
        <v>382</v>
      </c>
      <c r="F106" s="285" t="s">
        <v>382</v>
      </c>
      <c r="G106" s="285" t="s">
        <v>382</v>
      </c>
      <c r="H106" s="285" t="s">
        <v>382</v>
      </c>
      <c r="I106" s="285" t="s">
        <v>382</v>
      </c>
      <c r="J106" s="285" t="s">
        <v>382</v>
      </c>
      <c r="K106" s="285" t="s">
        <v>382</v>
      </c>
      <c r="L106" s="285" t="s">
        <v>382</v>
      </c>
      <c r="M106" s="285" t="s">
        <v>382</v>
      </c>
      <c r="N106" s="285" t="s">
        <v>382</v>
      </c>
      <c r="O106" s="285" t="s">
        <v>382</v>
      </c>
    </row>
    <row r="107" spans="1:15">
      <c r="A107" s="186">
        <v>101</v>
      </c>
      <c r="B107" s="184" t="s">
        <v>299</v>
      </c>
      <c r="C107" s="9">
        <v>2697947</v>
      </c>
      <c r="D107" s="6"/>
      <c r="E107" s="6"/>
      <c r="F107" s="6"/>
      <c r="G107" s="6"/>
      <c r="H107" s="1"/>
      <c r="I107" s="6"/>
      <c r="J107" s="6"/>
      <c r="K107" s="6"/>
      <c r="L107" s="6"/>
      <c r="M107" s="6"/>
      <c r="N107" s="6"/>
      <c r="O107" s="6"/>
    </row>
    <row r="108" spans="1:15">
      <c r="A108" s="6">
        <v>102</v>
      </c>
      <c r="B108" s="20" t="s">
        <v>300</v>
      </c>
      <c r="C108" s="9">
        <v>5352827</v>
      </c>
      <c r="D108" s="285" t="s">
        <v>382</v>
      </c>
      <c r="E108" s="285" t="s">
        <v>382</v>
      </c>
      <c r="F108" s="285" t="s">
        <v>382</v>
      </c>
      <c r="G108" s="285" t="s">
        <v>382</v>
      </c>
      <c r="H108" s="285" t="s">
        <v>382</v>
      </c>
      <c r="I108" s="285" t="s">
        <v>382</v>
      </c>
      <c r="J108" s="285" t="s">
        <v>382</v>
      </c>
      <c r="K108" s="285" t="s">
        <v>382</v>
      </c>
      <c r="L108" s="285" t="s">
        <v>382</v>
      </c>
      <c r="M108" s="285" t="s">
        <v>382</v>
      </c>
      <c r="N108" s="285" t="s">
        <v>382</v>
      </c>
      <c r="O108" s="285" t="s">
        <v>382</v>
      </c>
    </row>
    <row r="109" spans="1:15">
      <c r="A109" s="6">
        <v>103</v>
      </c>
      <c r="B109" s="20" t="s">
        <v>301</v>
      </c>
      <c r="C109" s="9">
        <v>2548747</v>
      </c>
      <c r="D109" s="285" t="s">
        <v>382</v>
      </c>
      <c r="E109" s="285" t="s">
        <v>382</v>
      </c>
      <c r="F109" s="285" t="s">
        <v>382</v>
      </c>
      <c r="G109" s="285" t="s">
        <v>382</v>
      </c>
      <c r="H109" s="285" t="s">
        <v>382</v>
      </c>
      <c r="I109" s="285" t="s">
        <v>382</v>
      </c>
      <c r="J109" s="285" t="s">
        <v>382</v>
      </c>
      <c r="K109" s="285" t="s">
        <v>382</v>
      </c>
      <c r="L109" s="285" t="s">
        <v>382</v>
      </c>
      <c r="M109" s="285" t="s">
        <v>382</v>
      </c>
      <c r="N109" s="285" t="s">
        <v>382</v>
      </c>
      <c r="O109" s="285" t="s">
        <v>382</v>
      </c>
    </row>
    <row r="110" spans="1:15">
      <c r="A110" s="186">
        <v>104</v>
      </c>
      <c r="B110" s="184" t="s">
        <v>303</v>
      </c>
      <c r="C110" s="9">
        <v>2641984</v>
      </c>
      <c r="D110" s="6"/>
      <c r="E110" s="6"/>
      <c r="F110" s="6"/>
      <c r="G110" s="6"/>
      <c r="H110" s="1"/>
      <c r="I110" s="6"/>
      <c r="J110" s="6"/>
      <c r="K110" s="6"/>
      <c r="L110" s="6"/>
      <c r="M110" s="6"/>
      <c r="N110" s="6"/>
      <c r="O110" s="6"/>
    </row>
    <row r="111" spans="1:15">
      <c r="A111" s="6">
        <v>105</v>
      </c>
      <c r="B111" s="20" t="s">
        <v>306</v>
      </c>
      <c r="C111" s="9">
        <v>6342485</v>
      </c>
      <c r="D111" s="285" t="s">
        <v>382</v>
      </c>
      <c r="E111" s="285" t="s">
        <v>382</v>
      </c>
      <c r="F111" s="285" t="s">
        <v>382</v>
      </c>
      <c r="G111" s="285" t="s">
        <v>382</v>
      </c>
      <c r="H111" s="285" t="s">
        <v>382</v>
      </c>
      <c r="I111" s="285" t="s">
        <v>382</v>
      </c>
      <c r="J111" s="285" t="s">
        <v>382</v>
      </c>
      <c r="K111" s="285" t="s">
        <v>382</v>
      </c>
      <c r="L111" s="285" t="s">
        <v>382</v>
      </c>
      <c r="M111" s="285" t="s">
        <v>382</v>
      </c>
      <c r="N111" s="285" t="s">
        <v>382</v>
      </c>
      <c r="O111" s="285" t="s">
        <v>382</v>
      </c>
    </row>
    <row r="112" spans="1:15">
      <c r="A112" s="6">
        <v>106</v>
      </c>
      <c r="B112" s="20" t="s">
        <v>307</v>
      </c>
      <c r="C112" s="9">
        <v>5166667</v>
      </c>
      <c r="D112" s="285" t="s">
        <v>382</v>
      </c>
      <c r="E112" s="285" t="s">
        <v>382</v>
      </c>
      <c r="F112" s="285" t="s">
        <v>382</v>
      </c>
      <c r="G112" s="285" t="s">
        <v>382</v>
      </c>
      <c r="H112" s="285" t="s">
        <v>382</v>
      </c>
      <c r="I112" s="285" t="s">
        <v>382</v>
      </c>
      <c r="J112" s="285" t="s">
        <v>382</v>
      </c>
      <c r="K112" s="285" t="s">
        <v>382</v>
      </c>
      <c r="L112" s="285" t="s">
        <v>382</v>
      </c>
      <c r="M112" s="285" t="s">
        <v>382</v>
      </c>
      <c r="N112" s="285" t="s">
        <v>382</v>
      </c>
      <c r="O112" s="285" t="s">
        <v>382</v>
      </c>
    </row>
    <row r="113" spans="1:15">
      <c r="A113" s="6">
        <v>107</v>
      </c>
      <c r="B113" s="20" t="s">
        <v>308</v>
      </c>
      <c r="C113" s="9">
        <v>5482046</v>
      </c>
      <c r="D113" s="285" t="s">
        <v>382</v>
      </c>
      <c r="E113" s="285" t="s">
        <v>382</v>
      </c>
      <c r="F113" s="285" t="s">
        <v>382</v>
      </c>
      <c r="G113" s="285" t="s">
        <v>382</v>
      </c>
      <c r="H113" s="285" t="s">
        <v>382</v>
      </c>
      <c r="I113" s="285" t="s">
        <v>382</v>
      </c>
      <c r="J113" s="285" t="s">
        <v>382</v>
      </c>
      <c r="K113" s="285" t="s">
        <v>382</v>
      </c>
      <c r="L113" s="285" t="s">
        <v>382</v>
      </c>
      <c r="M113" s="285" t="s">
        <v>382</v>
      </c>
      <c r="N113" s="285" t="s">
        <v>382</v>
      </c>
      <c r="O113" s="285" t="s">
        <v>382</v>
      </c>
    </row>
    <row r="114" spans="1:15">
      <c r="A114" s="6">
        <v>108</v>
      </c>
      <c r="B114" s="20" t="s">
        <v>309</v>
      </c>
      <c r="C114" s="9">
        <v>2050374</v>
      </c>
      <c r="D114" s="285" t="s">
        <v>382</v>
      </c>
      <c r="E114" s="285" t="s">
        <v>382</v>
      </c>
      <c r="F114" s="285" t="s">
        <v>382</v>
      </c>
      <c r="G114" s="285" t="s">
        <v>382</v>
      </c>
      <c r="H114" s="285" t="s">
        <v>382</v>
      </c>
      <c r="I114" s="285" t="s">
        <v>382</v>
      </c>
      <c r="J114" s="285" t="s">
        <v>382</v>
      </c>
      <c r="K114" s="285" t="s">
        <v>382</v>
      </c>
      <c r="L114" s="285" t="s">
        <v>382</v>
      </c>
      <c r="M114" s="285" t="s">
        <v>382</v>
      </c>
      <c r="N114" s="285" t="s">
        <v>382</v>
      </c>
      <c r="O114" s="285" t="s">
        <v>382</v>
      </c>
    </row>
    <row r="115" spans="1:15">
      <c r="A115" s="6">
        <v>109</v>
      </c>
      <c r="B115" s="20" t="s">
        <v>311</v>
      </c>
      <c r="C115" s="9">
        <v>2004879</v>
      </c>
      <c r="D115" s="285" t="s">
        <v>382</v>
      </c>
      <c r="E115" s="285" t="s">
        <v>382</v>
      </c>
      <c r="F115" s="285" t="s">
        <v>382</v>
      </c>
      <c r="G115" s="285" t="s">
        <v>382</v>
      </c>
      <c r="H115" s="285" t="s">
        <v>382</v>
      </c>
      <c r="I115" s="285" t="s">
        <v>382</v>
      </c>
      <c r="J115" s="285" t="s">
        <v>382</v>
      </c>
      <c r="K115" s="285" t="s">
        <v>382</v>
      </c>
      <c r="L115" s="285" t="s">
        <v>382</v>
      </c>
      <c r="M115" s="285" t="s">
        <v>382</v>
      </c>
      <c r="N115" s="285" t="s">
        <v>382</v>
      </c>
      <c r="O115" s="285" t="s">
        <v>382</v>
      </c>
    </row>
    <row r="116" spans="1:15">
      <c r="A116" s="186">
        <v>110</v>
      </c>
      <c r="B116" s="184" t="s">
        <v>314</v>
      </c>
      <c r="C116" s="9">
        <v>2830213</v>
      </c>
      <c r="D116" s="6"/>
      <c r="E116" s="6"/>
      <c r="F116" s="6"/>
      <c r="G116" s="6"/>
      <c r="H116" s="1"/>
      <c r="I116" s="6"/>
      <c r="J116" s="6"/>
      <c r="K116" s="6"/>
      <c r="L116" s="6"/>
      <c r="M116" s="6"/>
      <c r="N116" s="6"/>
      <c r="O116" s="6"/>
    </row>
    <row r="117" spans="1:15">
      <c r="A117" s="6">
        <v>111</v>
      </c>
      <c r="B117" s="20" t="s">
        <v>315</v>
      </c>
      <c r="C117" s="9">
        <v>5320607</v>
      </c>
      <c r="D117" s="285" t="s">
        <v>382</v>
      </c>
      <c r="E117" s="285" t="s">
        <v>382</v>
      </c>
      <c r="F117" s="285" t="s">
        <v>382</v>
      </c>
      <c r="G117" s="285" t="s">
        <v>382</v>
      </c>
      <c r="H117" s="285" t="s">
        <v>382</v>
      </c>
      <c r="I117" s="285" t="s">
        <v>382</v>
      </c>
      <c r="J117" s="285" t="s">
        <v>382</v>
      </c>
      <c r="K117" s="285" t="s">
        <v>382</v>
      </c>
      <c r="L117" s="285" t="s">
        <v>382</v>
      </c>
      <c r="M117" s="285" t="s">
        <v>382</v>
      </c>
      <c r="N117" s="285" t="s">
        <v>382</v>
      </c>
      <c r="O117" s="285" t="s">
        <v>382</v>
      </c>
    </row>
    <row r="118" spans="1:15">
      <c r="A118" s="186">
        <v>112</v>
      </c>
      <c r="B118" s="184" t="s">
        <v>316</v>
      </c>
      <c r="C118" s="9">
        <v>5586119</v>
      </c>
      <c r="D118" s="6"/>
      <c r="E118" s="6"/>
      <c r="F118" s="6"/>
      <c r="G118" s="6"/>
      <c r="H118" s="1"/>
      <c r="I118" s="6"/>
      <c r="J118" s="6"/>
      <c r="K118" s="6"/>
      <c r="L118" s="6"/>
      <c r="M118" s="6"/>
      <c r="N118" s="6"/>
      <c r="O118" s="6"/>
    </row>
    <row r="119" spans="1:15">
      <c r="A119" s="6">
        <v>113</v>
      </c>
      <c r="B119" s="20" t="s">
        <v>317</v>
      </c>
      <c r="C119" s="9">
        <v>5015243</v>
      </c>
      <c r="D119" s="285" t="s">
        <v>382</v>
      </c>
      <c r="E119" s="285" t="s">
        <v>382</v>
      </c>
      <c r="F119" s="285" t="s">
        <v>382</v>
      </c>
      <c r="G119" s="285" t="s">
        <v>382</v>
      </c>
      <c r="H119" s="285" t="s">
        <v>382</v>
      </c>
      <c r="I119" s="285" t="s">
        <v>382</v>
      </c>
      <c r="J119" s="285" t="s">
        <v>382</v>
      </c>
      <c r="K119" s="285" t="s">
        <v>382</v>
      </c>
      <c r="L119" s="285" t="s">
        <v>382</v>
      </c>
      <c r="M119" s="285" t="s">
        <v>382</v>
      </c>
      <c r="N119" s="285" t="s">
        <v>382</v>
      </c>
      <c r="O119" s="285" t="s">
        <v>382</v>
      </c>
    </row>
    <row r="120" spans="1:15">
      <c r="A120" s="6">
        <v>114</v>
      </c>
      <c r="B120" s="20" t="s">
        <v>318</v>
      </c>
      <c r="C120" s="9">
        <v>5452503</v>
      </c>
      <c r="D120" s="285" t="s">
        <v>382</v>
      </c>
      <c r="E120" s="285" t="s">
        <v>382</v>
      </c>
      <c r="F120" s="285" t="s">
        <v>382</v>
      </c>
      <c r="G120" s="285" t="s">
        <v>382</v>
      </c>
      <c r="H120" s="285" t="s">
        <v>382</v>
      </c>
      <c r="I120" s="285" t="s">
        <v>382</v>
      </c>
      <c r="J120" s="285" t="s">
        <v>382</v>
      </c>
      <c r="K120" s="285" t="s">
        <v>382</v>
      </c>
      <c r="L120" s="285" t="s">
        <v>382</v>
      </c>
      <c r="M120" s="285" t="s">
        <v>382</v>
      </c>
      <c r="N120" s="285" t="s">
        <v>382</v>
      </c>
      <c r="O120" s="285" t="s">
        <v>382</v>
      </c>
    </row>
    <row r="121" spans="1:15">
      <c r="A121" s="6">
        <v>115</v>
      </c>
      <c r="B121" s="20" t="s">
        <v>319</v>
      </c>
      <c r="C121" s="9">
        <v>2887746</v>
      </c>
      <c r="D121" s="285" t="s">
        <v>382</v>
      </c>
      <c r="E121" s="285" t="s">
        <v>382</v>
      </c>
      <c r="F121" s="285" t="s">
        <v>382</v>
      </c>
      <c r="G121" s="285" t="s">
        <v>382</v>
      </c>
      <c r="H121" s="285" t="s">
        <v>382</v>
      </c>
      <c r="I121" s="285" t="s">
        <v>382</v>
      </c>
      <c r="J121" s="285" t="s">
        <v>382</v>
      </c>
      <c r="K121" s="285" t="s">
        <v>382</v>
      </c>
      <c r="L121" s="285" t="s">
        <v>382</v>
      </c>
      <c r="M121" s="285" t="s">
        <v>382</v>
      </c>
      <c r="N121" s="285" t="s">
        <v>382</v>
      </c>
      <c r="O121" s="285" t="s">
        <v>382</v>
      </c>
    </row>
    <row r="122" spans="1:15">
      <c r="A122" s="6">
        <v>116</v>
      </c>
      <c r="B122" s="20" t="s">
        <v>320</v>
      </c>
      <c r="C122" s="9">
        <v>5618339</v>
      </c>
      <c r="D122" s="285" t="s">
        <v>382</v>
      </c>
      <c r="E122" s="285" t="s">
        <v>382</v>
      </c>
      <c r="F122" s="285" t="s">
        <v>382</v>
      </c>
      <c r="G122" s="285" t="s">
        <v>382</v>
      </c>
      <c r="H122" s="285" t="s">
        <v>382</v>
      </c>
      <c r="I122" s="285" t="s">
        <v>382</v>
      </c>
      <c r="J122" s="285" t="s">
        <v>382</v>
      </c>
      <c r="K122" s="285" t="s">
        <v>382</v>
      </c>
      <c r="L122" s="285" t="s">
        <v>382</v>
      </c>
      <c r="M122" s="285" t="s">
        <v>382</v>
      </c>
      <c r="N122" s="285" t="s">
        <v>382</v>
      </c>
      <c r="O122" s="285" t="s">
        <v>382</v>
      </c>
    </row>
    <row r="123" spans="1:15">
      <c r="A123" s="6">
        <v>117</v>
      </c>
      <c r="B123" s="20" t="s">
        <v>321</v>
      </c>
      <c r="C123" s="9">
        <v>2718243</v>
      </c>
      <c r="D123" s="285" t="s">
        <v>382</v>
      </c>
      <c r="E123" s="285" t="s">
        <v>382</v>
      </c>
      <c r="F123" s="285" t="s">
        <v>382</v>
      </c>
      <c r="G123" s="285" t="s">
        <v>382</v>
      </c>
      <c r="H123" s="285" t="s">
        <v>382</v>
      </c>
      <c r="I123" s="285" t="s">
        <v>382</v>
      </c>
      <c r="J123" s="285" t="s">
        <v>382</v>
      </c>
      <c r="K123" s="285" t="s">
        <v>382</v>
      </c>
      <c r="L123" s="285" t="s">
        <v>382</v>
      </c>
      <c r="M123" s="285" t="s">
        <v>382</v>
      </c>
      <c r="N123" s="285" t="s">
        <v>382</v>
      </c>
      <c r="O123" s="285" t="s">
        <v>382</v>
      </c>
    </row>
    <row r="124" spans="1:15">
      <c r="A124" s="6">
        <v>118</v>
      </c>
      <c r="B124" s="20" t="s">
        <v>322</v>
      </c>
      <c r="C124" s="9">
        <v>6896197</v>
      </c>
      <c r="D124" s="285" t="s">
        <v>382</v>
      </c>
      <c r="E124" s="285" t="s">
        <v>382</v>
      </c>
      <c r="F124" s="285" t="s">
        <v>382</v>
      </c>
      <c r="G124" s="285" t="s">
        <v>382</v>
      </c>
      <c r="H124" s="285" t="s">
        <v>382</v>
      </c>
      <c r="I124" s="285" t="s">
        <v>382</v>
      </c>
      <c r="J124" s="285" t="s">
        <v>382</v>
      </c>
      <c r="K124" s="285" t="s">
        <v>382</v>
      </c>
      <c r="L124" s="285" t="s">
        <v>382</v>
      </c>
      <c r="M124" s="285" t="s">
        <v>382</v>
      </c>
      <c r="N124" s="285" t="s">
        <v>382</v>
      </c>
      <c r="O124" s="285" t="s">
        <v>382</v>
      </c>
    </row>
    <row r="125" spans="1:15" ht="25.5">
      <c r="A125" s="517">
        <v>119</v>
      </c>
      <c r="B125" s="543" t="s">
        <v>323</v>
      </c>
      <c r="C125" s="545">
        <v>5435528</v>
      </c>
      <c r="D125" s="1" t="s">
        <v>9874</v>
      </c>
      <c r="E125" s="228">
        <v>44237</v>
      </c>
      <c r="F125" s="228">
        <v>44804</v>
      </c>
      <c r="G125" s="6" t="s">
        <v>9875</v>
      </c>
      <c r="H125" s="1" t="s">
        <v>9834</v>
      </c>
      <c r="I125" s="93">
        <v>2214350000</v>
      </c>
      <c r="J125" s="6" t="s">
        <v>9876</v>
      </c>
      <c r="K125" s="60" t="s">
        <v>382</v>
      </c>
      <c r="L125" s="1" t="s">
        <v>9877</v>
      </c>
      <c r="M125" s="6" t="s">
        <v>8259</v>
      </c>
      <c r="N125" s="93">
        <v>2214350000</v>
      </c>
      <c r="O125" s="6" t="s">
        <v>8250</v>
      </c>
    </row>
    <row r="126" spans="1:15" ht="38.25">
      <c r="A126" s="523"/>
      <c r="B126" s="547"/>
      <c r="C126" s="548"/>
      <c r="D126" s="1" t="s">
        <v>9878</v>
      </c>
      <c r="E126" s="228">
        <v>44803</v>
      </c>
      <c r="F126" s="228">
        <v>44985</v>
      </c>
      <c r="G126" s="6" t="s">
        <v>9879</v>
      </c>
      <c r="H126" s="1" t="s">
        <v>9834</v>
      </c>
      <c r="I126" s="93">
        <v>1170900000</v>
      </c>
      <c r="J126" s="6" t="s">
        <v>9880</v>
      </c>
      <c r="K126" s="60" t="s">
        <v>382</v>
      </c>
      <c r="L126" s="1" t="s">
        <v>9877</v>
      </c>
      <c r="M126" s="6" t="s">
        <v>8259</v>
      </c>
      <c r="N126" s="93">
        <v>1170900000</v>
      </c>
      <c r="O126" s="6" t="s">
        <v>8250</v>
      </c>
    </row>
    <row r="127" spans="1:15" ht="38.25">
      <c r="A127" s="523"/>
      <c r="B127" s="547"/>
      <c r="C127" s="548"/>
      <c r="D127" s="1" t="s">
        <v>9881</v>
      </c>
      <c r="E127" s="228">
        <v>44517</v>
      </c>
      <c r="F127" s="228">
        <v>45077</v>
      </c>
      <c r="G127" s="6" t="s">
        <v>9875</v>
      </c>
      <c r="H127" s="1" t="s">
        <v>9834</v>
      </c>
      <c r="I127" s="93">
        <v>500310000</v>
      </c>
      <c r="J127" s="6" t="s">
        <v>9882</v>
      </c>
      <c r="K127" s="60" t="s">
        <v>382</v>
      </c>
      <c r="L127" s="1" t="s">
        <v>9877</v>
      </c>
      <c r="M127" s="6" t="s">
        <v>8259</v>
      </c>
      <c r="N127" s="93">
        <v>500310000</v>
      </c>
      <c r="O127" s="6" t="s">
        <v>8250</v>
      </c>
    </row>
    <row r="128" spans="1:15" ht="25.5">
      <c r="A128" s="523"/>
      <c r="B128" s="547"/>
      <c r="C128" s="548"/>
      <c r="D128" s="1" t="s">
        <v>9883</v>
      </c>
      <c r="E128" s="228">
        <v>44825</v>
      </c>
      <c r="F128" s="228">
        <v>45168</v>
      </c>
      <c r="G128" s="6" t="s">
        <v>9884</v>
      </c>
      <c r="H128" s="1" t="s">
        <v>9834</v>
      </c>
      <c r="I128" s="93">
        <v>849664000</v>
      </c>
      <c r="J128" s="6" t="s">
        <v>9880</v>
      </c>
      <c r="K128" s="60" t="s">
        <v>382</v>
      </c>
      <c r="L128" s="1" t="s">
        <v>9877</v>
      </c>
      <c r="M128" s="6" t="s">
        <v>8259</v>
      </c>
      <c r="N128" s="93">
        <v>849664000</v>
      </c>
      <c r="O128" s="6" t="s">
        <v>8250</v>
      </c>
    </row>
    <row r="129" spans="1:15" ht="25.5">
      <c r="A129" s="523"/>
      <c r="B129" s="547"/>
      <c r="C129" s="548"/>
      <c r="D129" s="1" t="s">
        <v>9885</v>
      </c>
      <c r="E129" s="228">
        <v>44825</v>
      </c>
      <c r="F129" s="228">
        <v>45281</v>
      </c>
      <c r="G129" s="6" t="s">
        <v>9886</v>
      </c>
      <c r="H129" s="1" t="s">
        <v>9834</v>
      </c>
      <c r="I129" s="93">
        <v>449036000</v>
      </c>
      <c r="J129" s="6" t="s">
        <v>9882</v>
      </c>
      <c r="K129" s="60" t="s">
        <v>382</v>
      </c>
      <c r="L129" s="1" t="s">
        <v>9877</v>
      </c>
      <c r="M129" s="6" t="s">
        <v>8259</v>
      </c>
      <c r="N129" s="93">
        <v>449036000</v>
      </c>
      <c r="O129" s="6" t="s">
        <v>8250</v>
      </c>
    </row>
    <row r="130" spans="1:15" ht="38.25">
      <c r="A130" s="523"/>
      <c r="B130" s="547"/>
      <c r="C130" s="548"/>
      <c r="D130" s="1" t="s">
        <v>9887</v>
      </c>
      <c r="E130" s="228">
        <v>43907</v>
      </c>
      <c r="F130" s="228">
        <v>44824</v>
      </c>
      <c r="G130" s="6" t="s">
        <v>9888</v>
      </c>
      <c r="H130" s="1" t="s">
        <v>9834</v>
      </c>
      <c r="I130" s="93">
        <v>11524700000</v>
      </c>
      <c r="J130" s="6" t="s">
        <v>9882</v>
      </c>
      <c r="K130" s="60" t="s">
        <v>382</v>
      </c>
      <c r="L130" s="1" t="s">
        <v>9877</v>
      </c>
      <c r="M130" s="6" t="s">
        <v>8259</v>
      </c>
      <c r="N130" s="93">
        <v>11524700000</v>
      </c>
      <c r="O130" s="6" t="s">
        <v>8259</v>
      </c>
    </row>
    <row r="131" spans="1:15" ht="25.5">
      <c r="A131" s="523"/>
      <c r="B131" s="547"/>
      <c r="C131" s="548"/>
      <c r="D131" s="1" t="s">
        <v>9889</v>
      </c>
      <c r="E131" s="228">
        <v>43854</v>
      </c>
      <c r="F131" s="228">
        <v>44757</v>
      </c>
      <c r="G131" s="6" t="s">
        <v>9888</v>
      </c>
      <c r="H131" s="1" t="s">
        <v>9834</v>
      </c>
      <c r="I131" s="93">
        <v>3663270000</v>
      </c>
      <c r="J131" s="6" t="s">
        <v>9882</v>
      </c>
      <c r="K131" s="60" t="s">
        <v>382</v>
      </c>
      <c r="L131" s="1" t="s">
        <v>9877</v>
      </c>
      <c r="M131" s="6" t="s">
        <v>8259</v>
      </c>
      <c r="N131" s="93">
        <v>3663270000</v>
      </c>
      <c r="O131" s="6" t="s">
        <v>8250</v>
      </c>
    </row>
    <row r="132" spans="1:15" ht="25.5">
      <c r="A132" s="523"/>
      <c r="B132" s="547"/>
      <c r="C132" s="548"/>
      <c r="D132" s="1" t="s">
        <v>9890</v>
      </c>
      <c r="E132" s="228">
        <v>43959</v>
      </c>
      <c r="F132" s="228">
        <v>44824</v>
      </c>
      <c r="G132" s="6" t="s">
        <v>9891</v>
      </c>
      <c r="H132" s="1" t="s">
        <v>9834</v>
      </c>
      <c r="I132" s="93">
        <v>1830330000</v>
      </c>
      <c r="J132" s="6" t="s">
        <v>9882</v>
      </c>
      <c r="K132" s="60" t="s">
        <v>382</v>
      </c>
      <c r="L132" s="1" t="s">
        <v>9877</v>
      </c>
      <c r="M132" s="6" t="s">
        <v>8259</v>
      </c>
      <c r="N132" s="93">
        <v>1830330000</v>
      </c>
      <c r="O132" s="6" t="s">
        <v>8259</v>
      </c>
    </row>
    <row r="133" spans="1:15" ht="102">
      <c r="A133" s="523"/>
      <c r="B133" s="547"/>
      <c r="C133" s="548"/>
      <c r="D133" s="1" t="s">
        <v>9892</v>
      </c>
      <c r="E133" s="228">
        <v>44806</v>
      </c>
      <c r="F133" s="228">
        <v>45445</v>
      </c>
      <c r="G133" s="6" t="s">
        <v>9893</v>
      </c>
      <c r="H133" s="1" t="s">
        <v>9834</v>
      </c>
      <c r="I133" s="93">
        <v>19314600000</v>
      </c>
      <c r="J133" s="6" t="s">
        <v>9876</v>
      </c>
      <c r="K133" s="60" t="s">
        <v>382</v>
      </c>
      <c r="L133" s="1" t="s">
        <v>9877</v>
      </c>
      <c r="M133" s="6" t="s">
        <v>8259</v>
      </c>
      <c r="N133" s="93">
        <v>19314600000</v>
      </c>
      <c r="O133" s="6" t="s">
        <v>8259</v>
      </c>
    </row>
    <row r="134" spans="1:15" ht="51">
      <c r="A134" s="523"/>
      <c r="B134" s="547"/>
      <c r="C134" s="548"/>
      <c r="D134" s="1" t="s">
        <v>9894</v>
      </c>
      <c r="E134" s="228">
        <v>44827</v>
      </c>
      <c r="F134" s="228">
        <v>45192</v>
      </c>
      <c r="G134" s="6" t="s">
        <v>9895</v>
      </c>
      <c r="H134" s="1" t="s">
        <v>9834</v>
      </c>
      <c r="I134" s="93">
        <v>516064000</v>
      </c>
      <c r="J134" s="6" t="s">
        <v>9876</v>
      </c>
      <c r="K134" s="60" t="s">
        <v>382</v>
      </c>
      <c r="L134" s="1" t="s">
        <v>9877</v>
      </c>
      <c r="M134" s="6" t="s">
        <v>8259</v>
      </c>
      <c r="N134" s="93">
        <v>516064000</v>
      </c>
      <c r="O134" s="6" t="s">
        <v>8250</v>
      </c>
    </row>
    <row r="135" spans="1:15" ht="51">
      <c r="A135" s="523"/>
      <c r="B135" s="547"/>
      <c r="C135" s="548"/>
      <c r="D135" s="1" t="s">
        <v>9896</v>
      </c>
      <c r="E135" s="6" t="s">
        <v>9897</v>
      </c>
      <c r="F135" s="228">
        <v>45100</v>
      </c>
      <c r="G135" s="6" t="s">
        <v>9898</v>
      </c>
      <c r="H135" s="1" t="s">
        <v>9834</v>
      </c>
      <c r="I135" s="93">
        <v>591796000</v>
      </c>
      <c r="J135" s="6" t="s">
        <v>9876</v>
      </c>
      <c r="K135" s="6" t="s">
        <v>9899</v>
      </c>
      <c r="L135" s="1" t="s">
        <v>9877</v>
      </c>
      <c r="M135" s="6" t="s">
        <v>8259</v>
      </c>
      <c r="N135" s="93">
        <v>591796000</v>
      </c>
      <c r="O135" s="6" t="s">
        <v>8250</v>
      </c>
    </row>
    <row r="136" spans="1:15" ht="38.25">
      <c r="A136" s="523"/>
      <c r="B136" s="547"/>
      <c r="C136" s="548"/>
      <c r="D136" s="1" t="s">
        <v>9900</v>
      </c>
      <c r="E136" s="228">
        <v>44825</v>
      </c>
      <c r="F136" s="228">
        <v>44978</v>
      </c>
      <c r="G136" s="6" t="s">
        <v>9901</v>
      </c>
      <c r="H136" s="1" t="s">
        <v>9834</v>
      </c>
      <c r="I136" s="93">
        <v>482602000</v>
      </c>
      <c r="J136" s="6" t="s">
        <v>9882</v>
      </c>
      <c r="K136" s="60" t="s">
        <v>382</v>
      </c>
      <c r="L136" s="1" t="s">
        <v>9877</v>
      </c>
      <c r="M136" s="6" t="s">
        <v>8259</v>
      </c>
      <c r="N136" s="93">
        <v>482602000</v>
      </c>
      <c r="O136" s="6" t="s">
        <v>8250</v>
      </c>
    </row>
    <row r="137" spans="1:15" ht="51">
      <c r="A137" s="523"/>
      <c r="B137" s="547"/>
      <c r="C137" s="548"/>
      <c r="D137" s="1" t="s">
        <v>9902</v>
      </c>
      <c r="E137" s="228">
        <v>45105</v>
      </c>
      <c r="F137" s="228">
        <v>45445</v>
      </c>
      <c r="G137" s="6" t="s">
        <v>9895</v>
      </c>
      <c r="H137" s="1" t="s">
        <v>9834</v>
      </c>
      <c r="I137" s="93">
        <v>298752000</v>
      </c>
      <c r="J137" s="6" t="s">
        <v>9903</v>
      </c>
      <c r="K137" s="60" t="s">
        <v>382</v>
      </c>
      <c r="L137" s="1" t="s">
        <v>9877</v>
      </c>
      <c r="M137" s="6" t="s">
        <v>8259</v>
      </c>
      <c r="N137" s="93">
        <v>298752000</v>
      </c>
      <c r="O137" s="6" t="s">
        <v>8259</v>
      </c>
    </row>
    <row r="138" spans="1:15" ht="63.75">
      <c r="A138" s="523"/>
      <c r="B138" s="547"/>
      <c r="C138" s="548"/>
      <c r="D138" s="1" t="s">
        <v>9904</v>
      </c>
      <c r="E138" s="228">
        <v>45156</v>
      </c>
      <c r="F138" s="228">
        <v>45595</v>
      </c>
      <c r="G138" s="6" t="s">
        <v>9905</v>
      </c>
      <c r="H138" s="1" t="s">
        <v>9834</v>
      </c>
      <c r="I138" s="93">
        <v>280246000</v>
      </c>
      <c r="J138" s="6" t="s">
        <v>9903</v>
      </c>
      <c r="K138" s="60" t="s">
        <v>382</v>
      </c>
      <c r="L138" s="1" t="s">
        <v>9877</v>
      </c>
      <c r="M138" s="6" t="s">
        <v>8259</v>
      </c>
      <c r="N138" s="93">
        <v>280246000</v>
      </c>
      <c r="O138" s="6" t="s">
        <v>8259</v>
      </c>
    </row>
    <row r="139" spans="1:15" ht="51">
      <c r="A139" s="523"/>
      <c r="B139" s="547"/>
      <c r="C139" s="548"/>
      <c r="D139" s="1" t="s">
        <v>9906</v>
      </c>
      <c r="E139" s="228">
        <v>45050</v>
      </c>
      <c r="F139" s="228">
        <v>45596</v>
      </c>
      <c r="G139" s="6" t="s">
        <v>9907</v>
      </c>
      <c r="H139" s="1" t="s">
        <v>9834</v>
      </c>
      <c r="I139" s="93">
        <v>6446710000</v>
      </c>
      <c r="J139" s="6" t="s">
        <v>9882</v>
      </c>
      <c r="K139" s="60" t="s">
        <v>382</v>
      </c>
      <c r="L139" s="1" t="s">
        <v>9877</v>
      </c>
      <c r="M139" s="6" t="s">
        <v>8259</v>
      </c>
      <c r="N139" s="93">
        <v>6446710000</v>
      </c>
      <c r="O139" s="6" t="s">
        <v>8259</v>
      </c>
    </row>
    <row r="140" spans="1:15" ht="38.25">
      <c r="A140" s="523"/>
      <c r="B140" s="547"/>
      <c r="C140" s="548"/>
      <c r="D140" s="1" t="s">
        <v>9908</v>
      </c>
      <c r="E140" s="228">
        <v>45219</v>
      </c>
      <c r="F140" s="228">
        <v>45402</v>
      </c>
      <c r="G140" s="6" t="s">
        <v>9879</v>
      </c>
      <c r="H140" s="1" t="s">
        <v>9834</v>
      </c>
      <c r="I140" s="93">
        <v>855857000</v>
      </c>
      <c r="J140" s="6" t="s">
        <v>9882</v>
      </c>
      <c r="K140" s="6" t="s">
        <v>9909</v>
      </c>
      <c r="L140" s="1" t="s">
        <v>9877</v>
      </c>
      <c r="M140" s="6" t="s">
        <v>8259</v>
      </c>
      <c r="N140" s="93">
        <v>855857000</v>
      </c>
      <c r="O140" s="6" t="s">
        <v>8259</v>
      </c>
    </row>
    <row r="141" spans="1:15" ht="25.5">
      <c r="A141" s="523"/>
      <c r="B141" s="547"/>
      <c r="C141" s="548"/>
      <c r="D141" s="1" t="s">
        <v>9910</v>
      </c>
      <c r="E141" s="228">
        <v>44673</v>
      </c>
      <c r="F141" s="228">
        <v>50191</v>
      </c>
      <c r="G141" s="6" t="s">
        <v>9911</v>
      </c>
      <c r="H141" s="1" t="s">
        <v>9834</v>
      </c>
      <c r="I141" s="93" t="s">
        <v>9912</v>
      </c>
      <c r="J141" s="6" t="s">
        <v>9913</v>
      </c>
      <c r="K141" s="60" t="s">
        <v>382</v>
      </c>
      <c r="L141" s="60" t="s">
        <v>382</v>
      </c>
      <c r="M141" s="6" t="s">
        <v>8259</v>
      </c>
      <c r="N141" s="93">
        <v>1324900000000</v>
      </c>
      <c r="O141" s="6" t="s">
        <v>8259</v>
      </c>
    </row>
    <row r="142" spans="1:15" ht="25.5">
      <c r="A142" s="523"/>
      <c r="B142" s="547"/>
      <c r="C142" s="548"/>
      <c r="D142" s="1" t="s">
        <v>9914</v>
      </c>
      <c r="E142" s="228">
        <v>43767</v>
      </c>
      <c r="F142" s="228">
        <v>45657</v>
      </c>
      <c r="G142" s="6" t="s">
        <v>9915</v>
      </c>
      <c r="H142" s="1" t="s">
        <v>9834</v>
      </c>
      <c r="I142" s="93">
        <v>2707590000000</v>
      </c>
      <c r="J142" s="6" t="s">
        <v>9876</v>
      </c>
      <c r="K142" s="60" t="s">
        <v>382</v>
      </c>
      <c r="L142" s="60" t="s">
        <v>382</v>
      </c>
      <c r="M142" s="6" t="s">
        <v>8259</v>
      </c>
      <c r="N142" s="93">
        <v>3131250000000</v>
      </c>
      <c r="O142" s="6" t="s">
        <v>8259</v>
      </c>
    </row>
    <row r="143" spans="1:15" ht="38.25">
      <c r="A143" s="523"/>
      <c r="B143" s="547"/>
      <c r="C143" s="548"/>
      <c r="D143" s="1" t="s">
        <v>8953</v>
      </c>
      <c r="E143" s="228">
        <v>44578</v>
      </c>
      <c r="F143" s="228">
        <v>46386</v>
      </c>
      <c r="G143" s="6" t="s">
        <v>9916</v>
      </c>
      <c r="H143" s="1" t="s">
        <v>9834</v>
      </c>
      <c r="I143" s="93">
        <v>218000000000</v>
      </c>
      <c r="J143" s="1" t="s">
        <v>9917</v>
      </c>
      <c r="K143" s="60" t="s">
        <v>382</v>
      </c>
      <c r="L143" s="60" t="s">
        <v>382</v>
      </c>
      <c r="M143" s="6" t="s">
        <v>8259</v>
      </c>
      <c r="N143" s="93">
        <v>218000000000</v>
      </c>
      <c r="O143" s="6" t="s">
        <v>8259</v>
      </c>
    </row>
    <row r="144" spans="1:15" ht="25.5">
      <c r="A144" s="523"/>
      <c r="B144" s="547"/>
      <c r="C144" s="548"/>
      <c r="D144" s="1" t="s">
        <v>9918</v>
      </c>
      <c r="E144" s="228">
        <v>44386</v>
      </c>
      <c r="F144" s="228">
        <v>45352</v>
      </c>
      <c r="G144" s="6" t="s">
        <v>9833</v>
      </c>
      <c r="H144" s="1" t="s">
        <v>9834</v>
      </c>
      <c r="I144" s="93">
        <v>313192000000</v>
      </c>
      <c r="J144" s="6" t="s">
        <v>9876</v>
      </c>
      <c r="K144" s="60" t="s">
        <v>382</v>
      </c>
      <c r="L144" s="60" t="s">
        <v>382</v>
      </c>
      <c r="M144" s="6" t="s">
        <v>8259</v>
      </c>
      <c r="N144" s="93">
        <v>313192000000</v>
      </c>
      <c r="O144" s="6" t="s">
        <v>8259</v>
      </c>
    </row>
    <row r="145" spans="1:15" ht="25.5">
      <c r="A145" s="523"/>
      <c r="B145" s="547"/>
      <c r="C145" s="548"/>
      <c r="D145" s="1" t="s">
        <v>9919</v>
      </c>
      <c r="E145" s="228">
        <v>44224</v>
      </c>
      <c r="F145" s="228">
        <v>45501</v>
      </c>
      <c r="G145" s="6" t="s">
        <v>9845</v>
      </c>
      <c r="H145" s="1" t="s">
        <v>9834</v>
      </c>
      <c r="I145" s="93">
        <v>118424000000</v>
      </c>
      <c r="J145" s="6" t="s">
        <v>9882</v>
      </c>
      <c r="K145" s="60" t="s">
        <v>382</v>
      </c>
      <c r="L145" s="60" t="s">
        <v>382</v>
      </c>
      <c r="M145" s="6" t="s">
        <v>8259</v>
      </c>
      <c r="N145" s="93">
        <v>118424000000</v>
      </c>
      <c r="O145" s="6" t="s">
        <v>8259</v>
      </c>
    </row>
    <row r="146" spans="1:15" ht="25.5">
      <c r="A146" s="523"/>
      <c r="B146" s="547"/>
      <c r="C146" s="548"/>
      <c r="D146" s="1" t="s">
        <v>9920</v>
      </c>
      <c r="E146" s="228">
        <v>44602</v>
      </c>
      <c r="F146" s="228" t="s">
        <v>8377</v>
      </c>
      <c r="G146" s="6" t="s">
        <v>382</v>
      </c>
      <c r="H146" s="1" t="s">
        <v>9834</v>
      </c>
      <c r="I146" s="93">
        <v>12726900000</v>
      </c>
      <c r="J146" s="1" t="s">
        <v>9921</v>
      </c>
      <c r="K146" s="60" t="s">
        <v>382</v>
      </c>
      <c r="L146" s="60" t="s">
        <v>382</v>
      </c>
      <c r="M146" s="6" t="s">
        <v>8259</v>
      </c>
      <c r="N146" s="93">
        <v>12726900000</v>
      </c>
      <c r="O146" s="6" t="s">
        <v>8259</v>
      </c>
    </row>
    <row r="147" spans="1:15" ht="25.5">
      <c r="A147" s="523"/>
      <c r="B147" s="547"/>
      <c r="C147" s="548"/>
      <c r="D147" s="1" t="s">
        <v>9922</v>
      </c>
      <c r="E147" s="228">
        <v>43762</v>
      </c>
      <c r="F147" s="228">
        <v>52596</v>
      </c>
      <c r="G147" s="6" t="s">
        <v>9923</v>
      </c>
      <c r="H147" s="1" t="s">
        <v>9834</v>
      </c>
      <c r="I147" s="93">
        <v>1356120000000</v>
      </c>
      <c r="J147" s="6" t="s">
        <v>9913</v>
      </c>
      <c r="K147" s="60" t="s">
        <v>382</v>
      </c>
      <c r="L147" s="60" t="s">
        <v>382</v>
      </c>
      <c r="M147" s="6" t="s">
        <v>8259</v>
      </c>
      <c r="N147" s="93">
        <v>1356120000000</v>
      </c>
      <c r="O147" s="6" t="s">
        <v>8259</v>
      </c>
    </row>
    <row r="148" spans="1:15" ht="25.5">
      <c r="A148" s="518"/>
      <c r="B148" s="544"/>
      <c r="C148" s="546"/>
      <c r="D148" s="1" t="s">
        <v>9924</v>
      </c>
      <c r="E148" s="228">
        <v>44665</v>
      </c>
      <c r="F148" s="228">
        <v>45473</v>
      </c>
      <c r="G148" s="6" t="s">
        <v>9833</v>
      </c>
      <c r="H148" s="1" t="s">
        <v>9834</v>
      </c>
      <c r="I148" s="93">
        <v>1087950000000</v>
      </c>
      <c r="J148" s="6" t="s">
        <v>9876</v>
      </c>
      <c r="K148" s="60" t="s">
        <v>382</v>
      </c>
      <c r="L148" s="60" t="s">
        <v>382</v>
      </c>
      <c r="M148" s="6" t="s">
        <v>8259</v>
      </c>
      <c r="N148" s="93">
        <v>1087950000000</v>
      </c>
      <c r="O148" s="6" t="s">
        <v>8259</v>
      </c>
    </row>
    <row r="149" spans="1:15">
      <c r="A149" s="186">
        <v>120</v>
      </c>
      <c r="B149" s="184" t="s">
        <v>324</v>
      </c>
      <c r="C149" s="9">
        <v>5824826</v>
      </c>
      <c r="D149" s="6"/>
      <c r="E149" s="6"/>
      <c r="F149" s="6"/>
      <c r="G149" s="6"/>
      <c r="H149" s="1"/>
      <c r="I149" s="6"/>
      <c r="J149" s="6"/>
      <c r="K149" s="6"/>
      <c r="L149" s="6"/>
      <c r="M149" s="6"/>
      <c r="N149" s="6"/>
      <c r="O149" s="6"/>
    </row>
    <row r="150" spans="1:15">
      <c r="A150" s="6">
        <v>121</v>
      </c>
      <c r="B150" s="20" t="s">
        <v>325</v>
      </c>
      <c r="C150" s="9">
        <v>6141536</v>
      </c>
      <c r="D150" s="6" t="s">
        <v>382</v>
      </c>
      <c r="E150" s="6" t="s">
        <v>382</v>
      </c>
      <c r="F150" s="6" t="s">
        <v>382</v>
      </c>
      <c r="G150" s="6" t="s">
        <v>382</v>
      </c>
      <c r="H150" s="6" t="s">
        <v>382</v>
      </c>
      <c r="I150" s="6" t="s">
        <v>382</v>
      </c>
      <c r="J150" s="6" t="s">
        <v>382</v>
      </c>
      <c r="K150" s="6" t="s">
        <v>382</v>
      </c>
      <c r="L150" s="6" t="s">
        <v>382</v>
      </c>
      <c r="M150" s="6" t="s">
        <v>382</v>
      </c>
      <c r="N150" s="6" t="s">
        <v>382</v>
      </c>
      <c r="O150" s="6" t="s">
        <v>382</v>
      </c>
    </row>
    <row r="151" spans="1:15">
      <c r="A151" s="177">
        <v>122</v>
      </c>
      <c r="B151" s="167" t="s">
        <v>326</v>
      </c>
      <c r="C151" s="167">
        <v>5124913</v>
      </c>
      <c r="D151" s="6" t="s">
        <v>382</v>
      </c>
      <c r="E151" s="6" t="s">
        <v>382</v>
      </c>
      <c r="F151" s="6" t="s">
        <v>382</v>
      </c>
      <c r="G151" s="6" t="s">
        <v>382</v>
      </c>
      <c r="H151" s="6" t="s">
        <v>382</v>
      </c>
      <c r="I151" s="6" t="s">
        <v>382</v>
      </c>
      <c r="J151" s="6" t="s">
        <v>382</v>
      </c>
      <c r="K151" s="6" t="s">
        <v>382</v>
      </c>
      <c r="L151" s="6" t="s">
        <v>382</v>
      </c>
      <c r="M151" s="6" t="s">
        <v>382</v>
      </c>
      <c r="N151" s="6" t="s">
        <v>382</v>
      </c>
      <c r="O151" s="6" t="s">
        <v>382</v>
      </c>
    </row>
    <row r="152" spans="1:15" ht="89.25">
      <c r="A152" s="517">
        <v>123</v>
      </c>
      <c r="B152" s="543" t="s">
        <v>327</v>
      </c>
      <c r="C152" s="545">
        <v>2074192</v>
      </c>
      <c r="D152" s="1" t="s">
        <v>9925</v>
      </c>
      <c r="E152" s="228">
        <v>44692</v>
      </c>
      <c r="F152" s="228">
        <v>45261</v>
      </c>
      <c r="G152" s="6" t="s">
        <v>9926</v>
      </c>
      <c r="H152" s="1" t="s">
        <v>9834</v>
      </c>
      <c r="I152" s="93">
        <v>33335300000</v>
      </c>
      <c r="J152" s="1" t="s">
        <v>9927</v>
      </c>
      <c r="K152" s="1" t="s">
        <v>9928</v>
      </c>
      <c r="L152" s="6" t="s">
        <v>382</v>
      </c>
      <c r="M152" s="6" t="s">
        <v>8259</v>
      </c>
      <c r="N152" s="6" t="s">
        <v>382</v>
      </c>
      <c r="O152" s="6" t="s">
        <v>8250</v>
      </c>
    </row>
    <row r="153" spans="1:15" ht="51">
      <c r="A153" s="523"/>
      <c r="B153" s="547"/>
      <c r="C153" s="548"/>
      <c r="D153" s="1" t="s">
        <v>9929</v>
      </c>
      <c r="E153" s="228">
        <v>43971</v>
      </c>
      <c r="F153" s="228">
        <v>45870</v>
      </c>
      <c r="G153" s="6" t="s">
        <v>9930</v>
      </c>
      <c r="H153" s="1" t="s">
        <v>9834</v>
      </c>
      <c r="I153" s="93" t="s">
        <v>9931</v>
      </c>
      <c r="J153" s="1" t="s">
        <v>9932</v>
      </c>
      <c r="K153" s="1" t="s">
        <v>9933</v>
      </c>
      <c r="L153" s="6" t="s">
        <v>382</v>
      </c>
      <c r="M153" s="6" t="s">
        <v>8259</v>
      </c>
      <c r="N153" s="6" t="s">
        <v>382</v>
      </c>
      <c r="O153" s="6" t="s">
        <v>8259</v>
      </c>
    </row>
    <row r="154" spans="1:15" ht="51">
      <c r="A154" s="518"/>
      <c r="B154" s="544"/>
      <c r="C154" s="546"/>
      <c r="D154" s="1" t="s">
        <v>9934</v>
      </c>
      <c r="E154" s="228">
        <v>44316</v>
      </c>
      <c r="F154" s="228">
        <v>45291</v>
      </c>
      <c r="G154" s="6" t="s">
        <v>9935</v>
      </c>
      <c r="H154" s="1" t="s">
        <v>9834</v>
      </c>
      <c r="I154" s="93">
        <v>48829100000</v>
      </c>
      <c r="J154" s="1" t="s">
        <v>9932</v>
      </c>
      <c r="K154" s="1" t="s">
        <v>9936</v>
      </c>
      <c r="L154" s="6" t="s">
        <v>382</v>
      </c>
      <c r="M154" s="6" t="s">
        <v>8259</v>
      </c>
      <c r="N154" s="6" t="s">
        <v>382</v>
      </c>
      <c r="O154" s="6" t="s">
        <v>8250</v>
      </c>
    </row>
    <row r="155" spans="1:15">
      <c r="A155" s="186">
        <v>124</v>
      </c>
      <c r="B155" s="184" t="s">
        <v>331</v>
      </c>
      <c r="C155" s="9">
        <v>2861224</v>
      </c>
      <c r="D155" s="6"/>
      <c r="E155" s="6"/>
      <c r="F155" s="6"/>
      <c r="G155" s="6"/>
      <c r="H155" s="1"/>
      <c r="I155" s="6"/>
      <c r="J155" s="6"/>
      <c r="K155" s="6"/>
      <c r="L155" s="6"/>
      <c r="M155" s="6"/>
      <c r="N155" s="6"/>
      <c r="O155" s="6"/>
    </row>
    <row r="156" spans="1:15">
      <c r="A156" s="6">
        <v>125</v>
      </c>
      <c r="B156" s="20" t="s">
        <v>332</v>
      </c>
      <c r="C156" s="9">
        <v>5137977</v>
      </c>
      <c r="D156" s="6" t="s">
        <v>382</v>
      </c>
      <c r="E156" s="6" t="s">
        <v>382</v>
      </c>
      <c r="F156" s="6" t="s">
        <v>382</v>
      </c>
      <c r="G156" s="6" t="s">
        <v>382</v>
      </c>
      <c r="H156" s="6" t="s">
        <v>382</v>
      </c>
      <c r="I156" s="6" t="s">
        <v>382</v>
      </c>
      <c r="J156" s="6" t="s">
        <v>382</v>
      </c>
      <c r="K156" s="6" t="s">
        <v>382</v>
      </c>
      <c r="L156" s="6" t="s">
        <v>382</v>
      </c>
      <c r="M156" s="6" t="s">
        <v>382</v>
      </c>
      <c r="N156" s="6" t="s">
        <v>382</v>
      </c>
      <c r="O156" s="6" t="s">
        <v>382</v>
      </c>
    </row>
  </sheetData>
  <mergeCells count="15">
    <mergeCell ref="C152:C154"/>
    <mergeCell ref="B152:B154"/>
    <mergeCell ref="A152:A154"/>
    <mergeCell ref="C70:C72"/>
    <mergeCell ref="B70:B72"/>
    <mergeCell ref="A70:A72"/>
    <mergeCell ref="C125:C148"/>
    <mergeCell ref="B125:B148"/>
    <mergeCell ref="A125:A148"/>
    <mergeCell ref="C16:C17"/>
    <mergeCell ref="B16:B17"/>
    <mergeCell ref="A16:A17"/>
    <mergeCell ref="C57:C58"/>
    <mergeCell ref="B57:B58"/>
    <mergeCell ref="A57:A58"/>
  </mergeCells>
  <conditionalFormatting sqref="B3:B16 B18:B19">
    <cfRule type="duplicateValues" dxfId="55" priority="1304"/>
  </conditionalFormatting>
  <conditionalFormatting sqref="B20">
    <cfRule type="duplicateValues" dxfId="54" priority="10"/>
  </conditionalFormatting>
  <conditionalFormatting sqref="B21:B33">
    <cfRule type="duplicateValues" dxfId="53" priority="7"/>
  </conditionalFormatting>
  <conditionalFormatting sqref="B34:B53">
    <cfRule type="duplicateValues" dxfId="52" priority="6"/>
  </conditionalFormatting>
  <conditionalFormatting sqref="B54">
    <cfRule type="duplicateValues" dxfId="51" priority="9"/>
  </conditionalFormatting>
  <conditionalFormatting sqref="B55:B57 B59:B70 B73:B86">
    <cfRule type="duplicateValues" dxfId="50" priority="3"/>
  </conditionalFormatting>
  <conditionalFormatting sqref="B87">
    <cfRule type="duplicateValues" dxfId="49" priority="1"/>
  </conditionalFormatting>
  <conditionalFormatting sqref="B88:B91">
    <cfRule type="duplicateValues" dxfId="48" priority="2"/>
  </conditionalFormatting>
  <conditionalFormatting sqref="B92">
    <cfRule type="duplicateValues" dxfId="47" priority="4"/>
  </conditionalFormatting>
  <conditionalFormatting sqref="B93:B125 B149:B152 B155:B156">
    <cfRule type="duplicateValues" dxfId="46" priority="5"/>
  </conditionalFormatting>
  <conditionalFormatting sqref="C34:C57 C59:C70 C73:C86">
    <cfRule type="duplicateValues" dxfId="45" priority="16"/>
  </conditionalFormatting>
  <conditionalFormatting sqref="C87">
    <cfRule type="duplicateValues" dxfId="44" priority="15"/>
  </conditionalFormatting>
  <conditionalFormatting sqref="C88">
    <cfRule type="duplicateValues" dxfId="43" priority="14"/>
  </conditionalFormatting>
  <conditionalFormatting sqref="C89">
    <cfRule type="duplicateValues" dxfId="42" priority="13"/>
  </conditionalFormatting>
  <conditionalFormatting sqref="C90">
    <cfRule type="duplicateValues" dxfId="41" priority="12"/>
  </conditionalFormatting>
  <conditionalFormatting sqref="C91">
    <cfRule type="duplicateValues" dxfId="40" priority="11"/>
  </conditionalFormatting>
  <conditionalFormatting sqref="C92 C3:C16 C18:C33">
    <cfRule type="duplicateValues" dxfId="39" priority="17"/>
  </conditionalFormatting>
  <conditionalFormatting sqref="C93:C105 C107:C125 C149:C152 C155:C156">
    <cfRule type="duplicateValues" dxfId="38" priority="18"/>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DED4-09BE-4260-AC46-7992E8ED73AD}">
  <sheetPr>
    <tabColor rgb="FF006432"/>
  </sheetPr>
  <dimension ref="A1:M139"/>
  <sheetViews>
    <sheetView workbookViewId="0">
      <pane xSplit="1" ySplit="2" topLeftCell="B3" activePane="bottomRight" state="frozen"/>
      <selection pane="bottomRight" activeCell="I18" sqref="I18"/>
      <selection pane="bottomLeft" activeCell="A3" sqref="A3"/>
      <selection pane="topRight" activeCell="B1" sqref="B1"/>
    </sheetView>
  </sheetViews>
  <sheetFormatPr defaultRowHeight="15"/>
  <cols>
    <col min="1" max="1" width="5.140625" style="249" customWidth="1"/>
    <col min="2" max="2" width="27.140625" customWidth="1"/>
    <col min="3" max="3" width="18.140625" customWidth="1"/>
    <col min="4" max="4" width="20.5703125" style="8" customWidth="1"/>
    <col min="5" max="5" width="13.85546875" style="8" customWidth="1"/>
    <col min="6" max="6" width="10.7109375" style="8" customWidth="1"/>
    <col min="7" max="7" width="16.42578125" style="8" customWidth="1"/>
    <col min="8" max="8" width="16.85546875" style="8" customWidth="1"/>
    <col min="9" max="9" width="20.85546875" style="8" customWidth="1"/>
    <col min="10" max="11" width="19.42578125" style="8" customWidth="1"/>
    <col min="12" max="12" width="19" style="8" customWidth="1"/>
    <col min="13" max="13" width="15" style="8" customWidth="1"/>
  </cols>
  <sheetData>
    <row r="1" spans="1:13" ht="16.5" thickBot="1">
      <c r="A1" s="26" t="s">
        <v>9937</v>
      </c>
      <c r="B1" s="26"/>
      <c r="C1" s="26"/>
      <c r="D1" s="26"/>
      <c r="E1" s="26"/>
      <c r="F1" s="26"/>
      <c r="G1" s="26"/>
      <c r="H1" s="26"/>
      <c r="I1" s="26"/>
      <c r="J1" s="212"/>
      <c r="K1" s="212"/>
      <c r="L1" s="212"/>
      <c r="M1" s="212"/>
    </row>
    <row r="2" spans="1:13" ht="51.75" customHeight="1" thickTop="1">
      <c r="A2" s="18" t="s">
        <v>114</v>
      </c>
      <c r="B2" s="18" t="s">
        <v>690</v>
      </c>
      <c r="C2" s="18" t="s">
        <v>116</v>
      </c>
      <c r="D2" s="18" t="s">
        <v>9938</v>
      </c>
      <c r="E2" s="55" t="s">
        <v>9939</v>
      </c>
      <c r="F2" s="18" t="s">
        <v>8040</v>
      </c>
      <c r="G2" s="55" t="s">
        <v>9659</v>
      </c>
      <c r="H2" s="55" t="s">
        <v>9940</v>
      </c>
      <c r="I2" s="55" t="s">
        <v>9941</v>
      </c>
      <c r="J2" s="55" t="s">
        <v>9942</v>
      </c>
      <c r="K2" s="55" t="s">
        <v>9943</v>
      </c>
      <c r="L2" s="55" t="s">
        <v>9944</v>
      </c>
      <c r="M2" s="55" t="s">
        <v>9945</v>
      </c>
    </row>
    <row r="3" spans="1:13">
      <c r="A3" s="246">
        <v>1</v>
      </c>
      <c r="B3" s="20" t="s">
        <v>121</v>
      </c>
      <c r="C3" s="9">
        <v>2011239</v>
      </c>
      <c r="D3" s="6" t="s">
        <v>382</v>
      </c>
      <c r="E3" s="6" t="s">
        <v>382</v>
      </c>
      <c r="F3" s="6" t="s">
        <v>382</v>
      </c>
      <c r="G3" s="6" t="s">
        <v>382</v>
      </c>
      <c r="H3" s="6" t="s">
        <v>382</v>
      </c>
      <c r="I3" s="6" t="s">
        <v>382</v>
      </c>
      <c r="J3" s="6" t="s">
        <v>382</v>
      </c>
      <c r="K3" s="6" t="s">
        <v>382</v>
      </c>
      <c r="L3" s="6" t="s">
        <v>382</v>
      </c>
      <c r="M3" s="6" t="s">
        <v>382</v>
      </c>
    </row>
    <row r="4" spans="1:13">
      <c r="A4" s="627">
        <f>A3+1</f>
        <v>2</v>
      </c>
      <c r="B4" s="543" t="s">
        <v>131</v>
      </c>
      <c r="C4" s="545">
        <v>5809797</v>
      </c>
      <c r="D4" s="6" t="s">
        <v>132</v>
      </c>
      <c r="E4" s="6" t="s">
        <v>382</v>
      </c>
      <c r="F4" s="6" t="s">
        <v>9946</v>
      </c>
      <c r="G4" s="6" t="s">
        <v>382</v>
      </c>
      <c r="H4" s="6" t="s">
        <v>9947</v>
      </c>
      <c r="I4" s="83">
        <v>47426500</v>
      </c>
      <c r="J4" s="6" t="s">
        <v>382</v>
      </c>
      <c r="K4" s="83">
        <v>217670</v>
      </c>
      <c r="L4" s="83">
        <v>47426500</v>
      </c>
      <c r="M4" s="6" t="s">
        <v>382</v>
      </c>
    </row>
    <row r="5" spans="1:13">
      <c r="A5" s="628"/>
      <c r="B5" s="544"/>
      <c r="C5" s="546"/>
      <c r="D5" s="6" t="s">
        <v>898</v>
      </c>
      <c r="E5" s="6" t="s">
        <v>382</v>
      </c>
      <c r="F5" s="6" t="s">
        <v>9946</v>
      </c>
      <c r="G5" s="6" t="s">
        <v>382</v>
      </c>
      <c r="H5" s="6" t="s">
        <v>9948</v>
      </c>
      <c r="I5" s="83">
        <v>48196.2</v>
      </c>
      <c r="J5" s="6" t="s">
        <v>382</v>
      </c>
      <c r="K5" s="6" t="s">
        <v>9948</v>
      </c>
      <c r="L5" s="83">
        <v>48196.2</v>
      </c>
      <c r="M5" s="6" t="s">
        <v>382</v>
      </c>
    </row>
    <row r="6" spans="1:13">
      <c r="A6" s="246">
        <f>A4+1</f>
        <v>3</v>
      </c>
      <c r="B6" s="20" t="s">
        <v>133</v>
      </c>
      <c r="C6" s="9">
        <v>5118344</v>
      </c>
      <c r="D6" s="6" t="s">
        <v>382</v>
      </c>
      <c r="E6" s="6" t="s">
        <v>382</v>
      </c>
      <c r="F6" s="6" t="s">
        <v>382</v>
      </c>
      <c r="G6" s="6" t="s">
        <v>382</v>
      </c>
      <c r="H6" s="6" t="s">
        <v>382</v>
      </c>
      <c r="I6" s="6" t="s">
        <v>382</v>
      </c>
      <c r="J6" s="6" t="s">
        <v>382</v>
      </c>
      <c r="K6" s="6" t="s">
        <v>382</v>
      </c>
      <c r="L6" s="6" t="s">
        <v>382</v>
      </c>
      <c r="M6" s="6" t="s">
        <v>382</v>
      </c>
    </row>
    <row r="7" spans="1:13" ht="25.5">
      <c r="A7" s="246">
        <f t="shared" ref="A7:A75" si="0">A6+1</f>
        <v>4</v>
      </c>
      <c r="B7" s="20" t="s">
        <v>136</v>
      </c>
      <c r="C7" s="9">
        <v>5095549</v>
      </c>
      <c r="D7" s="1" t="s">
        <v>9949</v>
      </c>
      <c r="E7" s="6" t="s">
        <v>9950</v>
      </c>
      <c r="F7" s="6" t="s">
        <v>8194</v>
      </c>
      <c r="G7" s="6" t="s">
        <v>382</v>
      </c>
      <c r="H7" s="83">
        <v>127233</v>
      </c>
      <c r="I7" s="83">
        <v>22796600</v>
      </c>
      <c r="J7" s="6" t="s">
        <v>382</v>
      </c>
      <c r="K7" s="6" t="s">
        <v>382</v>
      </c>
      <c r="L7" s="6" t="s">
        <v>382</v>
      </c>
      <c r="M7" s="220">
        <v>127</v>
      </c>
    </row>
    <row r="8" spans="1:13">
      <c r="A8" s="246">
        <f t="shared" si="0"/>
        <v>5</v>
      </c>
      <c r="B8" s="20" t="s">
        <v>140</v>
      </c>
      <c r="C8" s="9">
        <v>2784165</v>
      </c>
      <c r="D8" s="6" t="s">
        <v>8238</v>
      </c>
      <c r="E8" s="6">
        <v>729</v>
      </c>
      <c r="F8" s="6" t="s">
        <v>8191</v>
      </c>
      <c r="G8" s="6">
        <v>14.94</v>
      </c>
      <c r="H8" s="6" t="s">
        <v>382</v>
      </c>
      <c r="I8" s="6" t="s">
        <v>382</v>
      </c>
      <c r="J8" s="6" t="s">
        <v>382</v>
      </c>
      <c r="K8" s="6" t="s">
        <v>382</v>
      </c>
      <c r="L8" s="6" t="s">
        <v>382</v>
      </c>
      <c r="M8" s="6">
        <v>14.94</v>
      </c>
    </row>
    <row r="9" spans="1:13">
      <c r="A9" s="246">
        <f t="shared" si="0"/>
        <v>6</v>
      </c>
      <c r="B9" s="20" t="s">
        <v>143</v>
      </c>
      <c r="C9" s="9">
        <v>5133351</v>
      </c>
      <c r="D9" s="6" t="s">
        <v>382</v>
      </c>
      <c r="E9" s="6" t="s">
        <v>382</v>
      </c>
      <c r="F9" s="6" t="s">
        <v>382</v>
      </c>
      <c r="G9" s="6" t="s">
        <v>382</v>
      </c>
      <c r="H9" s="6" t="s">
        <v>382</v>
      </c>
      <c r="I9" s="6" t="s">
        <v>382</v>
      </c>
      <c r="J9" s="6" t="s">
        <v>382</v>
      </c>
      <c r="K9" s="6" t="s">
        <v>382</v>
      </c>
      <c r="L9" s="6" t="s">
        <v>382</v>
      </c>
      <c r="M9" s="6" t="s">
        <v>382</v>
      </c>
    </row>
    <row r="10" spans="1:13">
      <c r="A10" s="246">
        <f t="shared" si="0"/>
        <v>7</v>
      </c>
      <c r="B10" s="20" t="s">
        <v>144</v>
      </c>
      <c r="C10" s="9">
        <v>6172768</v>
      </c>
      <c r="D10" s="6" t="s">
        <v>382</v>
      </c>
      <c r="E10" s="6" t="s">
        <v>382</v>
      </c>
      <c r="F10" s="6" t="s">
        <v>382</v>
      </c>
      <c r="G10" s="6" t="s">
        <v>382</v>
      </c>
      <c r="H10" s="6" t="s">
        <v>382</v>
      </c>
      <c r="I10" s="6" t="s">
        <v>382</v>
      </c>
      <c r="J10" s="6" t="s">
        <v>382</v>
      </c>
      <c r="K10" s="6" t="s">
        <v>382</v>
      </c>
      <c r="L10" s="6" t="s">
        <v>382</v>
      </c>
      <c r="M10" s="6" t="s">
        <v>382</v>
      </c>
    </row>
    <row r="11" spans="1:13">
      <c r="A11" s="246">
        <f>A10+1</f>
        <v>8</v>
      </c>
      <c r="B11" s="20" t="s">
        <v>629</v>
      </c>
      <c r="C11" s="9">
        <v>5439183</v>
      </c>
      <c r="D11" s="221" t="s">
        <v>8193</v>
      </c>
      <c r="E11" s="6" t="s">
        <v>382</v>
      </c>
      <c r="F11" s="6" t="s">
        <v>8194</v>
      </c>
      <c r="G11" s="6">
        <v>24.17</v>
      </c>
      <c r="H11" s="6">
        <v>261.2</v>
      </c>
      <c r="I11" s="6" t="s">
        <v>9951</v>
      </c>
      <c r="J11" s="6" t="s">
        <v>382</v>
      </c>
      <c r="K11" s="220">
        <v>271</v>
      </c>
      <c r="L11" s="6" t="s">
        <v>9952</v>
      </c>
      <c r="M11" s="6">
        <v>14.37</v>
      </c>
    </row>
    <row r="12" spans="1:13">
      <c r="A12" s="246">
        <f>A11+1</f>
        <v>9</v>
      </c>
      <c r="B12" s="20" t="s">
        <v>152</v>
      </c>
      <c r="C12" s="9">
        <v>2008572</v>
      </c>
      <c r="D12" s="6" t="s">
        <v>8212</v>
      </c>
      <c r="E12" s="6" t="s">
        <v>382</v>
      </c>
      <c r="F12" s="6" t="s">
        <v>8194</v>
      </c>
      <c r="G12" s="220">
        <v>778</v>
      </c>
      <c r="H12" s="6" t="s">
        <v>9953</v>
      </c>
      <c r="I12" s="83">
        <v>43310000000</v>
      </c>
      <c r="J12" s="6" t="s">
        <v>382</v>
      </c>
      <c r="K12" s="6" t="s">
        <v>9953</v>
      </c>
      <c r="L12" s="83">
        <v>43310000000</v>
      </c>
      <c r="M12" s="220">
        <v>773</v>
      </c>
    </row>
    <row r="13" spans="1:13">
      <c r="A13" s="246">
        <f>A12+1</f>
        <v>10</v>
      </c>
      <c r="B13" s="20" t="s">
        <v>155</v>
      </c>
      <c r="C13" s="9">
        <v>5215919</v>
      </c>
      <c r="D13" s="6" t="s">
        <v>382</v>
      </c>
      <c r="E13" s="6" t="s">
        <v>382</v>
      </c>
      <c r="F13" s="6" t="s">
        <v>382</v>
      </c>
      <c r="G13" s="6" t="s">
        <v>382</v>
      </c>
      <c r="H13" s="6" t="s">
        <v>382</v>
      </c>
      <c r="I13" s="6" t="s">
        <v>382</v>
      </c>
      <c r="J13" s="6" t="s">
        <v>382</v>
      </c>
      <c r="K13" s="6" t="s">
        <v>382</v>
      </c>
      <c r="L13" s="6" t="s">
        <v>382</v>
      </c>
      <c r="M13" s="6" t="s">
        <v>382</v>
      </c>
    </row>
    <row r="14" spans="1:13" ht="38.25">
      <c r="A14" s="246">
        <f t="shared" si="0"/>
        <v>11</v>
      </c>
      <c r="B14" s="20" t="s">
        <v>157</v>
      </c>
      <c r="C14" s="9">
        <v>5502977</v>
      </c>
      <c r="D14" s="1" t="s">
        <v>9954</v>
      </c>
      <c r="E14" s="6" t="s">
        <v>382</v>
      </c>
      <c r="F14" s="6" t="s">
        <v>8194</v>
      </c>
      <c r="G14" s="6">
        <v>10.34</v>
      </c>
      <c r="H14" s="6">
        <v>0.1</v>
      </c>
      <c r="I14" s="6" t="s">
        <v>9955</v>
      </c>
      <c r="J14" s="6" t="s">
        <v>382</v>
      </c>
      <c r="K14" s="6" t="s">
        <v>382</v>
      </c>
      <c r="L14" s="6" t="s">
        <v>382</v>
      </c>
      <c r="M14" s="6">
        <v>10.44</v>
      </c>
    </row>
    <row r="15" spans="1:13">
      <c r="A15" s="246">
        <f t="shared" si="0"/>
        <v>12</v>
      </c>
      <c r="B15" s="20" t="s">
        <v>159</v>
      </c>
      <c r="C15" s="9">
        <v>2708701</v>
      </c>
      <c r="D15" s="6" t="s">
        <v>132</v>
      </c>
      <c r="E15" s="6" t="s">
        <v>382</v>
      </c>
      <c r="F15" s="6" t="s">
        <v>9946</v>
      </c>
      <c r="G15" s="6" t="s">
        <v>382</v>
      </c>
      <c r="H15" s="83">
        <v>1438558.8</v>
      </c>
      <c r="I15" s="93">
        <v>215532600000</v>
      </c>
      <c r="J15" s="6" t="s">
        <v>382</v>
      </c>
      <c r="K15" s="83">
        <v>1438558.8</v>
      </c>
      <c r="L15" s="93">
        <v>215532600000</v>
      </c>
      <c r="M15" s="6" t="s">
        <v>382</v>
      </c>
    </row>
    <row r="16" spans="1:13">
      <c r="A16" s="627">
        <f>A15+1</f>
        <v>13</v>
      </c>
      <c r="B16" s="543" t="s">
        <v>165</v>
      </c>
      <c r="C16" s="545">
        <v>6414877</v>
      </c>
      <c r="D16" s="6" t="s">
        <v>212</v>
      </c>
      <c r="E16" s="6" t="s">
        <v>9956</v>
      </c>
      <c r="F16" s="6" t="s">
        <v>8194</v>
      </c>
      <c r="G16" s="6" t="s">
        <v>382</v>
      </c>
      <c r="H16" s="83">
        <v>2400</v>
      </c>
      <c r="I16" s="83">
        <v>594000</v>
      </c>
      <c r="J16" s="6" t="s">
        <v>382</v>
      </c>
      <c r="K16" s="83">
        <v>1816.53</v>
      </c>
      <c r="L16" s="83">
        <v>594000</v>
      </c>
      <c r="M16" s="6">
        <v>583.47</v>
      </c>
    </row>
    <row r="17" spans="1:13">
      <c r="A17" s="628"/>
      <c r="B17" s="544"/>
      <c r="C17" s="546"/>
      <c r="D17" s="6" t="s">
        <v>843</v>
      </c>
      <c r="E17" s="6" t="s">
        <v>9956</v>
      </c>
      <c r="F17" s="6" t="s">
        <v>8194</v>
      </c>
      <c r="G17" s="6" t="s">
        <v>382</v>
      </c>
      <c r="H17" s="6" t="s">
        <v>9957</v>
      </c>
      <c r="I17" s="220">
        <v>100</v>
      </c>
      <c r="J17" s="6" t="s">
        <v>382</v>
      </c>
      <c r="K17" s="83">
        <v>7936.7</v>
      </c>
      <c r="L17" s="220">
        <v>100</v>
      </c>
      <c r="M17" s="6" t="s">
        <v>9958</v>
      </c>
    </row>
    <row r="18" spans="1:13" ht="25.5">
      <c r="A18" s="246">
        <f>A16+1</f>
        <v>14</v>
      </c>
      <c r="B18" s="222" t="s">
        <v>168</v>
      </c>
      <c r="C18" s="9">
        <v>5369223</v>
      </c>
      <c r="D18" s="1" t="s">
        <v>153</v>
      </c>
      <c r="E18" s="6" t="s">
        <v>9959</v>
      </c>
      <c r="F18" s="6" t="s">
        <v>8194</v>
      </c>
      <c r="G18" s="6" t="s">
        <v>382</v>
      </c>
      <c r="H18" s="83">
        <v>428828</v>
      </c>
      <c r="I18" s="6" t="s">
        <v>9960</v>
      </c>
      <c r="J18" s="220">
        <v>420</v>
      </c>
      <c r="K18" s="83">
        <v>428408</v>
      </c>
      <c r="L18" s="6" t="s">
        <v>9961</v>
      </c>
      <c r="M18" s="6" t="s">
        <v>382</v>
      </c>
    </row>
    <row r="19" spans="1:13" ht="25.5">
      <c r="A19" s="246">
        <f t="shared" si="0"/>
        <v>15</v>
      </c>
      <c r="B19" s="20" t="s">
        <v>169</v>
      </c>
      <c r="C19" s="9">
        <v>5294088</v>
      </c>
      <c r="D19" s="1" t="s">
        <v>8197</v>
      </c>
      <c r="E19" s="6" t="s">
        <v>9959</v>
      </c>
      <c r="F19" s="6" t="s">
        <v>8194</v>
      </c>
      <c r="G19" s="6" t="s">
        <v>9962</v>
      </c>
      <c r="H19" s="6" t="s">
        <v>9963</v>
      </c>
      <c r="I19" s="6" t="s">
        <v>9964</v>
      </c>
      <c r="J19" s="6">
        <v>178.08</v>
      </c>
      <c r="K19" s="6" t="s">
        <v>9965</v>
      </c>
      <c r="L19" s="83">
        <v>13959300</v>
      </c>
      <c r="M19" s="83">
        <v>97971.3</v>
      </c>
    </row>
    <row r="20" spans="1:13">
      <c r="A20" s="246">
        <f t="shared" si="0"/>
        <v>16</v>
      </c>
      <c r="B20" s="20" t="s">
        <v>173</v>
      </c>
      <c r="C20" s="9">
        <v>2855119</v>
      </c>
      <c r="D20" s="6" t="s">
        <v>8198</v>
      </c>
      <c r="E20" s="6" t="s">
        <v>9966</v>
      </c>
      <c r="F20" s="6" t="s">
        <v>8194</v>
      </c>
      <c r="G20" s="83">
        <v>1598340</v>
      </c>
      <c r="H20" s="6" t="s">
        <v>9967</v>
      </c>
      <c r="I20" s="83">
        <v>84480000</v>
      </c>
      <c r="J20" s="6" t="s">
        <v>382</v>
      </c>
      <c r="K20" s="6" t="s">
        <v>9968</v>
      </c>
      <c r="L20" s="6" t="s">
        <v>9969</v>
      </c>
      <c r="M20" s="83">
        <v>2612340</v>
      </c>
    </row>
    <row r="21" spans="1:13">
      <c r="A21" s="627">
        <f>A20+1</f>
        <v>17</v>
      </c>
      <c r="B21" s="543" t="s">
        <v>174</v>
      </c>
      <c r="C21" s="545">
        <v>2094533</v>
      </c>
      <c r="D21" s="6" t="s">
        <v>898</v>
      </c>
      <c r="E21" s="6" t="s">
        <v>382</v>
      </c>
      <c r="F21" s="6" t="s">
        <v>9946</v>
      </c>
      <c r="G21" s="6" t="s">
        <v>382</v>
      </c>
      <c r="H21" s="6" t="s">
        <v>9970</v>
      </c>
      <c r="I21" s="83">
        <v>1075110</v>
      </c>
      <c r="J21" s="6" t="s">
        <v>382</v>
      </c>
      <c r="K21" s="6" t="s">
        <v>9970</v>
      </c>
      <c r="L21" s="83">
        <v>1075110</v>
      </c>
      <c r="M21" s="6" t="s">
        <v>382</v>
      </c>
    </row>
    <row r="22" spans="1:13">
      <c r="A22" s="628"/>
      <c r="B22" s="544"/>
      <c r="C22" s="546"/>
      <c r="D22" s="6" t="s">
        <v>132</v>
      </c>
      <c r="E22" s="6" t="s">
        <v>382</v>
      </c>
      <c r="F22" s="6" t="s">
        <v>9946</v>
      </c>
      <c r="G22" s="6" t="s">
        <v>382</v>
      </c>
      <c r="H22" s="6" t="s">
        <v>9971</v>
      </c>
      <c r="I22" s="83">
        <v>456002000</v>
      </c>
      <c r="J22" s="6" t="s">
        <v>382</v>
      </c>
      <c r="K22" s="6" t="s">
        <v>9972</v>
      </c>
      <c r="L22" s="6" t="s">
        <v>9973</v>
      </c>
      <c r="M22" s="6" t="s">
        <v>382</v>
      </c>
    </row>
    <row r="23" spans="1:13">
      <c r="A23" s="246">
        <f>A21+1</f>
        <v>18</v>
      </c>
      <c r="B23" s="20" t="s">
        <v>175</v>
      </c>
      <c r="C23" s="9">
        <v>5722942</v>
      </c>
      <c r="D23" s="6" t="s">
        <v>382</v>
      </c>
      <c r="E23" s="6" t="s">
        <v>382</v>
      </c>
      <c r="F23" s="6" t="s">
        <v>382</v>
      </c>
      <c r="G23" s="6" t="s">
        <v>382</v>
      </c>
      <c r="H23" s="6" t="s">
        <v>382</v>
      </c>
      <c r="I23" s="6" t="s">
        <v>382</v>
      </c>
      <c r="J23" s="6" t="s">
        <v>382</v>
      </c>
      <c r="K23" s="6" t="s">
        <v>382</v>
      </c>
      <c r="L23" s="6" t="s">
        <v>382</v>
      </c>
      <c r="M23" s="6" t="s">
        <v>382</v>
      </c>
    </row>
    <row r="24" spans="1:13">
      <c r="A24" s="246">
        <f t="shared" si="0"/>
        <v>19</v>
      </c>
      <c r="B24" s="20" t="s">
        <v>176</v>
      </c>
      <c r="C24" s="9">
        <v>2867494</v>
      </c>
      <c r="D24" s="6" t="s">
        <v>382</v>
      </c>
      <c r="E24" s="6" t="s">
        <v>382</v>
      </c>
      <c r="F24" s="6" t="s">
        <v>382</v>
      </c>
      <c r="G24" s="6" t="s">
        <v>382</v>
      </c>
      <c r="H24" s="6" t="s">
        <v>382</v>
      </c>
      <c r="I24" s="6" t="s">
        <v>382</v>
      </c>
      <c r="J24" s="6" t="s">
        <v>382</v>
      </c>
      <c r="K24" s="6" t="s">
        <v>382</v>
      </c>
      <c r="L24" s="6" t="s">
        <v>382</v>
      </c>
      <c r="M24" s="6" t="s">
        <v>382</v>
      </c>
    </row>
    <row r="25" spans="1:13">
      <c r="A25" s="246">
        <f t="shared" si="0"/>
        <v>20</v>
      </c>
      <c r="B25" s="20" t="s">
        <v>177</v>
      </c>
      <c r="C25" s="9">
        <v>6463932</v>
      </c>
      <c r="D25" s="6" t="s">
        <v>382</v>
      </c>
      <c r="E25" s="6" t="s">
        <v>382</v>
      </c>
      <c r="F25" s="6" t="s">
        <v>382</v>
      </c>
      <c r="G25" s="6" t="s">
        <v>382</v>
      </c>
      <c r="H25" s="6" t="s">
        <v>382</v>
      </c>
      <c r="I25" s="6" t="s">
        <v>382</v>
      </c>
      <c r="J25" s="6" t="s">
        <v>382</v>
      </c>
      <c r="K25" s="6" t="s">
        <v>382</v>
      </c>
      <c r="L25" s="6" t="s">
        <v>382</v>
      </c>
      <c r="M25" s="6" t="s">
        <v>382</v>
      </c>
    </row>
    <row r="26" spans="1:13">
      <c r="A26" s="627">
        <f>A25+1</f>
        <v>21</v>
      </c>
      <c r="B26" s="543" t="s">
        <v>183</v>
      </c>
      <c r="C26" s="545">
        <v>2061848</v>
      </c>
      <c r="D26" s="6" t="s">
        <v>132</v>
      </c>
      <c r="E26" s="6" t="s">
        <v>382</v>
      </c>
      <c r="F26" s="6" t="s">
        <v>9946</v>
      </c>
      <c r="G26" s="6" t="s">
        <v>382</v>
      </c>
      <c r="H26" s="6" t="s">
        <v>9974</v>
      </c>
      <c r="I26" s="6" t="s">
        <v>9975</v>
      </c>
      <c r="J26" s="6" t="s">
        <v>382</v>
      </c>
      <c r="K26" s="83">
        <v>9258.17</v>
      </c>
      <c r="L26" s="83">
        <v>1995330</v>
      </c>
      <c r="M26" s="6" t="s">
        <v>382</v>
      </c>
    </row>
    <row r="27" spans="1:13">
      <c r="A27" s="628"/>
      <c r="B27" s="544"/>
      <c r="C27" s="546"/>
      <c r="D27" s="6" t="s">
        <v>898</v>
      </c>
      <c r="E27" s="6" t="s">
        <v>382</v>
      </c>
      <c r="F27" s="6" t="s">
        <v>9946</v>
      </c>
      <c r="G27" s="6">
        <v>64.319999999999993</v>
      </c>
      <c r="H27" s="6" t="s">
        <v>9976</v>
      </c>
      <c r="I27" s="83">
        <v>2676.7</v>
      </c>
      <c r="J27" s="6" t="s">
        <v>382</v>
      </c>
      <c r="K27" s="83">
        <v>1072.74</v>
      </c>
      <c r="L27" s="83">
        <v>2676.7</v>
      </c>
      <c r="M27" s="6">
        <v>64.319999999999993</v>
      </c>
    </row>
    <row r="28" spans="1:13">
      <c r="A28" s="246">
        <f>A26+1</f>
        <v>22</v>
      </c>
      <c r="B28" s="20" t="s">
        <v>188</v>
      </c>
      <c r="C28" s="9">
        <v>5217652</v>
      </c>
      <c r="D28" s="6" t="s">
        <v>122</v>
      </c>
      <c r="E28" s="6" t="s">
        <v>382</v>
      </c>
      <c r="F28" s="6" t="s">
        <v>8194</v>
      </c>
      <c r="G28" s="220">
        <v>180</v>
      </c>
      <c r="H28" s="83">
        <v>486903</v>
      </c>
      <c r="I28" s="83">
        <v>35177000000</v>
      </c>
      <c r="J28" s="6" t="s">
        <v>382</v>
      </c>
      <c r="K28" s="6" t="s">
        <v>9977</v>
      </c>
      <c r="L28" s="83">
        <v>115448000000</v>
      </c>
      <c r="M28" s="83">
        <v>72586.5</v>
      </c>
    </row>
    <row r="29" spans="1:13">
      <c r="A29" s="246">
        <f t="shared" si="0"/>
        <v>23</v>
      </c>
      <c r="B29" s="20" t="s">
        <v>189</v>
      </c>
      <c r="C29" s="9">
        <v>2780518</v>
      </c>
      <c r="D29" s="6" t="s">
        <v>382</v>
      </c>
      <c r="E29" s="6" t="s">
        <v>382</v>
      </c>
      <c r="F29" s="6" t="s">
        <v>382</v>
      </c>
      <c r="G29" s="6" t="s">
        <v>382</v>
      </c>
      <c r="H29" s="6" t="s">
        <v>382</v>
      </c>
      <c r="I29" s="6" t="s">
        <v>382</v>
      </c>
      <c r="J29" s="6" t="s">
        <v>382</v>
      </c>
      <c r="K29" s="6" t="s">
        <v>382</v>
      </c>
      <c r="L29" s="6" t="s">
        <v>382</v>
      </c>
      <c r="M29" s="6" t="s">
        <v>382</v>
      </c>
    </row>
    <row r="30" spans="1:13">
      <c r="A30" s="246">
        <f>A29+1</f>
        <v>24</v>
      </c>
      <c r="B30" s="20" t="s">
        <v>194</v>
      </c>
      <c r="C30" s="9">
        <v>5467268</v>
      </c>
      <c r="D30" s="6" t="s">
        <v>8198</v>
      </c>
      <c r="E30" s="6">
        <v>26011110</v>
      </c>
      <c r="F30" s="6" t="s">
        <v>8194</v>
      </c>
      <c r="G30" s="83">
        <v>276459</v>
      </c>
      <c r="H30" s="83">
        <v>1560630</v>
      </c>
      <c r="I30" s="83">
        <v>238861000</v>
      </c>
      <c r="J30" s="6" t="s">
        <v>382</v>
      </c>
      <c r="K30" s="83">
        <v>1745560</v>
      </c>
      <c r="L30" s="83">
        <v>242823000</v>
      </c>
      <c r="M30" s="83">
        <v>91533</v>
      </c>
    </row>
    <row r="31" spans="1:13">
      <c r="A31" s="246">
        <f>A30+1</f>
        <v>25</v>
      </c>
      <c r="B31" s="20" t="s">
        <v>196</v>
      </c>
      <c r="C31" s="9">
        <v>5522935</v>
      </c>
      <c r="D31" s="6" t="s">
        <v>122</v>
      </c>
      <c r="E31" s="6" t="s">
        <v>382</v>
      </c>
      <c r="F31" s="6" t="s">
        <v>8043</v>
      </c>
      <c r="G31" s="220">
        <v>73</v>
      </c>
      <c r="H31" s="6">
        <v>153.44999999999999</v>
      </c>
      <c r="I31" s="83">
        <v>21251.3</v>
      </c>
      <c r="J31" s="6" t="s">
        <v>382</v>
      </c>
      <c r="K31" s="6">
        <v>153.44999999999999</v>
      </c>
      <c r="L31" s="83">
        <v>21251.3</v>
      </c>
      <c r="M31" s="220">
        <v>73</v>
      </c>
    </row>
    <row r="32" spans="1:13">
      <c r="A32" s="627">
        <f>A31+1</f>
        <v>26</v>
      </c>
      <c r="B32" s="543" t="s">
        <v>199</v>
      </c>
      <c r="C32" s="545">
        <v>5830974</v>
      </c>
      <c r="D32" s="6" t="s">
        <v>221</v>
      </c>
      <c r="E32" s="6" t="s">
        <v>382</v>
      </c>
      <c r="F32" s="6" t="s">
        <v>8194</v>
      </c>
      <c r="G32" s="220">
        <v>619</v>
      </c>
      <c r="H32" s="83">
        <v>1154020</v>
      </c>
      <c r="I32" s="6" t="s">
        <v>382</v>
      </c>
      <c r="J32" s="83">
        <v>1141760</v>
      </c>
      <c r="K32" s="6" t="s">
        <v>382</v>
      </c>
      <c r="L32" s="6" t="s">
        <v>382</v>
      </c>
      <c r="M32" s="220">
        <v>635</v>
      </c>
    </row>
    <row r="33" spans="1:13">
      <c r="A33" s="632"/>
      <c r="B33" s="547"/>
      <c r="C33" s="548"/>
      <c r="D33" s="6" t="s">
        <v>1027</v>
      </c>
      <c r="E33" s="6" t="s">
        <v>382</v>
      </c>
      <c r="F33" s="6" t="s">
        <v>8194</v>
      </c>
      <c r="G33" s="6" t="s">
        <v>9978</v>
      </c>
      <c r="H33" s="83">
        <v>275899</v>
      </c>
      <c r="I33" s="6" t="s">
        <v>382</v>
      </c>
      <c r="J33" s="6" t="s">
        <v>382</v>
      </c>
      <c r="K33" s="6" t="s">
        <v>382</v>
      </c>
      <c r="L33" s="6" t="s">
        <v>382</v>
      </c>
      <c r="M33" s="220">
        <v>525</v>
      </c>
    </row>
    <row r="34" spans="1:13">
      <c r="A34" s="628"/>
      <c r="B34" s="544"/>
      <c r="C34" s="546"/>
      <c r="D34" s="6" t="s">
        <v>200</v>
      </c>
      <c r="E34" s="6" t="s">
        <v>382</v>
      </c>
      <c r="F34" s="6" t="s">
        <v>8194</v>
      </c>
      <c r="G34" s="6" t="s">
        <v>9979</v>
      </c>
      <c r="H34" s="83">
        <v>46944</v>
      </c>
      <c r="I34" s="6" t="s">
        <v>382</v>
      </c>
      <c r="J34" s="83">
        <v>45195.5</v>
      </c>
      <c r="K34" s="6" t="s">
        <v>9980</v>
      </c>
      <c r="L34" s="6" t="s">
        <v>382</v>
      </c>
      <c r="M34" s="220">
        <v>41</v>
      </c>
    </row>
    <row r="35" spans="1:13">
      <c r="A35" s="246">
        <f>A32+1</f>
        <v>27</v>
      </c>
      <c r="B35" s="20" t="s">
        <v>201</v>
      </c>
      <c r="C35" s="9">
        <v>2057573</v>
      </c>
      <c r="D35" s="6" t="s">
        <v>382</v>
      </c>
      <c r="E35" s="6" t="s">
        <v>382</v>
      </c>
      <c r="F35" s="6" t="s">
        <v>382</v>
      </c>
      <c r="G35" s="6" t="s">
        <v>382</v>
      </c>
      <c r="H35" s="6" t="s">
        <v>382</v>
      </c>
      <c r="I35" s="6" t="s">
        <v>382</v>
      </c>
      <c r="J35" s="6" t="s">
        <v>382</v>
      </c>
      <c r="K35" s="6" t="s">
        <v>382</v>
      </c>
      <c r="L35" s="6" t="s">
        <v>382</v>
      </c>
      <c r="M35" s="6" t="s">
        <v>382</v>
      </c>
    </row>
    <row r="36" spans="1:13">
      <c r="A36" s="246">
        <f t="shared" si="0"/>
        <v>28</v>
      </c>
      <c r="B36" s="20" t="s">
        <v>202</v>
      </c>
      <c r="C36" s="9">
        <v>5699134</v>
      </c>
      <c r="D36" s="6" t="s">
        <v>382</v>
      </c>
      <c r="E36" s="6" t="s">
        <v>382</v>
      </c>
      <c r="F36" s="6" t="s">
        <v>382</v>
      </c>
      <c r="G36" s="6" t="s">
        <v>382</v>
      </c>
      <c r="H36" s="6" t="s">
        <v>382</v>
      </c>
      <c r="I36" s="6" t="s">
        <v>382</v>
      </c>
      <c r="J36" s="6" t="s">
        <v>382</v>
      </c>
      <c r="K36" s="6" t="s">
        <v>382</v>
      </c>
      <c r="L36" s="6" t="s">
        <v>382</v>
      </c>
      <c r="M36" s="6" t="s">
        <v>382</v>
      </c>
    </row>
    <row r="37" spans="1:13">
      <c r="A37" s="246">
        <f t="shared" si="0"/>
        <v>29</v>
      </c>
      <c r="B37" s="20" t="s">
        <v>203</v>
      </c>
      <c r="C37" s="9">
        <v>5412153</v>
      </c>
      <c r="D37" s="6" t="s">
        <v>382</v>
      </c>
      <c r="E37" s="6" t="s">
        <v>382</v>
      </c>
      <c r="F37" s="6" t="s">
        <v>382</v>
      </c>
      <c r="G37" s="6" t="s">
        <v>382</v>
      </c>
      <c r="H37" s="6" t="s">
        <v>382</v>
      </c>
      <c r="I37" s="6" t="s">
        <v>382</v>
      </c>
      <c r="J37" s="6" t="s">
        <v>382</v>
      </c>
      <c r="K37" s="6" t="s">
        <v>382</v>
      </c>
      <c r="L37" s="6" t="s">
        <v>382</v>
      </c>
      <c r="M37" s="6" t="s">
        <v>382</v>
      </c>
    </row>
    <row r="38" spans="1:13">
      <c r="A38" s="246">
        <f t="shared" si="0"/>
        <v>30</v>
      </c>
      <c r="B38" s="20" t="s">
        <v>204</v>
      </c>
      <c r="C38" s="9">
        <v>2034859</v>
      </c>
      <c r="D38" s="6" t="s">
        <v>122</v>
      </c>
      <c r="E38" s="6">
        <v>1101</v>
      </c>
      <c r="F38" s="6" t="s">
        <v>8194</v>
      </c>
      <c r="G38" s="220">
        <v>96</v>
      </c>
      <c r="H38" s="6" t="s">
        <v>9981</v>
      </c>
      <c r="I38" s="83">
        <v>3990030</v>
      </c>
      <c r="J38" s="220">
        <v>143</v>
      </c>
      <c r="K38" s="83">
        <v>146598</v>
      </c>
      <c r="L38" s="6" t="s">
        <v>9982</v>
      </c>
      <c r="M38" s="220">
        <v>40</v>
      </c>
    </row>
    <row r="39" spans="1:13">
      <c r="A39" s="246">
        <f>A38+1</f>
        <v>31</v>
      </c>
      <c r="B39" s="20" t="s">
        <v>210</v>
      </c>
      <c r="C39" s="9">
        <v>5150884</v>
      </c>
      <c r="D39" s="6" t="s">
        <v>382</v>
      </c>
      <c r="E39" s="6" t="s">
        <v>382</v>
      </c>
      <c r="F39" s="6" t="s">
        <v>382</v>
      </c>
      <c r="G39" s="6" t="s">
        <v>382</v>
      </c>
      <c r="H39" s="6" t="s">
        <v>382</v>
      </c>
      <c r="I39" s="6" t="s">
        <v>382</v>
      </c>
      <c r="J39" s="6" t="s">
        <v>382</v>
      </c>
      <c r="K39" s="6" t="s">
        <v>382</v>
      </c>
      <c r="L39" s="6" t="s">
        <v>382</v>
      </c>
      <c r="M39" s="6" t="s">
        <v>382</v>
      </c>
    </row>
    <row r="40" spans="1:13">
      <c r="A40" s="246">
        <f>A39+1</f>
        <v>32</v>
      </c>
      <c r="B40" s="20" t="s">
        <v>211</v>
      </c>
      <c r="C40" s="9">
        <v>5051304</v>
      </c>
      <c r="D40" s="6" t="s">
        <v>382</v>
      </c>
      <c r="E40" s="6" t="s">
        <v>382</v>
      </c>
      <c r="F40" s="6" t="s">
        <v>382</v>
      </c>
      <c r="G40" s="6" t="s">
        <v>382</v>
      </c>
      <c r="H40" s="6" t="s">
        <v>382</v>
      </c>
      <c r="I40" s="6" t="s">
        <v>382</v>
      </c>
      <c r="J40" s="6" t="s">
        <v>382</v>
      </c>
      <c r="K40" s="6" t="s">
        <v>382</v>
      </c>
      <c r="L40" s="6" t="s">
        <v>382</v>
      </c>
      <c r="M40" s="6" t="s">
        <v>382</v>
      </c>
    </row>
    <row r="41" spans="1:13" ht="25.5">
      <c r="A41" s="627">
        <f>A40+1</f>
        <v>33</v>
      </c>
      <c r="B41" s="543" t="s">
        <v>214</v>
      </c>
      <c r="C41" s="545">
        <v>2550466</v>
      </c>
      <c r="D41" s="1" t="s">
        <v>8204</v>
      </c>
      <c r="E41" s="6">
        <v>1</v>
      </c>
      <c r="F41" s="6" t="s">
        <v>8194</v>
      </c>
      <c r="G41" s="220">
        <v>4</v>
      </c>
      <c r="H41" s="6">
        <v>547</v>
      </c>
      <c r="I41" s="6" t="s">
        <v>9983</v>
      </c>
      <c r="J41" s="6" t="s">
        <v>382</v>
      </c>
      <c r="K41" s="220">
        <v>391</v>
      </c>
      <c r="L41" s="83">
        <v>396688</v>
      </c>
      <c r="M41" s="220">
        <v>4</v>
      </c>
    </row>
    <row r="42" spans="1:13" ht="25.5">
      <c r="A42" s="632"/>
      <c r="B42" s="547"/>
      <c r="C42" s="548"/>
      <c r="D42" s="1" t="s">
        <v>8205</v>
      </c>
      <c r="E42" s="6">
        <v>2</v>
      </c>
      <c r="F42" s="6" t="s">
        <v>8194</v>
      </c>
      <c r="G42" s="6" t="s">
        <v>382</v>
      </c>
      <c r="H42" s="6">
        <v>302.2</v>
      </c>
      <c r="I42" s="83">
        <v>4604</v>
      </c>
      <c r="J42" s="6" t="s">
        <v>382</v>
      </c>
      <c r="K42" s="220">
        <v>210.1</v>
      </c>
      <c r="L42" s="83">
        <v>91213</v>
      </c>
      <c r="M42" s="220">
        <v>92.1</v>
      </c>
    </row>
    <row r="43" spans="1:13" ht="25.5">
      <c r="A43" s="632"/>
      <c r="B43" s="547"/>
      <c r="C43" s="548"/>
      <c r="D43" s="1" t="s">
        <v>8206</v>
      </c>
      <c r="E43" s="6">
        <v>16</v>
      </c>
      <c r="F43" s="6" t="s">
        <v>8194</v>
      </c>
      <c r="G43" s="220">
        <v>139</v>
      </c>
      <c r="H43" s="83">
        <v>215823</v>
      </c>
      <c r="I43" s="83">
        <v>474241000</v>
      </c>
      <c r="J43" s="6" t="s">
        <v>382</v>
      </c>
      <c r="K43" s="83">
        <v>222229</v>
      </c>
      <c r="L43" s="83">
        <v>67201700</v>
      </c>
      <c r="M43" s="220">
        <v>132</v>
      </c>
    </row>
    <row r="44" spans="1:13" ht="25.5">
      <c r="A44" s="632"/>
      <c r="B44" s="547"/>
      <c r="C44" s="548"/>
      <c r="D44" s="1" t="s">
        <v>8207</v>
      </c>
      <c r="E44" s="6">
        <v>16</v>
      </c>
      <c r="F44" s="6" t="s">
        <v>8194</v>
      </c>
      <c r="G44" s="220">
        <v>217</v>
      </c>
      <c r="H44" s="83">
        <v>444849</v>
      </c>
      <c r="I44" s="83">
        <v>36695900</v>
      </c>
      <c r="J44" s="6" t="s">
        <v>382</v>
      </c>
      <c r="K44" s="83">
        <v>514125</v>
      </c>
      <c r="L44" s="83">
        <v>80268600</v>
      </c>
      <c r="M44" s="6" t="s">
        <v>9984</v>
      </c>
    </row>
    <row r="45" spans="1:13">
      <c r="A45" s="632"/>
      <c r="B45" s="547"/>
      <c r="C45" s="548"/>
      <c r="D45" s="1" t="s">
        <v>8208</v>
      </c>
      <c r="E45" s="6">
        <v>16</v>
      </c>
      <c r="F45" s="6" t="s">
        <v>8194</v>
      </c>
      <c r="G45" s="6" t="s">
        <v>382</v>
      </c>
      <c r="H45" s="83">
        <v>115191</v>
      </c>
      <c r="I45" s="83">
        <v>2378350</v>
      </c>
      <c r="J45" s="6" t="s">
        <v>382</v>
      </c>
      <c r="K45" s="6" t="s">
        <v>9985</v>
      </c>
      <c r="L45" s="83">
        <v>4093230</v>
      </c>
      <c r="M45" s="6" t="s">
        <v>382</v>
      </c>
    </row>
    <row r="46" spans="1:13" ht="25.5">
      <c r="A46" s="632"/>
      <c r="B46" s="547"/>
      <c r="C46" s="548"/>
      <c r="D46" s="1" t="s">
        <v>8209</v>
      </c>
      <c r="E46" s="6">
        <v>16</v>
      </c>
      <c r="F46" s="6" t="s">
        <v>8194</v>
      </c>
      <c r="G46" s="220">
        <v>4</v>
      </c>
      <c r="H46" s="6" t="s">
        <v>9986</v>
      </c>
      <c r="I46" s="83">
        <v>2334450</v>
      </c>
      <c r="J46" s="6" t="s">
        <v>382</v>
      </c>
      <c r="K46" s="83">
        <v>5629.6</v>
      </c>
      <c r="L46" s="83">
        <v>7345540</v>
      </c>
      <c r="M46" s="6" t="s">
        <v>382</v>
      </c>
    </row>
    <row r="47" spans="1:13">
      <c r="A47" s="628"/>
      <c r="B47" s="544"/>
      <c r="C47" s="546"/>
      <c r="D47" s="1" t="s">
        <v>132</v>
      </c>
      <c r="E47" s="6">
        <v>13</v>
      </c>
      <c r="F47" s="6" t="s">
        <v>8194</v>
      </c>
      <c r="G47" s="6" t="s">
        <v>382</v>
      </c>
      <c r="H47" s="6">
        <v>9.82</v>
      </c>
      <c r="I47" s="83">
        <v>8557440</v>
      </c>
      <c r="J47" s="6" t="s">
        <v>382</v>
      </c>
      <c r="K47" s="6">
        <v>9.82</v>
      </c>
      <c r="L47" s="6" t="s">
        <v>9987</v>
      </c>
      <c r="M47" s="6" t="s">
        <v>382</v>
      </c>
    </row>
    <row r="48" spans="1:13">
      <c r="A48" s="627">
        <f>A41+1</f>
        <v>34</v>
      </c>
      <c r="B48" s="543" t="s">
        <v>216</v>
      </c>
      <c r="C48" s="545">
        <v>5051134</v>
      </c>
      <c r="D48" s="6" t="s">
        <v>8210</v>
      </c>
      <c r="E48" s="6" t="s">
        <v>382</v>
      </c>
      <c r="F48" s="6" t="s">
        <v>8194</v>
      </c>
      <c r="G48" s="6" t="s">
        <v>382</v>
      </c>
      <c r="H48" s="6" t="s">
        <v>9988</v>
      </c>
      <c r="I48" s="6" t="s">
        <v>382</v>
      </c>
      <c r="J48" s="6" t="s">
        <v>382</v>
      </c>
      <c r="K48" s="6" t="s">
        <v>9988</v>
      </c>
      <c r="L48" s="83">
        <v>1719030</v>
      </c>
      <c r="M48" s="6" t="s">
        <v>382</v>
      </c>
    </row>
    <row r="49" spans="1:13">
      <c r="A49" s="632"/>
      <c r="B49" s="547"/>
      <c r="C49" s="548"/>
      <c r="D49" s="6" t="s">
        <v>1925</v>
      </c>
      <c r="E49" s="6" t="s">
        <v>382</v>
      </c>
      <c r="F49" s="6" t="s">
        <v>8194</v>
      </c>
      <c r="G49" s="6" t="s">
        <v>382</v>
      </c>
      <c r="H49" s="83">
        <v>38795</v>
      </c>
      <c r="I49" s="6" t="s">
        <v>382</v>
      </c>
      <c r="J49" s="6" t="s">
        <v>382</v>
      </c>
      <c r="K49" s="83">
        <v>38795</v>
      </c>
      <c r="L49" s="6" t="s">
        <v>9989</v>
      </c>
      <c r="M49" s="6" t="s">
        <v>382</v>
      </c>
    </row>
    <row r="50" spans="1:13">
      <c r="A50" s="628"/>
      <c r="B50" s="544"/>
      <c r="C50" s="546"/>
      <c r="D50" s="6" t="s">
        <v>8211</v>
      </c>
      <c r="E50" s="6" t="s">
        <v>382</v>
      </c>
      <c r="F50" s="6" t="s">
        <v>8194</v>
      </c>
      <c r="G50" s="6" t="s">
        <v>382</v>
      </c>
      <c r="H50" s="83">
        <v>153763</v>
      </c>
      <c r="I50" s="6" t="s">
        <v>382</v>
      </c>
      <c r="J50" s="6" t="s">
        <v>382</v>
      </c>
      <c r="K50" s="83">
        <v>153763</v>
      </c>
      <c r="L50" s="6" t="s">
        <v>9990</v>
      </c>
      <c r="M50" s="6" t="s">
        <v>382</v>
      </c>
    </row>
    <row r="51" spans="1:13">
      <c r="A51" s="246">
        <f>A48+1</f>
        <v>35</v>
      </c>
      <c r="B51" s="20" t="s">
        <v>217</v>
      </c>
      <c r="C51" s="9">
        <v>2095025</v>
      </c>
      <c r="D51" s="6" t="s">
        <v>382</v>
      </c>
      <c r="E51" s="6" t="s">
        <v>382</v>
      </c>
      <c r="F51" s="6" t="s">
        <v>382</v>
      </c>
      <c r="G51" s="6" t="s">
        <v>382</v>
      </c>
      <c r="H51" s="6" t="s">
        <v>382</v>
      </c>
      <c r="I51" s="6" t="s">
        <v>382</v>
      </c>
      <c r="J51" s="6" t="s">
        <v>382</v>
      </c>
      <c r="K51" s="6" t="s">
        <v>382</v>
      </c>
      <c r="L51" s="6" t="s">
        <v>382</v>
      </c>
      <c r="M51" s="6" t="s">
        <v>382</v>
      </c>
    </row>
    <row r="52" spans="1:13">
      <c r="A52" s="246">
        <f t="shared" si="0"/>
        <v>36</v>
      </c>
      <c r="B52" s="20" t="s">
        <v>218</v>
      </c>
      <c r="C52" s="9">
        <v>2045931</v>
      </c>
      <c r="D52" s="6" t="s">
        <v>382</v>
      </c>
      <c r="E52" s="6" t="s">
        <v>382</v>
      </c>
      <c r="F52" s="6" t="s">
        <v>382</v>
      </c>
      <c r="G52" s="6" t="s">
        <v>382</v>
      </c>
      <c r="H52" s="6" t="s">
        <v>382</v>
      </c>
      <c r="I52" s="6" t="s">
        <v>382</v>
      </c>
      <c r="J52" s="6" t="s">
        <v>382</v>
      </c>
      <c r="K52" s="6" t="s">
        <v>382</v>
      </c>
      <c r="L52" s="6" t="s">
        <v>382</v>
      </c>
      <c r="M52" s="6" t="s">
        <v>382</v>
      </c>
    </row>
    <row r="53" spans="1:13">
      <c r="A53" s="246">
        <f t="shared" si="0"/>
        <v>37</v>
      </c>
      <c r="B53" s="20" t="s">
        <v>219</v>
      </c>
      <c r="C53" s="9">
        <v>2029278</v>
      </c>
      <c r="D53" s="6" t="s">
        <v>132</v>
      </c>
      <c r="E53" s="6" t="s">
        <v>382</v>
      </c>
      <c r="F53" s="6" t="s">
        <v>9946</v>
      </c>
      <c r="G53" s="6" t="s">
        <v>382</v>
      </c>
      <c r="H53" s="6" t="s">
        <v>9991</v>
      </c>
      <c r="I53" s="6" t="s">
        <v>382</v>
      </c>
      <c r="J53" s="6" t="s">
        <v>382</v>
      </c>
      <c r="K53" s="83">
        <v>230463</v>
      </c>
      <c r="L53" s="83">
        <v>47182100</v>
      </c>
      <c r="M53" s="6" t="s">
        <v>382</v>
      </c>
    </row>
    <row r="54" spans="1:13">
      <c r="A54" s="246">
        <f t="shared" si="0"/>
        <v>38</v>
      </c>
      <c r="B54" s="20" t="s">
        <v>220</v>
      </c>
      <c r="C54" s="9">
        <v>5106567</v>
      </c>
      <c r="D54" s="6" t="s">
        <v>221</v>
      </c>
      <c r="E54" s="6" t="s">
        <v>382</v>
      </c>
      <c r="F54" s="6" t="s">
        <v>8194</v>
      </c>
      <c r="G54" s="83">
        <v>259480</v>
      </c>
      <c r="H54" s="83">
        <v>1125860</v>
      </c>
      <c r="I54" s="83">
        <v>263686000</v>
      </c>
      <c r="J54" s="83">
        <v>776975</v>
      </c>
      <c r="K54" s="6" t="s">
        <v>382</v>
      </c>
      <c r="L54" s="6" t="s">
        <v>382</v>
      </c>
      <c r="M54" s="6" t="s">
        <v>9992</v>
      </c>
    </row>
    <row r="55" spans="1:13">
      <c r="A55" s="627">
        <f t="shared" si="0"/>
        <v>39</v>
      </c>
      <c r="B55" s="543" t="s">
        <v>222</v>
      </c>
      <c r="C55" s="545">
        <v>5141583</v>
      </c>
      <c r="D55" s="6" t="s">
        <v>9993</v>
      </c>
      <c r="E55" s="6" t="s">
        <v>382</v>
      </c>
      <c r="F55" s="6" t="s">
        <v>8043</v>
      </c>
      <c r="G55" s="83">
        <v>1127.5899999999999</v>
      </c>
      <c r="H55" s="83">
        <v>2744.78</v>
      </c>
      <c r="I55" s="83">
        <v>245280000</v>
      </c>
      <c r="J55" s="6" t="s">
        <v>382</v>
      </c>
      <c r="K55" s="83">
        <v>1081.49</v>
      </c>
      <c r="L55" s="83">
        <v>307564000</v>
      </c>
      <c r="M55" s="83">
        <v>1401.7</v>
      </c>
    </row>
    <row r="56" spans="1:13">
      <c r="A56" s="632"/>
      <c r="B56" s="547"/>
      <c r="C56" s="548"/>
      <c r="D56" s="6" t="s">
        <v>8201</v>
      </c>
      <c r="E56" s="6" t="s">
        <v>382</v>
      </c>
      <c r="F56" s="6" t="s">
        <v>8043</v>
      </c>
      <c r="G56" s="83">
        <v>4004.62</v>
      </c>
      <c r="H56" s="6">
        <v>292.43</v>
      </c>
      <c r="I56" s="83">
        <v>4160980</v>
      </c>
      <c r="J56" s="6">
        <v>1.44</v>
      </c>
      <c r="K56" s="6">
        <v>83.85</v>
      </c>
      <c r="L56" s="83">
        <v>1097560</v>
      </c>
      <c r="M56" s="83">
        <v>6586.56</v>
      </c>
    </row>
    <row r="57" spans="1:13">
      <c r="A57" s="628"/>
      <c r="B57" s="544"/>
      <c r="C57" s="546"/>
      <c r="D57" s="6" t="s">
        <v>8202</v>
      </c>
      <c r="E57" s="6" t="s">
        <v>382</v>
      </c>
      <c r="F57" s="6" t="s">
        <v>8043</v>
      </c>
      <c r="G57" s="83">
        <v>92.5</v>
      </c>
      <c r="H57" s="6">
        <v>1433.85</v>
      </c>
      <c r="I57" s="83">
        <v>19323800</v>
      </c>
      <c r="J57" s="6" t="s">
        <v>382</v>
      </c>
      <c r="K57" s="6" t="s">
        <v>9994</v>
      </c>
      <c r="L57" s="83">
        <v>508788000</v>
      </c>
      <c r="M57" s="83">
        <v>37.49</v>
      </c>
    </row>
    <row r="58" spans="1:13">
      <c r="A58" s="246">
        <f>A55+1</f>
        <v>40</v>
      </c>
      <c r="B58" s="20" t="s">
        <v>223</v>
      </c>
      <c r="C58" s="9">
        <v>5118115</v>
      </c>
      <c r="D58" s="6" t="s">
        <v>382</v>
      </c>
      <c r="E58" s="6" t="s">
        <v>382</v>
      </c>
      <c r="F58" s="6" t="s">
        <v>382</v>
      </c>
      <c r="G58" s="6" t="s">
        <v>382</v>
      </c>
      <c r="H58" s="6" t="s">
        <v>382</v>
      </c>
      <c r="I58" s="6" t="s">
        <v>382</v>
      </c>
      <c r="J58" s="6" t="s">
        <v>382</v>
      </c>
      <c r="K58" s="6" t="s">
        <v>382</v>
      </c>
      <c r="L58" s="6" t="s">
        <v>382</v>
      </c>
      <c r="M58" s="6" t="s">
        <v>382</v>
      </c>
    </row>
    <row r="59" spans="1:13">
      <c r="A59" s="246">
        <f t="shared" si="0"/>
        <v>41</v>
      </c>
      <c r="B59" s="20" t="s">
        <v>224</v>
      </c>
      <c r="C59" s="9">
        <v>5106656</v>
      </c>
      <c r="D59" s="6" t="s">
        <v>382</v>
      </c>
      <c r="E59" s="6" t="s">
        <v>382</v>
      </c>
      <c r="F59" s="6" t="s">
        <v>382</v>
      </c>
      <c r="G59" s="6" t="s">
        <v>382</v>
      </c>
      <c r="H59" s="6" t="s">
        <v>382</v>
      </c>
      <c r="I59" s="6" t="s">
        <v>382</v>
      </c>
      <c r="J59" s="6" t="s">
        <v>382</v>
      </c>
      <c r="K59" s="6" t="s">
        <v>382</v>
      </c>
      <c r="L59" s="6" t="s">
        <v>382</v>
      </c>
      <c r="M59" s="6" t="s">
        <v>382</v>
      </c>
    </row>
    <row r="60" spans="1:13">
      <c r="A60" s="246">
        <f t="shared" si="0"/>
        <v>42</v>
      </c>
      <c r="B60" s="20" t="s">
        <v>225</v>
      </c>
      <c r="C60" s="9">
        <v>2010895</v>
      </c>
      <c r="D60" s="6" t="s">
        <v>8212</v>
      </c>
      <c r="E60" s="6" t="s">
        <v>9995</v>
      </c>
      <c r="F60" s="6" t="s">
        <v>8194</v>
      </c>
      <c r="G60" s="6" t="s">
        <v>9996</v>
      </c>
      <c r="H60" s="83">
        <v>470290</v>
      </c>
      <c r="I60" s="83">
        <v>9096080</v>
      </c>
      <c r="J60" s="6" t="s">
        <v>382</v>
      </c>
      <c r="K60" s="83">
        <v>440680</v>
      </c>
      <c r="L60" s="83">
        <v>9096080</v>
      </c>
      <c r="M60" s="83">
        <v>3139050</v>
      </c>
    </row>
    <row r="61" spans="1:13" ht="25.5" customHeight="1">
      <c r="A61" s="627">
        <f t="shared" si="0"/>
        <v>43</v>
      </c>
      <c r="B61" s="629" t="s">
        <v>9997</v>
      </c>
      <c r="C61" s="545">
        <v>5295858</v>
      </c>
      <c r="D61" s="6" t="s">
        <v>843</v>
      </c>
      <c r="E61" s="6" t="s">
        <v>382</v>
      </c>
      <c r="F61" s="6" t="s">
        <v>8194</v>
      </c>
      <c r="G61" s="6" t="s">
        <v>382</v>
      </c>
      <c r="H61" s="83">
        <v>85042</v>
      </c>
      <c r="I61" s="83">
        <v>28829984</v>
      </c>
      <c r="J61" s="93">
        <v>85042</v>
      </c>
      <c r="K61" s="6" t="s">
        <v>382</v>
      </c>
      <c r="L61" s="6" t="s">
        <v>382</v>
      </c>
      <c r="M61" s="6" t="s">
        <v>382</v>
      </c>
    </row>
    <row r="62" spans="1:13">
      <c r="A62" s="628"/>
      <c r="B62" s="630"/>
      <c r="C62" s="546"/>
      <c r="D62" s="6" t="s">
        <v>132</v>
      </c>
      <c r="E62" s="6" t="s">
        <v>382</v>
      </c>
      <c r="F62" s="6" t="s">
        <v>8191</v>
      </c>
      <c r="G62" s="6">
        <v>0.18</v>
      </c>
      <c r="H62" s="83">
        <v>304.88</v>
      </c>
      <c r="I62" s="83">
        <v>61093088</v>
      </c>
      <c r="J62" s="6" t="s">
        <v>382</v>
      </c>
      <c r="K62" s="83">
        <v>304.88</v>
      </c>
      <c r="L62" s="83">
        <v>65244625</v>
      </c>
      <c r="M62" s="83">
        <v>0.18</v>
      </c>
    </row>
    <row r="63" spans="1:13">
      <c r="A63" s="246">
        <f>A61+1</f>
        <v>44</v>
      </c>
      <c r="B63" s="20" t="s">
        <v>228</v>
      </c>
      <c r="C63" s="9">
        <v>6287727</v>
      </c>
      <c r="D63" s="6" t="s">
        <v>843</v>
      </c>
      <c r="E63" s="6" t="s">
        <v>382</v>
      </c>
      <c r="F63" s="6" t="s">
        <v>8194</v>
      </c>
      <c r="G63" s="220">
        <v>24</v>
      </c>
      <c r="H63" s="6" t="s">
        <v>9998</v>
      </c>
      <c r="I63" s="83">
        <v>22213700</v>
      </c>
      <c r="J63" s="6" t="s">
        <v>382</v>
      </c>
      <c r="K63" s="83">
        <v>68963.199999999997</v>
      </c>
      <c r="L63" s="83">
        <v>16873700</v>
      </c>
      <c r="M63" s="220">
        <v>60</v>
      </c>
    </row>
    <row r="64" spans="1:13">
      <c r="A64" s="246">
        <f>A63+1</f>
        <v>45</v>
      </c>
      <c r="B64" s="20" t="s">
        <v>230</v>
      </c>
      <c r="C64" s="9">
        <v>2678187</v>
      </c>
      <c r="D64" s="6" t="s">
        <v>382</v>
      </c>
      <c r="E64" s="6" t="s">
        <v>382</v>
      </c>
      <c r="F64" s="6" t="s">
        <v>382</v>
      </c>
      <c r="G64" s="6" t="s">
        <v>382</v>
      </c>
      <c r="H64" s="6" t="s">
        <v>382</v>
      </c>
      <c r="I64" s="6" t="s">
        <v>382</v>
      </c>
      <c r="J64" s="6" t="s">
        <v>382</v>
      </c>
      <c r="K64" s="6" t="s">
        <v>382</v>
      </c>
      <c r="L64" s="6" t="s">
        <v>382</v>
      </c>
      <c r="M64" s="6" t="s">
        <v>382</v>
      </c>
    </row>
    <row r="65" spans="1:13">
      <c r="A65" s="246">
        <f>A64+1</f>
        <v>46</v>
      </c>
      <c r="B65" s="20" t="s">
        <v>231</v>
      </c>
      <c r="C65" s="9">
        <v>2657457</v>
      </c>
      <c r="D65" s="6" t="s">
        <v>8216</v>
      </c>
      <c r="E65" s="6">
        <v>7299</v>
      </c>
      <c r="F65" s="6" t="s">
        <v>8194</v>
      </c>
      <c r="G65" s="83">
        <v>86470.2</v>
      </c>
      <c r="H65" s="83">
        <v>795674</v>
      </c>
      <c r="I65" s="83">
        <v>3226870000</v>
      </c>
      <c r="J65" s="6" t="s">
        <v>382</v>
      </c>
      <c r="K65" s="83">
        <v>823185</v>
      </c>
      <c r="L65" s="83">
        <v>5632300000</v>
      </c>
      <c r="M65" s="83">
        <v>57795.5</v>
      </c>
    </row>
    <row r="66" spans="1:13">
      <c r="A66" s="627">
        <f t="shared" si="0"/>
        <v>47</v>
      </c>
      <c r="B66" s="543" t="s">
        <v>232</v>
      </c>
      <c r="C66" s="545">
        <v>3615243</v>
      </c>
      <c r="D66" s="6" t="s">
        <v>8218</v>
      </c>
      <c r="E66" s="6" t="s">
        <v>382</v>
      </c>
      <c r="F66" s="6" t="s">
        <v>8219</v>
      </c>
      <c r="G66" s="6" t="s">
        <v>382</v>
      </c>
      <c r="H66" s="83">
        <v>27940</v>
      </c>
      <c r="I66" s="83">
        <v>559275000</v>
      </c>
      <c r="J66" s="6" t="s">
        <v>382</v>
      </c>
      <c r="K66" s="83">
        <v>14411</v>
      </c>
      <c r="L66" s="83">
        <v>456655000</v>
      </c>
      <c r="M66" s="83">
        <v>13525.8</v>
      </c>
    </row>
    <row r="67" spans="1:13">
      <c r="A67" s="632"/>
      <c r="B67" s="547"/>
      <c r="C67" s="548"/>
      <c r="D67" s="6" t="s">
        <v>8220</v>
      </c>
      <c r="E67" s="6" t="s">
        <v>382</v>
      </c>
      <c r="F67" s="6" t="s">
        <v>8219</v>
      </c>
      <c r="G67" s="6" t="s">
        <v>382</v>
      </c>
      <c r="H67" s="220">
        <v>12075</v>
      </c>
      <c r="I67" s="83">
        <v>241705000</v>
      </c>
      <c r="J67" s="6" t="s">
        <v>382</v>
      </c>
      <c r="K67" s="220">
        <v>6276</v>
      </c>
      <c r="L67" s="83">
        <v>203164000</v>
      </c>
      <c r="M67" s="220">
        <v>5</v>
      </c>
    </row>
    <row r="68" spans="1:13">
      <c r="A68" s="632"/>
      <c r="B68" s="547"/>
      <c r="C68" s="548"/>
      <c r="D68" s="6" t="s">
        <v>8221</v>
      </c>
      <c r="E68" s="6" t="s">
        <v>382</v>
      </c>
      <c r="F68" s="6" t="s">
        <v>8219</v>
      </c>
      <c r="G68" s="6" t="s">
        <v>382</v>
      </c>
      <c r="H68" s="220">
        <v>2153</v>
      </c>
      <c r="I68" s="83">
        <v>43096600</v>
      </c>
      <c r="J68" s="6" t="s">
        <v>382</v>
      </c>
      <c r="K68" s="220">
        <v>1805</v>
      </c>
      <c r="L68" s="83">
        <v>75810000</v>
      </c>
      <c r="M68" s="220">
        <v>348</v>
      </c>
    </row>
    <row r="69" spans="1:13">
      <c r="A69" s="632"/>
      <c r="B69" s="547"/>
      <c r="C69" s="548"/>
      <c r="D69" s="6" t="s">
        <v>8222</v>
      </c>
      <c r="E69" s="6" t="s">
        <v>382</v>
      </c>
      <c r="F69" s="6" t="s">
        <v>8219</v>
      </c>
      <c r="G69" s="6" t="s">
        <v>382</v>
      </c>
      <c r="H69" s="83">
        <v>3535</v>
      </c>
      <c r="I69" s="83">
        <v>70759100</v>
      </c>
      <c r="J69" s="6" t="s">
        <v>382</v>
      </c>
      <c r="K69" s="220">
        <v>2379</v>
      </c>
      <c r="L69" s="83">
        <v>90432000</v>
      </c>
      <c r="M69" s="220">
        <v>1</v>
      </c>
    </row>
    <row r="70" spans="1:13">
      <c r="A70" s="632"/>
      <c r="B70" s="547"/>
      <c r="C70" s="548"/>
      <c r="D70" s="6" t="s">
        <v>9999</v>
      </c>
      <c r="E70" s="6" t="s">
        <v>382</v>
      </c>
      <c r="F70" s="6" t="s">
        <v>8219</v>
      </c>
      <c r="G70" s="6" t="s">
        <v>382</v>
      </c>
      <c r="H70" s="220">
        <v>983.2</v>
      </c>
      <c r="I70" s="83">
        <v>19680700</v>
      </c>
      <c r="J70" s="6" t="s">
        <v>382</v>
      </c>
      <c r="K70" s="6" t="s">
        <v>382</v>
      </c>
      <c r="L70" s="6" t="s">
        <v>382</v>
      </c>
      <c r="M70" s="220">
        <v>983.2</v>
      </c>
    </row>
    <row r="71" spans="1:13">
      <c r="A71" s="628"/>
      <c r="B71" s="544"/>
      <c r="C71" s="546"/>
      <c r="D71" s="6" t="s">
        <v>10000</v>
      </c>
      <c r="E71" s="6" t="s">
        <v>382</v>
      </c>
      <c r="F71" s="6" t="s">
        <v>8219</v>
      </c>
      <c r="G71" s="6" t="s">
        <v>382</v>
      </c>
      <c r="H71" s="220">
        <v>5239.7</v>
      </c>
      <c r="I71" s="83">
        <v>104883000</v>
      </c>
      <c r="J71" s="6" t="s">
        <v>382</v>
      </c>
      <c r="K71" s="6" t="s">
        <v>382</v>
      </c>
      <c r="L71" s="6" t="s">
        <v>382</v>
      </c>
      <c r="M71" s="220">
        <v>5</v>
      </c>
    </row>
    <row r="72" spans="1:13">
      <c r="A72" s="246">
        <f>A66+1</f>
        <v>48</v>
      </c>
      <c r="B72" s="20" t="s">
        <v>236</v>
      </c>
      <c r="C72" s="9">
        <v>3623955</v>
      </c>
      <c r="D72" s="6" t="s">
        <v>382</v>
      </c>
      <c r="E72" s="6" t="s">
        <v>382</v>
      </c>
      <c r="F72" s="6" t="s">
        <v>382</v>
      </c>
      <c r="G72" s="6" t="s">
        <v>382</v>
      </c>
      <c r="H72" s="6" t="s">
        <v>382</v>
      </c>
      <c r="I72" s="6" t="s">
        <v>382</v>
      </c>
      <c r="J72" s="6" t="s">
        <v>382</v>
      </c>
      <c r="K72" s="6" t="s">
        <v>382</v>
      </c>
      <c r="L72" s="6" t="s">
        <v>382</v>
      </c>
      <c r="M72" s="6" t="s">
        <v>382</v>
      </c>
    </row>
    <row r="73" spans="1:13">
      <c r="A73" s="246">
        <f t="shared" si="0"/>
        <v>49</v>
      </c>
      <c r="B73" s="20" t="s">
        <v>239</v>
      </c>
      <c r="C73" s="9">
        <v>5199077</v>
      </c>
      <c r="D73" s="6" t="s">
        <v>153</v>
      </c>
      <c r="E73" s="6" t="s">
        <v>382</v>
      </c>
      <c r="F73" s="6" t="s">
        <v>8194</v>
      </c>
      <c r="G73" s="220">
        <v>966</v>
      </c>
      <c r="H73" s="83">
        <v>3003130</v>
      </c>
      <c r="I73" s="6" t="s">
        <v>10001</v>
      </c>
      <c r="J73" s="6" t="s">
        <v>382</v>
      </c>
      <c r="K73" s="83">
        <v>3495970</v>
      </c>
      <c r="L73" s="83">
        <v>911502000</v>
      </c>
      <c r="M73" s="220">
        <v>473</v>
      </c>
    </row>
    <row r="74" spans="1:13">
      <c r="A74" s="246">
        <f>A73+1</f>
        <v>50</v>
      </c>
      <c r="B74" s="20" t="s">
        <v>242</v>
      </c>
      <c r="C74" s="9">
        <v>5076285</v>
      </c>
      <c r="D74" s="6" t="s">
        <v>132</v>
      </c>
      <c r="E74" s="6" t="s">
        <v>382</v>
      </c>
      <c r="F74" s="6" t="s">
        <v>8191</v>
      </c>
      <c r="G74" s="6">
        <v>92.45</v>
      </c>
      <c r="H74" s="6">
        <v>144.53</v>
      </c>
      <c r="I74" s="6" t="s">
        <v>382</v>
      </c>
      <c r="J74" s="6" t="s">
        <v>382</v>
      </c>
      <c r="K74" s="6">
        <v>145.74</v>
      </c>
      <c r="L74" s="83">
        <v>28923000</v>
      </c>
      <c r="M74" s="6">
        <v>91.25</v>
      </c>
    </row>
    <row r="75" spans="1:13">
      <c r="A75" s="627">
        <f t="shared" si="0"/>
        <v>51</v>
      </c>
      <c r="B75" s="543" t="s">
        <v>243</v>
      </c>
      <c r="C75" s="545">
        <v>5084555</v>
      </c>
      <c r="D75" s="6" t="s">
        <v>8223</v>
      </c>
      <c r="E75" s="6" t="s">
        <v>10002</v>
      </c>
      <c r="F75" s="6" t="s">
        <v>8194</v>
      </c>
      <c r="G75" s="6">
        <v>197</v>
      </c>
      <c r="H75" s="83">
        <v>1892770</v>
      </c>
      <c r="I75" s="83">
        <v>109144000</v>
      </c>
      <c r="J75" s="83">
        <v>5381</v>
      </c>
      <c r="K75" s="83">
        <v>2082120</v>
      </c>
      <c r="L75" s="83">
        <v>116234000</v>
      </c>
      <c r="M75" s="220">
        <v>2</v>
      </c>
    </row>
    <row r="76" spans="1:13">
      <c r="A76" s="632"/>
      <c r="B76" s="547"/>
      <c r="C76" s="548"/>
      <c r="D76" s="6" t="s">
        <v>8225</v>
      </c>
      <c r="E76" s="6" t="s">
        <v>10003</v>
      </c>
      <c r="F76" s="6" t="s">
        <v>8194</v>
      </c>
      <c r="G76" s="6">
        <v>1</v>
      </c>
      <c r="H76" s="83">
        <v>1353690</v>
      </c>
      <c r="I76" s="83">
        <v>108905000</v>
      </c>
      <c r="J76" s="6">
        <v>92</v>
      </c>
      <c r="K76" s="6" t="s">
        <v>10004</v>
      </c>
      <c r="L76" s="83">
        <v>64855600</v>
      </c>
      <c r="M76" s="220">
        <v>2</v>
      </c>
    </row>
    <row r="77" spans="1:13">
      <c r="A77" s="628"/>
      <c r="B77" s="544"/>
      <c r="C77" s="546"/>
      <c r="D77" s="6" t="s">
        <v>245</v>
      </c>
      <c r="E77" s="6" t="s">
        <v>10005</v>
      </c>
      <c r="F77" s="6" t="s">
        <v>8194</v>
      </c>
      <c r="G77" s="6" t="s">
        <v>382</v>
      </c>
      <c r="H77" s="83">
        <v>264817</v>
      </c>
      <c r="I77" s="83">
        <v>34675900</v>
      </c>
      <c r="J77" s="6" t="s">
        <v>382</v>
      </c>
      <c r="K77" s="83">
        <v>234421</v>
      </c>
      <c r="L77" s="83">
        <v>29085700</v>
      </c>
      <c r="M77" s="220">
        <v>30</v>
      </c>
    </row>
    <row r="78" spans="1:13">
      <c r="A78" s="246">
        <f>A75+1</f>
        <v>52</v>
      </c>
      <c r="B78" s="20" t="s">
        <v>244</v>
      </c>
      <c r="C78" s="9">
        <v>5261198</v>
      </c>
      <c r="D78" s="6" t="s">
        <v>122</v>
      </c>
      <c r="E78" s="6" t="s">
        <v>382</v>
      </c>
      <c r="F78" s="6" t="s">
        <v>8194</v>
      </c>
      <c r="G78" s="220">
        <v>3</v>
      </c>
      <c r="H78" s="220">
        <v>753572</v>
      </c>
      <c r="I78" s="220">
        <v>6815630</v>
      </c>
      <c r="J78" s="220" t="s">
        <v>382</v>
      </c>
      <c r="K78" s="220">
        <v>708020</v>
      </c>
      <c r="L78" s="220" t="s">
        <v>10006</v>
      </c>
      <c r="M78" s="220">
        <v>87</v>
      </c>
    </row>
    <row r="79" spans="1:13" ht="25.5">
      <c r="A79" s="246">
        <f t="shared" ref="A79:A100" si="1">A78+1</f>
        <v>53</v>
      </c>
      <c r="B79" s="20" t="s">
        <v>246</v>
      </c>
      <c r="C79" s="9">
        <v>5288703</v>
      </c>
      <c r="D79" s="1" t="s">
        <v>8226</v>
      </c>
      <c r="E79" s="6">
        <v>25292120</v>
      </c>
      <c r="F79" s="6" t="s">
        <v>8194</v>
      </c>
      <c r="G79" s="6">
        <v>2975</v>
      </c>
      <c r="H79" s="6">
        <v>46000</v>
      </c>
      <c r="I79" s="220" t="s">
        <v>382</v>
      </c>
      <c r="J79" s="220" t="s">
        <v>382</v>
      </c>
      <c r="K79" s="6">
        <v>46573.4</v>
      </c>
      <c r="L79" s="220" t="s">
        <v>382</v>
      </c>
      <c r="M79" s="6">
        <v>2401.6</v>
      </c>
    </row>
    <row r="80" spans="1:13">
      <c r="A80" s="246">
        <f t="shared" si="1"/>
        <v>54</v>
      </c>
      <c r="B80" s="20" t="s">
        <v>248</v>
      </c>
      <c r="C80" s="9">
        <v>6232485</v>
      </c>
      <c r="D80" s="220" t="s">
        <v>382</v>
      </c>
      <c r="E80" s="220" t="s">
        <v>382</v>
      </c>
      <c r="F80" s="220" t="s">
        <v>382</v>
      </c>
      <c r="G80" s="220" t="s">
        <v>382</v>
      </c>
      <c r="H80" s="220" t="s">
        <v>382</v>
      </c>
      <c r="I80" s="220" t="s">
        <v>382</v>
      </c>
      <c r="J80" s="220" t="s">
        <v>382</v>
      </c>
      <c r="K80" s="220" t="s">
        <v>382</v>
      </c>
      <c r="L80" s="220" t="s">
        <v>382</v>
      </c>
      <c r="M80" s="220" t="s">
        <v>382</v>
      </c>
    </row>
    <row r="81" spans="1:13">
      <c r="A81" s="246">
        <f t="shared" si="1"/>
        <v>55</v>
      </c>
      <c r="B81" s="20" t="s">
        <v>249</v>
      </c>
      <c r="C81" s="9">
        <v>6101615</v>
      </c>
      <c r="D81" s="220" t="s">
        <v>382</v>
      </c>
      <c r="E81" s="220" t="s">
        <v>382</v>
      </c>
      <c r="F81" s="220" t="s">
        <v>382</v>
      </c>
      <c r="G81" s="220" t="s">
        <v>382</v>
      </c>
      <c r="H81" s="220" t="s">
        <v>382</v>
      </c>
      <c r="I81" s="220" t="s">
        <v>382</v>
      </c>
      <c r="J81" s="220" t="s">
        <v>382</v>
      </c>
      <c r="K81" s="220" t="s">
        <v>382</v>
      </c>
      <c r="L81" s="220" t="s">
        <v>382</v>
      </c>
      <c r="M81" s="220" t="s">
        <v>382</v>
      </c>
    </row>
    <row r="82" spans="1:13">
      <c r="A82" s="246">
        <f t="shared" ref="A82:A87" si="2">A81+1</f>
        <v>56</v>
      </c>
      <c r="B82" s="20" t="s">
        <v>253</v>
      </c>
      <c r="C82" s="9">
        <v>5872006</v>
      </c>
      <c r="D82" s="220" t="s">
        <v>382</v>
      </c>
      <c r="E82" s="220" t="s">
        <v>382</v>
      </c>
      <c r="F82" s="220" t="s">
        <v>382</v>
      </c>
      <c r="G82" s="220" t="s">
        <v>382</v>
      </c>
      <c r="H82" s="220" t="s">
        <v>382</v>
      </c>
      <c r="I82" s="220" t="s">
        <v>382</v>
      </c>
      <c r="J82" s="220" t="s">
        <v>382</v>
      </c>
      <c r="K82" s="220" t="s">
        <v>382</v>
      </c>
      <c r="L82" s="220" t="s">
        <v>382</v>
      </c>
      <c r="M82" s="220" t="s">
        <v>382</v>
      </c>
    </row>
    <row r="83" spans="1:13">
      <c r="A83" s="246">
        <f t="shared" si="2"/>
        <v>57</v>
      </c>
      <c r="B83" s="20" t="s">
        <v>258</v>
      </c>
      <c r="C83" s="9">
        <v>2663813</v>
      </c>
      <c r="D83" s="220" t="s">
        <v>382</v>
      </c>
      <c r="E83" s="220" t="s">
        <v>382</v>
      </c>
      <c r="F83" s="220" t="s">
        <v>382</v>
      </c>
      <c r="G83" s="220" t="s">
        <v>382</v>
      </c>
      <c r="H83" s="220" t="s">
        <v>382</v>
      </c>
      <c r="I83" s="220" t="s">
        <v>382</v>
      </c>
      <c r="J83" s="220" t="s">
        <v>382</v>
      </c>
      <c r="K83" s="220" t="s">
        <v>382</v>
      </c>
      <c r="L83" s="220" t="s">
        <v>382</v>
      </c>
      <c r="M83" s="220" t="s">
        <v>382</v>
      </c>
    </row>
    <row r="84" spans="1:13">
      <c r="A84" s="246">
        <f t="shared" si="2"/>
        <v>58</v>
      </c>
      <c r="B84" s="20" t="s">
        <v>260</v>
      </c>
      <c r="C84" s="9">
        <v>2016931</v>
      </c>
      <c r="D84" s="220" t="s">
        <v>382</v>
      </c>
      <c r="E84" s="220" t="s">
        <v>382</v>
      </c>
      <c r="F84" s="220" t="s">
        <v>382</v>
      </c>
      <c r="G84" s="220" t="s">
        <v>382</v>
      </c>
      <c r="H84" s="220" t="s">
        <v>382</v>
      </c>
      <c r="I84" s="220" t="s">
        <v>382</v>
      </c>
      <c r="J84" s="220" t="s">
        <v>382</v>
      </c>
      <c r="K84" s="220" t="s">
        <v>382</v>
      </c>
      <c r="L84" s="220" t="s">
        <v>382</v>
      </c>
      <c r="M84" s="220" t="s">
        <v>382</v>
      </c>
    </row>
    <row r="85" spans="1:13">
      <c r="A85" s="246">
        <f t="shared" si="2"/>
        <v>59</v>
      </c>
      <c r="B85" s="20" t="s">
        <v>263</v>
      </c>
      <c r="C85" s="9">
        <v>5513618</v>
      </c>
      <c r="D85" s="220" t="s">
        <v>382</v>
      </c>
      <c r="E85" s="220" t="s">
        <v>382</v>
      </c>
      <c r="F85" s="220" t="s">
        <v>382</v>
      </c>
      <c r="G85" s="220" t="s">
        <v>382</v>
      </c>
      <c r="H85" s="220" t="s">
        <v>382</v>
      </c>
      <c r="I85" s="220" t="s">
        <v>382</v>
      </c>
      <c r="J85" s="220" t="s">
        <v>382</v>
      </c>
      <c r="K85" s="220" t="s">
        <v>382</v>
      </c>
      <c r="L85" s="220" t="s">
        <v>382</v>
      </c>
      <c r="M85" s="220" t="s">
        <v>382</v>
      </c>
    </row>
    <row r="86" spans="1:13">
      <c r="A86" s="246">
        <f t="shared" si="2"/>
        <v>60</v>
      </c>
      <c r="B86" s="20" t="s">
        <v>264</v>
      </c>
      <c r="C86" s="9">
        <v>2807459</v>
      </c>
      <c r="D86" s="6" t="s">
        <v>122</v>
      </c>
      <c r="E86" s="220" t="s">
        <v>382</v>
      </c>
      <c r="F86" s="6" t="s">
        <v>8194</v>
      </c>
      <c r="G86" s="6">
        <v>139167</v>
      </c>
      <c r="H86" s="220">
        <v>34150</v>
      </c>
      <c r="I86" s="220" t="s">
        <v>382</v>
      </c>
      <c r="J86" s="220" t="s">
        <v>382</v>
      </c>
      <c r="K86" s="83">
        <v>147323.97</v>
      </c>
      <c r="L86" s="83">
        <v>46253900900</v>
      </c>
      <c r="M86" s="83">
        <v>24281.1</v>
      </c>
    </row>
    <row r="87" spans="1:13">
      <c r="A87" s="627">
        <f t="shared" si="2"/>
        <v>61</v>
      </c>
      <c r="B87" s="543" t="s">
        <v>265</v>
      </c>
      <c r="C87" s="545">
        <v>2872943</v>
      </c>
      <c r="D87" s="6" t="s">
        <v>132</v>
      </c>
      <c r="E87" s="220" t="s">
        <v>382</v>
      </c>
      <c r="F87" s="6" t="s">
        <v>9946</v>
      </c>
      <c r="G87" s="220" t="s">
        <v>382</v>
      </c>
      <c r="H87" s="6" t="s">
        <v>10007</v>
      </c>
      <c r="I87" s="83">
        <v>29972500</v>
      </c>
      <c r="J87" s="220" t="s">
        <v>382</v>
      </c>
      <c r="K87" s="6" t="s">
        <v>10007</v>
      </c>
      <c r="L87" s="83">
        <v>29972500</v>
      </c>
      <c r="M87" s="220" t="s">
        <v>382</v>
      </c>
    </row>
    <row r="88" spans="1:13">
      <c r="A88" s="628"/>
      <c r="B88" s="544"/>
      <c r="C88" s="546"/>
      <c r="D88" s="6" t="s">
        <v>898</v>
      </c>
      <c r="E88" s="220" t="s">
        <v>382</v>
      </c>
      <c r="F88" s="6" t="s">
        <v>9946</v>
      </c>
      <c r="G88" s="220" t="s">
        <v>382</v>
      </c>
      <c r="H88" s="6">
        <v>11702.5</v>
      </c>
      <c r="I88" s="220">
        <v>29404.799999999999</v>
      </c>
      <c r="J88" s="220" t="s">
        <v>382</v>
      </c>
      <c r="K88" s="6">
        <v>11702.5</v>
      </c>
      <c r="L88" s="6">
        <v>29404.799999999999</v>
      </c>
      <c r="M88" s="220" t="s">
        <v>382</v>
      </c>
    </row>
    <row r="89" spans="1:13">
      <c r="A89" s="246">
        <f>A87+1</f>
        <v>62</v>
      </c>
      <c r="B89" s="20" t="s">
        <v>266</v>
      </c>
      <c r="C89" s="9">
        <v>6268048</v>
      </c>
      <c r="D89" s="6" t="s">
        <v>132</v>
      </c>
      <c r="E89" s="220" t="s">
        <v>382</v>
      </c>
      <c r="F89" s="6" t="s">
        <v>8191</v>
      </c>
      <c r="G89" s="6">
        <v>390.12</v>
      </c>
      <c r="H89" s="6">
        <v>141.30000000000001</v>
      </c>
      <c r="I89" s="83">
        <v>30864800000</v>
      </c>
      <c r="J89" s="220" t="s">
        <v>382</v>
      </c>
      <c r="K89" s="6">
        <v>141.30000000000001</v>
      </c>
      <c r="L89" s="6" t="s">
        <v>10008</v>
      </c>
      <c r="M89" s="6">
        <v>248.82</v>
      </c>
    </row>
    <row r="90" spans="1:13">
      <c r="A90" s="246">
        <f t="shared" si="1"/>
        <v>63</v>
      </c>
      <c r="B90" s="20" t="s">
        <v>268</v>
      </c>
      <c r="C90" s="9">
        <v>5874963</v>
      </c>
      <c r="D90" s="6" t="s">
        <v>8229</v>
      </c>
      <c r="E90" s="6" t="s">
        <v>10009</v>
      </c>
      <c r="F90" s="6" t="s">
        <v>8194</v>
      </c>
      <c r="G90" s="83">
        <v>71228.600000000006</v>
      </c>
      <c r="H90" s="83">
        <v>859911</v>
      </c>
      <c r="I90" s="83">
        <v>38366800000</v>
      </c>
      <c r="J90" s="83">
        <v>47646.400000000001</v>
      </c>
      <c r="K90" s="83">
        <v>450932</v>
      </c>
      <c r="L90" s="83">
        <v>66506400000</v>
      </c>
      <c r="M90" s="83">
        <v>430906</v>
      </c>
    </row>
    <row r="91" spans="1:13">
      <c r="A91" s="246">
        <f t="shared" si="1"/>
        <v>64</v>
      </c>
      <c r="B91" s="20" t="s">
        <v>269</v>
      </c>
      <c r="C91" s="9">
        <v>6636624</v>
      </c>
      <c r="D91" s="220" t="s">
        <v>382</v>
      </c>
      <c r="E91" s="220" t="s">
        <v>382</v>
      </c>
      <c r="F91" s="220" t="s">
        <v>382</v>
      </c>
      <c r="G91" s="220" t="s">
        <v>382</v>
      </c>
      <c r="H91" s="220" t="s">
        <v>382</v>
      </c>
      <c r="I91" s="220" t="s">
        <v>382</v>
      </c>
      <c r="J91" s="220" t="s">
        <v>382</v>
      </c>
      <c r="K91" s="220" t="s">
        <v>382</v>
      </c>
      <c r="L91" s="220" t="s">
        <v>382</v>
      </c>
      <c r="M91" s="220" t="s">
        <v>382</v>
      </c>
    </row>
    <row r="92" spans="1:13">
      <c r="A92" s="627">
        <f t="shared" si="1"/>
        <v>65</v>
      </c>
      <c r="B92" s="543" t="s">
        <v>270</v>
      </c>
      <c r="C92" s="545">
        <v>2839717</v>
      </c>
      <c r="D92" s="6" t="s">
        <v>132</v>
      </c>
      <c r="E92" s="220" t="s">
        <v>382</v>
      </c>
      <c r="F92" s="6" t="s">
        <v>9946</v>
      </c>
      <c r="G92" s="220" t="s">
        <v>382</v>
      </c>
      <c r="H92" s="83">
        <v>37157100</v>
      </c>
      <c r="I92" s="83">
        <v>79765000</v>
      </c>
      <c r="J92" s="220" t="s">
        <v>382</v>
      </c>
      <c r="K92" s="83">
        <v>371571</v>
      </c>
      <c r="L92" s="83">
        <v>79765000</v>
      </c>
      <c r="M92" s="220" t="s">
        <v>382</v>
      </c>
    </row>
    <row r="93" spans="1:13">
      <c r="A93" s="628"/>
      <c r="B93" s="544"/>
      <c r="C93" s="546"/>
      <c r="D93" s="6" t="s">
        <v>898</v>
      </c>
      <c r="E93" s="220" t="s">
        <v>382</v>
      </c>
      <c r="F93" s="6" t="s">
        <v>9946</v>
      </c>
      <c r="G93" s="220" t="s">
        <v>382</v>
      </c>
      <c r="H93" s="83">
        <v>159062.70000000001</v>
      </c>
      <c r="I93" s="83">
        <v>399116</v>
      </c>
      <c r="J93" s="220" t="s">
        <v>382</v>
      </c>
      <c r="K93" s="83">
        <v>159062.70000000001</v>
      </c>
      <c r="L93" s="83">
        <v>399116</v>
      </c>
      <c r="M93" s="220" t="s">
        <v>382</v>
      </c>
    </row>
    <row r="94" spans="1:13">
      <c r="A94" s="246">
        <f>A92+1</f>
        <v>66</v>
      </c>
      <c r="B94" s="20" t="s">
        <v>271</v>
      </c>
      <c r="C94" s="9">
        <v>2344343</v>
      </c>
      <c r="D94" s="220" t="s">
        <v>382</v>
      </c>
      <c r="E94" s="220" t="s">
        <v>382</v>
      </c>
      <c r="F94" s="220" t="s">
        <v>382</v>
      </c>
      <c r="G94" s="220" t="s">
        <v>382</v>
      </c>
      <c r="H94" s="220" t="s">
        <v>382</v>
      </c>
      <c r="I94" s="220" t="s">
        <v>382</v>
      </c>
      <c r="J94" s="220" t="s">
        <v>382</v>
      </c>
      <c r="K94" s="220" t="s">
        <v>382</v>
      </c>
      <c r="L94" s="220" t="s">
        <v>382</v>
      </c>
      <c r="M94" s="220" t="s">
        <v>382</v>
      </c>
    </row>
    <row r="95" spans="1:13">
      <c r="A95" s="246">
        <f t="shared" si="1"/>
        <v>67</v>
      </c>
      <c r="B95" s="20" t="s">
        <v>273</v>
      </c>
      <c r="C95" s="9">
        <v>2819996</v>
      </c>
      <c r="D95" s="220" t="s">
        <v>382</v>
      </c>
      <c r="E95" s="220" t="s">
        <v>382</v>
      </c>
      <c r="F95" s="220" t="s">
        <v>382</v>
      </c>
      <c r="G95" s="220" t="s">
        <v>382</v>
      </c>
      <c r="H95" s="220" t="s">
        <v>382</v>
      </c>
      <c r="I95" s="220" t="s">
        <v>382</v>
      </c>
      <c r="J95" s="220" t="s">
        <v>382</v>
      </c>
      <c r="K95" s="220" t="s">
        <v>382</v>
      </c>
      <c r="L95" s="220" t="s">
        <v>382</v>
      </c>
      <c r="M95" s="220" t="s">
        <v>382</v>
      </c>
    </row>
    <row r="96" spans="1:13">
      <c r="A96" s="246">
        <f t="shared" si="1"/>
        <v>68</v>
      </c>
      <c r="B96" s="20" t="s">
        <v>277</v>
      </c>
      <c r="C96" s="9">
        <v>2868687</v>
      </c>
      <c r="D96" s="220" t="s">
        <v>382</v>
      </c>
      <c r="E96" s="220" t="s">
        <v>382</v>
      </c>
      <c r="F96" s="220" t="s">
        <v>382</v>
      </c>
      <c r="G96" s="220" t="s">
        <v>382</v>
      </c>
      <c r="H96" s="220" t="s">
        <v>382</v>
      </c>
      <c r="I96" s="220" t="s">
        <v>382</v>
      </c>
      <c r="J96" s="220" t="s">
        <v>382</v>
      </c>
      <c r="K96" s="220" t="s">
        <v>382</v>
      </c>
      <c r="L96" s="220" t="s">
        <v>382</v>
      </c>
      <c r="M96" s="220" t="s">
        <v>382</v>
      </c>
    </row>
    <row r="97" spans="1:13">
      <c r="A97" s="246">
        <f t="shared" si="1"/>
        <v>69</v>
      </c>
      <c r="B97" s="20" t="s">
        <v>279</v>
      </c>
      <c r="C97" s="9">
        <v>5877288</v>
      </c>
      <c r="D97" s="6" t="s">
        <v>122</v>
      </c>
      <c r="E97" s="220">
        <v>27011239</v>
      </c>
      <c r="F97" s="6" t="s">
        <v>8194</v>
      </c>
      <c r="G97" s="220">
        <v>13</v>
      </c>
      <c r="H97" s="83">
        <v>471302</v>
      </c>
      <c r="I97" s="83">
        <v>63125500</v>
      </c>
      <c r="J97" s="220" t="s">
        <v>382</v>
      </c>
      <c r="K97" s="6" t="s">
        <v>10010</v>
      </c>
      <c r="L97" s="83">
        <v>63021700</v>
      </c>
      <c r="M97" s="220">
        <v>9</v>
      </c>
    </row>
    <row r="98" spans="1:13">
      <c r="A98" s="246">
        <f t="shared" si="1"/>
        <v>70</v>
      </c>
      <c r="B98" s="20" t="s">
        <v>281</v>
      </c>
      <c r="C98" s="9">
        <v>6195598</v>
      </c>
      <c r="D98" s="220" t="s">
        <v>382</v>
      </c>
      <c r="E98" s="220" t="s">
        <v>382</v>
      </c>
      <c r="F98" s="220" t="s">
        <v>382</v>
      </c>
      <c r="G98" s="220" t="s">
        <v>382</v>
      </c>
      <c r="H98" s="220" t="s">
        <v>382</v>
      </c>
      <c r="I98" s="220" t="s">
        <v>382</v>
      </c>
      <c r="J98" s="220" t="s">
        <v>382</v>
      </c>
      <c r="K98" s="220" t="s">
        <v>382</v>
      </c>
      <c r="L98" s="220" t="s">
        <v>382</v>
      </c>
      <c r="M98" s="220" t="s">
        <v>382</v>
      </c>
    </row>
    <row r="99" spans="1:13">
      <c r="A99" s="246">
        <f t="shared" si="1"/>
        <v>71</v>
      </c>
      <c r="B99" s="20" t="s">
        <v>282</v>
      </c>
      <c r="C99" s="9">
        <v>6413811</v>
      </c>
      <c r="D99" s="6" t="s">
        <v>132</v>
      </c>
      <c r="E99" s="220" t="s">
        <v>382</v>
      </c>
      <c r="F99" s="6" t="s">
        <v>9946</v>
      </c>
      <c r="G99" s="220" t="s">
        <v>382</v>
      </c>
      <c r="H99" s="83">
        <v>1227890</v>
      </c>
      <c r="I99" s="6" t="s">
        <v>10011</v>
      </c>
      <c r="J99" s="220" t="s">
        <v>382</v>
      </c>
      <c r="K99" s="6" t="s">
        <v>10012</v>
      </c>
      <c r="L99" s="6" t="s">
        <v>10011</v>
      </c>
      <c r="M99" s="220" t="s">
        <v>382</v>
      </c>
    </row>
    <row r="100" spans="1:13">
      <c r="A100" s="627">
        <f t="shared" si="1"/>
        <v>72</v>
      </c>
      <c r="B100" s="631" t="s">
        <v>283</v>
      </c>
      <c r="C100" s="545">
        <v>2887134</v>
      </c>
      <c r="D100" s="1" t="s">
        <v>8233</v>
      </c>
      <c r="E100" s="220" t="s">
        <v>382</v>
      </c>
      <c r="F100" s="6" t="s">
        <v>8194</v>
      </c>
      <c r="G100" s="6" t="s">
        <v>10013</v>
      </c>
      <c r="H100" s="6" t="s">
        <v>10014</v>
      </c>
      <c r="I100" s="6" t="s">
        <v>10015</v>
      </c>
      <c r="J100" s="220" t="s">
        <v>382</v>
      </c>
      <c r="K100" s="83">
        <v>19089.900000000001</v>
      </c>
      <c r="L100" s="83">
        <v>954498</v>
      </c>
      <c r="M100" s="83">
        <v>823862</v>
      </c>
    </row>
    <row r="101" spans="1:13" ht="25.5">
      <c r="A101" s="632"/>
      <c r="B101" s="631"/>
      <c r="C101" s="548"/>
      <c r="D101" s="1" t="s">
        <v>8234</v>
      </c>
      <c r="E101" s="220" t="s">
        <v>382</v>
      </c>
      <c r="F101" s="6" t="s">
        <v>8194</v>
      </c>
      <c r="G101" s="6" t="s">
        <v>10016</v>
      </c>
      <c r="H101" s="6">
        <v>227635</v>
      </c>
      <c r="I101" s="6">
        <v>515460</v>
      </c>
      <c r="J101" s="220" t="s">
        <v>382</v>
      </c>
      <c r="K101" s="83">
        <v>1071.3499999999999</v>
      </c>
      <c r="L101" s="83">
        <v>107135</v>
      </c>
      <c r="M101" s="83">
        <v>327733</v>
      </c>
    </row>
    <row r="102" spans="1:13" ht="26.25">
      <c r="A102" s="632"/>
      <c r="B102" s="631"/>
      <c r="C102" s="548"/>
      <c r="D102" s="226" t="s">
        <v>8235</v>
      </c>
      <c r="E102" s="220" t="s">
        <v>382</v>
      </c>
      <c r="F102" s="6" t="s">
        <v>8194</v>
      </c>
      <c r="G102" s="6" t="s">
        <v>10017</v>
      </c>
      <c r="H102" s="6">
        <v>652650</v>
      </c>
      <c r="I102" s="6">
        <v>77968900</v>
      </c>
      <c r="J102" s="220" t="s">
        <v>382</v>
      </c>
      <c r="K102" s="6" t="s">
        <v>10018</v>
      </c>
      <c r="L102" s="83">
        <v>293886000</v>
      </c>
      <c r="M102" s="83">
        <v>1455.93</v>
      </c>
    </row>
    <row r="103" spans="1:13" ht="26.25">
      <c r="A103" s="632"/>
      <c r="B103" s="631"/>
      <c r="C103" s="546"/>
      <c r="D103" s="226" t="s">
        <v>8236</v>
      </c>
      <c r="E103" s="220" t="s">
        <v>382</v>
      </c>
      <c r="F103" s="6" t="s">
        <v>8194</v>
      </c>
      <c r="G103" s="83">
        <v>48845.9</v>
      </c>
      <c r="H103" s="6">
        <v>433828</v>
      </c>
      <c r="I103" s="6" t="s">
        <v>10019</v>
      </c>
      <c r="J103" s="220" t="s">
        <v>382</v>
      </c>
      <c r="K103" s="83">
        <v>420796</v>
      </c>
      <c r="L103" s="6" t="s">
        <v>10020</v>
      </c>
      <c r="M103" s="83">
        <v>34272.6</v>
      </c>
    </row>
    <row r="104" spans="1:13">
      <c r="A104" s="247">
        <f>A100+1</f>
        <v>73</v>
      </c>
      <c r="B104" s="227" t="s">
        <v>284</v>
      </c>
      <c r="C104" s="9">
        <v>2618176</v>
      </c>
      <c r="D104" s="6" t="s">
        <v>843</v>
      </c>
      <c r="E104" s="220" t="s">
        <v>382</v>
      </c>
      <c r="F104" s="6" t="s">
        <v>8194</v>
      </c>
      <c r="G104" s="6" t="s">
        <v>10021</v>
      </c>
      <c r="H104" s="83">
        <v>50000</v>
      </c>
      <c r="I104" s="220" t="s">
        <v>382</v>
      </c>
      <c r="J104" s="83">
        <v>32861.9</v>
      </c>
      <c r="K104" s="83">
        <v>17138.099999999999</v>
      </c>
      <c r="L104" s="220" t="s">
        <v>382</v>
      </c>
      <c r="M104" s="83">
        <v>9585.2999999999993</v>
      </c>
    </row>
    <row r="105" spans="1:13">
      <c r="A105" s="247">
        <f t="shared" ref="A105:A113" si="3">A104+1</f>
        <v>74</v>
      </c>
      <c r="B105" s="227" t="s">
        <v>286</v>
      </c>
      <c r="C105" s="9">
        <v>2100231</v>
      </c>
      <c r="D105" s="6" t="s">
        <v>10022</v>
      </c>
      <c r="E105" s="6">
        <v>729</v>
      </c>
      <c r="F105" s="6" t="s">
        <v>8191</v>
      </c>
      <c r="G105" s="6">
        <v>2</v>
      </c>
      <c r="H105" s="6">
        <v>218.6</v>
      </c>
      <c r="I105" s="6">
        <v>44309200</v>
      </c>
      <c r="J105" s="220" t="s">
        <v>382</v>
      </c>
      <c r="K105" s="6">
        <v>218.6</v>
      </c>
      <c r="L105" s="6">
        <v>44309200</v>
      </c>
      <c r="M105" s="6">
        <v>2</v>
      </c>
    </row>
    <row r="106" spans="1:13">
      <c r="A106" s="247">
        <f t="shared" si="3"/>
        <v>75</v>
      </c>
      <c r="B106" s="227" t="s">
        <v>287</v>
      </c>
      <c r="C106" s="9">
        <v>2661128</v>
      </c>
      <c r="D106" s="220" t="s">
        <v>382</v>
      </c>
      <c r="E106" s="220" t="s">
        <v>382</v>
      </c>
      <c r="F106" s="220" t="s">
        <v>382</v>
      </c>
      <c r="G106" s="220" t="s">
        <v>382</v>
      </c>
      <c r="H106" s="220" t="s">
        <v>382</v>
      </c>
      <c r="I106" s="220" t="s">
        <v>382</v>
      </c>
      <c r="J106" s="220" t="s">
        <v>382</v>
      </c>
      <c r="K106" s="220" t="s">
        <v>382</v>
      </c>
      <c r="L106" s="220" t="s">
        <v>382</v>
      </c>
      <c r="M106" s="220" t="s">
        <v>382</v>
      </c>
    </row>
    <row r="107" spans="1:13">
      <c r="A107" s="247">
        <f t="shared" si="3"/>
        <v>76</v>
      </c>
      <c r="B107" s="227" t="s">
        <v>290</v>
      </c>
      <c r="C107" s="9">
        <v>5878756</v>
      </c>
      <c r="D107" s="220" t="s">
        <v>382</v>
      </c>
      <c r="E107" s="220" t="s">
        <v>382</v>
      </c>
      <c r="F107" s="220" t="s">
        <v>382</v>
      </c>
      <c r="G107" s="220" t="s">
        <v>382</v>
      </c>
      <c r="H107" s="220" t="s">
        <v>382</v>
      </c>
      <c r="I107" s="220" t="s">
        <v>382</v>
      </c>
      <c r="J107" s="220" t="s">
        <v>382</v>
      </c>
      <c r="K107" s="220" t="s">
        <v>382</v>
      </c>
      <c r="L107" s="220" t="s">
        <v>382</v>
      </c>
      <c r="M107" s="220" t="s">
        <v>382</v>
      </c>
    </row>
    <row r="108" spans="1:13">
      <c r="A108" s="247">
        <f t="shared" si="3"/>
        <v>77</v>
      </c>
      <c r="B108" s="227" t="s">
        <v>292</v>
      </c>
      <c r="C108" s="9">
        <v>2166631</v>
      </c>
      <c r="D108" s="220" t="s">
        <v>382</v>
      </c>
      <c r="E108" s="220" t="s">
        <v>382</v>
      </c>
      <c r="F108" s="220" t="s">
        <v>382</v>
      </c>
      <c r="G108" s="220" t="s">
        <v>382</v>
      </c>
      <c r="H108" s="220" t="s">
        <v>382</v>
      </c>
      <c r="I108" s="220" t="s">
        <v>382</v>
      </c>
      <c r="J108" s="220" t="s">
        <v>382</v>
      </c>
      <c r="K108" s="220" t="s">
        <v>382</v>
      </c>
      <c r="L108" s="220" t="s">
        <v>382</v>
      </c>
      <c r="M108" s="220" t="s">
        <v>382</v>
      </c>
    </row>
    <row r="109" spans="1:13">
      <c r="A109" s="247">
        <f t="shared" si="3"/>
        <v>78</v>
      </c>
      <c r="B109" s="227" t="s">
        <v>296</v>
      </c>
      <c r="C109" s="9">
        <v>5671833</v>
      </c>
      <c r="D109" s="6" t="s">
        <v>8223</v>
      </c>
      <c r="E109" s="220" t="s">
        <v>382</v>
      </c>
      <c r="F109" s="220" t="s">
        <v>382</v>
      </c>
      <c r="G109" s="6" t="s">
        <v>10023</v>
      </c>
      <c r="H109" s="83">
        <v>680429</v>
      </c>
      <c r="I109" s="220" t="s">
        <v>382</v>
      </c>
      <c r="J109" s="220" t="s">
        <v>382</v>
      </c>
      <c r="K109" s="6" t="s">
        <v>10024</v>
      </c>
      <c r="L109" s="220" t="s">
        <v>382</v>
      </c>
      <c r="M109" s="83">
        <v>16898.2</v>
      </c>
    </row>
    <row r="110" spans="1:13">
      <c r="A110" s="247">
        <f t="shared" si="3"/>
        <v>79</v>
      </c>
      <c r="B110" s="20" t="s">
        <v>298</v>
      </c>
      <c r="C110" s="9">
        <v>2668505</v>
      </c>
      <c r="D110" s="6" t="s">
        <v>122</v>
      </c>
      <c r="E110" s="220" t="s">
        <v>382</v>
      </c>
      <c r="F110" s="6" t="s">
        <v>8194</v>
      </c>
      <c r="G110" s="220">
        <v>80</v>
      </c>
      <c r="H110" s="6" t="s">
        <v>10025</v>
      </c>
      <c r="I110" s="83">
        <v>4836700</v>
      </c>
      <c r="J110" s="220" t="s">
        <v>382</v>
      </c>
      <c r="K110" s="83">
        <v>245527</v>
      </c>
      <c r="L110" s="83">
        <v>38731700</v>
      </c>
      <c r="M110" s="220">
        <v>44</v>
      </c>
    </row>
    <row r="111" spans="1:13">
      <c r="A111" s="247">
        <f t="shared" si="3"/>
        <v>80</v>
      </c>
      <c r="B111" s="20" t="s">
        <v>300</v>
      </c>
      <c r="C111" s="9">
        <v>5352827</v>
      </c>
      <c r="D111" s="6" t="s">
        <v>122</v>
      </c>
      <c r="E111" s="220" t="s">
        <v>382</v>
      </c>
      <c r="F111" s="6" t="s">
        <v>8194</v>
      </c>
      <c r="G111" s="220">
        <v>42</v>
      </c>
      <c r="H111" s="83">
        <v>853464</v>
      </c>
      <c r="I111" s="83">
        <v>107493000</v>
      </c>
      <c r="J111" s="220" t="s">
        <v>382</v>
      </c>
      <c r="K111" s="6" t="s">
        <v>10026</v>
      </c>
      <c r="L111" s="83">
        <v>260265000</v>
      </c>
      <c r="M111" s="220">
        <v>88</v>
      </c>
    </row>
    <row r="112" spans="1:13">
      <c r="A112" s="247">
        <f t="shared" si="3"/>
        <v>81</v>
      </c>
      <c r="B112" s="20" t="s">
        <v>301</v>
      </c>
      <c r="C112" s="9">
        <v>2548747</v>
      </c>
      <c r="D112" s="6" t="s">
        <v>10027</v>
      </c>
      <c r="E112" s="6">
        <v>1429011</v>
      </c>
      <c r="F112" s="6" t="s">
        <v>8043</v>
      </c>
      <c r="G112" s="6">
        <v>295.58</v>
      </c>
      <c r="H112" s="6">
        <v>316.89999999999998</v>
      </c>
      <c r="I112" s="220" t="s">
        <v>382</v>
      </c>
      <c r="J112" s="220" t="s">
        <v>382</v>
      </c>
      <c r="K112" s="6" t="s">
        <v>10028</v>
      </c>
      <c r="L112" s="220" t="s">
        <v>382</v>
      </c>
      <c r="M112" s="6">
        <v>118.6</v>
      </c>
    </row>
    <row r="113" spans="1:13">
      <c r="A113" s="627">
        <f t="shared" si="3"/>
        <v>82</v>
      </c>
      <c r="B113" s="543" t="s">
        <v>306</v>
      </c>
      <c r="C113" s="545">
        <v>6342485</v>
      </c>
      <c r="D113" s="6" t="s">
        <v>898</v>
      </c>
      <c r="E113" s="220" t="s">
        <v>382</v>
      </c>
      <c r="F113" s="6" t="s">
        <v>8191</v>
      </c>
      <c r="G113" s="220" t="s">
        <v>382</v>
      </c>
      <c r="H113" s="6">
        <v>0.19</v>
      </c>
      <c r="I113" s="6">
        <v>466.02</v>
      </c>
      <c r="J113" s="220" t="s">
        <v>382</v>
      </c>
      <c r="K113" s="6" t="s">
        <v>10029</v>
      </c>
      <c r="L113" s="6">
        <v>466.02</v>
      </c>
      <c r="M113" s="220" t="s">
        <v>382</v>
      </c>
    </row>
    <row r="114" spans="1:13">
      <c r="A114" s="632"/>
      <c r="B114" s="547"/>
      <c r="C114" s="548"/>
      <c r="D114" s="6" t="s">
        <v>132</v>
      </c>
      <c r="E114" s="220" t="s">
        <v>382</v>
      </c>
      <c r="F114" s="6" t="s">
        <v>8191</v>
      </c>
      <c r="G114" s="220" t="s">
        <v>382</v>
      </c>
      <c r="H114" s="6">
        <v>16.600000000000001</v>
      </c>
      <c r="I114" s="6" t="s">
        <v>10030</v>
      </c>
      <c r="J114" s="220" t="s">
        <v>382</v>
      </c>
      <c r="K114" s="6">
        <v>16.600000000000001</v>
      </c>
      <c r="L114" s="6" t="s">
        <v>10030</v>
      </c>
      <c r="M114" s="220" t="s">
        <v>382</v>
      </c>
    </row>
    <row r="115" spans="1:13">
      <c r="A115" s="628"/>
      <c r="B115" s="544"/>
      <c r="C115" s="546"/>
      <c r="D115" s="6" t="s">
        <v>843</v>
      </c>
      <c r="E115" s="220" t="s">
        <v>382</v>
      </c>
      <c r="F115" s="6" t="s">
        <v>8191</v>
      </c>
      <c r="G115" s="220" t="s">
        <v>382</v>
      </c>
      <c r="H115" s="6" t="s">
        <v>10031</v>
      </c>
      <c r="I115" s="83">
        <v>8487880</v>
      </c>
      <c r="J115" s="220" t="s">
        <v>382</v>
      </c>
      <c r="K115" s="6" t="s">
        <v>10032</v>
      </c>
      <c r="L115" s="83">
        <v>8487880</v>
      </c>
      <c r="M115" s="220" t="s">
        <v>382</v>
      </c>
    </row>
    <row r="116" spans="1:13">
      <c r="A116" s="246">
        <f>A113+1</f>
        <v>83</v>
      </c>
      <c r="B116" s="20" t="s">
        <v>307</v>
      </c>
      <c r="C116" s="9">
        <v>5166667</v>
      </c>
      <c r="D116" s="220" t="s">
        <v>382</v>
      </c>
      <c r="E116" s="220" t="s">
        <v>382</v>
      </c>
      <c r="F116" s="220" t="s">
        <v>382</v>
      </c>
      <c r="G116" s="220" t="s">
        <v>382</v>
      </c>
      <c r="H116" s="220" t="s">
        <v>382</v>
      </c>
      <c r="I116" s="220" t="s">
        <v>382</v>
      </c>
      <c r="J116" s="220" t="s">
        <v>382</v>
      </c>
      <c r="K116" s="220" t="s">
        <v>382</v>
      </c>
      <c r="L116" s="220" t="s">
        <v>382</v>
      </c>
      <c r="M116" s="220" t="s">
        <v>382</v>
      </c>
    </row>
    <row r="117" spans="1:13">
      <c r="A117" s="246">
        <f>A116+1</f>
        <v>84</v>
      </c>
      <c r="B117" s="20" t="s">
        <v>308</v>
      </c>
      <c r="C117" s="9">
        <v>5482046</v>
      </c>
      <c r="D117" s="220" t="s">
        <v>382</v>
      </c>
      <c r="E117" s="220" t="s">
        <v>382</v>
      </c>
      <c r="F117" s="220" t="s">
        <v>382</v>
      </c>
      <c r="G117" s="220" t="s">
        <v>382</v>
      </c>
      <c r="H117" s="220" t="s">
        <v>382</v>
      </c>
      <c r="I117" s="220" t="s">
        <v>382</v>
      </c>
      <c r="J117" s="220" t="s">
        <v>382</v>
      </c>
      <c r="K117" s="220" t="s">
        <v>382</v>
      </c>
      <c r="L117" s="220" t="s">
        <v>382</v>
      </c>
      <c r="M117" s="220" t="s">
        <v>382</v>
      </c>
    </row>
    <row r="118" spans="1:13">
      <c r="A118" s="627">
        <f>A117+1</f>
        <v>85</v>
      </c>
      <c r="B118" s="543" t="s">
        <v>309</v>
      </c>
      <c r="C118" s="545">
        <v>2050374</v>
      </c>
      <c r="D118" s="6" t="s">
        <v>122</v>
      </c>
      <c r="E118" s="220" t="s">
        <v>382</v>
      </c>
      <c r="F118" s="6" t="s">
        <v>8194</v>
      </c>
      <c r="G118" s="220">
        <v>18</v>
      </c>
      <c r="H118" s="83">
        <v>1700320</v>
      </c>
      <c r="I118" s="83">
        <v>77952900</v>
      </c>
      <c r="J118" s="6">
        <v>485.64</v>
      </c>
      <c r="K118" s="83">
        <v>1700000</v>
      </c>
      <c r="L118" s="6" t="s">
        <v>10033</v>
      </c>
      <c r="M118" s="220">
        <v>18</v>
      </c>
    </row>
    <row r="119" spans="1:13">
      <c r="A119" s="632"/>
      <c r="B119" s="547"/>
      <c r="C119" s="548"/>
      <c r="D119" s="6" t="s">
        <v>132</v>
      </c>
      <c r="E119" s="220" t="s">
        <v>382</v>
      </c>
      <c r="F119" s="6" t="s">
        <v>8191</v>
      </c>
      <c r="G119" s="220" t="s">
        <v>382</v>
      </c>
      <c r="H119" s="220">
        <v>26.7</v>
      </c>
      <c r="I119" s="83">
        <v>5805590</v>
      </c>
      <c r="J119" s="220" t="s">
        <v>382</v>
      </c>
      <c r="K119" s="220">
        <v>26.7</v>
      </c>
      <c r="L119" s="83">
        <v>5805590</v>
      </c>
      <c r="M119" s="220" t="s">
        <v>382</v>
      </c>
    </row>
    <row r="120" spans="1:13">
      <c r="A120" s="628"/>
      <c r="B120" s="544"/>
      <c r="C120" s="546"/>
      <c r="D120" s="6" t="s">
        <v>898</v>
      </c>
      <c r="E120" s="220" t="s">
        <v>382</v>
      </c>
      <c r="F120" s="6" t="s">
        <v>8191</v>
      </c>
      <c r="G120" s="220" t="s">
        <v>382</v>
      </c>
      <c r="H120" s="220">
        <v>2.6</v>
      </c>
      <c r="I120" s="83">
        <v>6087</v>
      </c>
      <c r="J120" s="220" t="s">
        <v>382</v>
      </c>
      <c r="K120" s="220">
        <v>2.6</v>
      </c>
      <c r="L120" s="83">
        <v>6087</v>
      </c>
      <c r="M120" s="220" t="s">
        <v>382</v>
      </c>
    </row>
    <row r="121" spans="1:13">
      <c r="A121" s="246">
        <f>A118+1</f>
        <v>86</v>
      </c>
      <c r="B121" s="20" t="s">
        <v>311</v>
      </c>
      <c r="C121" s="9">
        <v>2004879</v>
      </c>
      <c r="D121" s="220" t="s">
        <v>382</v>
      </c>
      <c r="E121" s="220" t="s">
        <v>382</v>
      </c>
      <c r="F121" s="220" t="s">
        <v>382</v>
      </c>
      <c r="G121" s="220" t="s">
        <v>382</v>
      </c>
      <c r="H121" s="220" t="s">
        <v>382</v>
      </c>
      <c r="I121" s="220" t="s">
        <v>382</v>
      </c>
      <c r="J121" s="220" t="s">
        <v>382</v>
      </c>
      <c r="K121" s="220" t="s">
        <v>382</v>
      </c>
      <c r="L121" s="220" t="s">
        <v>382</v>
      </c>
      <c r="M121" s="220" t="s">
        <v>382</v>
      </c>
    </row>
    <row r="122" spans="1:13">
      <c r="A122" s="246">
        <f>A121+1</f>
        <v>87</v>
      </c>
      <c r="B122" s="20" t="s">
        <v>315</v>
      </c>
      <c r="C122" s="9">
        <v>5320607</v>
      </c>
      <c r="D122" s="6" t="s">
        <v>132</v>
      </c>
      <c r="E122" s="220" t="s">
        <v>382</v>
      </c>
      <c r="F122" s="6" t="s">
        <v>8191</v>
      </c>
      <c r="G122" s="220" t="s">
        <v>382</v>
      </c>
      <c r="H122" s="220" t="s">
        <v>382</v>
      </c>
      <c r="I122" s="220" t="s">
        <v>382</v>
      </c>
      <c r="J122" s="220" t="s">
        <v>382</v>
      </c>
      <c r="K122" s="220">
        <v>60.1</v>
      </c>
      <c r="L122" s="83">
        <v>14286500000</v>
      </c>
      <c r="M122" s="220" t="s">
        <v>382</v>
      </c>
    </row>
    <row r="123" spans="1:13">
      <c r="A123" s="246">
        <f>A122+1</f>
        <v>88</v>
      </c>
      <c r="B123" s="20" t="s">
        <v>317</v>
      </c>
      <c r="C123" s="9">
        <v>5015243</v>
      </c>
      <c r="D123" s="220" t="s">
        <v>382</v>
      </c>
      <c r="E123" s="220" t="s">
        <v>382</v>
      </c>
      <c r="F123" s="220" t="s">
        <v>382</v>
      </c>
      <c r="G123" s="220" t="s">
        <v>382</v>
      </c>
      <c r="H123" s="220" t="s">
        <v>382</v>
      </c>
      <c r="I123" s="220" t="s">
        <v>382</v>
      </c>
      <c r="J123" s="220" t="s">
        <v>382</v>
      </c>
      <c r="K123" s="220" t="s">
        <v>382</v>
      </c>
      <c r="L123" s="220" t="s">
        <v>382</v>
      </c>
      <c r="M123" s="220" t="s">
        <v>382</v>
      </c>
    </row>
    <row r="124" spans="1:13">
      <c r="A124" s="246">
        <f>A123+1</f>
        <v>89</v>
      </c>
      <c r="B124" s="20" t="s">
        <v>318</v>
      </c>
      <c r="C124" s="9">
        <v>5452503</v>
      </c>
      <c r="D124" s="220" t="s">
        <v>382</v>
      </c>
      <c r="E124" s="220" t="s">
        <v>382</v>
      </c>
      <c r="F124" s="220" t="s">
        <v>382</v>
      </c>
      <c r="G124" s="220" t="s">
        <v>382</v>
      </c>
      <c r="H124" s="220" t="s">
        <v>382</v>
      </c>
      <c r="I124" s="220" t="s">
        <v>382</v>
      </c>
      <c r="J124" s="220" t="s">
        <v>382</v>
      </c>
      <c r="K124" s="220" t="s">
        <v>382</v>
      </c>
      <c r="L124" s="220" t="s">
        <v>382</v>
      </c>
      <c r="M124" s="220" t="s">
        <v>382</v>
      </c>
    </row>
    <row r="125" spans="1:13">
      <c r="A125" s="627">
        <f>A124+1</f>
        <v>90</v>
      </c>
      <c r="B125" s="543" t="s">
        <v>319</v>
      </c>
      <c r="C125" s="545">
        <v>2887746</v>
      </c>
      <c r="D125" s="6" t="s">
        <v>8233</v>
      </c>
      <c r="E125" s="220" t="s">
        <v>382</v>
      </c>
      <c r="F125" s="6" t="s">
        <v>8043</v>
      </c>
      <c r="G125" s="83">
        <v>2522.61</v>
      </c>
      <c r="H125" s="6" t="s">
        <v>10034</v>
      </c>
      <c r="I125" s="83">
        <v>783600000</v>
      </c>
      <c r="J125" s="220" t="s">
        <v>382</v>
      </c>
      <c r="K125" s="6">
        <v>113.01</v>
      </c>
      <c r="L125" s="83">
        <v>10016600</v>
      </c>
      <c r="M125" s="83">
        <v>2857.58</v>
      </c>
    </row>
    <row r="126" spans="1:13">
      <c r="A126" s="632"/>
      <c r="B126" s="547"/>
      <c r="C126" s="548"/>
      <c r="D126" s="6" t="s">
        <v>8201</v>
      </c>
      <c r="E126" s="220" t="s">
        <v>382</v>
      </c>
      <c r="F126" s="6" t="s">
        <v>8043</v>
      </c>
      <c r="G126" s="6">
        <v>3402.06</v>
      </c>
      <c r="H126" s="6">
        <v>1784.39</v>
      </c>
      <c r="I126" s="6">
        <v>3624650</v>
      </c>
      <c r="J126" s="6">
        <v>9.81</v>
      </c>
      <c r="K126" s="83">
        <v>3479.59</v>
      </c>
      <c r="L126" s="93">
        <v>128339000</v>
      </c>
      <c r="M126" s="83">
        <v>1446.31</v>
      </c>
    </row>
    <row r="127" spans="1:13" ht="38.25">
      <c r="A127" s="632"/>
      <c r="B127" s="547"/>
      <c r="C127" s="548"/>
      <c r="D127" s="1" t="s">
        <v>10035</v>
      </c>
      <c r="E127" s="220" t="s">
        <v>382</v>
      </c>
      <c r="F127" s="6" t="s">
        <v>8043</v>
      </c>
      <c r="G127" s="220" t="s">
        <v>382</v>
      </c>
      <c r="H127" s="6">
        <v>540.74</v>
      </c>
      <c r="I127" s="83">
        <v>34332900</v>
      </c>
      <c r="J127" s="220" t="s">
        <v>382</v>
      </c>
      <c r="K127" s="6">
        <v>472.86</v>
      </c>
      <c r="L127" s="83">
        <v>98322000</v>
      </c>
      <c r="M127" s="6">
        <v>23.77</v>
      </c>
    </row>
    <row r="128" spans="1:13" ht="25.5">
      <c r="A128" s="628"/>
      <c r="B128" s="544"/>
      <c r="C128" s="546"/>
      <c r="D128" s="1" t="s">
        <v>8236</v>
      </c>
      <c r="E128" s="220" t="s">
        <v>382</v>
      </c>
      <c r="F128" s="6" t="s">
        <v>8043</v>
      </c>
      <c r="G128" s="6">
        <v>306.27999999999997</v>
      </c>
      <c r="H128" s="83">
        <v>5110.9799999999996</v>
      </c>
      <c r="I128" s="83">
        <v>949291000</v>
      </c>
      <c r="J128" s="220" t="s">
        <v>382</v>
      </c>
      <c r="K128" s="6" t="s">
        <v>10036</v>
      </c>
      <c r="L128" s="83">
        <v>2789780000</v>
      </c>
      <c r="M128" s="6">
        <v>99.83</v>
      </c>
    </row>
    <row r="129" spans="1:13">
      <c r="A129" s="246">
        <f>A125+1</f>
        <v>91</v>
      </c>
      <c r="B129" s="20" t="s">
        <v>320</v>
      </c>
      <c r="C129" s="9">
        <v>5618339</v>
      </c>
      <c r="D129" s="6" t="s">
        <v>8223</v>
      </c>
      <c r="E129" s="220" t="s">
        <v>382</v>
      </c>
      <c r="F129" s="6" t="s">
        <v>8194</v>
      </c>
      <c r="G129" s="220">
        <v>15</v>
      </c>
      <c r="H129" s="83">
        <v>494017</v>
      </c>
      <c r="I129" s="83">
        <v>157483</v>
      </c>
      <c r="J129" s="220" t="s">
        <v>382</v>
      </c>
      <c r="K129" s="83">
        <v>494020</v>
      </c>
      <c r="L129" s="83">
        <v>88272200</v>
      </c>
      <c r="M129" s="220">
        <v>5</v>
      </c>
    </row>
    <row r="130" spans="1:13">
      <c r="A130" s="246">
        <f>A129+1</f>
        <v>92</v>
      </c>
      <c r="B130" s="20" t="s">
        <v>321</v>
      </c>
      <c r="C130" s="9">
        <v>2718243</v>
      </c>
      <c r="D130" s="220" t="s">
        <v>382</v>
      </c>
      <c r="E130" s="220" t="s">
        <v>382</v>
      </c>
      <c r="F130" s="220" t="s">
        <v>382</v>
      </c>
      <c r="G130" s="220" t="s">
        <v>382</v>
      </c>
      <c r="H130" s="220" t="s">
        <v>382</v>
      </c>
      <c r="I130" s="220" t="s">
        <v>382</v>
      </c>
      <c r="J130" s="220" t="s">
        <v>382</v>
      </c>
      <c r="K130" s="220" t="s">
        <v>382</v>
      </c>
      <c r="L130" s="220" t="s">
        <v>382</v>
      </c>
      <c r="M130" s="220" t="s">
        <v>382</v>
      </c>
    </row>
    <row r="131" spans="1:13">
      <c r="A131" s="246">
        <f>A130+1</f>
        <v>93</v>
      </c>
      <c r="B131" s="20" t="s">
        <v>322</v>
      </c>
      <c r="C131" s="9">
        <v>6896197</v>
      </c>
      <c r="D131" s="220" t="s">
        <v>382</v>
      </c>
      <c r="E131" s="220" t="s">
        <v>382</v>
      </c>
      <c r="F131" s="220" t="s">
        <v>382</v>
      </c>
      <c r="G131" s="220" t="s">
        <v>382</v>
      </c>
      <c r="H131" s="220" t="s">
        <v>382</v>
      </c>
      <c r="I131" s="220" t="s">
        <v>382</v>
      </c>
      <c r="J131" s="220" t="s">
        <v>382</v>
      </c>
      <c r="K131" s="220" t="s">
        <v>382</v>
      </c>
      <c r="L131" s="220" t="s">
        <v>382</v>
      </c>
      <c r="M131" s="220" t="s">
        <v>382</v>
      </c>
    </row>
    <row r="132" spans="1:13">
      <c r="A132" s="627">
        <f>A131+1</f>
        <v>94</v>
      </c>
      <c r="B132" s="543" t="s">
        <v>323</v>
      </c>
      <c r="C132" s="545">
        <v>5435528</v>
      </c>
      <c r="D132" s="6" t="s">
        <v>8223</v>
      </c>
      <c r="E132" s="220" t="s">
        <v>382</v>
      </c>
      <c r="F132" s="6" t="s">
        <v>8194</v>
      </c>
      <c r="G132" s="83">
        <v>4524270</v>
      </c>
      <c r="H132" s="83">
        <v>27034500</v>
      </c>
      <c r="I132" s="83">
        <v>1976490000</v>
      </c>
      <c r="J132" s="220" t="s">
        <v>382</v>
      </c>
      <c r="K132" s="6" t="s">
        <v>10037</v>
      </c>
      <c r="L132" s="83">
        <v>9336710000</v>
      </c>
      <c r="M132" s="6" t="s">
        <v>10038</v>
      </c>
    </row>
    <row r="133" spans="1:13">
      <c r="A133" s="628"/>
      <c r="B133" s="544"/>
      <c r="C133" s="546"/>
      <c r="D133" s="6" t="s">
        <v>8242</v>
      </c>
      <c r="E133" s="220" t="s">
        <v>382</v>
      </c>
      <c r="F133" s="6" t="s">
        <v>8194</v>
      </c>
      <c r="G133" s="83">
        <v>1589420</v>
      </c>
      <c r="H133" s="83">
        <v>1191500</v>
      </c>
      <c r="I133" s="83">
        <v>148780000</v>
      </c>
      <c r="J133" s="83">
        <v>29234.799999999999</v>
      </c>
      <c r="K133" s="6" t="s">
        <v>10039</v>
      </c>
      <c r="L133" s="83">
        <v>211195000</v>
      </c>
      <c r="M133" s="83">
        <v>1529900</v>
      </c>
    </row>
    <row r="134" spans="1:13">
      <c r="A134" s="246">
        <f>A132+1</f>
        <v>95</v>
      </c>
      <c r="B134" s="20" t="s">
        <v>325</v>
      </c>
      <c r="C134" s="9">
        <v>6141536</v>
      </c>
      <c r="D134" s="220" t="s">
        <v>382</v>
      </c>
      <c r="E134" s="220" t="s">
        <v>382</v>
      </c>
      <c r="F134" s="220" t="s">
        <v>382</v>
      </c>
      <c r="G134" s="220" t="s">
        <v>382</v>
      </c>
      <c r="H134" s="220" t="s">
        <v>382</v>
      </c>
      <c r="I134" s="220" t="s">
        <v>382</v>
      </c>
      <c r="J134" s="220" t="s">
        <v>382</v>
      </c>
      <c r="K134" s="220" t="s">
        <v>382</v>
      </c>
      <c r="L134" s="220" t="s">
        <v>382</v>
      </c>
      <c r="M134" s="220" t="s">
        <v>382</v>
      </c>
    </row>
    <row r="135" spans="1:13">
      <c r="A135" s="246">
        <f>A134+1</f>
        <v>96</v>
      </c>
      <c r="B135" s="20" t="s">
        <v>326</v>
      </c>
      <c r="C135" s="9">
        <v>5124913</v>
      </c>
      <c r="D135" s="6" t="s">
        <v>8212</v>
      </c>
      <c r="E135" s="220" t="s">
        <v>382</v>
      </c>
      <c r="F135" s="6" t="s">
        <v>8194</v>
      </c>
      <c r="G135" s="83">
        <v>1374960</v>
      </c>
      <c r="H135" s="83">
        <v>7127.6</v>
      </c>
      <c r="I135" s="83">
        <v>330525</v>
      </c>
      <c r="J135" s="83">
        <v>5729</v>
      </c>
      <c r="K135" s="83">
        <v>7127.6</v>
      </c>
      <c r="L135" s="83">
        <v>308884.3</v>
      </c>
      <c r="M135" s="83">
        <v>795465</v>
      </c>
    </row>
    <row r="136" spans="1:13">
      <c r="A136" s="627">
        <f>A135+1</f>
        <v>97</v>
      </c>
      <c r="B136" s="543" t="s">
        <v>327</v>
      </c>
      <c r="C136" s="545">
        <v>2074192</v>
      </c>
      <c r="D136" s="6" t="s">
        <v>8216</v>
      </c>
      <c r="E136" s="220" t="s">
        <v>382</v>
      </c>
      <c r="F136" s="6" t="s">
        <v>8194</v>
      </c>
      <c r="G136" s="220">
        <v>25</v>
      </c>
      <c r="H136" s="6" t="s">
        <v>10040</v>
      </c>
      <c r="I136" s="6" t="s">
        <v>10041</v>
      </c>
      <c r="J136" s="220" t="s">
        <v>382</v>
      </c>
      <c r="K136" s="6" t="s">
        <v>10042</v>
      </c>
      <c r="L136" s="83">
        <v>3531380000000</v>
      </c>
      <c r="M136" s="220">
        <v>2</v>
      </c>
    </row>
    <row r="137" spans="1:13">
      <c r="A137" s="632"/>
      <c r="B137" s="544"/>
      <c r="C137" s="546"/>
      <c r="D137" s="6" t="s">
        <v>8245</v>
      </c>
      <c r="E137" s="220" t="s">
        <v>382</v>
      </c>
      <c r="F137" s="6" t="s">
        <v>8194</v>
      </c>
      <c r="G137" s="220">
        <v>1</v>
      </c>
      <c r="H137" s="6" t="s">
        <v>10043</v>
      </c>
      <c r="I137" s="83">
        <v>399286000000</v>
      </c>
      <c r="J137" s="220" t="s">
        <v>382</v>
      </c>
      <c r="K137" s="83">
        <v>5730.52</v>
      </c>
      <c r="L137" s="83">
        <v>407535000000</v>
      </c>
      <c r="M137" s="220">
        <v>6</v>
      </c>
    </row>
    <row r="138" spans="1:13">
      <c r="A138" s="246">
        <f>A136+1</f>
        <v>98</v>
      </c>
      <c r="B138" s="227" t="s">
        <v>332</v>
      </c>
      <c r="C138" s="9">
        <v>5137977</v>
      </c>
      <c r="D138" s="220" t="s">
        <v>382</v>
      </c>
      <c r="E138" s="220" t="s">
        <v>382</v>
      </c>
      <c r="F138" s="220" t="s">
        <v>382</v>
      </c>
      <c r="G138" s="220" t="s">
        <v>382</v>
      </c>
      <c r="H138" s="220" t="s">
        <v>382</v>
      </c>
      <c r="I138" s="220" t="s">
        <v>382</v>
      </c>
      <c r="J138" s="220" t="s">
        <v>382</v>
      </c>
      <c r="K138" s="220" t="s">
        <v>382</v>
      </c>
      <c r="L138" s="220" t="s">
        <v>382</v>
      </c>
      <c r="M138" s="220" t="s">
        <v>382</v>
      </c>
    </row>
    <row r="139" spans="1:13">
      <c r="A139" s="248"/>
    </row>
  </sheetData>
  <mergeCells count="57">
    <mergeCell ref="C113:C115"/>
    <mergeCell ref="B113:B115"/>
    <mergeCell ref="A113:A115"/>
    <mergeCell ref="C118:C120"/>
    <mergeCell ref="B118:B120"/>
    <mergeCell ref="A118:A120"/>
    <mergeCell ref="B125:B128"/>
    <mergeCell ref="A125:A128"/>
    <mergeCell ref="C125:C128"/>
    <mergeCell ref="C132:C133"/>
    <mergeCell ref="B132:B133"/>
    <mergeCell ref="A132:A133"/>
    <mergeCell ref="C136:C137"/>
    <mergeCell ref="B136:B137"/>
    <mergeCell ref="A136:A137"/>
    <mergeCell ref="A66:A71"/>
    <mergeCell ref="B66:B71"/>
    <mergeCell ref="C66:C71"/>
    <mergeCell ref="C75:C77"/>
    <mergeCell ref="B75:B77"/>
    <mergeCell ref="A75:A77"/>
    <mergeCell ref="B87:B88"/>
    <mergeCell ref="A87:A88"/>
    <mergeCell ref="C87:C88"/>
    <mergeCell ref="C92:C93"/>
    <mergeCell ref="B92:B93"/>
    <mergeCell ref="A92:A93"/>
    <mergeCell ref="C100:C103"/>
    <mergeCell ref="A48:A50"/>
    <mergeCell ref="B48:B50"/>
    <mergeCell ref="C48:C50"/>
    <mergeCell ref="A55:A57"/>
    <mergeCell ref="B55:B57"/>
    <mergeCell ref="C55:C57"/>
    <mergeCell ref="A32:A34"/>
    <mergeCell ref="B32:B34"/>
    <mergeCell ref="C32:C34"/>
    <mergeCell ref="A41:A47"/>
    <mergeCell ref="B41:B47"/>
    <mergeCell ref="C41:C47"/>
    <mergeCell ref="A21:A22"/>
    <mergeCell ref="B21:B22"/>
    <mergeCell ref="C21:C22"/>
    <mergeCell ref="A26:A27"/>
    <mergeCell ref="B26:B27"/>
    <mergeCell ref="C26:C27"/>
    <mergeCell ref="A4:A5"/>
    <mergeCell ref="B4:B5"/>
    <mergeCell ref="C4:C5"/>
    <mergeCell ref="A16:A17"/>
    <mergeCell ref="B16:B17"/>
    <mergeCell ref="C16:C17"/>
    <mergeCell ref="A61:A62"/>
    <mergeCell ref="B61:B62"/>
    <mergeCell ref="C61:C62"/>
    <mergeCell ref="B100:B103"/>
    <mergeCell ref="A100:A103"/>
  </mergeCells>
  <conditionalFormatting sqref="B78:B87 B72:B75 B48 B35:B41 B30:B32 B51:B55 B58:B61 B63:B66">
    <cfRule type="duplicateValues" dxfId="37" priority="868"/>
  </conditionalFormatting>
  <conditionalFormatting sqref="B89">
    <cfRule type="duplicateValues" dxfId="36" priority="9"/>
  </conditionalFormatting>
  <conditionalFormatting sqref="B90:B92 B94">
    <cfRule type="duplicateValues" dxfId="35" priority="10"/>
  </conditionalFormatting>
  <conditionalFormatting sqref="B95 B3:B4 B6:B16 B18:B21 B23:B26 B28:B29">
    <cfRule type="duplicateValues" dxfId="34" priority="12"/>
  </conditionalFormatting>
  <conditionalFormatting sqref="B138 B129:B132 B116:B118 B96:B100 B104:B113 B121:B125 B134:B136">
    <cfRule type="duplicateValues" dxfId="33" priority="877"/>
  </conditionalFormatting>
  <conditionalFormatting sqref="C78:C87 C72:C75 C48 C35:C41 C30:C32 C51:C55 C58:C61 C63:C66">
    <cfRule type="duplicateValues" dxfId="32" priority="876"/>
  </conditionalFormatting>
  <conditionalFormatting sqref="C89">
    <cfRule type="duplicateValues" dxfId="31" priority="5"/>
  </conditionalFormatting>
  <conditionalFormatting sqref="C90">
    <cfRule type="duplicateValues" dxfId="30" priority="4"/>
  </conditionalFormatting>
  <conditionalFormatting sqref="C91">
    <cfRule type="duplicateValues" dxfId="29" priority="3"/>
  </conditionalFormatting>
  <conditionalFormatting sqref="C92">
    <cfRule type="duplicateValues" dxfId="28" priority="2"/>
  </conditionalFormatting>
  <conditionalFormatting sqref="C94">
    <cfRule type="duplicateValues" dxfId="27" priority="1"/>
  </conditionalFormatting>
  <conditionalFormatting sqref="C95 C3:C4 C6:C16 C18:C21 C23:C26 C28:C29">
    <cfRule type="duplicateValues" dxfId="26" priority="7"/>
  </conditionalFormatting>
  <conditionalFormatting sqref="C138 C129:C132 C116:C118 C96:C100 C104:C113 C121:C125 C134:C136">
    <cfRule type="duplicateValues" dxfId="25" priority="884"/>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DC34-1F9F-4F96-8D1C-46BABFD36720}">
  <sheetPr>
    <tabColor rgb="FF006432"/>
  </sheetPr>
  <dimension ref="A1:J302"/>
  <sheetViews>
    <sheetView workbookViewId="0">
      <pane xSplit="3" ySplit="2" topLeftCell="D3" activePane="bottomRight" state="frozen"/>
      <selection pane="bottomRight" activeCell="I2" sqref="I2"/>
      <selection pane="bottomLeft" activeCell="A3" sqref="A3"/>
      <selection pane="topRight" activeCell="D1" sqref="D1"/>
    </sheetView>
  </sheetViews>
  <sheetFormatPr defaultRowHeight="15"/>
  <cols>
    <col min="1" max="1" width="4.42578125" customWidth="1"/>
    <col min="2" max="2" width="25.140625" customWidth="1"/>
    <col min="3" max="3" width="11.85546875" customWidth="1"/>
    <col min="4" max="4" width="24.42578125" style="5" customWidth="1"/>
    <col min="5" max="5" width="9.7109375" style="5" customWidth="1"/>
    <col min="6" max="6" width="27.5703125" style="5" customWidth="1"/>
    <col min="7" max="7" width="24.85546875" style="5" customWidth="1"/>
    <col min="8" max="8" width="22" style="5" customWidth="1"/>
    <col min="9" max="9" width="26" style="5" customWidth="1"/>
    <col min="10" max="10" width="24.140625" style="5" customWidth="1"/>
  </cols>
  <sheetData>
    <row r="1" spans="1:10" ht="15.75">
      <c r="A1" s="73" t="s">
        <v>10044</v>
      </c>
      <c r="B1" s="74"/>
      <c r="C1" s="74"/>
      <c r="D1" s="76"/>
      <c r="E1" s="76"/>
      <c r="F1" s="76"/>
      <c r="G1" s="76"/>
      <c r="H1" s="76"/>
      <c r="I1" s="76"/>
      <c r="J1" s="76"/>
    </row>
    <row r="2" spans="1:10" ht="38.25">
      <c r="A2" s="18" t="s">
        <v>114</v>
      </c>
      <c r="B2" s="18" t="s">
        <v>690</v>
      </c>
      <c r="C2" s="18" t="s">
        <v>116</v>
      </c>
      <c r="D2" s="18" t="s">
        <v>117</v>
      </c>
      <c r="E2" s="18" t="s">
        <v>8040</v>
      </c>
      <c r="F2" s="18" t="s">
        <v>10045</v>
      </c>
      <c r="G2" s="18" t="s">
        <v>10046</v>
      </c>
      <c r="H2" s="18" t="s">
        <v>10047</v>
      </c>
      <c r="I2" s="18" t="s">
        <v>10048</v>
      </c>
      <c r="J2" s="18" t="s">
        <v>10049</v>
      </c>
    </row>
    <row r="3" spans="1:10">
      <c r="A3" s="108">
        <v>1</v>
      </c>
      <c r="B3" s="20" t="s">
        <v>152</v>
      </c>
      <c r="C3" s="9">
        <v>2008572</v>
      </c>
      <c r="D3" s="6" t="s">
        <v>8212</v>
      </c>
      <c r="E3" s="83" t="s">
        <v>8194</v>
      </c>
      <c r="F3" s="83">
        <v>4281590.3099999996</v>
      </c>
      <c r="G3" s="93">
        <v>539286000</v>
      </c>
      <c r="H3" s="6" t="s">
        <v>10050</v>
      </c>
      <c r="I3" s="6" t="s">
        <v>10051</v>
      </c>
      <c r="J3" s="6" t="s">
        <v>10052</v>
      </c>
    </row>
    <row r="4" spans="1:10">
      <c r="A4" s="108">
        <f>A3+1</f>
        <v>2</v>
      </c>
      <c r="B4" s="20" t="s">
        <v>204</v>
      </c>
      <c r="C4" s="9">
        <v>2034859</v>
      </c>
      <c r="D4" s="6" t="s">
        <v>10053</v>
      </c>
      <c r="E4" s="83" t="s">
        <v>8194</v>
      </c>
      <c r="F4" s="6" t="s">
        <v>382</v>
      </c>
      <c r="G4" s="6" t="s">
        <v>382</v>
      </c>
      <c r="H4" s="6" t="s">
        <v>10050</v>
      </c>
      <c r="I4" s="6" t="s">
        <v>382</v>
      </c>
      <c r="J4" s="6" t="s">
        <v>10052</v>
      </c>
    </row>
    <row r="5" spans="1:10">
      <c r="A5" s="636">
        <f>A4+1</f>
        <v>3</v>
      </c>
      <c r="B5" s="543" t="s">
        <v>326</v>
      </c>
      <c r="C5" s="545">
        <v>5124913</v>
      </c>
      <c r="D5" s="6" t="s">
        <v>8212</v>
      </c>
      <c r="E5" s="83" t="s">
        <v>8194</v>
      </c>
      <c r="F5" s="83">
        <v>4281590.3099999996</v>
      </c>
      <c r="G5" s="93">
        <v>539286000</v>
      </c>
      <c r="H5" s="6" t="s">
        <v>10050</v>
      </c>
      <c r="I5" s="6" t="s">
        <v>10054</v>
      </c>
      <c r="J5" s="6" t="s">
        <v>10052</v>
      </c>
    </row>
    <row r="6" spans="1:10">
      <c r="A6" s="636"/>
      <c r="B6" s="544"/>
      <c r="C6" s="546"/>
      <c r="D6" s="6" t="s">
        <v>122</v>
      </c>
      <c r="E6" s="83" t="s">
        <v>8194</v>
      </c>
      <c r="F6" s="93">
        <v>2437211</v>
      </c>
      <c r="G6" s="93">
        <v>420188000</v>
      </c>
      <c r="H6" s="6" t="s">
        <v>10050</v>
      </c>
      <c r="I6" s="6" t="s">
        <v>10054</v>
      </c>
      <c r="J6" s="6" t="s">
        <v>10052</v>
      </c>
    </row>
    <row r="7" spans="1:10">
      <c r="A7" s="637">
        <f>A5+1</f>
        <v>4</v>
      </c>
      <c r="B7" s="543" t="s">
        <v>327</v>
      </c>
      <c r="C7" s="545">
        <v>2074192</v>
      </c>
      <c r="D7" s="6" t="s">
        <v>8216</v>
      </c>
      <c r="E7" s="83" t="s">
        <v>8194</v>
      </c>
      <c r="F7" s="83">
        <v>604667.19999999995</v>
      </c>
      <c r="G7" s="6">
        <v>0</v>
      </c>
      <c r="H7" s="6" t="s">
        <v>10050</v>
      </c>
      <c r="I7" s="6" t="s">
        <v>10054</v>
      </c>
      <c r="J7" s="6" t="s">
        <v>10055</v>
      </c>
    </row>
    <row r="8" spans="1:10">
      <c r="A8" s="638"/>
      <c r="B8" s="547"/>
      <c r="C8" s="548"/>
      <c r="D8" s="167" t="s">
        <v>8245</v>
      </c>
      <c r="E8" s="83" t="s">
        <v>8194</v>
      </c>
      <c r="F8" s="167">
        <v>5730.52</v>
      </c>
      <c r="G8" s="167">
        <v>0</v>
      </c>
      <c r="H8" s="83" t="s">
        <v>10056</v>
      </c>
      <c r="I8" s="167" t="s">
        <v>10054</v>
      </c>
      <c r="J8" s="167" t="s">
        <v>10055</v>
      </c>
    </row>
    <row r="9" spans="1:10">
      <c r="A9" s="108">
        <f>A7+1</f>
        <v>5</v>
      </c>
      <c r="B9" s="12" t="s">
        <v>214</v>
      </c>
      <c r="C9" s="6">
        <v>2550466</v>
      </c>
      <c r="D9" s="6" t="s">
        <v>382</v>
      </c>
      <c r="E9" s="6" t="s">
        <v>382</v>
      </c>
      <c r="F9" s="6" t="s">
        <v>382</v>
      </c>
      <c r="G9" s="6" t="s">
        <v>382</v>
      </c>
      <c r="H9" s="6" t="s">
        <v>382</v>
      </c>
      <c r="I9" s="6" t="s">
        <v>382</v>
      </c>
      <c r="J9" s="6" t="s">
        <v>382</v>
      </c>
    </row>
    <row r="10" spans="1:10">
      <c r="A10" s="108">
        <f>A9+1</f>
        <v>6</v>
      </c>
      <c r="B10" s="12" t="s">
        <v>8215</v>
      </c>
      <c r="C10" s="6">
        <v>2657457</v>
      </c>
      <c r="D10" s="6" t="s">
        <v>382</v>
      </c>
      <c r="E10" s="6" t="s">
        <v>382</v>
      </c>
      <c r="F10" s="6" t="s">
        <v>382</v>
      </c>
      <c r="G10" s="6" t="s">
        <v>382</v>
      </c>
      <c r="H10" s="6" t="s">
        <v>382</v>
      </c>
      <c r="I10" s="6" t="s">
        <v>382</v>
      </c>
      <c r="J10" s="6" t="s">
        <v>382</v>
      </c>
    </row>
    <row r="11" spans="1:10">
      <c r="A11" s="108">
        <f t="shared" ref="A11:A13" si="0">A10+1</f>
        <v>7</v>
      </c>
      <c r="B11" s="12" t="s">
        <v>311</v>
      </c>
      <c r="C11" s="6">
        <v>2004879</v>
      </c>
      <c r="D11" s="6" t="s">
        <v>382</v>
      </c>
      <c r="E11" s="6" t="s">
        <v>382</v>
      </c>
      <c r="F11" s="6" t="s">
        <v>382</v>
      </c>
      <c r="G11" s="6" t="s">
        <v>382</v>
      </c>
      <c r="H11" s="6" t="s">
        <v>382</v>
      </c>
      <c r="I11" s="6" t="s">
        <v>382</v>
      </c>
      <c r="J11" s="6" t="s">
        <v>382</v>
      </c>
    </row>
    <row r="12" spans="1:10">
      <c r="A12" s="108">
        <f t="shared" si="0"/>
        <v>8</v>
      </c>
      <c r="B12" s="245" t="s">
        <v>10057</v>
      </c>
      <c r="C12" s="6">
        <v>5502977</v>
      </c>
      <c r="D12" s="6" t="s">
        <v>382</v>
      </c>
      <c r="E12" s="6" t="s">
        <v>382</v>
      </c>
      <c r="F12" s="6" t="s">
        <v>382</v>
      </c>
      <c r="G12" s="6" t="s">
        <v>382</v>
      </c>
      <c r="H12" s="6" t="s">
        <v>382</v>
      </c>
      <c r="I12" s="6" t="s">
        <v>382</v>
      </c>
      <c r="J12" s="6" t="s">
        <v>382</v>
      </c>
    </row>
    <row r="13" spans="1:10">
      <c r="A13" s="108">
        <f t="shared" si="0"/>
        <v>9</v>
      </c>
      <c r="B13" s="12" t="s">
        <v>8379</v>
      </c>
      <c r="C13" s="6">
        <v>5435528</v>
      </c>
      <c r="D13" s="6" t="s">
        <v>122</v>
      </c>
      <c r="E13" s="83" t="s">
        <v>8194</v>
      </c>
      <c r="F13" s="83">
        <v>50154.85</v>
      </c>
      <c r="G13" s="83">
        <v>1228290000</v>
      </c>
      <c r="H13" s="83" t="s">
        <v>10056</v>
      </c>
      <c r="I13" s="83" t="s">
        <v>10058</v>
      </c>
      <c r="J13" s="83" t="s">
        <v>10055</v>
      </c>
    </row>
    <row r="14" spans="1:10">
      <c r="A14" s="633"/>
      <c r="B14" s="12" t="s">
        <v>8379</v>
      </c>
      <c r="C14" s="6">
        <v>5435528</v>
      </c>
      <c r="D14" s="6" t="s">
        <v>122</v>
      </c>
      <c r="E14" s="83" t="s">
        <v>8194</v>
      </c>
      <c r="F14" s="83">
        <v>91735.2</v>
      </c>
      <c r="G14" s="83">
        <v>911519000</v>
      </c>
      <c r="H14" s="83" t="s">
        <v>10056</v>
      </c>
      <c r="I14" s="83" t="s">
        <v>10059</v>
      </c>
      <c r="J14" s="83" t="s">
        <v>10055</v>
      </c>
    </row>
    <row r="15" spans="1:10">
      <c r="A15" s="634"/>
      <c r="B15" s="12" t="s">
        <v>8379</v>
      </c>
      <c r="C15" s="6">
        <v>5435528</v>
      </c>
      <c r="D15" s="6" t="s">
        <v>122</v>
      </c>
      <c r="E15" s="83" t="s">
        <v>8194</v>
      </c>
      <c r="F15" s="83">
        <v>130826.15</v>
      </c>
      <c r="G15" s="83">
        <v>1517220000</v>
      </c>
      <c r="H15" s="83" t="s">
        <v>10056</v>
      </c>
      <c r="I15" s="83" t="s">
        <v>10060</v>
      </c>
      <c r="J15" s="83" t="s">
        <v>10055</v>
      </c>
    </row>
    <row r="16" spans="1:10">
      <c r="A16" s="634"/>
      <c r="B16" s="12" t="s">
        <v>8379</v>
      </c>
      <c r="C16" s="6">
        <v>5435528</v>
      </c>
      <c r="D16" s="6" t="s">
        <v>122</v>
      </c>
      <c r="E16" s="83" t="s">
        <v>8194</v>
      </c>
      <c r="F16" s="83">
        <v>95644.6</v>
      </c>
      <c r="G16" s="83">
        <v>903464000</v>
      </c>
      <c r="H16" s="83" t="s">
        <v>10056</v>
      </c>
      <c r="I16" s="83" t="s">
        <v>10061</v>
      </c>
      <c r="J16" s="83" t="s">
        <v>10055</v>
      </c>
    </row>
    <row r="17" spans="1:10">
      <c r="A17" s="634"/>
      <c r="B17" s="12" t="s">
        <v>8379</v>
      </c>
      <c r="C17" s="6">
        <v>5435528</v>
      </c>
      <c r="D17" s="6" t="s">
        <v>122</v>
      </c>
      <c r="E17" s="83" t="s">
        <v>8194</v>
      </c>
      <c r="F17" s="83">
        <v>176792.35</v>
      </c>
      <c r="G17" s="83">
        <v>2337080000</v>
      </c>
      <c r="H17" s="83" t="s">
        <v>10056</v>
      </c>
      <c r="I17" s="83" t="s">
        <v>10062</v>
      </c>
      <c r="J17" s="83" t="s">
        <v>10055</v>
      </c>
    </row>
    <row r="18" spans="1:10">
      <c r="A18" s="634"/>
      <c r="B18" s="12" t="s">
        <v>8379</v>
      </c>
      <c r="C18" s="6">
        <v>5435528</v>
      </c>
      <c r="D18" s="6" t="s">
        <v>122</v>
      </c>
      <c r="E18" s="83" t="s">
        <v>8194</v>
      </c>
      <c r="F18" s="83">
        <v>41725.25</v>
      </c>
      <c r="G18" s="83">
        <v>792780000</v>
      </c>
      <c r="H18" s="83" t="s">
        <v>10056</v>
      </c>
      <c r="I18" s="83" t="s">
        <v>10063</v>
      </c>
      <c r="J18" s="83" t="s">
        <v>10055</v>
      </c>
    </row>
    <row r="19" spans="1:10">
      <c r="A19" s="634"/>
      <c r="B19" s="12" t="s">
        <v>8379</v>
      </c>
      <c r="C19" s="6">
        <v>5435528</v>
      </c>
      <c r="D19" s="6" t="s">
        <v>122</v>
      </c>
      <c r="E19" s="83" t="s">
        <v>8194</v>
      </c>
      <c r="F19" s="83">
        <v>96899.95</v>
      </c>
      <c r="G19" s="83">
        <v>1909130000</v>
      </c>
      <c r="H19" s="83" t="s">
        <v>10056</v>
      </c>
      <c r="I19" s="83" t="s">
        <v>10064</v>
      </c>
      <c r="J19" s="83" t="s">
        <v>10055</v>
      </c>
    </row>
    <row r="20" spans="1:10">
      <c r="A20" s="634"/>
      <c r="B20" s="12" t="s">
        <v>8379</v>
      </c>
      <c r="C20" s="6">
        <v>5435528</v>
      </c>
      <c r="D20" s="6" t="s">
        <v>122</v>
      </c>
      <c r="E20" s="83" t="s">
        <v>8194</v>
      </c>
      <c r="F20" s="83">
        <v>150442.54999999999</v>
      </c>
      <c r="G20" s="83">
        <v>7809600000</v>
      </c>
      <c r="H20" s="83" t="s">
        <v>10056</v>
      </c>
      <c r="I20" s="83" t="s">
        <v>10065</v>
      </c>
      <c r="J20" s="83" t="s">
        <v>10052</v>
      </c>
    </row>
    <row r="21" spans="1:10">
      <c r="A21" s="634"/>
      <c r="B21" s="12" t="s">
        <v>8379</v>
      </c>
      <c r="C21" s="6">
        <v>5435528</v>
      </c>
      <c r="D21" s="6" t="s">
        <v>122</v>
      </c>
      <c r="E21" s="83" t="s">
        <v>8194</v>
      </c>
      <c r="F21" s="83">
        <v>164885.45000000001</v>
      </c>
      <c r="G21" s="83">
        <v>4295850000</v>
      </c>
      <c r="H21" s="83" t="s">
        <v>10056</v>
      </c>
      <c r="I21" s="83" t="s">
        <v>10066</v>
      </c>
      <c r="J21" s="83" t="s">
        <v>10055</v>
      </c>
    </row>
    <row r="22" spans="1:10">
      <c r="A22" s="634"/>
      <c r="B22" s="12" t="s">
        <v>8379</v>
      </c>
      <c r="C22" s="6">
        <v>5435528</v>
      </c>
      <c r="D22" s="6" t="s">
        <v>122</v>
      </c>
      <c r="E22" s="83" t="s">
        <v>8194</v>
      </c>
      <c r="F22" s="83">
        <v>68685.7</v>
      </c>
      <c r="G22" s="83">
        <v>2610060000</v>
      </c>
      <c r="H22" s="83" t="s">
        <v>10056</v>
      </c>
      <c r="I22" s="83" t="s">
        <v>10067</v>
      </c>
      <c r="J22" s="83" t="s">
        <v>10055</v>
      </c>
    </row>
    <row r="23" spans="1:10">
      <c r="A23" s="634"/>
      <c r="B23" s="12" t="s">
        <v>8379</v>
      </c>
      <c r="C23" s="6">
        <v>5435528</v>
      </c>
      <c r="D23" s="6" t="s">
        <v>122</v>
      </c>
      <c r="E23" s="83"/>
      <c r="F23" s="83">
        <v>465465.35</v>
      </c>
      <c r="G23" s="83">
        <v>2538010000</v>
      </c>
      <c r="H23" s="83" t="s">
        <v>10056</v>
      </c>
      <c r="I23" s="83" t="s">
        <v>10068</v>
      </c>
      <c r="J23" s="83" t="s">
        <v>10052</v>
      </c>
    </row>
    <row r="24" spans="1:10">
      <c r="A24" s="634"/>
      <c r="B24" s="12" t="s">
        <v>8379</v>
      </c>
      <c r="C24" s="6">
        <v>5435528</v>
      </c>
      <c r="D24" s="6" t="s">
        <v>122</v>
      </c>
      <c r="E24" s="83" t="s">
        <v>8194</v>
      </c>
      <c r="F24" s="83">
        <v>172234.6</v>
      </c>
      <c r="G24" s="83">
        <v>6989990000</v>
      </c>
      <c r="H24" s="83" t="s">
        <v>10056</v>
      </c>
      <c r="I24" s="83" t="s">
        <v>10069</v>
      </c>
      <c r="J24" s="83" t="s">
        <v>10052</v>
      </c>
    </row>
    <row r="25" spans="1:10">
      <c r="A25" s="634"/>
      <c r="B25" s="12" t="s">
        <v>8379</v>
      </c>
      <c r="C25" s="6">
        <v>5435528</v>
      </c>
      <c r="D25" s="6" t="s">
        <v>122</v>
      </c>
      <c r="E25" s="83" t="s">
        <v>8194</v>
      </c>
      <c r="F25" s="83">
        <v>92140.15</v>
      </c>
      <c r="G25" s="83">
        <v>5630710000</v>
      </c>
      <c r="H25" s="83" t="s">
        <v>10056</v>
      </c>
      <c r="I25" s="83" t="s">
        <v>10070</v>
      </c>
      <c r="J25" s="83" t="s">
        <v>10052</v>
      </c>
    </row>
    <row r="26" spans="1:10">
      <c r="A26" s="634"/>
      <c r="B26" s="12" t="s">
        <v>8379</v>
      </c>
      <c r="C26" s="6">
        <v>5435528</v>
      </c>
      <c r="D26" s="6" t="s">
        <v>122</v>
      </c>
      <c r="E26" s="83" t="s">
        <v>8194</v>
      </c>
      <c r="F26" s="83">
        <v>146987.9</v>
      </c>
      <c r="G26" s="83">
        <v>6125650000</v>
      </c>
      <c r="H26" s="83" t="s">
        <v>10056</v>
      </c>
      <c r="I26" s="83" t="s">
        <v>10061</v>
      </c>
      <c r="J26" s="83" t="s">
        <v>10052</v>
      </c>
    </row>
    <row r="27" spans="1:10">
      <c r="A27" s="634"/>
      <c r="B27" s="12" t="s">
        <v>8379</v>
      </c>
      <c r="C27" s="6">
        <v>5435528</v>
      </c>
      <c r="D27" s="6" t="s">
        <v>122</v>
      </c>
      <c r="E27" s="83" t="s">
        <v>8194</v>
      </c>
      <c r="F27" s="83">
        <v>141800.5</v>
      </c>
      <c r="G27" s="83">
        <v>5974410000</v>
      </c>
      <c r="H27" s="83" t="s">
        <v>10056</v>
      </c>
      <c r="I27" s="83" t="s">
        <v>10071</v>
      </c>
      <c r="J27" s="83" t="s">
        <v>10052</v>
      </c>
    </row>
    <row r="28" spans="1:10">
      <c r="A28" s="634"/>
      <c r="B28" s="12" t="s">
        <v>8379</v>
      </c>
      <c r="C28" s="6">
        <v>5435528</v>
      </c>
      <c r="D28" s="6" t="s">
        <v>122</v>
      </c>
      <c r="E28" s="83" t="s">
        <v>8194</v>
      </c>
      <c r="F28" s="83">
        <v>96164.15</v>
      </c>
      <c r="G28" s="83">
        <v>4134990000</v>
      </c>
      <c r="H28" s="83" t="s">
        <v>10056</v>
      </c>
      <c r="I28" s="83" t="s">
        <v>10072</v>
      </c>
      <c r="J28" s="83" t="s">
        <v>10052</v>
      </c>
    </row>
    <row r="29" spans="1:10">
      <c r="A29" s="634"/>
      <c r="B29" s="12" t="s">
        <v>8379</v>
      </c>
      <c r="C29" s="6">
        <v>5435528</v>
      </c>
      <c r="D29" s="6" t="s">
        <v>122</v>
      </c>
      <c r="E29" s="83" t="s">
        <v>8194</v>
      </c>
      <c r="F29" s="83">
        <v>147383.25</v>
      </c>
      <c r="G29" s="83">
        <v>7421040000</v>
      </c>
      <c r="H29" s="83" t="s">
        <v>10056</v>
      </c>
      <c r="I29" s="83" t="s">
        <v>10073</v>
      </c>
      <c r="J29" s="83" t="s">
        <v>10052</v>
      </c>
    </row>
    <row r="30" spans="1:10">
      <c r="A30" s="634"/>
      <c r="B30" s="12" t="s">
        <v>8379</v>
      </c>
      <c r="C30" s="6">
        <v>5435528</v>
      </c>
      <c r="D30" s="6" t="s">
        <v>122</v>
      </c>
      <c r="E30" s="83" t="s">
        <v>8194</v>
      </c>
      <c r="F30" s="83">
        <v>84619.8</v>
      </c>
      <c r="G30" s="83">
        <v>4653990000</v>
      </c>
      <c r="H30" s="83" t="s">
        <v>10056</v>
      </c>
      <c r="I30" s="83" t="s">
        <v>10074</v>
      </c>
      <c r="J30" s="83" t="s">
        <v>10052</v>
      </c>
    </row>
    <row r="31" spans="1:10">
      <c r="A31" s="634"/>
      <c r="B31" s="12" t="s">
        <v>8379</v>
      </c>
      <c r="C31" s="6">
        <v>5435528</v>
      </c>
      <c r="D31" s="6" t="s">
        <v>122</v>
      </c>
      <c r="E31" s="83" t="s">
        <v>8194</v>
      </c>
      <c r="F31" s="83">
        <v>81236.649999999994</v>
      </c>
      <c r="G31" s="83">
        <v>4054410000</v>
      </c>
      <c r="H31" s="83" t="s">
        <v>10056</v>
      </c>
      <c r="I31" s="83" t="s">
        <v>10075</v>
      </c>
      <c r="J31" s="83" t="s">
        <v>10052</v>
      </c>
    </row>
    <row r="32" spans="1:10">
      <c r="A32" s="634"/>
      <c r="B32" s="12" t="s">
        <v>8379</v>
      </c>
      <c r="C32" s="6">
        <v>5435528</v>
      </c>
      <c r="D32" s="6" t="s">
        <v>122</v>
      </c>
      <c r="E32" s="83" t="s">
        <v>8194</v>
      </c>
      <c r="F32" s="83">
        <v>56309.2</v>
      </c>
      <c r="G32" s="83">
        <v>2139710000</v>
      </c>
      <c r="H32" s="83" t="s">
        <v>10056</v>
      </c>
      <c r="I32" s="83" t="s">
        <v>10076</v>
      </c>
      <c r="J32" s="83" t="s">
        <v>10052</v>
      </c>
    </row>
    <row r="33" spans="1:10">
      <c r="A33" s="634"/>
      <c r="B33" s="12" t="s">
        <v>8379</v>
      </c>
      <c r="C33" s="6">
        <v>5435528</v>
      </c>
      <c r="D33" s="6" t="s">
        <v>122</v>
      </c>
      <c r="E33" s="83" t="s">
        <v>8194</v>
      </c>
      <c r="F33" s="83">
        <v>66423.55</v>
      </c>
      <c r="G33" s="83">
        <v>2685600000</v>
      </c>
      <c r="H33" s="83" t="s">
        <v>10056</v>
      </c>
      <c r="I33" s="83" t="s">
        <v>10077</v>
      </c>
      <c r="J33" s="83" t="s">
        <v>10052</v>
      </c>
    </row>
    <row r="34" spans="1:10">
      <c r="A34" s="634"/>
      <c r="B34" s="12" t="s">
        <v>8379</v>
      </c>
      <c r="C34" s="6">
        <v>5435528</v>
      </c>
      <c r="D34" s="6" t="s">
        <v>122</v>
      </c>
      <c r="E34" s="83" t="s">
        <v>8194</v>
      </c>
      <c r="F34" s="83">
        <v>165754.75</v>
      </c>
      <c r="G34" s="83">
        <v>7532620000</v>
      </c>
      <c r="H34" s="83" t="s">
        <v>10056</v>
      </c>
      <c r="I34" s="83" t="s">
        <v>10066</v>
      </c>
      <c r="J34" s="83" t="s">
        <v>10052</v>
      </c>
    </row>
    <row r="35" spans="1:10">
      <c r="A35" s="634"/>
      <c r="B35" s="12" t="s">
        <v>8379</v>
      </c>
      <c r="C35" s="6">
        <v>5435528</v>
      </c>
      <c r="D35" s="6" t="s">
        <v>122</v>
      </c>
      <c r="E35" s="83" t="s">
        <v>8194</v>
      </c>
      <c r="F35" s="83">
        <v>169185.1</v>
      </c>
      <c r="G35" s="83">
        <v>7968860000</v>
      </c>
      <c r="H35" s="83" t="s">
        <v>10056</v>
      </c>
      <c r="I35" s="83" t="s">
        <v>10078</v>
      </c>
      <c r="J35" s="83" t="s">
        <v>10052</v>
      </c>
    </row>
    <row r="36" spans="1:10">
      <c r="A36" s="634"/>
      <c r="B36" s="12" t="s">
        <v>8379</v>
      </c>
      <c r="C36" s="6">
        <v>5435528</v>
      </c>
      <c r="D36" s="6" t="s">
        <v>122</v>
      </c>
      <c r="E36" s="83" t="s">
        <v>8194</v>
      </c>
      <c r="F36" s="83">
        <v>209597.65</v>
      </c>
      <c r="G36" s="83">
        <v>8668820000</v>
      </c>
      <c r="H36" s="83" t="s">
        <v>10056</v>
      </c>
      <c r="I36" s="83" t="s">
        <v>10079</v>
      </c>
      <c r="J36" s="83" t="s">
        <v>10052</v>
      </c>
    </row>
    <row r="37" spans="1:10">
      <c r="A37" s="634"/>
      <c r="B37" s="12" t="s">
        <v>8379</v>
      </c>
      <c r="C37" s="6">
        <v>5435528</v>
      </c>
      <c r="D37" s="6" t="s">
        <v>122</v>
      </c>
      <c r="E37" s="83" t="s">
        <v>8194</v>
      </c>
      <c r="F37" s="83">
        <v>69637.7</v>
      </c>
      <c r="G37" s="83">
        <v>2428020000</v>
      </c>
      <c r="H37" s="83" t="s">
        <v>10056</v>
      </c>
      <c r="I37" s="83" t="s">
        <v>10080</v>
      </c>
      <c r="J37" s="83" t="s">
        <v>10052</v>
      </c>
    </row>
    <row r="38" spans="1:10">
      <c r="A38" s="634"/>
      <c r="B38" s="12" t="s">
        <v>8379</v>
      </c>
      <c r="C38" s="6">
        <v>5435528</v>
      </c>
      <c r="D38" s="6" t="s">
        <v>122</v>
      </c>
      <c r="E38" s="83" t="s">
        <v>8194</v>
      </c>
      <c r="F38" s="83">
        <v>140382.39999999999</v>
      </c>
      <c r="G38" s="83">
        <v>5676330000</v>
      </c>
      <c r="H38" s="83" t="s">
        <v>10056</v>
      </c>
      <c r="I38" s="83" t="s">
        <v>10081</v>
      </c>
      <c r="J38" s="83" t="s">
        <v>10052</v>
      </c>
    </row>
    <row r="39" spans="1:10">
      <c r="A39" s="634"/>
      <c r="B39" s="12" t="s">
        <v>8379</v>
      </c>
      <c r="C39" s="6">
        <v>5435528</v>
      </c>
      <c r="D39" s="6" t="s">
        <v>122</v>
      </c>
      <c r="E39" s="83" t="s">
        <v>8194</v>
      </c>
      <c r="F39" s="83">
        <v>56163</v>
      </c>
      <c r="G39" s="83">
        <v>2527270000</v>
      </c>
      <c r="H39" s="83" t="s">
        <v>10056</v>
      </c>
      <c r="I39" s="83" t="s">
        <v>10082</v>
      </c>
      <c r="J39" s="83" t="s">
        <v>10052</v>
      </c>
    </row>
    <row r="40" spans="1:10">
      <c r="A40" s="634"/>
      <c r="B40" s="12" t="s">
        <v>8379</v>
      </c>
      <c r="C40" s="6">
        <v>5435528</v>
      </c>
      <c r="D40" s="6" t="s">
        <v>122</v>
      </c>
      <c r="E40" s="83" t="s">
        <v>8194</v>
      </c>
      <c r="F40" s="83">
        <v>165135.35</v>
      </c>
      <c r="G40" s="83">
        <v>7123760000</v>
      </c>
      <c r="H40" s="83" t="s">
        <v>10056</v>
      </c>
      <c r="I40" s="83" t="s">
        <v>10083</v>
      </c>
      <c r="J40" s="83" t="s">
        <v>10052</v>
      </c>
    </row>
    <row r="41" spans="1:10">
      <c r="A41" s="634"/>
      <c r="B41" s="12" t="s">
        <v>8379</v>
      </c>
      <c r="C41" s="6">
        <v>5435528</v>
      </c>
      <c r="D41" s="6" t="s">
        <v>122</v>
      </c>
      <c r="E41" s="83" t="s">
        <v>8194</v>
      </c>
      <c r="F41" s="83">
        <v>88135.45</v>
      </c>
      <c r="G41" s="83">
        <v>4670770000</v>
      </c>
      <c r="H41" s="83" t="s">
        <v>10056</v>
      </c>
      <c r="I41" s="83" t="s">
        <v>10084</v>
      </c>
      <c r="J41" s="83" t="s">
        <v>10052</v>
      </c>
    </row>
    <row r="42" spans="1:10">
      <c r="A42" s="634"/>
      <c r="B42" s="12" t="s">
        <v>8379</v>
      </c>
      <c r="C42" s="6">
        <v>5435528</v>
      </c>
      <c r="D42" s="6" t="s">
        <v>122</v>
      </c>
      <c r="E42" s="83" t="s">
        <v>8194</v>
      </c>
      <c r="F42" s="83">
        <v>168223.9</v>
      </c>
      <c r="G42" s="83">
        <v>7863430000</v>
      </c>
      <c r="H42" s="83" t="s">
        <v>10056</v>
      </c>
      <c r="I42" s="83" t="s">
        <v>10085</v>
      </c>
      <c r="J42" s="83" t="s">
        <v>10052</v>
      </c>
    </row>
    <row r="43" spans="1:10">
      <c r="A43" s="634"/>
      <c r="B43" s="12" t="s">
        <v>8379</v>
      </c>
      <c r="C43" s="6">
        <v>5435528</v>
      </c>
      <c r="D43" s="6" t="s">
        <v>122</v>
      </c>
      <c r="E43" s="83"/>
      <c r="F43" s="83">
        <v>154478.79999999999</v>
      </c>
      <c r="G43" s="83">
        <v>6469890000</v>
      </c>
      <c r="H43" s="83" t="s">
        <v>10056</v>
      </c>
      <c r="I43" s="83" t="s">
        <v>10086</v>
      </c>
      <c r="J43" s="83" t="s">
        <v>10052</v>
      </c>
    </row>
    <row r="44" spans="1:10">
      <c r="A44" s="634"/>
      <c r="B44" s="12" t="s">
        <v>8379</v>
      </c>
      <c r="C44" s="6">
        <v>5435528</v>
      </c>
      <c r="D44" s="6" t="s">
        <v>122</v>
      </c>
      <c r="E44" s="83" t="s">
        <v>10087</v>
      </c>
      <c r="F44" s="83">
        <v>56133.2</v>
      </c>
      <c r="G44" s="83">
        <v>2133060000</v>
      </c>
      <c r="H44" s="83" t="s">
        <v>10056</v>
      </c>
      <c r="I44" s="83" t="s">
        <v>10088</v>
      </c>
      <c r="J44" s="83" t="s">
        <v>10052</v>
      </c>
    </row>
    <row r="45" spans="1:10">
      <c r="A45" s="634"/>
      <c r="B45" s="12" t="s">
        <v>8379</v>
      </c>
      <c r="C45" s="6">
        <v>5435528</v>
      </c>
      <c r="D45" s="6" t="s">
        <v>122</v>
      </c>
      <c r="E45" s="83" t="s">
        <v>8194</v>
      </c>
      <c r="F45" s="83">
        <v>185951.5</v>
      </c>
      <c r="G45" s="83">
        <v>7934860000</v>
      </c>
      <c r="H45" s="83" t="s">
        <v>10056</v>
      </c>
      <c r="I45" s="83" t="s">
        <v>10089</v>
      </c>
      <c r="J45" s="83" t="s">
        <v>10052</v>
      </c>
    </row>
    <row r="46" spans="1:10">
      <c r="A46" s="634"/>
      <c r="B46" s="12" t="s">
        <v>8379</v>
      </c>
      <c r="C46" s="6">
        <v>5435528</v>
      </c>
      <c r="D46" s="6" t="s">
        <v>122</v>
      </c>
      <c r="E46" s="83" t="s">
        <v>8194</v>
      </c>
      <c r="F46" s="83">
        <v>83249.2</v>
      </c>
      <c r="G46" s="83">
        <v>3597510000</v>
      </c>
      <c r="H46" s="83" t="s">
        <v>10056</v>
      </c>
      <c r="I46" s="83" t="s">
        <v>10090</v>
      </c>
      <c r="J46" s="83" t="s">
        <v>10052</v>
      </c>
    </row>
    <row r="47" spans="1:10">
      <c r="A47" s="634"/>
      <c r="B47" s="12" t="s">
        <v>8379</v>
      </c>
      <c r="C47" s="6">
        <v>5435528</v>
      </c>
      <c r="D47" s="6" t="s">
        <v>122</v>
      </c>
      <c r="E47" s="83" t="s">
        <v>8194</v>
      </c>
      <c r="F47" s="83">
        <v>13732.95</v>
      </c>
      <c r="G47" s="83">
        <v>755312000</v>
      </c>
      <c r="H47" s="83" t="s">
        <v>10056</v>
      </c>
      <c r="I47" s="83" t="s">
        <v>10091</v>
      </c>
      <c r="J47" s="83" t="s">
        <v>10052</v>
      </c>
    </row>
    <row r="48" spans="1:10">
      <c r="A48" s="634"/>
      <c r="B48" s="12" t="s">
        <v>8379</v>
      </c>
      <c r="C48" s="6">
        <v>5435528</v>
      </c>
      <c r="D48" s="6" t="s">
        <v>122</v>
      </c>
      <c r="E48" s="83"/>
      <c r="F48" s="83">
        <v>28879.75</v>
      </c>
      <c r="G48" s="83">
        <v>1472870000</v>
      </c>
      <c r="H48" s="83" t="s">
        <v>10056</v>
      </c>
      <c r="I48" s="83" t="s">
        <v>10092</v>
      </c>
      <c r="J48" s="83" t="s">
        <v>10052</v>
      </c>
    </row>
    <row r="49" spans="1:10">
      <c r="A49" s="634"/>
      <c r="B49" s="12" t="s">
        <v>8379</v>
      </c>
      <c r="C49" s="6">
        <v>5435528</v>
      </c>
      <c r="D49" s="6" t="s">
        <v>122</v>
      </c>
      <c r="E49" s="83"/>
      <c r="F49" s="83">
        <v>116174.25</v>
      </c>
      <c r="G49" s="83">
        <v>5688650000</v>
      </c>
      <c r="H49" s="83" t="s">
        <v>10056</v>
      </c>
      <c r="I49" s="83" t="s">
        <v>10093</v>
      </c>
      <c r="J49" s="83" t="s">
        <v>10052</v>
      </c>
    </row>
    <row r="50" spans="1:10">
      <c r="A50" s="634"/>
      <c r="B50" s="12" t="s">
        <v>8379</v>
      </c>
      <c r="C50" s="6">
        <v>5435528</v>
      </c>
      <c r="D50" s="6" t="s">
        <v>122</v>
      </c>
      <c r="E50" s="83" t="s">
        <v>8194</v>
      </c>
      <c r="F50" s="83">
        <v>134172.35</v>
      </c>
      <c r="G50" s="83">
        <v>5232650000</v>
      </c>
      <c r="H50" s="83" t="s">
        <v>10056</v>
      </c>
      <c r="I50" s="83" t="s">
        <v>10094</v>
      </c>
      <c r="J50" s="83" t="s">
        <v>10052</v>
      </c>
    </row>
    <row r="51" spans="1:10">
      <c r="A51" s="634"/>
      <c r="B51" s="12" t="s">
        <v>8379</v>
      </c>
      <c r="C51" s="6">
        <v>5435528</v>
      </c>
      <c r="D51" s="6" t="s">
        <v>122</v>
      </c>
      <c r="E51" s="83" t="s">
        <v>8194</v>
      </c>
      <c r="F51" s="83">
        <v>525304.85</v>
      </c>
      <c r="G51" s="83">
        <v>24794600000</v>
      </c>
      <c r="H51" s="83" t="s">
        <v>10056</v>
      </c>
      <c r="I51" s="83" t="s">
        <v>10095</v>
      </c>
      <c r="J51" s="83" t="s">
        <v>10052</v>
      </c>
    </row>
    <row r="52" spans="1:10">
      <c r="A52" s="634"/>
      <c r="B52" s="12" t="s">
        <v>8379</v>
      </c>
      <c r="C52" s="6">
        <v>5435528</v>
      </c>
      <c r="D52" s="6" t="s">
        <v>122</v>
      </c>
      <c r="E52" s="83" t="s">
        <v>8194</v>
      </c>
      <c r="F52" s="83">
        <v>331996.55</v>
      </c>
      <c r="G52" s="83">
        <v>15677200000</v>
      </c>
      <c r="H52" s="83" t="s">
        <v>10056</v>
      </c>
      <c r="I52" s="83" t="s">
        <v>10096</v>
      </c>
      <c r="J52" s="83" t="s">
        <v>10052</v>
      </c>
    </row>
    <row r="53" spans="1:10">
      <c r="A53" s="634"/>
      <c r="B53" s="12" t="s">
        <v>8379</v>
      </c>
      <c r="C53" s="6">
        <v>5435528</v>
      </c>
      <c r="D53" s="6" t="s">
        <v>122</v>
      </c>
      <c r="E53" s="83" t="s">
        <v>8194</v>
      </c>
      <c r="F53" s="83">
        <v>107372.1</v>
      </c>
      <c r="G53" s="83">
        <v>6628230000</v>
      </c>
      <c r="H53" s="83" t="s">
        <v>10056</v>
      </c>
      <c r="I53" s="83" t="s">
        <v>10097</v>
      </c>
      <c r="J53" s="83" t="s">
        <v>10052</v>
      </c>
    </row>
    <row r="54" spans="1:10">
      <c r="A54" s="634"/>
      <c r="B54" s="12" t="s">
        <v>8379</v>
      </c>
      <c r="C54" s="6">
        <v>5435528</v>
      </c>
      <c r="D54" s="6" t="s">
        <v>122</v>
      </c>
      <c r="E54" s="83" t="s">
        <v>8194</v>
      </c>
      <c r="F54" s="83">
        <v>377905.4</v>
      </c>
      <c r="G54" s="83">
        <v>21027500000</v>
      </c>
      <c r="H54" s="83" t="s">
        <v>10056</v>
      </c>
      <c r="I54" s="83" t="s">
        <v>10098</v>
      </c>
      <c r="J54" s="83" t="s">
        <v>10052</v>
      </c>
    </row>
    <row r="55" spans="1:10">
      <c r="A55" s="634"/>
      <c r="B55" s="12" t="s">
        <v>8379</v>
      </c>
      <c r="C55" s="6">
        <v>5435528</v>
      </c>
      <c r="D55" s="6" t="s">
        <v>122</v>
      </c>
      <c r="E55" s="83" t="s">
        <v>8194</v>
      </c>
      <c r="F55" s="83">
        <v>66559.5</v>
      </c>
      <c r="G55" s="83">
        <v>1109280000</v>
      </c>
      <c r="H55" s="83" t="s">
        <v>10056</v>
      </c>
      <c r="I55" s="83" t="s">
        <v>10099</v>
      </c>
      <c r="J55" s="83" t="s">
        <v>10055</v>
      </c>
    </row>
    <row r="56" spans="1:10">
      <c r="A56" s="634"/>
      <c r="B56" s="12" t="s">
        <v>8379</v>
      </c>
      <c r="C56" s="6">
        <v>5435528</v>
      </c>
      <c r="D56" s="6" t="s">
        <v>122</v>
      </c>
      <c r="E56" s="83" t="s">
        <v>8194</v>
      </c>
      <c r="F56" s="83">
        <v>36221.550000000003</v>
      </c>
      <c r="G56" s="83">
        <v>722620000</v>
      </c>
      <c r="H56" s="83" t="s">
        <v>10056</v>
      </c>
      <c r="I56" s="83" t="s">
        <v>10100</v>
      </c>
      <c r="J56" s="83" t="s">
        <v>10055</v>
      </c>
    </row>
    <row r="57" spans="1:10">
      <c r="A57" s="634"/>
      <c r="B57" s="12" t="s">
        <v>8379</v>
      </c>
      <c r="C57" s="6">
        <v>5435528</v>
      </c>
      <c r="D57" s="6" t="s">
        <v>122</v>
      </c>
      <c r="E57" s="83" t="s">
        <v>8194</v>
      </c>
      <c r="F57" s="83">
        <v>199835.95</v>
      </c>
      <c r="G57" s="83">
        <v>2998590000</v>
      </c>
      <c r="H57" s="83" t="s">
        <v>10056</v>
      </c>
      <c r="I57" s="83" t="s">
        <v>10101</v>
      </c>
      <c r="J57" s="83" t="s">
        <v>10055</v>
      </c>
    </row>
    <row r="58" spans="1:10">
      <c r="A58" s="634"/>
      <c r="B58" s="12" t="s">
        <v>8379</v>
      </c>
      <c r="C58" s="6">
        <v>5435528</v>
      </c>
      <c r="D58" s="6" t="s">
        <v>122</v>
      </c>
      <c r="E58" s="83" t="s">
        <v>8194</v>
      </c>
      <c r="F58" s="83">
        <v>66517.649999999994</v>
      </c>
      <c r="G58" s="83">
        <v>698435000</v>
      </c>
      <c r="H58" s="83" t="s">
        <v>10056</v>
      </c>
      <c r="I58" s="83" t="s">
        <v>10102</v>
      </c>
      <c r="J58" s="83" t="s">
        <v>10055</v>
      </c>
    </row>
    <row r="59" spans="1:10">
      <c r="A59" s="634"/>
      <c r="B59" s="12" t="s">
        <v>8379</v>
      </c>
      <c r="C59" s="6">
        <v>5435528</v>
      </c>
      <c r="D59" s="6" t="s">
        <v>122</v>
      </c>
      <c r="E59" s="83" t="s">
        <v>8194</v>
      </c>
      <c r="F59" s="83">
        <v>154749.5</v>
      </c>
      <c r="G59" s="83">
        <v>2358300000</v>
      </c>
      <c r="H59" s="83" t="s">
        <v>10056</v>
      </c>
      <c r="I59" s="83" t="s">
        <v>10066</v>
      </c>
      <c r="J59" s="83" t="s">
        <v>10055</v>
      </c>
    </row>
    <row r="60" spans="1:10">
      <c r="A60" s="634"/>
      <c r="B60" s="12" t="s">
        <v>8379</v>
      </c>
      <c r="C60" s="6">
        <v>5435528</v>
      </c>
      <c r="D60" s="6" t="s">
        <v>122</v>
      </c>
      <c r="E60" s="83" t="s">
        <v>8194</v>
      </c>
      <c r="F60" s="83">
        <v>96900.3</v>
      </c>
      <c r="G60" s="83">
        <v>2098480000</v>
      </c>
      <c r="H60" s="83" t="s">
        <v>10056</v>
      </c>
      <c r="I60" s="83" t="s">
        <v>10103</v>
      </c>
      <c r="J60" s="83" t="s">
        <v>10055</v>
      </c>
    </row>
    <row r="61" spans="1:10">
      <c r="A61" s="634"/>
      <c r="B61" s="12" t="s">
        <v>8379</v>
      </c>
      <c r="C61" s="6">
        <v>5435528</v>
      </c>
      <c r="D61" s="6" t="s">
        <v>122</v>
      </c>
      <c r="E61" s="83" t="s">
        <v>8194</v>
      </c>
      <c r="F61" s="83">
        <v>141933.1</v>
      </c>
      <c r="G61" s="83">
        <v>2427920000</v>
      </c>
      <c r="H61" s="83" t="s">
        <v>10056</v>
      </c>
      <c r="I61" s="83" t="s">
        <v>10078</v>
      </c>
      <c r="J61" s="83" t="s">
        <v>10055</v>
      </c>
    </row>
    <row r="62" spans="1:10">
      <c r="A62" s="634"/>
      <c r="B62" s="12" t="s">
        <v>8379</v>
      </c>
      <c r="C62" s="6">
        <v>5435528</v>
      </c>
      <c r="D62" s="6" t="s">
        <v>122</v>
      </c>
      <c r="E62" s="83" t="s">
        <v>8194</v>
      </c>
      <c r="F62" s="83">
        <v>64687</v>
      </c>
      <c r="G62" s="83">
        <v>892681000</v>
      </c>
      <c r="H62" s="83" t="s">
        <v>10056</v>
      </c>
      <c r="I62" s="83" t="s">
        <v>10104</v>
      </c>
      <c r="J62" s="83" t="s">
        <v>10055</v>
      </c>
    </row>
    <row r="63" spans="1:10">
      <c r="A63" s="634"/>
      <c r="B63" s="12" t="s">
        <v>8379</v>
      </c>
      <c r="C63" s="6">
        <v>5435528</v>
      </c>
      <c r="D63" s="6" t="s">
        <v>122</v>
      </c>
      <c r="E63" s="83" t="s">
        <v>8194</v>
      </c>
      <c r="F63" s="83">
        <v>20209.75</v>
      </c>
      <c r="G63" s="83">
        <v>778075000</v>
      </c>
      <c r="H63" s="83" t="s">
        <v>10056</v>
      </c>
      <c r="I63" s="83" t="s">
        <v>10105</v>
      </c>
      <c r="J63" s="83" t="s">
        <v>10055</v>
      </c>
    </row>
    <row r="64" spans="1:10">
      <c r="A64" s="634"/>
      <c r="B64" s="12" t="s">
        <v>8379</v>
      </c>
      <c r="C64" s="6">
        <v>5435528</v>
      </c>
      <c r="D64" s="6" t="s">
        <v>122</v>
      </c>
      <c r="E64" s="83"/>
      <c r="F64" s="83">
        <v>59996</v>
      </c>
      <c r="G64" s="83">
        <v>446910000</v>
      </c>
      <c r="H64" s="83" t="s">
        <v>10056</v>
      </c>
      <c r="I64" s="83" t="s">
        <v>10106</v>
      </c>
      <c r="J64" s="83" t="s">
        <v>10055</v>
      </c>
    </row>
    <row r="65" spans="1:10">
      <c r="A65" s="634"/>
      <c r="B65" s="12" t="s">
        <v>8379</v>
      </c>
      <c r="C65" s="6">
        <v>5435528</v>
      </c>
      <c r="D65" s="6" t="s">
        <v>122</v>
      </c>
      <c r="E65" s="83" t="s">
        <v>8194</v>
      </c>
      <c r="F65" s="83">
        <v>25940.7</v>
      </c>
      <c r="G65" s="83">
        <v>573289000</v>
      </c>
      <c r="H65" s="83" t="s">
        <v>10056</v>
      </c>
      <c r="I65" s="83" t="s">
        <v>10081</v>
      </c>
      <c r="J65" s="83" t="s">
        <v>10055</v>
      </c>
    </row>
    <row r="66" spans="1:10">
      <c r="A66" s="634"/>
      <c r="B66" s="12" t="s">
        <v>8379</v>
      </c>
      <c r="C66" s="6">
        <v>5435528</v>
      </c>
      <c r="D66" s="6" t="s">
        <v>122</v>
      </c>
      <c r="E66" s="83" t="s">
        <v>8194</v>
      </c>
      <c r="F66" s="83">
        <v>49414.45</v>
      </c>
      <c r="G66" s="83">
        <v>741217000</v>
      </c>
      <c r="H66" s="83" t="s">
        <v>10056</v>
      </c>
      <c r="I66" s="83" t="s">
        <v>10107</v>
      </c>
      <c r="J66" s="83" t="s">
        <v>10055</v>
      </c>
    </row>
    <row r="67" spans="1:10">
      <c r="A67" s="634"/>
      <c r="B67" s="12" t="s">
        <v>8379</v>
      </c>
      <c r="C67" s="6">
        <v>5435528</v>
      </c>
      <c r="D67" s="6" t="s">
        <v>122</v>
      </c>
      <c r="E67" s="83" t="s">
        <v>8194</v>
      </c>
      <c r="F67" s="83">
        <v>134905.20000000001</v>
      </c>
      <c r="G67" s="83">
        <v>1920040000</v>
      </c>
      <c r="H67" s="83" t="s">
        <v>10056</v>
      </c>
      <c r="I67" s="83" t="s">
        <v>10108</v>
      </c>
      <c r="J67" s="83" t="s">
        <v>10055</v>
      </c>
    </row>
    <row r="68" spans="1:10">
      <c r="A68" s="634"/>
      <c r="B68" s="12" t="s">
        <v>8379</v>
      </c>
      <c r="C68" s="6">
        <v>5435528</v>
      </c>
      <c r="D68" s="6" t="s">
        <v>122</v>
      </c>
      <c r="E68" s="83" t="s">
        <v>8194</v>
      </c>
      <c r="F68" s="83">
        <v>66651.100000000006</v>
      </c>
      <c r="G68" s="83">
        <v>466558000</v>
      </c>
      <c r="H68" s="83" t="s">
        <v>10056</v>
      </c>
      <c r="I68" s="83" t="s">
        <v>10109</v>
      </c>
      <c r="J68" s="83" t="s">
        <v>10055</v>
      </c>
    </row>
    <row r="69" spans="1:10">
      <c r="A69" s="634"/>
      <c r="B69" s="12" t="s">
        <v>8379</v>
      </c>
      <c r="C69" s="6">
        <v>5435528</v>
      </c>
      <c r="D69" s="6" t="s">
        <v>122</v>
      </c>
      <c r="E69" s="83" t="s">
        <v>8194</v>
      </c>
      <c r="F69" s="83">
        <v>21473.5</v>
      </c>
      <c r="G69" s="83">
        <v>558311000</v>
      </c>
      <c r="H69" s="83" t="s">
        <v>10056</v>
      </c>
      <c r="I69" s="83" t="s">
        <v>10110</v>
      </c>
      <c r="J69" s="83" t="s">
        <v>10055</v>
      </c>
    </row>
    <row r="70" spans="1:10">
      <c r="A70" s="634"/>
      <c r="B70" s="12" t="s">
        <v>8379</v>
      </c>
      <c r="C70" s="6">
        <v>5435528</v>
      </c>
      <c r="D70" s="6" t="s">
        <v>122</v>
      </c>
      <c r="E70" s="83" t="s">
        <v>8194</v>
      </c>
      <c r="F70" s="83">
        <v>68580.95</v>
      </c>
      <c r="G70" s="83">
        <v>720100000</v>
      </c>
      <c r="H70" s="83" t="s">
        <v>10056</v>
      </c>
      <c r="I70" s="83" t="s">
        <v>10111</v>
      </c>
      <c r="J70" s="83" t="s">
        <v>10055</v>
      </c>
    </row>
    <row r="71" spans="1:10">
      <c r="A71" s="634"/>
      <c r="B71" s="12" t="s">
        <v>8379</v>
      </c>
      <c r="C71" s="6">
        <v>5435528</v>
      </c>
      <c r="D71" s="6" t="s">
        <v>122</v>
      </c>
      <c r="E71" s="83" t="s">
        <v>8194</v>
      </c>
      <c r="F71" s="83">
        <v>65146.6</v>
      </c>
      <c r="G71" s="83">
        <v>442280000</v>
      </c>
      <c r="H71" s="83" t="s">
        <v>10056</v>
      </c>
      <c r="I71" s="83" t="s">
        <v>10112</v>
      </c>
      <c r="J71" s="83" t="s">
        <v>10055</v>
      </c>
    </row>
    <row r="72" spans="1:10">
      <c r="A72" s="634"/>
      <c r="B72" s="12" t="s">
        <v>8379</v>
      </c>
      <c r="C72" s="6">
        <v>5435528</v>
      </c>
      <c r="D72" s="6" t="s">
        <v>122</v>
      </c>
      <c r="E72" s="83" t="s">
        <v>8194</v>
      </c>
      <c r="F72" s="83">
        <v>99103.65</v>
      </c>
      <c r="G72" s="83">
        <v>1386860000</v>
      </c>
      <c r="H72" s="83" t="s">
        <v>10056</v>
      </c>
      <c r="I72" s="83" t="s">
        <v>10113</v>
      </c>
      <c r="J72" s="83" t="s">
        <v>10055</v>
      </c>
    </row>
    <row r="73" spans="1:10">
      <c r="A73" s="634"/>
      <c r="B73" s="12" t="s">
        <v>8379</v>
      </c>
      <c r="C73" s="6">
        <v>5435528</v>
      </c>
      <c r="D73" s="6" t="s">
        <v>122</v>
      </c>
      <c r="E73" s="83" t="s">
        <v>8194</v>
      </c>
      <c r="F73" s="83">
        <v>123795.8</v>
      </c>
      <c r="G73" s="83">
        <v>1383070000</v>
      </c>
      <c r="H73" s="83" t="s">
        <v>10056</v>
      </c>
      <c r="I73" s="83" t="s">
        <v>10114</v>
      </c>
      <c r="J73" s="83" t="s">
        <v>10055</v>
      </c>
    </row>
    <row r="74" spans="1:10">
      <c r="A74" s="634"/>
      <c r="B74" s="12" t="s">
        <v>8379</v>
      </c>
      <c r="C74" s="6">
        <v>5435528</v>
      </c>
      <c r="D74" s="6" t="s">
        <v>122</v>
      </c>
      <c r="E74" s="83" t="s">
        <v>8194</v>
      </c>
      <c r="F74" s="83">
        <v>87435.05</v>
      </c>
      <c r="G74" s="83">
        <v>950254000</v>
      </c>
      <c r="H74" s="83" t="s">
        <v>10056</v>
      </c>
      <c r="I74" s="83" t="s">
        <v>10115</v>
      </c>
      <c r="J74" s="83" t="s">
        <v>10055</v>
      </c>
    </row>
    <row r="75" spans="1:10">
      <c r="A75" s="634"/>
      <c r="B75" s="12" t="s">
        <v>8379</v>
      </c>
      <c r="C75" s="6">
        <v>5435528</v>
      </c>
      <c r="D75" s="6" t="s">
        <v>122</v>
      </c>
      <c r="E75" s="83" t="s">
        <v>8194</v>
      </c>
      <c r="F75" s="83">
        <v>73600.3</v>
      </c>
      <c r="G75" s="83">
        <v>1614050000</v>
      </c>
      <c r="H75" s="83" t="s">
        <v>10056</v>
      </c>
      <c r="I75" s="83" t="s">
        <v>10116</v>
      </c>
      <c r="J75" s="83" t="s">
        <v>10055</v>
      </c>
    </row>
    <row r="76" spans="1:10">
      <c r="A76" s="634"/>
      <c r="B76" s="12" t="s">
        <v>8379</v>
      </c>
      <c r="C76" s="6">
        <v>5435528</v>
      </c>
      <c r="D76" s="6" t="s">
        <v>122</v>
      </c>
      <c r="E76" s="83" t="s">
        <v>8194</v>
      </c>
      <c r="F76" s="83">
        <v>64696.25</v>
      </c>
      <c r="G76" s="83">
        <v>375238000</v>
      </c>
      <c r="H76" s="83" t="s">
        <v>10056</v>
      </c>
      <c r="I76" s="83" t="s">
        <v>10098</v>
      </c>
      <c r="J76" s="83" t="s">
        <v>10055</v>
      </c>
    </row>
    <row r="77" spans="1:10">
      <c r="A77" s="634"/>
      <c r="B77" s="12" t="s">
        <v>8379</v>
      </c>
      <c r="C77" s="6">
        <v>5435528</v>
      </c>
      <c r="D77" s="6" t="s">
        <v>122</v>
      </c>
      <c r="E77" s="83" t="s">
        <v>8194</v>
      </c>
      <c r="F77" s="83">
        <v>312932.84999999998</v>
      </c>
      <c r="G77" s="83">
        <v>6158000000</v>
      </c>
      <c r="H77" s="83" t="s">
        <v>10056</v>
      </c>
      <c r="I77" s="83" t="s">
        <v>10117</v>
      </c>
      <c r="J77" s="83" t="s">
        <v>10055</v>
      </c>
    </row>
    <row r="78" spans="1:10">
      <c r="A78" s="634"/>
      <c r="B78" s="12" t="s">
        <v>8379</v>
      </c>
      <c r="C78" s="6">
        <v>5435528</v>
      </c>
      <c r="D78" s="6" t="s">
        <v>122</v>
      </c>
      <c r="E78" s="83" t="s">
        <v>8194</v>
      </c>
      <c r="F78" s="83">
        <v>109134.55</v>
      </c>
      <c r="G78" s="83">
        <v>1074980000</v>
      </c>
      <c r="H78" s="83" t="s">
        <v>10056</v>
      </c>
      <c r="I78" s="83" t="s">
        <v>10118</v>
      </c>
      <c r="J78" s="83" t="s">
        <v>10055</v>
      </c>
    </row>
    <row r="79" spans="1:10">
      <c r="A79" s="634"/>
      <c r="B79" s="12" t="s">
        <v>8379</v>
      </c>
      <c r="C79" s="6">
        <v>5435528</v>
      </c>
      <c r="D79" s="6" t="s">
        <v>122</v>
      </c>
      <c r="E79" s="83" t="s">
        <v>8194</v>
      </c>
      <c r="F79" s="83">
        <v>308249.7</v>
      </c>
      <c r="G79" s="83">
        <v>3684780000</v>
      </c>
      <c r="H79" s="83" t="s">
        <v>10056</v>
      </c>
      <c r="I79" s="83" t="s">
        <v>10119</v>
      </c>
      <c r="J79" s="83" t="s">
        <v>10055</v>
      </c>
    </row>
    <row r="80" spans="1:10">
      <c r="A80" s="634"/>
      <c r="B80" s="12" t="s">
        <v>8379</v>
      </c>
      <c r="C80" s="6">
        <v>5435528</v>
      </c>
      <c r="D80" s="6" t="s">
        <v>122</v>
      </c>
      <c r="E80" s="83" t="s">
        <v>8194</v>
      </c>
      <c r="F80" s="83">
        <v>56546.85</v>
      </c>
      <c r="G80" s="83">
        <v>254461000</v>
      </c>
      <c r="H80" s="83" t="s">
        <v>10056</v>
      </c>
      <c r="I80" s="83" t="s">
        <v>10120</v>
      </c>
      <c r="J80" s="83" t="s">
        <v>10055</v>
      </c>
    </row>
    <row r="81" spans="1:10">
      <c r="A81" s="634"/>
      <c r="B81" s="12" t="s">
        <v>8379</v>
      </c>
      <c r="C81" s="6">
        <v>5435528</v>
      </c>
      <c r="D81" s="6" t="s">
        <v>122</v>
      </c>
      <c r="E81" s="83" t="s">
        <v>8194</v>
      </c>
      <c r="F81" s="83">
        <v>93194.35</v>
      </c>
      <c r="G81" s="83">
        <v>1397920000</v>
      </c>
      <c r="H81" s="83" t="s">
        <v>10056</v>
      </c>
      <c r="I81" s="83" t="s">
        <v>10121</v>
      </c>
      <c r="J81" s="83" t="s">
        <v>10055</v>
      </c>
    </row>
    <row r="82" spans="1:10">
      <c r="A82" s="634"/>
      <c r="B82" s="12" t="s">
        <v>8379</v>
      </c>
      <c r="C82" s="6">
        <v>5435528</v>
      </c>
      <c r="D82" s="6" t="s">
        <v>122</v>
      </c>
      <c r="E82" s="83" t="s">
        <v>8194</v>
      </c>
      <c r="F82" s="83">
        <v>320499.45</v>
      </c>
      <c r="G82" s="83">
        <v>5602370000</v>
      </c>
      <c r="H82" s="83" t="s">
        <v>10056</v>
      </c>
      <c r="I82" s="83" t="s">
        <v>10089</v>
      </c>
      <c r="J82" s="83" t="s">
        <v>10055</v>
      </c>
    </row>
    <row r="83" spans="1:10">
      <c r="A83" s="634"/>
      <c r="B83" s="12" t="s">
        <v>8379</v>
      </c>
      <c r="C83" s="6">
        <v>5435528</v>
      </c>
      <c r="D83" s="6" t="s">
        <v>122</v>
      </c>
      <c r="E83" s="83" t="s">
        <v>8194</v>
      </c>
      <c r="F83" s="83">
        <v>158498.65</v>
      </c>
      <c r="G83" s="83">
        <v>2377480000</v>
      </c>
      <c r="H83" s="83" t="s">
        <v>10056</v>
      </c>
      <c r="I83" s="83" t="s">
        <v>10114</v>
      </c>
      <c r="J83" s="83" t="s">
        <v>10055</v>
      </c>
    </row>
    <row r="84" spans="1:10">
      <c r="A84" s="634"/>
      <c r="B84" s="12" t="s">
        <v>8379</v>
      </c>
      <c r="C84" s="6">
        <v>5435528</v>
      </c>
      <c r="D84" s="6" t="s">
        <v>122</v>
      </c>
      <c r="E84" s="83" t="s">
        <v>8194</v>
      </c>
      <c r="F84" s="83">
        <v>66035.05</v>
      </c>
      <c r="G84" s="83">
        <v>1271170000</v>
      </c>
      <c r="H84" s="83" t="s">
        <v>10056</v>
      </c>
      <c r="I84" s="83" t="s">
        <v>10122</v>
      </c>
      <c r="J84" s="83" t="s">
        <v>10055</v>
      </c>
    </row>
    <row r="85" spans="1:10">
      <c r="A85" s="634"/>
      <c r="B85" s="12" t="s">
        <v>8379</v>
      </c>
      <c r="C85" s="6">
        <v>5435528</v>
      </c>
      <c r="D85" s="6" t="s">
        <v>122</v>
      </c>
      <c r="E85" s="83" t="s">
        <v>8194</v>
      </c>
      <c r="F85" s="83">
        <v>567930.9</v>
      </c>
      <c r="G85" s="83">
        <v>8901480000</v>
      </c>
      <c r="H85" s="83" t="s">
        <v>10056</v>
      </c>
      <c r="I85" s="83" t="s">
        <v>10085</v>
      </c>
      <c r="J85" s="83" t="s">
        <v>10055</v>
      </c>
    </row>
    <row r="86" spans="1:10">
      <c r="A86" s="634"/>
      <c r="B86" s="12" t="s">
        <v>8379</v>
      </c>
      <c r="C86" s="6">
        <v>5435528</v>
      </c>
      <c r="D86" s="6" t="s">
        <v>122</v>
      </c>
      <c r="E86" s="83" t="s">
        <v>8194</v>
      </c>
      <c r="F86" s="83">
        <v>81329.850000000006</v>
      </c>
      <c r="G86" s="83">
        <v>1626520000</v>
      </c>
      <c r="H86" s="83" t="s">
        <v>10056</v>
      </c>
      <c r="I86" s="83" t="s">
        <v>10117</v>
      </c>
      <c r="J86" s="83" t="s">
        <v>10055</v>
      </c>
    </row>
    <row r="87" spans="1:10">
      <c r="A87" s="634"/>
      <c r="B87" s="12" t="s">
        <v>8379</v>
      </c>
      <c r="C87" s="6">
        <v>5435528</v>
      </c>
      <c r="D87" s="6" t="s">
        <v>122</v>
      </c>
      <c r="E87" s="83" t="s">
        <v>8194</v>
      </c>
      <c r="F87" s="83">
        <v>101379.25</v>
      </c>
      <c r="G87" s="83">
        <v>669111000</v>
      </c>
      <c r="H87" s="83" t="s">
        <v>10056</v>
      </c>
      <c r="I87" s="83" t="s">
        <v>10058</v>
      </c>
      <c r="J87" s="83" t="s">
        <v>10055</v>
      </c>
    </row>
    <row r="88" spans="1:10">
      <c r="A88" s="635"/>
      <c r="B88" s="12" t="s">
        <v>8379</v>
      </c>
      <c r="C88" s="6">
        <v>5435528</v>
      </c>
      <c r="D88" s="6" t="s">
        <v>122</v>
      </c>
      <c r="E88" s="83" t="s">
        <v>8194</v>
      </c>
      <c r="F88" s="83">
        <v>82341.8</v>
      </c>
      <c r="G88" s="83">
        <v>2120300000</v>
      </c>
      <c r="H88" s="83" t="s">
        <v>10056</v>
      </c>
      <c r="I88" s="83" t="s">
        <v>10060</v>
      </c>
      <c r="J88" s="83" t="s">
        <v>10055</v>
      </c>
    </row>
    <row r="89" spans="1:10">
      <c r="A89" s="12">
        <f>A13+1</f>
        <v>10</v>
      </c>
      <c r="B89" s="219" t="s">
        <v>121</v>
      </c>
      <c r="C89" s="197">
        <v>2011239</v>
      </c>
      <c r="D89" s="6" t="s">
        <v>10123</v>
      </c>
      <c r="E89" s="6" t="s">
        <v>10123</v>
      </c>
      <c r="F89" s="6" t="s">
        <v>10123</v>
      </c>
      <c r="G89" s="6" t="s">
        <v>10123</v>
      </c>
      <c r="H89" s="6" t="s">
        <v>10123</v>
      </c>
      <c r="I89" s="6" t="s">
        <v>10123</v>
      </c>
      <c r="J89" s="6" t="s">
        <v>10123</v>
      </c>
    </row>
    <row r="90" spans="1:10">
      <c r="A90" s="12">
        <f>A89+1</f>
        <v>11</v>
      </c>
      <c r="B90" s="184" t="s">
        <v>126</v>
      </c>
      <c r="C90" s="9">
        <v>5097517</v>
      </c>
      <c r="D90" s="6"/>
      <c r="E90" s="6"/>
      <c r="F90" s="6"/>
      <c r="G90" s="6"/>
      <c r="H90" s="6"/>
      <c r="I90" s="6"/>
      <c r="J90" s="77"/>
    </row>
    <row r="91" spans="1:10">
      <c r="A91" s="12">
        <f>A90+1</f>
        <v>12</v>
      </c>
      <c r="B91" s="20" t="s">
        <v>131</v>
      </c>
      <c r="C91" s="9">
        <v>5809797</v>
      </c>
      <c r="D91" s="6" t="s">
        <v>10123</v>
      </c>
      <c r="E91" s="6" t="s">
        <v>10123</v>
      </c>
      <c r="F91" s="6" t="s">
        <v>10123</v>
      </c>
      <c r="G91" s="6" t="s">
        <v>10123</v>
      </c>
      <c r="H91" s="6" t="s">
        <v>10123</v>
      </c>
      <c r="I91" s="6" t="s">
        <v>10123</v>
      </c>
      <c r="J91" s="6" t="s">
        <v>10123</v>
      </c>
    </row>
    <row r="92" spans="1:10">
      <c r="A92" s="12">
        <f t="shared" ref="A92:A155" si="1">A91+1</f>
        <v>13</v>
      </c>
      <c r="B92" s="20" t="s">
        <v>133</v>
      </c>
      <c r="C92" s="9">
        <v>5118344</v>
      </c>
      <c r="D92" s="6" t="s">
        <v>10123</v>
      </c>
      <c r="E92" s="6" t="s">
        <v>10123</v>
      </c>
      <c r="F92" s="6" t="s">
        <v>10123</v>
      </c>
      <c r="G92" s="6" t="s">
        <v>10123</v>
      </c>
      <c r="H92" s="6" t="s">
        <v>10123</v>
      </c>
      <c r="I92" s="6" t="s">
        <v>10123</v>
      </c>
      <c r="J92" s="6" t="s">
        <v>10123</v>
      </c>
    </row>
    <row r="93" spans="1:10">
      <c r="A93" s="12">
        <f t="shared" si="1"/>
        <v>14</v>
      </c>
      <c r="B93" s="20" t="s">
        <v>136</v>
      </c>
      <c r="C93" s="9">
        <v>5095549</v>
      </c>
      <c r="D93" s="6" t="s">
        <v>10123</v>
      </c>
      <c r="E93" s="6" t="s">
        <v>10123</v>
      </c>
      <c r="F93" s="6" t="s">
        <v>10123</v>
      </c>
      <c r="G93" s="6" t="s">
        <v>10123</v>
      </c>
      <c r="H93" s="6" t="s">
        <v>10123</v>
      </c>
      <c r="I93" s="6" t="s">
        <v>10123</v>
      </c>
      <c r="J93" s="6" t="s">
        <v>10123</v>
      </c>
    </row>
    <row r="94" spans="1:10">
      <c r="A94" s="12">
        <f t="shared" si="1"/>
        <v>15</v>
      </c>
      <c r="B94" s="20" t="s">
        <v>140</v>
      </c>
      <c r="C94" s="9">
        <v>2784165</v>
      </c>
      <c r="D94" s="6" t="s">
        <v>10123</v>
      </c>
      <c r="E94" s="6" t="s">
        <v>10123</v>
      </c>
      <c r="F94" s="6" t="s">
        <v>10123</v>
      </c>
      <c r="G94" s="6" t="s">
        <v>10123</v>
      </c>
      <c r="H94" s="6" t="s">
        <v>10123</v>
      </c>
      <c r="I94" s="6" t="s">
        <v>10123</v>
      </c>
      <c r="J94" s="6" t="s">
        <v>10123</v>
      </c>
    </row>
    <row r="95" spans="1:10">
      <c r="A95" s="12">
        <f t="shared" si="1"/>
        <v>16</v>
      </c>
      <c r="B95" s="20" t="s">
        <v>143</v>
      </c>
      <c r="C95" s="9">
        <v>5133351</v>
      </c>
      <c r="D95" s="6" t="s">
        <v>10123</v>
      </c>
      <c r="E95" s="6" t="s">
        <v>10123</v>
      </c>
      <c r="F95" s="6" t="s">
        <v>10123</v>
      </c>
      <c r="G95" s="6" t="s">
        <v>10123</v>
      </c>
      <c r="H95" s="6" t="s">
        <v>10123</v>
      </c>
      <c r="I95" s="6" t="s">
        <v>10123</v>
      </c>
      <c r="J95" s="6" t="s">
        <v>10123</v>
      </c>
    </row>
    <row r="96" spans="1:10">
      <c r="A96" s="12">
        <f t="shared" si="1"/>
        <v>17</v>
      </c>
      <c r="B96" s="20" t="s">
        <v>144</v>
      </c>
      <c r="C96" s="9">
        <v>6172768</v>
      </c>
      <c r="D96" s="6" t="s">
        <v>10123</v>
      </c>
      <c r="E96" s="6" t="s">
        <v>10123</v>
      </c>
      <c r="F96" s="6" t="s">
        <v>10123</v>
      </c>
      <c r="G96" s="6" t="s">
        <v>10123</v>
      </c>
      <c r="H96" s="6" t="s">
        <v>10123</v>
      </c>
      <c r="I96" s="6" t="s">
        <v>10123</v>
      </c>
      <c r="J96" s="6" t="s">
        <v>10123</v>
      </c>
    </row>
    <row r="97" spans="1:10">
      <c r="A97" s="12">
        <f t="shared" si="1"/>
        <v>18</v>
      </c>
      <c r="B97" s="184" t="s">
        <v>146</v>
      </c>
      <c r="C97" s="9">
        <v>2788705</v>
      </c>
      <c r="D97" s="6"/>
      <c r="E97" s="6"/>
      <c r="F97" s="6"/>
      <c r="G97" s="6"/>
      <c r="H97" s="6"/>
      <c r="I97" s="6"/>
      <c r="J97" s="77"/>
    </row>
    <row r="98" spans="1:10">
      <c r="A98" s="12">
        <f t="shared" si="1"/>
        <v>19</v>
      </c>
      <c r="B98" s="20" t="s">
        <v>629</v>
      </c>
      <c r="C98" s="9">
        <v>5439183</v>
      </c>
      <c r="D98" s="6" t="s">
        <v>10123</v>
      </c>
      <c r="E98" s="6" t="s">
        <v>10123</v>
      </c>
      <c r="F98" s="6" t="s">
        <v>10123</v>
      </c>
      <c r="G98" s="6" t="s">
        <v>10123</v>
      </c>
      <c r="H98" s="6" t="s">
        <v>10123</v>
      </c>
      <c r="I98" s="6" t="s">
        <v>10123</v>
      </c>
      <c r="J98" s="6" t="s">
        <v>10123</v>
      </c>
    </row>
    <row r="99" spans="1:10">
      <c r="A99" s="12">
        <f t="shared" si="1"/>
        <v>20</v>
      </c>
      <c r="B99" s="20" t="s">
        <v>155</v>
      </c>
      <c r="C99" s="9">
        <v>5215919</v>
      </c>
      <c r="D99" s="6" t="s">
        <v>10123</v>
      </c>
      <c r="E99" s="6" t="s">
        <v>10123</v>
      </c>
      <c r="F99" s="6" t="s">
        <v>10123</v>
      </c>
      <c r="G99" s="6" t="s">
        <v>10123</v>
      </c>
      <c r="H99" s="6" t="s">
        <v>10123</v>
      </c>
      <c r="I99" s="6" t="s">
        <v>10123</v>
      </c>
      <c r="J99" s="6" t="s">
        <v>10123</v>
      </c>
    </row>
    <row r="100" spans="1:10">
      <c r="A100" s="12">
        <f t="shared" si="1"/>
        <v>21</v>
      </c>
      <c r="B100" s="20" t="s">
        <v>159</v>
      </c>
      <c r="C100" s="9">
        <v>2708701</v>
      </c>
      <c r="D100" s="6" t="s">
        <v>10123</v>
      </c>
      <c r="E100" s="6" t="s">
        <v>10123</v>
      </c>
      <c r="F100" s="6" t="s">
        <v>10123</v>
      </c>
      <c r="G100" s="6" t="s">
        <v>10123</v>
      </c>
      <c r="H100" s="6" t="s">
        <v>10123</v>
      </c>
      <c r="I100" s="6" t="s">
        <v>10123</v>
      </c>
      <c r="J100" s="6" t="s">
        <v>10123</v>
      </c>
    </row>
    <row r="101" spans="1:10">
      <c r="A101" s="12">
        <f t="shared" si="1"/>
        <v>22</v>
      </c>
      <c r="B101" s="184" t="s">
        <v>161</v>
      </c>
      <c r="C101" s="9">
        <v>2014491</v>
      </c>
      <c r="D101" s="6"/>
      <c r="E101" s="6"/>
      <c r="F101" s="6"/>
      <c r="G101" s="6"/>
      <c r="H101" s="6"/>
      <c r="I101" s="6"/>
      <c r="J101" s="77"/>
    </row>
    <row r="102" spans="1:10">
      <c r="A102" s="12">
        <f t="shared" si="1"/>
        <v>23</v>
      </c>
      <c r="B102" s="20" t="s">
        <v>165</v>
      </c>
      <c r="C102" s="9">
        <v>6414877</v>
      </c>
      <c r="D102" s="6" t="s">
        <v>10124</v>
      </c>
      <c r="E102" s="6" t="s">
        <v>8194</v>
      </c>
      <c r="F102" s="6">
        <v>4605.0339999999997</v>
      </c>
      <c r="G102" s="93">
        <v>84905300</v>
      </c>
      <c r="H102" s="6" t="s">
        <v>10050</v>
      </c>
      <c r="I102" s="6" t="s">
        <v>10054</v>
      </c>
      <c r="J102" s="6" t="s">
        <v>10055</v>
      </c>
    </row>
    <row r="103" spans="1:10">
      <c r="A103" s="12">
        <f t="shared" si="1"/>
        <v>24</v>
      </c>
      <c r="B103" s="20" t="s">
        <v>168</v>
      </c>
      <c r="C103" s="9">
        <v>5369223</v>
      </c>
      <c r="D103" s="6" t="s">
        <v>10123</v>
      </c>
      <c r="E103" s="6" t="s">
        <v>10123</v>
      </c>
      <c r="F103" s="6" t="s">
        <v>10123</v>
      </c>
      <c r="G103" s="6" t="s">
        <v>10123</v>
      </c>
      <c r="H103" s="6" t="s">
        <v>10123</v>
      </c>
      <c r="I103" s="6" t="s">
        <v>10123</v>
      </c>
      <c r="J103" s="6" t="s">
        <v>10123</v>
      </c>
    </row>
    <row r="104" spans="1:10">
      <c r="A104" s="12">
        <f t="shared" si="1"/>
        <v>25</v>
      </c>
      <c r="B104" s="20" t="s">
        <v>169</v>
      </c>
      <c r="C104" s="9">
        <v>5294088</v>
      </c>
      <c r="D104" s="6" t="s">
        <v>10123</v>
      </c>
      <c r="E104" s="6" t="s">
        <v>10123</v>
      </c>
      <c r="F104" s="6" t="s">
        <v>10123</v>
      </c>
      <c r="G104" s="6" t="s">
        <v>10123</v>
      </c>
      <c r="H104" s="6" t="s">
        <v>10123</v>
      </c>
      <c r="I104" s="6" t="s">
        <v>10123</v>
      </c>
      <c r="J104" s="6" t="s">
        <v>10123</v>
      </c>
    </row>
    <row r="105" spans="1:10">
      <c r="A105" s="12">
        <f t="shared" si="1"/>
        <v>26</v>
      </c>
      <c r="B105" s="20" t="s">
        <v>173</v>
      </c>
      <c r="C105" s="9">
        <v>2855119</v>
      </c>
      <c r="D105" s="6" t="s">
        <v>10123</v>
      </c>
      <c r="E105" s="6" t="s">
        <v>10123</v>
      </c>
      <c r="F105" s="6" t="s">
        <v>10123</v>
      </c>
      <c r="G105" s="6" t="s">
        <v>10123</v>
      </c>
      <c r="H105" s="6" t="s">
        <v>10123</v>
      </c>
      <c r="I105" s="6" t="s">
        <v>10123</v>
      </c>
      <c r="J105" s="6" t="s">
        <v>10123</v>
      </c>
    </row>
    <row r="106" spans="1:10">
      <c r="A106" s="12">
        <f t="shared" si="1"/>
        <v>27</v>
      </c>
      <c r="B106" s="168" t="s">
        <v>174</v>
      </c>
      <c r="C106" s="167">
        <v>2094533</v>
      </c>
      <c r="D106" s="6" t="s">
        <v>10123</v>
      </c>
      <c r="E106" s="6" t="s">
        <v>10123</v>
      </c>
      <c r="F106" s="6" t="s">
        <v>10123</v>
      </c>
      <c r="G106" s="6" t="s">
        <v>10123</v>
      </c>
      <c r="H106" s="6" t="s">
        <v>10123</v>
      </c>
      <c r="I106" s="6" t="s">
        <v>10123</v>
      </c>
      <c r="J106" s="6" t="s">
        <v>10123</v>
      </c>
    </row>
    <row r="107" spans="1:10">
      <c r="A107" s="12">
        <f t="shared" si="1"/>
        <v>28</v>
      </c>
      <c r="B107" s="20" t="s">
        <v>175</v>
      </c>
      <c r="C107" s="9">
        <v>5722942</v>
      </c>
      <c r="D107" s="6" t="s">
        <v>10123</v>
      </c>
      <c r="E107" s="6" t="s">
        <v>10123</v>
      </c>
      <c r="F107" s="6" t="s">
        <v>10123</v>
      </c>
      <c r="G107" s="6" t="s">
        <v>10123</v>
      </c>
      <c r="H107" s="6" t="s">
        <v>10123</v>
      </c>
      <c r="I107" s="6" t="s">
        <v>10123</v>
      </c>
      <c r="J107" s="6" t="s">
        <v>10123</v>
      </c>
    </row>
    <row r="108" spans="1:10">
      <c r="A108" s="12">
        <f t="shared" si="1"/>
        <v>29</v>
      </c>
      <c r="B108" s="20" t="s">
        <v>176</v>
      </c>
      <c r="C108" s="9">
        <v>2867494</v>
      </c>
      <c r="D108" s="6" t="s">
        <v>10123</v>
      </c>
      <c r="E108" s="6" t="s">
        <v>10123</v>
      </c>
      <c r="F108" s="6" t="s">
        <v>10123</v>
      </c>
      <c r="G108" s="6" t="s">
        <v>10123</v>
      </c>
      <c r="H108" s="6" t="s">
        <v>10123</v>
      </c>
      <c r="I108" s="6" t="s">
        <v>10123</v>
      </c>
      <c r="J108" s="6" t="s">
        <v>10123</v>
      </c>
    </row>
    <row r="109" spans="1:10">
      <c r="A109" s="12">
        <f t="shared" si="1"/>
        <v>30</v>
      </c>
      <c r="B109" s="20" t="s">
        <v>177</v>
      </c>
      <c r="C109" s="9">
        <v>6463932</v>
      </c>
      <c r="D109" s="6" t="s">
        <v>10123</v>
      </c>
      <c r="E109" s="6" t="s">
        <v>10123</v>
      </c>
      <c r="F109" s="6" t="s">
        <v>10123</v>
      </c>
      <c r="G109" s="6" t="s">
        <v>10123</v>
      </c>
      <c r="H109" s="6" t="s">
        <v>10123</v>
      </c>
      <c r="I109" s="6" t="s">
        <v>10123</v>
      </c>
      <c r="J109" s="6" t="s">
        <v>10123</v>
      </c>
    </row>
    <row r="110" spans="1:10">
      <c r="A110" s="12">
        <f t="shared" si="1"/>
        <v>31</v>
      </c>
      <c r="B110" s="184" t="s">
        <v>178</v>
      </c>
      <c r="C110" s="9">
        <v>5260833</v>
      </c>
      <c r="D110" s="6"/>
      <c r="E110" s="6"/>
      <c r="F110" s="6"/>
      <c r="G110" s="6"/>
      <c r="H110" s="6"/>
      <c r="I110" s="6"/>
      <c r="J110" s="77"/>
    </row>
    <row r="111" spans="1:10" ht="25.5">
      <c r="A111" s="12">
        <f t="shared" si="1"/>
        <v>32</v>
      </c>
      <c r="B111" s="310" t="s">
        <v>179</v>
      </c>
      <c r="C111" s="9">
        <v>2051303</v>
      </c>
      <c r="D111" s="6"/>
      <c r="E111" s="6"/>
      <c r="F111" s="6"/>
      <c r="G111" s="6"/>
      <c r="H111" s="6"/>
      <c r="I111" s="6"/>
      <c r="J111" s="77"/>
    </row>
    <row r="112" spans="1:10">
      <c r="A112" s="12">
        <f t="shared" si="1"/>
        <v>33</v>
      </c>
      <c r="B112" s="20" t="s">
        <v>183</v>
      </c>
      <c r="C112" s="9">
        <v>2061848</v>
      </c>
      <c r="D112" s="6" t="s">
        <v>10123</v>
      </c>
      <c r="E112" s="6" t="s">
        <v>10123</v>
      </c>
      <c r="F112" s="6" t="s">
        <v>10123</v>
      </c>
      <c r="G112" s="6" t="s">
        <v>10123</v>
      </c>
      <c r="H112" s="6" t="s">
        <v>10123</v>
      </c>
      <c r="I112" s="6" t="s">
        <v>10123</v>
      </c>
      <c r="J112" s="6" t="s">
        <v>10123</v>
      </c>
    </row>
    <row r="113" spans="1:10" ht="25.5">
      <c r="A113" s="12">
        <f t="shared" si="1"/>
        <v>34</v>
      </c>
      <c r="B113" s="310" t="s">
        <v>185</v>
      </c>
      <c r="C113" s="9">
        <v>2766337</v>
      </c>
      <c r="D113" s="6"/>
      <c r="E113" s="6"/>
      <c r="F113" s="6"/>
      <c r="G113" s="6"/>
      <c r="H113" s="6"/>
      <c r="I113" s="6"/>
      <c r="J113" s="77"/>
    </row>
    <row r="114" spans="1:10" ht="25.5">
      <c r="A114" s="12">
        <f t="shared" si="1"/>
        <v>35</v>
      </c>
      <c r="B114" s="310" t="s">
        <v>187</v>
      </c>
      <c r="C114" s="9">
        <v>5810086</v>
      </c>
      <c r="D114" s="6"/>
      <c r="E114" s="6"/>
      <c r="F114" s="6"/>
      <c r="G114" s="6"/>
      <c r="H114" s="6"/>
      <c r="I114" s="6"/>
      <c r="J114" s="77"/>
    </row>
    <row r="115" spans="1:10">
      <c r="A115" s="12">
        <f t="shared" si="1"/>
        <v>36</v>
      </c>
      <c r="B115" s="20" t="s">
        <v>188</v>
      </c>
      <c r="C115" s="9">
        <v>5217652</v>
      </c>
      <c r="D115" s="6" t="s">
        <v>10123</v>
      </c>
      <c r="E115" s="6" t="s">
        <v>10123</v>
      </c>
      <c r="F115" s="6" t="s">
        <v>10123</v>
      </c>
      <c r="G115" s="6" t="s">
        <v>10123</v>
      </c>
      <c r="H115" s="6" t="s">
        <v>10123</v>
      </c>
      <c r="I115" s="6" t="s">
        <v>10123</v>
      </c>
      <c r="J115" s="6" t="s">
        <v>10123</v>
      </c>
    </row>
    <row r="116" spans="1:10">
      <c r="A116" s="12">
        <f t="shared" si="1"/>
        <v>37</v>
      </c>
      <c r="B116" s="20" t="s">
        <v>189</v>
      </c>
      <c r="C116" s="9">
        <v>2780518</v>
      </c>
      <c r="D116" s="6" t="s">
        <v>10123</v>
      </c>
      <c r="E116" s="6" t="s">
        <v>10123</v>
      </c>
      <c r="F116" s="6" t="s">
        <v>10123</v>
      </c>
      <c r="G116" s="6" t="s">
        <v>10123</v>
      </c>
      <c r="H116" s="6" t="s">
        <v>10123</v>
      </c>
      <c r="I116" s="6" t="s">
        <v>10123</v>
      </c>
      <c r="J116" s="6" t="s">
        <v>10123</v>
      </c>
    </row>
    <row r="117" spans="1:10">
      <c r="A117" s="12">
        <f t="shared" si="1"/>
        <v>38</v>
      </c>
      <c r="B117" s="184" t="s">
        <v>193</v>
      </c>
      <c r="C117" s="9">
        <v>5272378</v>
      </c>
      <c r="D117" s="6"/>
      <c r="E117" s="6"/>
      <c r="F117" s="6"/>
      <c r="G117" s="6"/>
      <c r="H117" s="6"/>
      <c r="I117" s="6"/>
      <c r="J117" s="77"/>
    </row>
    <row r="118" spans="1:10">
      <c r="A118" s="12">
        <f t="shared" si="1"/>
        <v>39</v>
      </c>
      <c r="B118" s="20" t="s">
        <v>194</v>
      </c>
      <c r="C118" s="9">
        <v>5467268</v>
      </c>
      <c r="D118" s="6" t="s">
        <v>10123</v>
      </c>
      <c r="E118" s="6" t="s">
        <v>10123</v>
      </c>
      <c r="F118" s="6" t="s">
        <v>10123</v>
      </c>
      <c r="G118" s="6" t="s">
        <v>10123</v>
      </c>
      <c r="H118" s="6" t="s">
        <v>10123</v>
      </c>
      <c r="I118" s="6" t="s">
        <v>10123</v>
      </c>
      <c r="J118" s="6" t="s">
        <v>10123</v>
      </c>
    </row>
    <row r="119" spans="1:10">
      <c r="A119" s="12">
        <f t="shared" si="1"/>
        <v>40</v>
      </c>
      <c r="B119" s="20" t="s">
        <v>196</v>
      </c>
      <c r="C119" s="9">
        <v>5522935</v>
      </c>
      <c r="D119" s="6" t="s">
        <v>10123</v>
      </c>
      <c r="E119" s="6" t="s">
        <v>10123</v>
      </c>
      <c r="F119" s="6" t="s">
        <v>10123</v>
      </c>
      <c r="G119" s="6" t="s">
        <v>10123</v>
      </c>
      <c r="H119" s="6" t="s">
        <v>10123</v>
      </c>
      <c r="I119" s="6" t="s">
        <v>10123</v>
      </c>
      <c r="J119" s="6" t="s">
        <v>10123</v>
      </c>
    </row>
    <row r="120" spans="1:10">
      <c r="A120" s="12">
        <f t="shared" si="1"/>
        <v>41</v>
      </c>
      <c r="B120" s="184" t="s">
        <v>197</v>
      </c>
      <c r="C120" s="9">
        <v>5528089</v>
      </c>
      <c r="D120" s="6"/>
      <c r="E120" s="6"/>
      <c r="F120" s="6"/>
      <c r="G120" s="6"/>
      <c r="H120" s="6"/>
      <c r="I120" s="6"/>
      <c r="J120" s="77"/>
    </row>
    <row r="121" spans="1:10">
      <c r="A121" s="12">
        <f t="shared" si="1"/>
        <v>42</v>
      </c>
      <c r="B121" s="20" t="s">
        <v>198</v>
      </c>
      <c r="C121" s="9">
        <v>5396662</v>
      </c>
      <c r="D121" s="6" t="s">
        <v>10123</v>
      </c>
      <c r="E121" s="6" t="s">
        <v>10123</v>
      </c>
      <c r="F121" s="6" t="s">
        <v>10123</v>
      </c>
      <c r="G121" s="6" t="s">
        <v>10123</v>
      </c>
      <c r="H121" s="6" t="s">
        <v>10123</v>
      </c>
      <c r="I121" s="6" t="s">
        <v>10123</v>
      </c>
      <c r="J121" s="6" t="s">
        <v>10123</v>
      </c>
    </row>
    <row r="122" spans="1:10">
      <c r="A122" s="12">
        <f t="shared" si="1"/>
        <v>43</v>
      </c>
      <c r="B122" s="20" t="s">
        <v>199</v>
      </c>
      <c r="C122" s="9">
        <v>5830974</v>
      </c>
      <c r="D122" s="6" t="s">
        <v>10123</v>
      </c>
      <c r="E122" s="6" t="s">
        <v>10123</v>
      </c>
      <c r="F122" s="6" t="s">
        <v>10123</v>
      </c>
      <c r="G122" s="6" t="s">
        <v>10123</v>
      </c>
      <c r="H122" s="6" t="s">
        <v>10123</v>
      </c>
      <c r="I122" s="6" t="s">
        <v>10123</v>
      </c>
      <c r="J122" s="6" t="s">
        <v>10123</v>
      </c>
    </row>
    <row r="123" spans="1:10">
      <c r="A123" s="12">
        <f t="shared" si="1"/>
        <v>44</v>
      </c>
      <c r="B123" s="20" t="s">
        <v>201</v>
      </c>
      <c r="C123" s="9">
        <v>2057573</v>
      </c>
      <c r="D123" s="6" t="s">
        <v>10123</v>
      </c>
      <c r="E123" s="6" t="s">
        <v>10123</v>
      </c>
      <c r="F123" s="6" t="s">
        <v>10123</v>
      </c>
      <c r="G123" s="6" t="s">
        <v>10123</v>
      </c>
      <c r="H123" s="6" t="s">
        <v>10123</v>
      </c>
      <c r="I123" s="6" t="s">
        <v>10123</v>
      </c>
      <c r="J123" s="6" t="s">
        <v>10123</v>
      </c>
    </row>
    <row r="124" spans="1:10">
      <c r="A124" s="12">
        <f t="shared" si="1"/>
        <v>45</v>
      </c>
      <c r="B124" s="20" t="s">
        <v>202</v>
      </c>
      <c r="C124" s="9">
        <v>5699134</v>
      </c>
      <c r="D124" s="6" t="s">
        <v>10123</v>
      </c>
      <c r="E124" s="6" t="s">
        <v>10123</v>
      </c>
      <c r="F124" s="6" t="s">
        <v>10123</v>
      </c>
      <c r="G124" s="6" t="s">
        <v>10123</v>
      </c>
      <c r="H124" s="6" t="s">
        <v>10123</v>
      </c>
      <c r="I124" s="6" t="s">
        <v>10123</v>
      </c>
      <c r="J124" s="6" t="s">
        <v>10123</v>
      </c>
    </row>
    <row r="125" spans="1:10">
      <c r="A125" s="12">
        <f t="shared" si="1"/>
        <v>46</v>
      </c>
      <c r="B125" s="20" t="s">
        <v>203</v>
      </c>
      <c r="C125" s="9">
        <v>5412153</v>
      </c>
      <c r="D125" s="6" t="s">
        <v>10123</v>
      </c>
      <c r="E125" s="6" t="s">
        <v>10123</v>
      </c>
      <c r="F125" s="6" t="s">
        <v>10123</v>
      </c>
      <c r="G125" s="6" t="s">
        <v>10123</v>
      </c>
      <c r="H125" s="6" t="s">
        <v>10123</v>
      </c>
      <c r="I125" s="6" t="s">
        <v>10123</v>
      </c>
      <c r="J125" s="6" t="s">
        <v>10123</v>
      </c>
    </row>
    <row r="126" spans="1:10">
      <c r="A126" s="12">
        <f t="shared" si="1"/>
        <v>47</v>
      </c>
      <c r="B126" s="20" t="s">
        <v>208</v>
      </c>
      <c r="C126" s="9">
        <v>5253535</v>
      </c>
      <c r="D126" s="6" t="s">
        <v>10123</v>
      </c>
      <c r="E126" s="6" t="s">
        <v>10123</v>
      </c>
      <c r="F126" s="6" t="s">
        <v>10123</v>
      </c>
      <c r="G126" s="6" t="s">
        <v>10123</v>
      </c>
      <c r="H126" s="6" t="s">
        <v>10123</v>
      </c>
      <c r="I126" s="6" t="s">
        <v>10123</v>
      </c>
      <c r="J126" s="6" t="s">
        <v>10123</v>
      </c>
    </row>
    <row r="127" spans="1:10">
      <c r="A127" s="12">
        <f t="shared" si="1"/>
        <v>48</v>
      </c>
      <c r="B127" s="20" t="s">
        <v>210</v>
      </c>
      <c r="C127" s="9">
        <v>5150884</v>
      </c>
      <c r="D127" s="6" t="s">
        <v>10123</v>
      </c>
      <c r="E127" s="6" t="s">
        <v>10123</v>
      </c>
      <c r="F127" s="6" t="s">
        <v>10123</v>
      </c>
      <c r="G127" s="6" t="s">
        <v>10123</v>
      </c>
      <c r="H127" s="6" t="s">
        <v>10123</v>
      </c>
      <c r="I127" s="6" t="s">
        <v>10123</v>
      </c>
      <c r="J127" s="6" t="s">
        <v>10123</v>
      </c>
    </row>
    <row r="128" spans="1:10">
      <c r="A128" s="12">
        <f t="shared" si="1"/>
        <v>49</v>
      </c>
      <c r="B128" s="20" t="s">
        <v>211</v>
      </c>
      <c r="C128" s="9">
        <v>5051304</v>
      </c>
      <c r="D128" s="6" t="s">
        <v>10123</v>
      </c>
      <c r="E128" s="6" t="s">
        <v>10123</v>
      </c>
      <c r="F128" s="6" t="s">
        <v>10123</v>
      </c>
      <c r="G128" s="6" t="s">
        <v>10123</v>
      </c>
      <c r="H128" s="6" t="s">
        <v>10123</v>
      </c>
      <c r="I128" s="6" t="s">
        <v>10123</v>
      </c>
      <c r="J128" s="6" t="s">
        <v>10123</v>
      </c>
    </row>
    <row r="129" spans="1:10">
      <c r="A129" s="12">
        <f t="shared" si="1"/>
        <v>50</v>
      </c>
      <c r="B129" s="184" t="s">
        <v>213</v>
      </c>
      <c r="C129" s="9">
        <v>5401801</v>
      </c>
      <c r="D129" s="6"/>
      <c r="E129" s="6"/>
      <c r="F129" s="6"/>
      <c r="G129" s="6"/>
      <c r="H129" s="6"/>
      <c r="I129" s="6"/>
      <c r="J129" s="77"/>
    </row>
    <row r="130" spans="1:10">
      <c r="A130" s="12">
        <f t="shared" si="1"/>
        <v>51</v>
      </c>
      <c r="B130" s="20" t="s">
        <v>216</v>
      </c>
      <c r="C130" s="9">
        <v>5051134</v>
      </c>
      <c r="D130" s="6" t="s">
        <v>10123</v>
      </c>
      <c r="E130" s="6" t="s">
        <v>10123</v>
      </c>
      <c r="F130" s="6" t="s">
        <v>10123</v>
      </c>
      <c r="G130" s="6" t="s">
        <v>10123</v>
      </c>
      <c r="H130" s="6" t="s">
        <v>10123</v>
      </c>
      <c r="I130" s="6" t="s">
        <v>10123</v>
      </c>
      <c r="J130" s="6" t="s">
        <v>10123</v>
      </c>
    </row>
    <row r="131" spans="1:10">
      <c r="A131" s="12">
        <f t="shared" si="1"/>
        <v>52</v>
      </c>
      <c r="B131" s="20" t="s">
        <v>217</v>
      </c>
      <c r="C131" s="9">
        <v>2095025</v>
      </c>
      <c r="D131" s="6" t="s">
        <v>10123</v>
      </c>
      <c r="E131" s="6" t="s">
        <v>10123</v>
      </c>
      <c r="F131" s="6" t="s">
        <v>10123</v>
      </c>
      <c r="G131" s="6" t="s">
        <v>10123</v>
      </c>
      <c r="H131" s="6" t="s">
        <v>10123</v>
      </c>
      <c r="I131" s="6" t="s">
        <v>10123</v>
      </c>
      <c r="J131" s="6" t="s">
        <v>10123</v>
      </c>
    </row>
    <row r="132" spans="1:10">
      <c r="A132" s="12">
        <f t="shared" si="1"/>
        <v>53</v>
      </c>
      <c r="B132" s="20" t="s">
        <v>218</v>
      </c>
      <c r="C132" s="9">
        <v>2045931</v>
      </c>
      <c r="D132" s="6" t="s">
        <v>10123</v>
      </c>
      <c r="E132" s="6" t="s">
        <v>10123</v>
      </c>
      <c r="F132" s="6" t="s">
        <v>10123</v>
      </c>
      <c r="G132" s="6" t="s">
        <v>10123</v>
      </c>
      <c r="H132" s="6" t="s">
        <v>10123</v>
      </c>
      <c r="I132" s="6" t="s">
        <v>10123</v>
      </c>
      <c r="J132" s="6" t="s">
        <v>10123</v>
      </c>
    </row>
    <row r="133" spans="1:10">
      <c r="A133" s="12">
        <f t="shared" si="1"/>
        <v>54</v>
      </c>
      <c r="B133" s="168" t="s">
        <v>219</v>
      </c>
      <c r="C133" s="167">
        <v>2029278</v>
      </c>
      <c r="D133" s="6" t="s">
        <v>10123</v>
      </c>
      <c r="E133" s="6" t="s">
        <v>10123</v>
      </c>
      <c r="F133" s="6" t="s">
        <v>10123</v>
      </c>
      <c r="G133" s="6" t="s">
        <v>10123</v>
      </c>
      <c r="H133" s="6" t="s">
        <v>10123</v>
      </c>
      <c r="I133" s="6" t="s">
        <v>10123</v>
      </c>
      <c r="J133" s="6" t="s">
        <v>10123</v>
      </c>
    </row>
    <row r="134" spans="1:10">
      <c r="A134" s="637">
        <f t="shared" si="1"/>
        <v>55</v>
      </c>
      <c r="B134" s="543" t="s">
        <v>220</v>
      </c>
      <c r="C134" s="545">
        <v>5106567</v>
      </c>
      <c r="D134" s="6" t="s">
        <v>10125</v>
      </c>
      <c r="E134" s="6" t="s">
        <v>8194</v>
      </c>
      <c r="F134" s="83">
        <v>7186.04</v>
      </c>
      <c r="G134" s="93">
        <v>1100000</v>
      </c>
      <c r="H134" s="6" t="s">
        <v>10050</v>
      </c>
      <c r="I134" s="6" t="s">
        <v>10054</v>
      </c>
      <c r="J134" s="6" t="s">
        <v>10052</v>
      </c>
    </row>
    <row r="135" spans="1:10">
      <c r="A135" s="638"/>
      <c r="B135" s="544"/>
      <c r="C135" s="546"/>
      <c r="D135" s="6" t="s">
        <v>10126</v>
      </c>
      <c r="E135" s="6" t="s">
        <v>8194</v>
      </c>
      <c r="F135" s="6">
        <v>5</v>
      </c>
      <c r="G135" s="93">
        <v>33000000</v>
      </c>
      <c r="H135" s="6" t="s">
        <v>10050</v>
      </c>
      <c r="I135" s="6" t="s">
        <v>10127</v>
      </c>
      <c r="J135" s="6" t="s">
        <v>10052</v>
      </c>
    </row>
    <row r="136" spans="1:10">
      <c r="A136" s="12">
        <f>A134+1</f>
        <v>56</v>
      </c>
      <c r="B136" s="20" t="s">
        <v>222</v>
      </c>
      <c r="C136" s="9">
        <v>5141583</v>
      </c>
      <c r="D136" s="6" t="s">
        <v>10123</v>
      </c>
      <c r="E136" s="6" t="s">
        <v>10123</v>
      </c>
      <c r="F136" s="6" t="s">
        <v>10123</v>
      </c>
      <c r="G136" s="6" t="s">
        <v>10123</v>
      </c>
      <c r="H136" s="6" t="s">
        <v>10123</v>
      </c>
      <c r="I136" s="6" t="s">
        <v>10123</v>
      </c>
      <c r="J136" s="6" t="s">
        <v>10123</v>
      </c>
    </row>
    <row r="137" spans="1:10">
      <c r="A137" s="12">
        <f t="shared" si="1"/>
        <v>57</v>
      </c>
      <c r="B137" s="168" t="s">
        <v>223</v>
      </c>
      <c r="C137" s="167">
        <v>5118115</v>
      </c>
      <c r="D137" s="6" t="s">
        <v>10123</v>
      </c>
      <c r="E137" s="6" t="s">
        <v>10123</v>
      </c>
      <c r="F137" s="6" t="s">
        <v>10123</v>
      </c>
      <c r="G137" s="6" t="s">
        <v>10123</v>
      </c>
      <c r="H137" s="6" t="s">
        <v>10123</v>
      </c>
      <c r="I137" s="6" t="s">
        <v>10123</v>
      </c>
      <c r="J137" s="6" t="s">
        <v>10123</v>
      </c>
    </row>
    <row r="138" spans="1:10">
      <c r="A138" s="12">
        <f t="shared" si="1"/>
        <v>58</v>
      </c>
      <c r="B138" s="20" t="s">
        <v>224</v>
      </c>
      <c r="C138" s="9">
        <v>5106656</v>
      </c>
      <c r="D138" s="6" t="s">
        <v>10123</v>
      </c>
      <c r="E138" s="6" t="s">
        <v>10123</v>
      </c>
      <c r="F138" s="6" t="s">
        <v>10123</v>
      </c>
      <c r="G138" s="6" t="s">
        <v>10123</v>
      </c>
      <c r="H138" s="6" t="s">
        <v>10123</v>
      </c>
      <c r="I138" s="6" t="s">
        <v>10123</v>
      </c>
      <c r="J138" s="6" t="s">
        <v>10123</v>
      </c>
    </row>
    <row r="139" spans="1:10">
      <c r="A139" s="12">
        <f t="shared" si="1"/>
        <v>59</v>
      </c>
      <c r="B139" s="20" t="s">
        <v>225</v>
      </c>
      <c r="C139" s="9">
        <v>2010895</v>
      </c>
      <c r="D139" s="6" t="s">
        <v>10123</v>
      </c>
      <c r="E139" s="6" t="s">
        <v>10123</v>
      </c>
      <c r="F139" s="6" t="s">
        <v>10123</v>
      </c>
      <c r="G139" s="6" t="s">
        <v>10123</v>
      </c>
      <c r="H139" s="6" t="s">
        <v>10123</v>
      </c>
      <c r="I139" s="6" t="s">
        <v>10123</v>
      </c>
      <c r="J139" s="6" t="s">
        <v>10123</v>
      </c>
    </row>
    <row r="140" spans="1:10">
      <c r="A140" s="12">
        <f t="shared" si="1"/>
        <v>60</v>
      </c>
      <c r="B140" s="184" t="s">
        <v>227</v>
      </c>
      <c r="C140" s="9">
        <v>5295858</v>
      </c>
      <c r="D140" s="6"/>
      <c r="E140" s="6"/>
      <c r="F140" s="6"/>
      <c r="G140" s="6"/>
      <c r="H140" s="6"/>
      <c r="I140" s="6"/>
      <c r="J140" s="77"/>
    </row>
    <row r="141" spans="1:10">
      <c r="A141" s="12">
        <f t="shared" si="1"/>
        <v>61</v>
      </c>
      <c r="B141" s="20" t="s">
        <v>228</v>
      </c>
      <c r="C141" s="9">
        <v>6287727</v>
      </c>
      <c r="D141" s="6" t="s">
        <v>10123</v>
      </c>
      <c r="E141" s="6" t="s">
        <v>10123</v>
      </c>
      <c r="F141" s="6" t="s">
        <v>10123</v>
      </c>
      <c r="G141" s="6" t="s">
        <v>10123</v>
      </c>
      <c r="H141" s="6" t="s">
        <v>10123</v>
      </c>
      <c r="I141" s="6" t="s">
        <v>10123</v>
      </c>
      <c r="J141" s="6" t="s">
        <v>10123</v>
      </c>
    </row>
    <row r="142" spans="1:10">
      <c r="A142" s="12">
        <f t="shared" si="1"/>
        <v>62</v>
      </c>
      <c r="B142" s="184" t="s">
        <v>229</v>
      </c>
      <c r="C142" s="9">
        <v>2659603</v>
      </c>
      <c r="D142" s="6"/>
      <c r="E142" s="6"/>
      <c r="F142" s="6"/>
      <c r="G142" s="6"/>
      <c r="H142" s="6"/>
      <c r="I142" s="6"/>
      <c r="J142" s="77"/>
    </row>
    <row r="143" spans="1:10">
      <c r="A143" s="12">
        <f t="shared" si="1"/>
        <v>63</v>
      </c>
      <c r="B143" s="20" t="s">
        <v>230</v>
      </c>
      <c r="C143" s="9">
        <v>2678187</v>
      </c>
      <c r="D143" s="6" t="s">
        <v>10123</v>
      </c>
      <c r="E143" s="6" t="s">
        <v>10123</v>
      </c>
      <c r="F143" s="6" t="s">
        <v>10123</v>
      </c>
      <c r="G143" s="6" t="s">
        <v>10123</v>
      </c>
      <c r="H143" s="6" t="s">
        <v>10123</v>
      </c>
      <c r="I143" s="6" t="s">
        <v>10123</v>
      </c>
      <c r="J143" s="6" t="s">
        <v>10123</v>
      </c>
    </row>
    <row r="144" spans="1:10">
      <c r="A144" s="12">
        <f t="shared" si="1"/>
        <v>64</v>
      </c>
      <c r="B144" s="20" t="s">
        <v>232</v>
      </c>
      <c r="C144" s="9">
        <v>3615243</v>
      </c>
      <c r="D144" s="6" t="s">
        <v>10123</v>
      </c>
      <c r="E144" s="6" t="s">
        <v>10123</v>
      </c>
      <c r="F144" s="6" t="s">
        <v>10123</v>
      </c>
      <c r="G144" s="6" t="s">
        <v>10123</v>
      </c>
      <c r="H144" s="6" t="s">
        <v>10123</v>
      </c>
      <c r="I144" s="6" t="s">
        <v>10123</v>
      </c>
      <c r="J144" s="6" t="s">
        <v>10123</v>
      </c>
    </row>
    <row r="145" spans="1:10">
      <c r="A145" s="12">
        <f t="shared" si="1"/>
        <v>65</v>
      </c>
      <c r="B145" s="20" t="s">
        <v>236</v>
      </c>
      <c r="C145" s="9">
        <v>3623955</v>
      </c>
      <c r="D145" s="6" t="s">
        <v>10123</v>
      </c>
      <c r="E145" s="6" t="s">
        <v>10123</v>
      </c>
      <c r="F145" s="6" t="s">
        <v>10123</v>
      </c>
      <c r="G145" s="6" t="s">
        <v>10123</v>
      </c>
      <c r="H145" s="6" t="s">
        <v>10123</v>
      </c>
      <c r="I145" s="6" t="s">
        <v>10123</v>
      </c>
      <c r="J145" s="6" t="s">
        <v>10123</v>
      </c>
    </row>
    <row r="146" spans="1:10">
      <c r="A146" s="12">
        <f t="shared" si="1"/>
        <v>66</v>
      </c>
      <c r="B146" s="20" t="s">
        <v>239</v>
      </c>
      <c r="C146" s="9">
        <v>5199077</v>
      </c>
      <c r="D146" s="6" t="s">
        <v>10123</v>
      </c>
      <c r="E146" s="6" t="s">
        <v>10123</v>
      </c>
      <c r="F146" s="6" t="s">
        <v>10123</v>
      </c>
      <c r="G146" s="6" t="s">
        <v>10123</v>
      </c>
      <c r="H146" s="6" t="s">
        <v>10123</v>
      </c>
      <c r="I146" s="6" t="s">
        <v>10123</v>
      </c>
      <c r="J146" s="6" t="s">
        <v>10123</v>
      </c>
    </row>
    <row r="147" spans="1:10">
      <c r="A147" s="12">
        <f t="shared" si="1"/>
        <v>67</v>
      </c>
      <c r="B147" s="184" t="s">
        <v>240</v>
      </c>
      <c r="C147" s="9">
        <v>2075385</v>
      </c>
      <c r="D147" s="6"/>
      <c r="E147" s="6"/>
      <c r="F147" s="6"/>
      <c r="G147" s="6"/>
      <c r="H147" s="6"/>
      <c r="I147" s="6"/>
      <c r="J147" s="77"/>
    </row>
    <row r="148" spans="1:10">
      <c r="A148" s="12">
        <f t="shared" si="1"/>
        <v>68</v>
      </c>
      <c r="B148" s="184" t="s">
        <v>241</v>
      </c>
      <c r="C148" s="9">
        <v>2867095</v>
      </c>
      <c r="D148" s="6"/>
      <c r="E148" s="6"/>
      <c r="F148" s="6"/>
      <c r="G148" s="6"/>
      <c r="H148" s="6"/>
      <c r="I148" s="6"/>
      <c r="J148" s="77"/>
    </row>
    <row r="149" spans="1:10">
      <c r="A149" s="12">
        <f t="shared" si="1"/>
        <v>69</v>
      </c>
      <c r="B149" s="20" t="s">
        <v>242</v>
      </c>
      <c r="C149" s="9">
        <v>5076285</v>
      </c>
      <c r="D149" s="6" t="s">
        <v>10123</v>
      </c>
      <c r="E149" s="6" t="s">
        <v>10123</v>
      </c>
      <c r="F149" s="6" t="s">
        <v>10123</v>
      </c>
      <c r="G149" s="6" t="s">
        <v>10123</v>
      </c>
      <c r="H149" s="6" t="s">
        <v>10123</v>
      </c>
      <c r="I149" s="6" t="s">
        <v>10123</v>
      </c>
      <c r="J149" s="6" t="s">
        <v>10123</v>
      </c>
    </row>
    <row r="150" spans="1:10">
      <c r="A150" s="12">
        <f t="shared" si="1"/>
        <v>70</v>
      </c>
      <c r="B150" s="20" t="s">
        <v>243</v>
      </c>
      <c r="C150" s="9">
        <v>5084555</v>
      </c>
      <c r="D150" s="6" t="s">
        <v>10123</v>
      </c>
      <c r="E150" s="6" t="s">
        <v>10123</v>
      </c>
      <c r="F150" s="6" t="s">
        <v>10123</v>
      </c>
      <c r="G150" s="6" t="s">
        <v>10123</v>
      </c>
      <c r="H150" s="6" t="s">
        <v>10123</v>
      </c>
      <c r="I150" s="6" t="s">
        <v>10123</v>
      </c>
      <c r="J150" s="6" t="s">
        <v>10123</v>
      </c>
    </row>
    <row r="151" spans="1:10">
      <c r="A151" s="12">
        <f t="shared" si="1"/>
        <v>71</v>
      </c>
      <c r="B151" s="20" t="s">
        <v>244</v>
      </c>
      <c r="C151" s="9">
        <v>5261198</v>
      </c>
      <c r="D151" s="6" t="s">
        <v>10123</v>
      </c>
      <c r="E151" s="6" t="s">
        <v>10123</v>
      </c>
      <c r="F151" s="6" t="s">
        <v>10123</v>
      </c>
      <c r="G151" s="6" t="s">
        <v>10123</v>
      </c>
      <c r="H151" s="6" t="s">
        <v>10123</v>
      </c>
      <c r="I151" s="6" t="s">
        <v>10123</v>
      </c>
      <c r="J151" s="6" t="s">
        <v>10123</v>
      </c>
    </row>
    <row r="152" spans="1:10">
      <c r="A152" s="12">
        <f t="shared" si="1"/>
        <v>72</v>
      </c>
      <c r="B152" s="20" t="s">
        <v>246</v>
      </c>
      <c r="C152" s="9">
        <v>5288703</v>
      </c>
      <c r="D152" s="6" t="s">
        <v>10123</v>
      </c>
      <c r="E152" s="6" t="s">
        <v>10123</v>
      </c>
      <c r="F152" s="6" t="s">
        <v>10123</v>
      </c>
      <c r="G152" s="6" t="s">
        <v>10123</v>
      </c>
      <c r="H152" s="6" t="s">
        <v>10123</v>
      </c>
      <c r="I152" s="6" t="s">
        <v>10123</v>
      </c>
      <c r="J152" s="6" t="s">
        <v>10123</v>
      </c>
    </row>
    <row r="153" spans="1:10">
      <c r="A153" s="12">
        <f t="shared" si="1"/>
        <v>73</v>
      </c>
      <c r="B153" s="20" t="s">
        <v>248</v>
      </c>
      <c r="C153" s="9">
        <v>6232485</v>
      </c>
      <c r="D153" s="6" t="s">
        <v>10123</v>
      </c>
      <c r="E153" s="6" t="s">
        <v>10123</v>
      </c>
      <c r="F153" s="6" t="s">
        <v>10123</v>
      </c>
      <c r="G153" s="6" t="s">
        <v>10123</v>
      </c>
      <c r="H153" s="6" t="s">
        <v>10123</v>
      </c>
      <c r="I153" s="6" t="s">
        <v>10123</v>
      </c>
      <c r="J153" s="6" t="s">
        <v>10123</v>
      </c>
    </row>
    <row r="154" spans="1:10">
      <c r="A154" s="12">
        <f t="shared" si="1"/>
        <v>74</v>
      </c>
      <c r="B154" s="20" t="s">
        <v>249</v>
      </c>
      <c r="C154" s="9">
        <v>6101615</v>
      </c>
      <c r="D154" s="6" t="s">
        <v>10123</v>
      </c>
      <c r="E154" s="6" t="s">
        <v>10123</v>
      </c>
      <c r="F154" s="6" t="s">
        <v>10123</v>
      </c>
      <c r="G154" s="6" t="s">
        <v>10123</v>
      </c>
      <c r="H154" s="6" t="s">
        <v>10123</v>
      </c>
      <c r="I154" s="6" t="s">
        <v>10123</v>
      </c>
      <c r="J154" s="6" t="s">
        <v>10123</v>
      </c>
    </row>
    <row r="155" spans="1:10">
      <c r="A155" s="12">
        <f t="shared" si="1"/>
        <v>75</v>
      </c>
      <c r="B155" s="184" t="s">
        <v>250</v>
      </c>
      <c r="C155" s="9">
        <v>5120365</v>
      </c>
      <c r="D155" s="6"/>
      <c r="E155" s="6"/>
      <c r="F155" s="6"/>
      <c r="G155" s="6"/>
      <c r="H155" s="6"/>
      <c r="I155" s="6"/>
      <c r="J155" s="77"/>
    </row>
    <row r="156" spans="1:10">
      <c r="A156" s="12">
        <f t="shared" ref="A156:A301" si="2">A155+1</f>
        <v>76</v>
      </c>
      <c r="B156" s="184" t="s">
        <v>251</v>
      </c>
      <c r="C156" s="9">
        <v>2016656</v>
      </c>
      <c r="D156" s="6"/>
      <c r="E156" s="6"/>
      <c r="F156" s="6"/>
      <c r="G156" s="6"/>
      <c r="H156" s="6"/>
      <c r="I156" s="6"/>
      <c r="J156" s="77"/>
    </row>
    <row r="157" spans="1:10">
      <c r="A157" s="12">
        <f t="shared" si="2"/>
        <v>77</v>
      </c>
      <c r="B157" s="20" t="s">
        <v>253</v>
      </c>
      <c r="C157" s="9">
        <v>5872006</v>
      </c>
      <c r="D157" s="6" t="s">
        <v>10123</v>
      </c>
      <c r="E157" s="6" t="s">
        <v>10123</v>
      </c>
      <c r="F157" s="6" t="s">
        <v>10123</v>
      </c>
      <c r="G157" s="6" t="s">
        <v>10123</v>
      </c>
      <c r="H157" s="6" t="s">
        <v>10123</v>
      </c>
      <c r="I157" s="6" t="s">
        <v>10123</v>
      </c>
      <c r="J157" s="6" t="s">
        <v>10123</v>
      </c>
    </row>
    <row r="158" spans="1:10">
      <c r="A158" s="12">
        <f t="shared" si="2"/>
        <v>78</v>
      </c>
      <c r="B158" s="184" t="s">
        <v>254</v>
      </c>
      <c r="C158" s="9">
        <v>5774047</v>
      </c>
      <c r="D158" s="6"/>
      <c r="E158" s="6"/>
      <c r="F158" s="6"/>
      <c r="G158" s="6"/>
      <c r="H158" s="6"/>
      <c r="I158" s="6"/>
      <c r="J158" s="77"/>
    </row>
    <row r="159" spans="1:10">
      <c r="A159" s="12">
        <f t="shared" si="2"/>
        <v>79</v>
      </c>
      <c r="B159" s="184" t="s">
        <v>257</v>
      </c>
      <c r="C159" s="9">
        <v>5105439</v>
      </c>
      <c r="D159" s="6"/>
      <c r="E159" s="6"/>
      <c r="F159" s="6"/>
      <c r="G159" s="6"/>
      <c r="H159" s="6"/>
      <c r="I159" s="6"/>
      <c r="J159" s="77"/>
    </row>
    <row r="160" spans="1:10">
      <c r="A160" s="12">
        <f t="shared" si="2"/>
        <v>80</v>
      </c>
      <c r="B160" s="20" t="s">
        <v>258</v>
      </c>
      <c r="C160" s="9">
        <v>2663813</v>
      </c>
      <c r="D160" s="6" t="s">
        <v>10123</v>
      </c>
      <c r="E160" s="6" t="s">
        <v>10123</v>
      </c>
      <c r="F160" s="6" t="s">
        <v>10123</v>
      </c>
      <c r="G160" s="6" t="s">
        <v>10123</v>
      </c>
      <c r="H160" s="6" t="s">
        <v>10123</v>
      </c>
      <c r="I160" s="6" t="s">
        <v>10123</v>
      </c>
      <c r="J160" s="6" t="s">
        <v>10123</v>
      </c>
    </row>
    <row r="161" spans="1:10">
      <c r="A161" s="12">
        <f t="shared" si="2"/>
        <v>81</v>
      </c>
      <c r="B161" s="20" t="s">
        <v>260</v>
      </c>
      <c r="C161" s="9">
        <v>2016931</v>
      </c>
      <c r="D161" s="6" t="s">
        <v>10123</v>
      </c>
      <c r="E161" s="6" t="s">
        <v>10123</v>
      </c>
      <c r="F161" s="6" t="s">
        <v>10123</v>
      </c>
      <c r="G161" s="6" t="s">
        <v>10123</v>
      </c>
      <c r="H161" s="6" t="s">
        <v>10123</v>
      </c>
      <c r="I161" s="6" t="s">
        <v>10123</v>
      </c>
      <c r="J161" s="6" t="s">
        <v>10123</v>
      </c>
    </row>
    <row r="162" spans="1:10">
      <c r="A162" s="12">
        <f t="shared" si="2"/>
        <v>82</v>
      </c>
      <c r="B162" s="20" t="s">
        <v>263</v>
      </c>
      <c r="C162" s="9">
        <v>5513618</v>
      </c>
      <c r="D162" s="6" t="s">
        <v>10123</v>
      </c>
      <c r="E162" s="6" t="s">
        <v>10123</v>
      </c>
      <c r="F162" s="6" t="s">
        <v>10123</v>
      </c>
      <c r="G162" s="6" t="s">
        <v>10123</v>
      </c>
      <c r="H162" s="6" t="s">
        <v>10123</v>
      </c>
      <c r="I162" s="6" t="s">
        <v>10123</v>
      </c>
      <c r="J162" s="6" t="s">
        <v>10123</v>
      </c>
    </row>
    <row r="163" spans="1:10">
      <c r="A163" s="637">
        <f t="shared" si="2"/>
        <v>83</v>
      </c>
      <c r="B163" s="543" t="s">
        <v>264</v>
      </c>
      <c r="C163" s="545">
        <v>2807459</v>
      </c>
      <c r="D163" s="6" t="s">
        <v>122</v>
      </c>
      <c r="E163" s="6" t="s">
        <v>8194</v>
      </c>
      <c r="F163" s="6">
        <v>19020.37</v>
      </c>
      <c r="G163" s="93">
        <v>1454300000</v>
      </c>
      <c r="H163" s="6" t="s">
        <v>10050</v>
      </c>
      <c r="I163" s="6" t="s">
        <v>10128</v>
      </c>
      <c r="J163" s="6" t="s">
        <v>10055</v>
      </c>
    </row>
    <row r="164" spans="1:10">
      <c r="A164" s="639"/>
      <c r="B164" s="547"/>
      <c r="C164" s="548"/>
      <c r="D164" s="6" t="s">
        <v>122</v>
      </c>
      <c r="E164" s="6" t="s">
        <v>8194</v>
      </c>
      <c r="F164" s="6">
        <v>1601.77</v>
      </c>
      <c r="G164" s="93">
        <v>119946000</v>
      </c>
      <c r="H164" s="6" t="s">
        <v>10050</v>
      </c>
      <c r="I164" s="6" t="s">
        <v>10129</v>
      </c>
      <c r="J164" s="6" t="s">
        <v>10055</v>
      </c>
    </row>
    <row r="165" spans="1:10">
      <c r="A165" s="639"/>
      <c r="B165" s="547"/>
      <c r="C165" s="548"/>
      <c r="D165" s="6" t="s">
        <v>122</v>
      </c>
      <c r="E165" s="6" t="s">
        <v>8194</v>
      </c>
      <c r="F165" s="6">
        <v>4854.03</v>
      </c>
      <c r="G165" s="93">
        <v>366220000</v>
      </c>
      <c r="H165" s="6" t="s">
        <v>10050</v>
      </c>
      <c r="I165" s="6" t="s">
        <v>10130</v>
      </c>
      <c r="J165" s="6" t="s">
        <v>10055</v>
      </c>
    </row>
    <row r="166" spans="1:10">
      <c r="A166" s="639"/>
      <c r="B166" s="547"/>
      <c r="C166" s="548"/>
      <c r="D166" s="6" t="s">
        <v>122</v>
      </c>
      <c r="E166" s="6" t="s">
        <v>8194</v>
      </c>
      <c r="F166" s="6">
        <v>4271.32</v>
      </c>
      <c r="G166" s="93">
        <v>323511000</v>
      </c>
      <c r="H166" s="6" t="s">
        <v>10050</v>
      </c>
      <c r="I166" s="6" t="s">
        <v>10131</v>
      </c>
      <c r="J166" s="6" t="s">
        <v>10055</v>
      </c>
    </row>
    <row r="167" spans="1:10">
      <c r="A167" s="639"/>
      <c r="B167" s="547"/>
      <c r="C167" s="548"/>
      <c r="D167" s="6" t="s">
        <v>122</v>
      </c>
      <c r="E167" s="6" t="s">
        <v>8194</v>
      </c>
      <c r="F167" s="6">
        <v>4743.97</v>
      </c>
      <c r="G167" s="93">
        <v>357264000</v>
      </c>
      <c r="H167" s="6" t="s">
        <v>10050</v>
      </c>
      <c r="I167" s="6" t="s">
        <v>10132</v>
      </c>
      <c r="J167" s="6" t="s">
        <v>10055</v>
      </c>
    </row>
    <row r="168" spans="1:10">
      <c r="A168" s="639"/>
      <c r="B168" s="547"/>
      <c r="C168" s="548"/>
      <c r="D168" s="6" t="s">
        <v>122</v>
      </c>
      <c r="E168" s="6" t="s">
        <v>8194</v>
      </c>
      <c r="F168" s="6">
        <v>737.84</v>
      </c>
      <c r="G168" s="93">
        <v>55457900</v>
      </c>
      <c r="H168" s="6" t="s">
        <v>10050</v>
      </c>
      <c r="I168" s="6" t="s">
        <v>10133</v>
      </c>
      <c r="J168" s="6" t="s">
        <v>10055</v>
      </c>
    </row>
    <row r="169" spans="1:10">
      <c r="A169" s="639"/>
      <c r="B169" s="547"/>
      <c r="C169" s="548"/>
      <c r="D169" s="6" t="s">
        <v>122</v>
      </c>
      <c r="E169" s="6" t="s">
        <v>8194</v>
      </c>
      <c r="F169" s="6">
        <v>1674.72</v>
      </c>
      <c r="G169" s="93">
        <v>124857000</v>
      </c>
      <c r="H169" s="6" t="s">
        <v>10050</v>
      </c>
      <c r="I169" s="6" t="s">
        <v>10134</v>
      </c>
      <c r="J169" s="6" t="s">
        <v>10055</v>
      </c>
    </row>
    <row r="170" spans="1:10">
      <c r="A170" s="639"/>
      <c r="B170" s="547"/>
      <c r="C170" s="548"/>
      <c r="D170" s="6" t="s">
        <v>122</v>
      </c>
      <c r="E170" s="6" t="s">
        <v>8194</v>
      </c>
      <c r="F170" s="6">
        <v>2086.42</v>
      </c>
      <c r="G170" s="93">
        <v>155102000</v>
      </c>
      <c r="H170" s="6" t="s">
        <v>10050</v>
      </c>
      <c r="I170" s="6" t="s">
        <v>10135</v>
      </c>
      <c r="J170" s="6" t="s">
        <v>10055</v>
      </c>
    </row>
    <row r="171" spans="1:10">
      <c r="A171" s="639"/>
      <c r="B171" s="547"/>
      <c r="C171" s="548"/>
      <c r="D171" s="6" t="s">
        <v>122</v>
      </c>
      <c r="E171" s="6" t="s">
        <v>8194</v>
      </c>
      <c r="F171" s="6">
        <v>580.14</v>
      </c>
      <c r="G171" s="93">
        <v>43507500</v>
      </c>
      <c r="H171" s="6" t="s">
        <v>10050</v>
      </c>
      <c r="I171" s="6" t="s">
        <v>10136</v>
      </c>
      <c r="J171" s="6" t="s">
        <v>10055</v>
      </c>
    </row>
    <row r="172" spans="1:10">
      <c r="A172" s="638"/>
      <c r="B172" s="544"/>
      <c r="C172" s="546"/>
      <c r="D172" s="6" t="s">
        <v>122</v>
      </c>
      <c r="E172" s="6" t="s">
        <v>8194</v>
      </c>
      <c r="F172" s="6">
        <v>5516.44</v>
      </c>
      <c r="G172" s="93">
        <v>414171000</v>
      </c>
      <c r="H172" s="6" t="s">
        <v>10050</v>
      </c>
      <c r="I172" s="6" t="s">
        <v>10137</v>
      </c>
      <c r="J172" s="6" t="s">
        <v>10055</v>
      </c>
    </row>
    <row r="173" spans="1:10">
      <c r="A173" s="12">
        <f>A163+1</f>
        <v>84</v>
      </c>
      <c r="B173" s="192" t="s">
        <v>265</v>
      </c>
      <c r="C173" s="9">
        <v>2872943</v>
      </c>
      <c r="D173" s="6" t="s">
        <v>10123</v>
      </c>
      <c r="E173" s="6" t="s">
        <v>10123</v>
      </c>
      <c r="F173" s="6" t="s">
        <v>10123</v>
      </c>
      <c r="G173" s="6" t="s">
        <v>10123</v>
      </c>
      <c r="H173" s="6" t="s">
        <v>10123</v>
      </c>
      <c r="I173" s="6" t="s">
        <v>10123</v>
      </c>
      <c r="J173" s="6" t="s">
        <v>10123</v>
      </c>
    </row>
    <row r="174" spans="1:10">
      <c r="A174" s="12">
        <f t="shared" si="2"/>
        <v>85</v>
      </c>
      <c r="B174" s="20" t="s">
        <v>266</v>
      </c>
      <c r="C174" s="9">
        <v>6268048</v>
      </c>
      <c r="D174" s="6" t="s">
        <v>10123</v>
      </c>
      <c r="E174" s="6" t="s">
        <v>10123</v>
      </c>
      <c r="F174" s="6" t="s">
        <v>10123</v>
      </c>
      <c r="G174" s="6" t="s">
        <v>10123</v>
      </c>
      <c r="H174" s="6" t="s">
        <v>10123</v>
      </c>
      <c r="I174" s="6" t="s">
        <v>10123</v>
      </c>
      <c r="J174" s="6" t="s">
        <v>10123</v>
      </c>
    </row>
    <row r="175" spans="1:10">
      <c r="A175" s="12">
        <f t="shared" si="2"/>
        <v>86</v>
      </c>
      <c r="B175" s="20" t="s">
        <v>268</v>
      </c>
      <c r="C175" s="9">
        <v>5874963</v>
      </c>
      <c r="D175" s="6" t="s">
        <v>10123</v>
      </c>
      <c r="E175" s="6" t="s">
        <v>10123</v>
      </c>
      <c r="F175" s="6" t="s">
        <v>10123</v>
      </c>
      <c r="G175" s="6" t="s">
        <v>10123</v>
      </c>
      <c r="H175" s="6" t="s">
        <v>10123</v>
      </c>
      <c r="I175" s="6" t="s">
        <v>10123</v>
      </c>
      <c r="J175" s="6" t="s">
        <v>10123</v>
      </c>
    </row>
    <row r="176" spans="1:10">
      <c r="A176" s="12">
        <f t="shared" si="2"/>
        <v>87</v>
      </c>
      <c r="B176" s="20" t="s">
        <v>269</v>
      </c>
      <c r="C176" s="9">
        <v>6636624</v>
      </c>
      <c r="D176" s="6" t="s">
        <v>10123</v>
      </c>
      <c r="E176" s="6" t="s">
        <v>10123</v>
      </c>
      <c r="F176" s="6" t="s">
        <v>10123</v>
      </c>
      <c r="G176" s="6" t="s">
        <v>10123</v>
      </c>
      <c r="H176" s="6" t="s">
        <v>10123</v>
      </c>
      <c r="I176" s="6" t="s">
        <v>10123</v>
      </c>
      <c r="J176" s="6" t="s">
        <v>10123</v>
      </c>
    </row>
    <row r="177" spans="1:10">
      <c r="A177" s="12">
        <f t="shared" si="2"/>
        <v>88</v>
      </c>
      <c r="B177" s="20" t="s">
        <v>270</v>
      </c>
      <c r="C177" s="9">
        <v>2839717</v>
      </c>
      <c r="D177" s="6" t="s">
        <v>10123</v>
      </c>
      <c r="E177" s="6" t="s">
        <v>10123</v>
      </c>
      <c r="F177" s="6" t="s">
        <v>10123</v>
      </c>
      <c r="G177" s="6" t="s">
        <v>10123</v>
      </c>
      <c r="H177" s="6" t="s">
        <v>10123</v>
      </c>
      <c r="I177" s="6" t="s">
        <v>10123</v>
      </c>
      <c r="J177" s="6" t="s">
        <v>10123</v>
      </c>
    </row>
    <row r="178" spans="1:10">
      <c r="A178" s="12">
        <f t="shared" si="2"/>
        <v>89</v>
      </c>
      <c r="B178" s="20" t="s">
        <v>271</v>
      </c>
      <c r="C178" s="9">
        <v>2344343</v>
      </c>
      <c r="D178" s="6" t="s">
        <v>10123</v>
      </c>
      <c r="E178" s="6" t="s">
        <v>10123</v>
      </c>
      <c r="F178" s="6" t="s">
        <v>10123</v>
      </c>
      <c r="G178" s="6" t="s">
        <v>10123</v>
      </c>
      <c r="H178" s="6" t="s">
        <v>10123</v>
      </c>
      <c r="I178" s="6" t="s">
        <v>10123</v>
      </c>
      <c r="J178" s="6" t="s">
        <v>10123</v>
      </c>
    </row>
    <row r="179" spans="1:10">
      <c r="A179" s="12">
        <f t="shared" si="2"/>
        <v>90</v>
      </c>
      <c r="B179" s="20" t="s">
        <v>273</v>
      </c>
      <c r="C179" s="9">
        <v>2819996</v>
      </c>
      <c r="D179" s="6" t="s">
        <v>10123</v>
      </c>
      <c r="E179" s="6" t="s">
        <v>10123</v>
      </c>
      <c r="F179" s="6" t="s">
        <v>10123</v>
      </c>
      <c r="G179" s="6" t="s">
        <v>10123</v>
      </c>
      <c r="H179" s="6" t="s">
        <v>10123</v>
      </c>
      <c r="I179" s="6" t="s">
        <v>10123</v>
      </c>
      <c r="J179" s="6" t="s">
        <v>10123</v>
      </c>
    </row>
    <row r="180" spans="1:10">
      <c r="A180" s="12">
        <f t="shared" si="2"/>
        <v>91</v>
      </c>
      <c r="B180" s="20" t="s">
        <v>277</v>
      </c>
      <c r="C180" s="9">
        <v>2868687</v>
      </c>
      <c r="D180" s="6" t="s">
        <v>10123</v>
      </c>
      <c r="E180" s="6" t="s">
        <v>10123</v>
      </c>
      <c r="F180" s="6" t="s">
        <v>10123</v>
      </c>
      <c r="G180" s="6" t="s">
        <v>10123</v>
      </c>
      <c r="H180" s="6" t="s">
        <v>10123</v>
      </c>
      <c r="I180" s="6" t="s">
        <v>10123</v>
      </c>
      <c r="J180" s="6" t="s">
        <v>10123</v>
      </c>
    </row>
    <row r="181" spans="1:10">
      <c r="A181" s="12">
        <f t="shared" si="2"/>
        <v>92</v>
      </c>
      <c r="B181" s="20" t="s">
        <v>279</v>
      </c>
      <c r="C181" s="9">
        <v>5877288</v>
      </c>
      <c r="D181" s="6" t="s">
        <v>122</v>
      </c>
      <c r="E181" s="6" t="s">
        <v>8194</v>
      </c>
      <c r="F181" s="83">
        <v>322286.65999999997</v>
      </c>
      <c r="G181" s="93">
        <v>6487600000</v>
      </c>
      <c r="H181" s="6" t="s">
        <v>10050</v>
      </c>
      <c r="I181" s="6" t="s">
        <v>10054</v>
      </c>
      <c r="J181" s="77" t="s">
        <v>10055</v>
      </c>
    </row>
    <row r="182" spans="1:10">
      <c r="A182" s="12">
        <f t="shared" si="2"/>
        <v>93</v>
      </c>
      <c r="B182" s="20" t="s">
        <v>281</v>
      </c>
      <c r="C182" s="9">
        <v>6195598</v>
      </c>
      <c r="D182" s="6" t="s">
        <v>10123</v>
      </c>
      <c r="E182" s="6" t="s">
        <v>10123</v>
      </c>
      <c r="F182" s="6" t="s">
        <v>10123</v>
      </c>
      <c r="G182" s="6" t="s">
        <v>10123</v>
      </c>
      <c r="H182" s="6" t="s">
        <v>10123</v>
      </c>
      <c r="I182" s="6" t="s">
        <v>10123</v>
      </c>
      <c r="J182" s="6" t="s">
        <v>10123</v>
      </c>
    </row>
    <row r="183" spans="1:10">
      <c r="A183" s="12">
        <f t="shared" si="2"/>
        <v>94</v>
      </c>
      <c r="B183" s="20" t="s">
        <v>282</v>
      </c>
      <c r="C183" s="9">
        <v>6413811</v>
      </c>
      <c r="D183" s="6" t="s">
        <v>10123</v>
      </c>
      <c r="E183" s="6" t="s">
        <v>10123</v>
      </c>
      <c r="F183" s="6" t="s">
        <v>10123</v>
      </c>
      <c r="G183" s="6" t="s">
        <v>10123</v>
      </c>
      <c r="H183" s="6" t="s">
        <v>10123</v>
      </c>
      <c r="I183" s="6" t="s">
        <v>10123</v>
      </c>
      <c r="J183" s="6" t="s">
        <v>10123</v>
      </c>
    </row>
    <row r="184" spans="1:10">
      <c r="A184" s="12">
        <f t="shared" si="2"/>
        <v>95</v>
      </c>
      <c r="B184" s="20" t="s">
        <v>283</v>
      </c>
      <c r="C184" s="9">
        <v>2887134</v>
      </c>
      <c r="D184" s="6" t="s">
        <v>10123</v>
      </c>
      <c r="E184" s="6" t="s">
        <v>10123</v>
      </c>
      <c r="F184" s="6" t="s">
        <v>10123</v>
      </c>
      <c r="G184" s="6" t="s">
        <v>10123</v>
      </c>
      <c r="H184" s="6" t="s">
        <v>10123</v>
      </c>
      <c r="I184" s="6" t="s">
        <v>10123</v>
      </c>
      <c r="J184" s="6" t="s">
        <v>10123</v>
      </c>
    </row>
    <row r="185" spans="1:10">
      <c r="A185" s="12">
        <f t="shared" si="2"/>
        <v>96</v>
      </c>
      <c r="B185" s="20" t="s">
        <v>284</v>
      </c>
      <c r="C185" s="9">
        <v>2618176</v>
      </c>
      <c r="D185" s="6" t="s">
        <v>10123</v>
      </c>
      <c r="E185" s="6" t="s">
        <v>10123</v>
      </c>
      <c r="F185" s="6" t="s">
        <v>10123</v>
      </c>
      <c r="G185" s="6" t="s">
        <v>10123</v>
      </c>
      <c r="H185" s="6" t="s">
        <v>10123</v>
      </c>
      <c r="I185" s="6" t="s">
        <v>10123</v>
      </c>
      <c r="J185" s="6" t="s">
        <v>10123</v>
      </c>
    </row>
    <row r="186" spans="1:10">
      <c r="A186" s="12">
        <f t="shared" si="2"/>
        <v>97</v>
      </c>
      <c r="B186" s="184" t="s">
        <v>285</v>
      </c>
      <c r="C186" s="9">
        <v>5364884</v>
      </c>
      <c r="D186" s="6"/>
      <c r="E186" s="6"/>
      <c r="F186" s="6"/>
      <c r="G186" s="6"/>
      <c r="H186" s="6"/>
      <c r="I186" s="6"/>
      <c r="J186" s="77"/>
    </row>
    <row r="187" spans="1:10">
      <c r="A187" s="12">
        <f t="shared" si="2"/>
        <v>98</v>
      </c>
      <c r="B187" s="20" t="s">
        <v>286</v>
      </c>
      <c r="C187" s="9">
        <v>2100231</v>
      </c>
      <c r="D187" s="6" t="s">
        <v>10123</v>
      </c>
      <c r="E187" s="6" t="s">
        <v>10123</v>
      </c>
      <c r="F187" s="6" t="s">
        <v>10123</v>
      </c>
      <c r="G187" s="6" t="s">
        <v>10123</v>
      </c>
      <c r="H187" s="6" t="s">
        <v>10123</v>
      </c>
      <c r="I187" s="6" t="s">
        <v>10123</v>
      </c>
      <c r="J187" s="6" t="s">
        <v>10123</v>
      </c>
    </row>
    <row r="188" spans="1:10">
      <c r="A188" s="12">
        <f t="shared" si="2"/>
        <v>99</v>
      </c>
      <c r="B188" s="20" t="s">
        <v>287</v>
      </c>
      <c r="C188" s="9">
        <v>2661128</v>
      </c>
      <c r="D188" s="6" t="s">
        <v>10123</v>
      </c>
      <c r="E188" s="6" t="s">
        <v>10123</v>
      </c>
      <c r="F188" s="6" t="s">
        <v>10123</v>
      </c>
      <c r="G188" s="6" t="s">
        <v>10123</v>
      </c>
      <c r="H188" s="6" t="s">
        <v>10123</v>
      </c>
      <c r="I188" s="6" t="s">
        <v>10123</v>
      </c>
      <c r="J188" s="6" t="s">
        <v>10123</v>
      </c>
    </row>
    <row r="189" spans="1:10">
      <c r="A189" s="12">
        <f t="shared" si="2"/>
        <v>100</v>
      </c>
      <c r="B189" s="20" t="s">
        <v>290</v>
      </c>
      <c r="C189" s="9">
        <v>5878756</v>
      </c>
      <c r="D189" s="6" t="s">
        <v>10123</v>
      </c>
      <c r="E189" s="6" t="s">
        <v>10123</v>
      </c>
      <c r="F189" s="6" t="s">
        <v>10123</v>
      </c>
      <c r="G189" s="6" t="s">
        <v>10123</v>
      </c>
      <c r="H189" s="6" t="s">
        <v>10123</v>
      </c>
      <c r="I189" s="6" t="s">
        <v>10123</v>
      </c>
      <c r="J189" s="6" t="s">
        <v>10123</v>
      </c>
    </row>
    <row r="190" spans="1:10">
      <c r="A190" s="12">
        <f t="shared" si="2"/>
        <v>101</v>
      </c>
      <c r="B190" s="20" t="s">
        <v>292</v>
      </c>
      <c r="C190" s="9">
        <v>2166631</v>
      </c>
      <c r="D190" s="6" t="s">
        <v>10123</v>
      </c>
      <c r="E190" s="6" t="s">
        <v>10123</v>
      </c>
      <c r="F190" s="6" t="s">
        <v>10123</v>
      </c>
      <c r="G190" s="6" t="s">
        <v>10123</v>
      </c>
      <c r="H190" s="6" t="s">
        <v>10123</v>
      </c>
      <c r="I190" s="6" t="s">
        <v>10123</v>
      </c>
      <c r="J190" s="6" t="s">
        <v>10123</v>
      </c>
    </row>
    <row r="191" spans="1:10">
      <c r="A191" s="12">
        <f t="shared" si="2"/>
        <v>102</v>
      </c>
      <c r="B191" s="20" t="s">
        <v>296</v>
      </c>
      <c r="C191" s="9">
        <v>5671833</v>
      </c>
      <c r="D191" s="6" t="s">
        <v>10123</v>
      </c>
      <c r="E191" s="6" t="s">
        <v>10123</v>
      </c>
      <c r="F191" s="6" t="s">
        <v>10123</v>
      </c>
      <c r="G191" s="6" t="s">
        <v>10123</v>
      </c>
      <c r="H191" s="6" t="s">
        <v>10123</v>
      </c>
      <c r="I191" s="6" t="s">
        <v>10123</v>
      </c>
      <c r="J191" s="6" t="s">
        <v>10123</v>
      </c>
    </row>
    <row r="192" spans="1:10">
      <c r="A192" s="12">
        <f t="shared" si="2"/>
        <v>103</v>
      </c>
      <c r="B192" s="184" t="s">
        <v>297</v>
      </c>
      <c r="C192" s="9">
        <v>5104424</v>
      </c>
      <c r="D192" s="6"/>
      <c r="E192" s="6"/>
      <c r="F192" s="6"/>
      <c r="G192" s="6"/>
      <c r="H192" s="6"/>
      <c r="I192" s="6"/>
      <c r="J192" s="77"/>
    </row>
    <row r="193" spans="1:10">
      <c r="A193" s="12">
        <f t="shared" si="2"/>
        <v>104</v>
      </c>
      <c r="B193" s="168" t="s">
        <v>298</v>
      </c>
      <c r="C193" s="167">
        <v>2668505</v>
      </c>
      <c r="D193" s="6" t="s">
        <v>10123</v>
      </c>
      <c r="E193" s="6" t="s">
        <v>10123</v>
      </c>
      <c r="F193" s="6" t="s">
        <v>10123</v>
      </c>
      <c r="G193" s="6" t="s">
        <v>10123</v>
      </c>
      <c r="H193" s="6" t="s">
        <v>10123</v>
      </c>
      <c r="I193" s="6" t="s">
        <v>10123</v>
      </c>
      <c r="J193" s="6" t="s">
        <v>10123</v>
      </c>
    </row>
    <row r="194" spans="1:10">
      <c r="A194" s="12">
        <f t="shared" si="2"/>
        <v>105</v>
      </c>
      <c r="B194" s="184" t="s">
        <v>299</v>
      </c>
      <c r="C194" s="9">
        <v>2697947</v>
      </c>
      <c r="D194" s="177"/>
      <c r="E194" s="177"/>
      <c r="F194" s="177"/>
      <c r="G194" s="177"/>
      <c r="H194" s="177"/>
      <c r="I194" s="177"/>
      <c r="J194" s="366"/>
    </row>
    <row r="195" spans="1:10" ht="25.5">
      <c r="A195" s="637">
        <f t="shared" si="2"/>
        <v>106</v>
      </c>
      <c r="B195" s="543" t="s">
        <v>300</v>
      </c>
      <c r="C195" s="545">
        <v>5352827</v>
      </c>
      <c r="D195" s="218" t="s">
        <v>122</v>
      </c>
      <c r="E195" s="1" t="s">
        <v>8194</v>
      </c>
      <c r="F195" s="368">
        <v>1638.5</v>
      </c>
      <c r="G195" s="369">
        <v>23955800</v>
      </c>
      <c r="H195" s="1" t="s">
        <v>10050</v>
      </c>
      <c r="I195" s="1" t="s">
        <v>10138</v>
      </c>
      <c r="J195" s="1" t="s">
        <v>10055</v>
      </c>
    </row>
    <row r="196" spans="1:10">
      <c r="A196" s="639"/>
      <c r="B196" s="547"/>
      <c r="C196" s="548"/>
      <c r="D196" s="218" t="s">
        <v>10139</v>
      </c>
      <c r="E196" s="1" t="s">
        <v>8194</v>
      </c>
      <c r="F196" s="368">
        <v>3837.05</v>
      </c>
      <c r="G196" s="1">
        <v>0</v>
      </c>
      <c r="H196" s="1" t="s">
        <v>10050</v>
      </c>
      <c r="I196" s="1" t="s">
        <v>10140</v>
      </c>
      <c r="J196" s="1" t="s">
        <v>10055</v>
      </c>
    </row>
    <row r="197" spans="1:10">
      <c r="A197" s="639"/>
      <c r="B197" s="547"/>
      <c r="C197" s="548"/>
      <c r="D197" s="218" t="s">
        <v>122</v>
      </c>
      <c r="E197" s="1" t="s">
        <v>8194</v>
      </c>
      <c r="F197" s="1">
        <v>3837.05</v>
      </c>
      <c r="G197" s="1">
        <v>0</v>
      </c>
      <c r="H197" s="1" t="s">
        <v>10050</v>
      </c>
      <c r="I197" s="1" t="s">
        <v>10140</v>
      </c>
      <c r="J197" s="1" t="s">
        <v>10052</v>
      </c>
    </row>
    <row r="198" spans="1:10">
      <c r="A198" s="639"/>
      <c r="B198" s="547"/>
      <c r="C198" s="548"/>
      <c r="D198" s="218" t="s">
        <v>122</v>
      </c>
      <c r="E198" s="1" t="s">
        <v>8194</v>
      </c>
      <c r="F198" s="1">
        <v>20616.650000000001</v>
      </c>
      <c r="G198" s="369">
        <v>1256840000</v>
      </c>
      <c r="H198" s="1" t="s">
        <v>10050</v>
      </c>
      <c r="I198" s="1" t="s">
        <v>10141</v>
      </c>
      <c r="J198" s="1" t="s">
        <v>10055</v>
      </c>
    </row>
    <row r="199" spans="1:10">
      <c r="A199" s="639"/>
      <c r="B199" s="547"/>
      <c r="C199" s="548"/>
      <c r="D199" s="218" t="s">
        <v>122</v>
      </c>
      <c r="E199" s="1" t="s">
        <v>8194</v>
      </c>
      <c r="F199" s="1">
        <v>5412.55</v>
      </c>
      <c r="G199" s="1">
        <v>0</v>
      </c>
      <c r="H199" s="1" t="s">
        <v>10050</v>
      </c>
      <c r="I199" s="1" t="s">
        <v>10142</v>
      </c>
      <c r="J199" s="1" t="s">
        <v>10055</v>
      </c>
    </row>
    <row r="200" spans="1:10">
      <c r="A200" s="639"/>
      <c r="B200" s="547"/>
      <c r="C200" s="548"/>
      <c r="D200" s="218" t="s">
        <v>122</v>
      </c>
      <c r="E200" s="1" t="s">
        <v>8194</v>
      </c>
      <c r="F200" s="1">
        <v>41377.5</v>
      </c>
      <c r="G200" s="369">
        <v>2511020000</v>
      </c>
      <c r="H200" s="1" t="s">
        <v>10050</v>
      </c>
      <c r="I200" s="1" t="s">
        <v>10143</v>
      </c>
      <c r="J200" s="1" t="s">
        <v>10055</v>
      </c>
    </row>
    <row r="201" spans="1:10" ht="25.5">
      <c r="A201" s="639"/>
      <c r="B201" s="547"/>
      <c r="C201" s="548"/>
      <c r="D201" s="218" t="s">
        <v>122</v>
      </c>
      <c r="E201" s="1" t="s">
        <v>8194</v>
      </c>
      <c r="F201" s="1">
        <v>28452.9</v>
      </c>
      <c r="G201" s="369">
        <v>928924000</v>
      </c>
      <c r="H201" s="1" t="s">
        <v>10050</v>
      </c>
      <c r="I201" s="1" t="s">
        <v>10144</v>
      </c>
      <c r="J201" s="1" t="s">
        <v>10055</v>
      </c>
    </row>
    <row r="202" spans="1:10">
      <c r="A202" s="639"/>
      <c r="B202" s="547"/>
      <c r="C202" s="548"/>
      <c r="D202" s="218" t="s">
        <v>122</v>
      </c>
      <c r="E202" s="1" t="s">
        <v>8194</v>
      </c>
      <c r="F202" s="1">
        <v>52602.9</v>
      </c>
      <c r="G202" s="369">
        <v>2822560000</v>
      </c>
      <c r="H202" s="1" t="s">
        <v>10050</v>
      </c>
      <c r="I202" s="1" t="s">
        <v>10145</v>
      </c>
      <c r="J202" s="1" t="s">
        <v>10055</v>
      </c>
    </row>
    <row r="203" spans="1:10">
      <c r="A203" s="639"/>
      <c r="B203" s="547"/>
      <c r="C203" s="548"/>
      <c r="D203" s="218" t="s">
        <v>122</v>
      </c>
      <c r="E203" s="1" t="s">
        <v>8194</v>
      </c>
      <c r="F203" s="1">
        <v>8888.5</v>
      </c>
      <c r="G203" s="1">
        <v>0</v>
      </c>
      <c r="H203" s="1" t="s">
        <v>10050</v>
      </c>
      <c r="I203" s="1" t="s">
        <v>10146</v>
      </c>
      <c r="J203" s="1" t="s">
        <v>10055</v>
      </c>
    </row>
    <row r="204" spans="1:10">
      <c r="A204" s="639"/>
      <c r="B204" s="547"/>
      <c r="C204" s="548"/>
      <c r="D204" s="218" t="s">
        <v>122</v>
      </c>
      <c r="E204" s="1" t="s">
        <v>8194</v>
      </c>
      <c r="F204" s="1">
        <v>924.95</v>
      </c>
      <c r="G204" s="1">
        <v>0</v>
      </c>
      <c r="H204" s="1" t="s">
        <v>10050</v>
      </c>
      <c r="I204" s="1" t="s">
        <v>10147</v>
      </c>
      <c r="J204" s="1" t="s">
        <v>10055</v>
      </c>
    </row>
    <row r="205" spans="1:10">
      <c r="A205" s="639"/>
      <c r="B205" s="547"/>
      <c r="C205" s="548"/>
      <c r="D205" s="218" t="s">
        <v>122</v>
      </c>
      <c r="E205" s="1" t="s">
        <v>8194</v>
      </c>
      <c r="F205" s="1">
        <v>23651.9</v>
      </c>
      <c r="G205" s="369">
        <v>828708000</v>
      </c>
      <c r="H205" s="1" t="s">
        <v>10050</v>
      </c>
      <c r="I205" s="1" t="s">
        <v>10148</v>
      </c>
      <c r="J205" s="1" t="s">
        <v>10055</v>
      </c>
    </row>
    <row r="206" spans="1:10">
      <c r="A206" s="639"/>
      <c r="B206" s="547"/>
      <c r="C206" s="548"/>
      <c r="D206" s="218" t="s">
        <v>122</v>
      </c>
      <c r="E206" s="1" t="s">
        <v>8194</v>
      </c>
      <c r="F206" s="1">
        <v>46820.9</v>
      </c>
      <c r="G206" s="1">
        <v>0</v>
      </c>
      <c r="H206" s="1" t="s">
        <v>10050</v>
      </c>
      <c r="I206" s="1" t="s">
        <v>10149</v>
      </c>
      <c r="J206" s="1" t="s">
        <v>10055</v>
      </c>
    </row>
    <row r="207" spans="1:10">
      <c r="A207" s="639"/>
      <c r="B207" s="547"/>
      <c r="C207" s="548"/>
      <c r="D207" s="218" t="s">
        <v>122</v>
      </c>
      <c r="E207" s="1" t="s">
        <v>8194</v>
      </c>
      <c r="F207" s="1">
        <v>159807</v>
      </c>
      <c r="G207" s="369">
        <v>10466500000</v>
      </c>
      <c r="H207" s="1" t="s">
        <v>10050</v>
      </c>
      <c r="I207" s="1" t="s">
        <v>10150</v>
      </c>
      <c r="J207" s="1" t="s">
        <v>10055</v>
      </c>
    </row>
    <row r="208" spans="1:10">
      <c r="A208" s="639"/>
      <c r="B208" s="547"/>
      <c r="C208" s="548"/>
      <c r="D208" s="218" t="s">
        <v>122</v>
      </c>
      <c r="E208" s="1" t="s">
        <v>8194</v>
      </c>
      <c r="F208" s="1">
        <v>7449.95</v>
      </c>
      <c r="G208" s="1">
        <v>0</v>
      </c>
      <c r="H208" s="1" t="s">
        <v>10050</v>
      </c>
      <c r="I208" s="1" t="s">
        <v>10151</v>
      </c>
      <c r="J208" s="1" t="s">
        <v>10055</v>
      </c>
    </row>
    <row r="209" spans="1:10" ht="25.5">
      <c r="A209" s="639"/>
      <c r="B209" s="547"/>
      <c r="C209" s="548"/>
      <c r="D209" s="218" t="s">
        <v>122</v>
      </c>
      <c r="E209" s="1" t="s">
        <v>8194</v>
      </c>
      <c r="F209" s="1">
        <v>5525.65</v>
      </c>
      <c r="G209" s="369">
        <v>21574400</v>
      </c>
      <c r="H209" s="1" t="s">
        <v>10050</v>
      </c>
      <c r="I209" s="1" t="s">
        <v>10152</v>
      </c>
      <c r="J209" s="1" t="s">
        <v>10055</v>
      </c>
    </row>
    <row r="210" spans="1:10">
      <c r="A210" s="639"/>
      <c r="B210" s="547"/>
      <c r="C210" s="548"/>
      <c r="D210" s="218" t="s">
        <v>122</v>
      </c>
      <c r="E210" s="1" t="s">
        <v>8194</v>
      </c>
      <c r="F210" s="1">
        <v>1203.7</v>
      </c>
      <c r="G210" s="1">
        <v>0</v>
      </c>
      <c r="H210" s="1" t="s">
        <v>10050</v>
      </c>
      <c r="I210" s="1" t="s">
        <v>10153</v>
      </c>
      <c r="J210" s="1" t="s">
        <v>10055</v>
      </c>
    </row>
    <row r="211" spans="1:10">
      <c r="A211" s="639"/>
      <c r="B211" s="547"/>
      <c r="C211" s="548"/>
      <c r="D211" s="218" t="s">
        <v>122</v>
      </c>
      <c r="E211" s="1" t="s">
        <v>8194</v>
      </c>
      <c r="F211" s="1">
        <v>6592.5</v>
      </c>
      <c r="G211" s="1">
        <v>0</v>
      </c>
      <c r="H211" s="1" t="s">
        <v>10050</v>
      </c>
      <c r="I211" s="1" t="s">
        <v>10154</v>
      </c>
      <c r="J211" s="1" t="s">
        <v>10055</v>
      </c>
    </row>
    <row r="212" spans="1:10">
      <c r="A212" s="639"/>
      <c r="B212" s="547"/>
      <c r="C212" s="548"/>
      <c r="D212" s="218" t="s">
        <v>122</v>
      </c>
      <c r="E212" s="1" t="s">
        <v>8194</v>
      </c>
      <c r="F212" s="1">
        <v>57954.25</v>
      </c>
      <c r="G212" s="369">
        <v>57954</v>
      </c>
      <c r="H212" s="1" t="s">
        <v>10050</v>
      </c>
      <c r="I212" s="1" t="s">
        <v>10155</v>
      </c>
      <c r="J212" s="1" t="s">
        <v>10055</v>
      </c>
    </row>
    <row r="213" spans="1:10">
      <c r="A213" s="639"/>
      <c r="B213" s="547"/>
      <c r="C213" s="548"/>
      <c r="D213" s="218" t="s">
        <v>122</v>
      </c>
      <c r="E213" s="1" t="s">
        <v>8194</v>
      </c>
      <c r="F213" s="1">
        <v>94671.55</v>
      </c>
      <c r="G213" s="369">
        <v>2428590000</v>
      </c>
      <c r="H213" s="1" t="s">
        <v>10050</v>
      </c>
      <c r="I213" s="1" t="s">
        <v>10156</v>
      </c>
      <c r="J213" s="1" t="s">
        <v>10055</v>
      </c>
    </row>
    <row r="214" spans="1:10">
      <c r="A214" s="639"/>
      <c r="B214" s="547"/>
      <c r="C214" s="548"/>
      <c r="D214" s="218" t="s">
        <v>122</v>
      </c>
      <c r="E214" s="1" t="s">
        <v>8194</v>
      </c>
      <c r="F214" s="1">
        <v>9738.6</v>
      </c>
      <c r="G214" s="1">
        <v>0</v>
      </c>
      <c r="H214" s="1" t="s">
        <v>10050</v>
      </c>
      <c r="I214" s="1" t="s">
        <v>10157</v>
      </c>
      <c r="J214" s="1" t="s">
        <v>10055</v>
      </c>
    </row>
    <row r="215" spans="1:10">
      <c r="A215" s="639"/>
      <c r="B215" s="547"/>
      <c r="C215" s="548"/>
      <c r="D215" s="218" t="s">
        <v>122</v>
      </c>
      <c r="E215" s="1" t="s">
        <v>8194</v>
      </c>
      <c r="F215" s="1">
        <v>5596.1</v>
      </c>
      <c r="G215" s="369">
        <v>207822000</v>
      </c>
      <c r="H215" s="1" t="s">
        <v>10050</v>
      </c>
      <c r="I215" s="1" t="s">
        <v>10158</v>
      </c>
      <c r="J215" s="1" t="s">
        <v>10055</v>
      </c>
    </row>
    <row r="216" spans="1:10">
      <c r="A216" s="639"/>
      <c r="B216" s="547"/>
      <c r="C216" s="548"/>
      <c r="D216" s="218" t="s">
        <v>122</v>
      </c>
      <c r="E216" s="1" t="s">
        <v>8194</v>
      </c>
      <c r="F216" s="1">
        <v>94671.55</v>
      </c>
      <c r="G216" s="369">
        <v>2428590000</v>
      </c>
      <c r="H216" s="1" t="s">
        <v>10050</v>
      </c>
      <c r="I216" s="1" t="s">
        <v>10156</v>
      </c>
      <c r="J216" s="1" t="s">
        <v>10055</v>
      </c>
    </row>
    <row r="217" spans="1:10">
      <c r="A217" s="639"/>
      <c r="B217" s="547"/>
      <c r="C217" s="548"/>
      <c r="D217" s="218" t="s">
        <v>122</v>
      </c>
      <c r="E217" s="1" t="s">
        <v>8194</v>
      </c>
      <c r="F217" s="1">
        <v>57954.25</v>
      </c>
      <c r="G217" s="369">
        <v>57954</v>
      </c>
      <c r="H217" s="1" t="s">
        <v>10050</v>
      </c>
      <c r="I217" s="1" t="s">
        <v>10155</v>
      </c>
      <c r="J217" s="1" t="s">
        <v>10055</v>
      </c>
    </row>
    <row r="218" spans="1:10">
      <c r="A218" s="639"/>
      <c r="B218" s="547"/>
      <c r="C218" s="548"/>
      <c r="D218" s="218" t="s">
        <v>122</v>
      </c>
      <c r="E218" s="1" t="s">
        <v>8194</v>
      </c>
      <c r="F218" s="1">
        <v>6592.5</v>
      </c>
      <c r="G218" s="1">
        <v>0</v>
      </c>
      <c r="H218" s="1" t="s">
        <v>10050</v>
      </c>
      <c r="I218" s="1" t="s">
        <v>10154</v>
      </c>
      <c r="J218" s="1" t="s">
        <v>10055</v>
      </c>
    </row>
    <row r="219" spans="1:10">
      <c r="A219" s="639"/>
      <c r="B219" s="547"/>
      <c r="C219" s="548"/>
      <c r="D219" s="218" t="s">
        <v>122</v>
      </c>
      <c r="E219" s="1" t="s">
        <v>8194</v>
      </c>
      <c r="F219" s="1">
        <v>1203.7</v>
      </c>
      <c r="G219" s="1">
        <v>0</v>
      </c>
      <c r="H219" s="1" t="s">
        <v>10050</v>
      </c>
      <c r="I219" s="1" t="s">
        <v>10153</v>
      </c>
      <c r="J219" s="1" t="s">
        <v>10055</v>
      </c>
    </row>
    <row r="220" spans="1:10" ht="25.5">
      <c r="A220" s="639"/>
      <c r="B220" s="547"/>
      <c r="C220" s="548"/>
      <c r="D220" s="218" t="s">
        <v>122</v>
      </c>
      <c r="E220" s="1" t="s">
        <v>8194</v>
      </c>
      <c r="F220" s="1">
        <v>5525.65</v>
      </c>
      <c r="G220" s="369">
        <v>21574400</v>
      </c>
      <c r="H220" s="1" t="s">
        <v>10050</v>
      </c>
      <c r="I220" s="1" t="s">
        <v>10152</v>
      </c>
      <c r="J220" s="1" t="s">
        <v>10055</v>
      </c>
    </row>
    <row r="221" spans="1:10">
      <c r="A221" s="639"/>
      <c r="B221" s="547"/>
      <c r="C221" s="548"/>
      <c r="D221" s="218" t="s">
        <v>122</v>
      </c>
      <c r="E221" s="1" t="s">
        <v>8194</v>
      </c>
      <c r="F221" s="1">
        <v>7449.95</v>
      </c>
      <c r="G221" s="1">
        <v>0</v>
      </c>
      <c r="H221" s="1" t="s">
        <v>10050</v>
      </c>
      <c r="I221" s="1" t="s">
        <v>10151</v>
      </c>
      <c r="J221" s="1" t="s">
        <v>10055</v>
      </c>
    </row>
    <row r="222" spans="1:10">
      <c r="A222" s="639"/>
      <c r="B222" s="547"/>
      <c r="C222" s="548"/>
      <c r="D222" s="218" t="s">
        <v>122</v>
      </c>
      <c r="E222" s="1" t="s">
        <v>8194</v>
      </c>
      <c r="F222" s="1">
        <v>159807</v>
      </c>
      <c r="G222" s="369">
        <v>10466500000</v>
      </c>
      <c r="H222" s="1" t="s">
        <v>10050</v>
      </c>
      <c r="I222" s="1" t="s">
        <v>10150</v>
      </c>
      <c r="J222" s="1" t="s">
        <v>10055</v>
      </c>
    </row>
    <row r="223" spans="1:10">
      <c r="A223" s="639"/>
      <c r="B223" s="547"/>
      <c r="C223" s="548"/>
      <c r="D223" s="218" t="s">
        <v>122</v>
      </c>
      <c r="E223" s="1" t="s">
        <v>8194</v>
      </c>
      <c r="F223" s="1">
        <v>46820.9</v>
      </c>
      <c r="G223" s="1">
        <v>0</v>
      </c>
      <c r="H223" s="1" t="s">
        <v>10050</v>
      </c>
      <c r="I223" s="1" t="s">
        <v>10149</v>
      </c>
      <c r="J223" s="1" t="s">
        <v>10055</v>
      </c>
    </row>
    <row r="224" spans="1:10">
      <c r="A224" s="639"/>
      <c r="B224" s="547"/>
      <c r="C224" s="548"/>
      <c r="D224" s="218" t="s">
        <v>122</v>
      </c>
      <c r="E224" s="1" t="s">
        <v>8194</v>
      </c>
      <c r="F224" s="1">
        <v>23651.9</v>
      </c>
      <c r="G224" s="369">
        <v>828708000</v>
      </c>
      <c r="H224" s="1" t="s">
        <v>10050</v>
      </c>
      <c r="I224" s="1" t="s">
        <v>10148</v>
      </c>
      <c r="J224" s="1" t="s">
        <v>10055</v>
      </c>
    </row>
    <row r="225" spans="1:10">
      <c r="A225" s="639"/>
      <c r="B225" s="547"/>
      <c r="C225" s="548"/>
      <c r="D225" s="218" t="s">
        <v>122</v>
      </c>
      <c r="E225" s="1" t="s">
        <v>8194</v>
      </c>
      <c r="F225" s="1">
        <v>924.95</v>
      </c>
      <c r="G225" s="1">
        <v>0</v>
      </c>
      <c r="H225" s="1" t="s">
        <v>10050</v>
      </c>
      <c r="I225" s="1" t="s">
        <v>10147</v>
      </c>
      <c r="J225" s="1" t="s">
        <v>10055</v>
      </c>
    </row>
    <row r="226" spans="1:10">
      <c r="A226" s="639"/>
      <c r="B226" s="547"/>
      <c r="C226" s="548"/>
      <c r="D226" s="218" t="s">
        <v>122</v>
      </c>
      <c r="E226" s="1" t="s">
        <v>8194</v>
      </c>
      <c r="F226" s="1">
        <v>8888.5</v>
      </c>
      <c r="G226" s="1">
        <v>0</v>
      </c>
      <c r="H226" s="1" t="s">
        <v>10050</v>
      </c>
      <c r="I226" s="1" t="s">
        <v>10146</v>
      </c>
      <c r="J226" s="1" t="s">
        <v>10055</v>
      </c>
    </row>
    <row r="227" spans="1:10">
      <c r="A227" s="639"/>
      <c r="B227" s="547"/>
      <c r="C227" s="548"/>
      <c r="D227" s="218" t="s">
        <v>122</v>
      </c>
      <c r="E227" s="1" t="s">
        <v>8194</v>
      </c>
      <c r="F227" s="1">
        <v>52602.9</v>
      </c>
      <c r="G227" s="369">
        <v>2822560000</v>
      </c>
      <c r="H227" s="1" t="s">
        <v>10050</v>
      </c>
      <c r="I227" s="1" t="s">
        <v>10145</v>
      </c>
      <c r="J227" s="1" t="s">
        <v>10055</v>
      </c>
    </row>
    <row r="228" spans="1:10" ht="25.5">
      <c r="A228" s="639"/>
      <c r="B228" s="547"/>
      <c r="C228" s="548"/>
      <c r="D228" s="218" t="s">
        <v>122</v>
      </c>
      <c r="E228" s="1" t="s">
        <v>8194</v>
      </c>
      <c r="F228" s="1">
        <v>28452.9</v>
      </c>
      <c r="G228" s="369">
        <v>928924000</v>
      </c>
      <c r="H228" s="1" t="s">
        <v>10050</v>
      </c>
      <c r="I228" s="1" t="s">
        <v>10144</v>
      </c>
      <c r="J228" s="1" t="s">
        <v>10055</v>
      </c>
    </row>
    <row r="229" spans="1:10">
      <c r="A229" s="639"/>
      <c r="B229" s="547"/>
      <c r="C229" s="548"/>
      <c r="D229" s="218" t="s">
        <v>122</v>
      </c>
      <c r="E229" s="1" t="s">
        <v>8194</v>
      </c>
      <c r="F229" s="1">
        <v>41377.5</v>
      </c>
      <c r="G229" s="369">
        <v>2511020000</v>
      </c>
      <c r="H229" s="1" t="s">
        <v>10050</v>
      </c>
      <c r="I229" s="1" t="s">
        <v>10143</v>
      </c>
      <c r="J229" s="1" t="s">
        <v>10055</v>
      </c>
    </row>
    <row r="230" spans="1:10">
      <c r="A230" s="639"/>
      <c r="B230" s="547"/>
      <c r="C230" s="548"/>
      <c r="D230" s="218" t="s">
        <v>122</v>
      </c>
      <c r="E230" s="1" t="s">
        <v>8194</v>
      </c>
      <c r="F230" s="1">
        <v>5412.55</v>
      </c>
      <c r="G230" s="1">
        <v>0</v>
      </c>
      <c r="H230" s="1" t="s">
        <v>10050</v>
      </c>
      <c r="I230" s="1" t="s">
        <v>10142</v>
      </c>
      <c r="J230" s="1" t="s">
        <v>10055</v>
      </c>
    </row>
    <row r="231" spans="1:10">
      <c r="A231" s="639"/>
      <c r="B231" s="547"/>
      <c r="C231" s="548"/>
      <c r="D231" s="218" t="s">
        <v>122</v>
      </c>
      <c r="E231" s="1" t="s">
        <v>8194</v>
      </c>
      <c r="F231" s="1">
        <v>20616.650000000001</v>
      </c>
      <c r="G231" s="369">
        <v>1256840000</v>
      </c>
      <c r="H231" s="1" t="s">
        <v>10050</v>
      </c>
      <c r="I231" s="1" t="s">
        <v>10141</v>
      </c>
      <c r="J231" s="1" t="s">
        <v>10055</v>
      </c>
    </row>
    <row r="232" spans="1:10">
      <c r="A232" s="639"/>
      <c r="B232" s="547"/>
      <c r="C232" s="548"/>
      <c r="D232" s="218" t="s">
        <v>122</v>
      </c>
      <c r="E232" s="1" t="s">
        <v>8194</v>
      </c>
      <c r="F232" s="1">
        <v>3837.05</v>
      </c>
      <c r="G232" s="1">
        <v>0</v>
      </c>
      <c r="H232" s="1" t="s">
        <v>10050</v>
      </c>
      <c r="I232" s="1" t="s">
        <v>10140</v>
      </c>
      <c r="J232" s="1" t="s">
        <v>10052</v>
      </c>
    </row>
    <row r="233" spans="1:10">
      <c r="A233" s="639"/>
      <c r="B233" s="547"/>
      <c r="C233" s="548"/>
      <c r="D233" s="218" t="s">
        <v>122</v>
      </c>
      <c r="E233" s="1" t="s">
        <v>8194</v>
      </c>
      <c r="F233" s="1">
        <v>9738.6</v>
      </c>
      <c r="G233" s="1">
        <v>0</v>
      </c>
      <c r="H233" s="1" t="s">
        <v>10050</v>
      </c>
      <c r="I233" s="1" t="s">
        <v>10157</v>
      </c>
      <c r="J233" s="1" t="s">
        <v>10055</v>
      </c>
    </row>
    <row r="234" spans="1:10">
      <c r="A234" s="639"/>
      <c r="B234" s="547"/>
      <c r="C234" s="548"/>
      <c r="D234" s="218" t="s">
        <v>122</v>
      </c>
      <c r="E234" s="1" t="s">
        <v>8194</v>
      </c>
      <c r="F234" s="1">
        <v>5596.1</v>
      </c>
      <c r="G234" s="369">
        <v>207822000</v>
      </c>
      <c r="H234" s="1" t="s">
        <v>10050</v>
      </c>
      <c r="I234" s="1" t="s">
        <v>10158</v>
      </c>
      <c r="J234" s="1" t="s">
        <v>10055</v>
      </c>
    </row>
    <row r="235" spans="1:10">
      <c r="A235" s="639"/>
      <c r="B235" s="547"/>
      <c r="C235" s="548"/>
      <c r="D235" s="218" t="s">
        <v>122</v>
      </c>
      <c r="E235" s="1" t="s">
        <v>8194</v>
      </c>
      <c r="F235" s="1">
        <v>15099.85</v>
      </c>
      <c r="G235" s="369">
        <v>851599000</v>
      </c>
      <c r="H235" s="1" t="s">
        <v>10050</v>
      </c>
      <c r="I235" s="1" t="s">
        <v>10159</v>
      </c>
      <c r="J235" s="1" t="s">
        <v>10055</v>
      </c>
    </row>
    <row r="236" spans="1:10">
      <c r="A236" s="639"/>
      <c r="B236" s="547"/>
      <c r="C236" s="548"/>
      <c r="D236" s="218" t="s">
        <v>122</v>
      </c>
      <c r="E236" s="1" t="s">
        <v>8194</v>
      </c>
      <c r="F236" s="1">
        <v>19402.95</v>
      </c>
      <c r="G236" s="369">
        <v>1177490000</v>
      </c>
      <c r="H236" s="1" t="s">
        <v>10050</v>
      </c>
      <c r="I236" s="1" t="s">
        <v>10160</v>
      </c>
      <c r="J236" s="1" t="s">
        <v>10055</v>
      </c>
    </row>
    <row r="237" spans="1:10">
      <c r="A237" s="639"/>
      <c r="B237" s="547"/>
      <c r="C237" s="548"/>
      <c r="D237" s="218" t="s">
        <v>122</v>
      </c>
      <c r="E237" s="1" t="s">
        <v>8194</v>
      </c>
      <c r="F237" s="1">
        <v>4815.3999999999996</v>
      </c>
      <c r="G237" s="369">
        <v>398424000</v>
      </c>
      <c r="H237" s="1" t="s">
        <v>10050</v>
      </c>
      <c r="I237" s="1" t="s">
        <v>10161</v>
      </c>
      <c r="J237" s="1" t="s">
        <v>10055</v>
      </c>
    </row>
    <row r="238" spans="1:10" ht="25.5">
      <c r="A238" s="639"/>
      <c r="B238" s="547"/>
      <c r="C238" s="548"/>
      <c r="D238" s="218" t="s">
        <v>122</v>
      </c>
      <c r="E238" s="1" t="s">
        <v>8194</v>
      </c>
      <c r="F238" s="1">
        <v>6100.6</v>
      </c>
      <c r="G238" s="1">
        <v>0</v>
      </c>
      <c r="H238" s="1" t="s">
        <v>10050</v>
      </c>
      <c r="I238" s="1" t="s">
        <v>10162</v>
      </c>
      <c r="J238" s="1" t="s">
        <v>10055</v>
      </c>
    </row>
    <row r="239" spans="1:10">
      <c r="A239" s="639"/>
      <c r="B239" s="547"/>
      <c r="C239" s="548"/>
      <c r="D239" s="218" t="s">
        <v>122</v>
      </c>
      <c r="E239" s="1" t="s">
        <v>8194</v>
      </c>
      <c r="F239" s="1">
        <v>12565.4</v>
      </c>
      <c r="G239" s="369">
        <v>759961000</v>
      </c>
      <c r="H239" s="1" t="s">
        <v>10050</v>
      </c>
      <c r="I239" s="1" t="s">
        <v>10163</v>
      </c>
      <c r="J239" s="1" t="s">
        <v>10055</v>
      </c>
    </row>
    <row r="240" spans="1:10">
      <c r="A240" s="639"/>
      <c r="B240" s="547"/>
      <c r="C240" s="548"/>
      <c r="D240" s="218" t="s">
        <v>122</v>
      </c>
      <c r="E240" s="1" t="s">
        <v>8194</v>
      </c>
      <c r="F240" s="1">
        <v>775.55</v>
      </c>
      <c r="G240" s="369">
        <v>51291700</v>
      </c>
      <c r="H240" s="1" t="s">
        <v>10050</v>
      </c>
      <c r="I240" s="1" t="s">
        <v>10164</v>
      </c>
      <c r="J240" s="1" t="s">
        <v>10055</v>
      </c>
    </row>
    <row r="241" spans="1:10" ht="38.25">
      <c r="A241" s="639"/>
      <c r="B241" s="547"/>
      <c r="C241" s="548"/>
      <c r="D241" s="218" t="s">
        <v>122</v>
      </c>
      <c r="E241" s="1" t="s">
        <v>8194</v>
      </c>
      <c r="F241" s="1">
        <v>18019.7</v>
      </c>
      <c r="G241" s="369">
        <v>696141000</v>
      </c>
      <c r="H241" s="1" t="s">
        <v>10050</v>
      </c>
      <c r="I241" s="1" t="s">
        <v>10165</v>
      </c>
      <c r="J241" s="1" t="s">
        <v>10055</v>
      </c>
    </row>
    <row r="242" spans="1:10">
      <c r="A242" s="639"/>
      <c r="B242" s="547"/>
      <c r="C242" s="548"/>
      <c r="D242" s="218" t="s">
        <v>122</v>
      </c>
      <c r="E242" s="1" t="s">
        <v>8194</v>
      </c>
      <c r="F242" s="1">
        <v>1645.75</v>
      </c>
      <c r="G242" s="369">
        <v>134442000</v>
      </c>
      <c r="H242" s="1" t="s">
        <v>10050</v>
      </c>
      <c r="I242" s="1" t="s">
        <v>10166</v>
      </c>
      <c r="J242" s="1" t="s">
        <v>10055</v>
      </c>
    </row>
    <row r="243" spans="1:10">
      <c r="A243" s="639"/>
      <c r="B243" s="547"/>
      <c r="C243" s="548"/>
      <c r="D243" s="218" t="s">
        <v>122</v>
      </c>
      <c r="E243" s="1" t="s">
        <v>8194</v>
      </c>
      <c r="F243" s="1">
        <v>767.15</v>
      </c>
      <c r="G243" s="369">
        <v>62599500</v>
      </c>
      <c r="H243" s="1" t="s">
        <v>10050</v>
      </c>
      <c r="I243" s="1" t="s">
        <v>10167</v>
      </c>
      <c r="J243" s="1" t="s">
        <v>10055</v>
      </c>
    </row>
    <row r="244" spans="1:10">
      <c r="A244" s="639"/>
      <c r="B244" s="547"/>
      <c r="C244" s="548"/>
      <c r="D244" s="218" t="s">
        <v>122</v>
      </c>
      <c r="E244" s="1" t="s">
        <v>8194</v>
      </c>
      <c r="F244" s="1">
        <v>28257.9</v>
      </c>
      <c r="G244" s="369">
        <v>1394700000</v>
      </c>
      <c r="H244" s="1" t="s">
        <v>10050</v>
      </c>
      <c r="I244" s="1" t="s">
        <v>10168</v>
      </c>
      <c r="J244" s="1" t="s">
        <v>10055</v>
      </c>
    </row>
    <row r="245" spans="1:10">
      <c r="A245" s="639"/>
      <c r="B245" s="547"/>
      <c r="C245" s="548"/>
      <c r="D245" s="218" t="s">
        <v>122</v>
      </c>
      <c r="E245" s="1" t="s">
        <v>8194</v>
      </c>
      <c r="F245" s="1">
        <v>62906.8</v>
      </c>
      <c r="G245" s="369">
        <v>2504440000</v>
      </c>
      <c r="H245" s="1" t="s">
        <v>10050</v>
      </c>
      <c r="I245" s="1" t="s">
        <v>10169</v>
      </c>
      <c r="J245" s="1" t="s">
        <v>10055</v>
      </c>
    </row>
    <row r="246" spans="1:10">
      <c r="A246" s="639"/>
      <c r="B246" s="547"/>
      <c r="C246" s="548"/>
      <c r="D246" s="218" t="s">
        <v>122</v>
      </c>
      <c r="E246" s="1" t="s">
        <v>8194</v>
      </c>
      <c r="F246" s="1">
        <v>94671.55</v>
      </c>
      <c r="G246" s="369">
        <v>2428590000</v>
      </c>
      <c r="H246" s="1" t="s">
        <v>10050</v>
      </c>
      <c r="I246" s="1" t="s">
        <v>10156</v>
      </c>
      <c r="J246" s="1" t="s">
        <v>10055</v>
      </c>
    </row>
    <row r="247" spans="1:10">
      <c r="A247" s="639"/>
      <c r="B247" s="547"/>
      <c r="C247" s="548"/>
      <c r="D247" s="218" t="s">
        <v>122</v>
      </c>
      <c r="E247" s="1" t="s">
        <v>8194</v>
      </c>
      <c r="F247" s="1">
        <v>57954.25</v>
      </c>
      <c r="G247" s="369">
        <v>57954</v>
      </c>
      <c r="H247" s="1" t="s">
        <v>10050</v>
      </c>
      <c r="I247" s="1" t="s">
        <v>10155</v>
      </c>
      <c r="J247" s="1" t="s">
        <v>10055</v>
      </c>
    </row>
    <row r="248" spans="1:10">
      <c r="A248" s="639"/>
      <c r="B248" s="547"/>
      <c r="C248" s="548"/>
      <c r="D248" s="218" t="s">
        <v>122</v>
      </c>
      <c r="E248" s="1" t="s">
        <v>8194</v>
      </c>
      <c r="F248" s="1">
        <v>6592.5</v>
      </c>
      <c r="G248" s="1">
        <v>0</v>
      </c>
      <c r="H248" s="1" t="s">
        <v>10050</v>
      </c>
      <c r="I248" s="1" t="s">
        <v>10154</v>
      </c>
      <c r="J248" s="1" t="s">
        <v>10055</v>
      </c>
    </row>
    <row r="249" spans="1:10">
      <c r="A249" s="639"/>
      <c r="B249" s="547"/>
      <c r="C249" s="548"/>
      <c r="D249" s="218" t="s">
        <v>122</v>
      </c>
      <c r="E249" s="1" t="s">
        <v>8194</v>
      </c>
      <c r="F249" s="1">
        <v>1203.7</v>
      </c>
      <c r="G249" s="1">
        <v>0</v>
      </c>
      <c r="H249" s="1" t="s">
        <v>10050</v>
      </c>
      <c r="I249" s="1" t="s">
        <v>10153</v>
      </c>
      <c r="J249" s="1" t="s">
        <v>10055</v>
      </c>
    </row>
    <row r="250" spans="1:10" ht="25.5">
      <c r="A250" s="639"/>
      <c r="B250" s="547"/>
      <c r="C250" s="548"/>
      <c r="D250" s="218" t="s">
        <v>122</v>
      </c>
      <c r="E250" s="1" t="s">
        <v>8194</v>
      </c>
      <c r="F250" s="1">
        <v>5525.65</v>
      </c>
      <c r="G250" s="369">
        <v>21574400</v>
      </c>
      <c r="H250" s="1" t="s">
        <v>10050</v>
      </c>
      <c r="I250" s="1" t="s">
        <v>10152</v>
      </c>
      <c r="J250" s="1" t="s">
        <v>10055</v>
      </c>
    </row>
    <row r="251" spans="1:10">
      <c r="A251" s="639"/>
      <c r="B251" s="547"/>
      <c r="C251" s="548"/>
      <c r="D251" s="218" t="s">
        <v>122</v>
      </c>
      <c r="E251" s="1" t="s">
        <v>8194</v>
      </c>
      <c r="F251" s="1">
        <v>7449.95</v>
      </c>
      <c r="G251" s="1">
        <v>0</v>
      </c>
      <c r="H251" s="1" t="s">
        <v>10050</v>
      </c>
      <c r="I251" s="1" t="s">
        <v>10151</v>
      </c>
      <c r="J251" s="1" t="s">
        <v>10055</v>
      </c>
    </row>
    <row r="252" spans="1:10">
      <c r="A252" s="639"/>
      <c r="B252" s="547"/>
      <c r="C252" s="548"/>
      <c r="D252" s="218" t="s">
        <v>122</v>
      </c>
      <c r="E252" s="1" t="s">
        <v>8194</v>
      </c>
      <c r="F252" s="1">
        <v>159807</v>
      </c>
      <c r="G252" s="369">
        <v>10466500000</v>
      </c>
      <c r="H252" s="1" t="s">
        <v>10050</v>
      </c>
      <c r="I252" s="1" t="s">
        <v>10150</v>
      </c>
      <c r="J252" s="1" t="s">
        <v>10055</v>
      </c>
    </row>
    <row r="253" spans="1:10">
      <c r="A253" s="639"/>
      <c r="B253" s="547"/>
      <c r="C253" s="548"/>
      <c r="D253" s="218" t="s">
        <v>122</v>
      </c>
      <c r="E253" s="1" t="s">
        <v>8194</v>
      </c>
      <c r="F253" s="1">
        <v>46820.9</v>
      </c>
      <c r="G253" s="1">
        <v>0</v>
      </c>
      <c r="H253" s="1" t="s">
        <v>10050</v>
      </c>
      <c r="I253" s="1" t="s">
        <v>10149</v>
      </c>
      <c r="J253" s="1" t="s">
        <v>10055</v>
      </c>
    </row>
    <row r="254" spans="1:10">
      <c r="A254" s="639"/>
      <c r="B254" s="547"/>
      <c r="C254" s="548"/>
      <c r="D254" s="218" t="s">
        <v>122</v>
      </c>
      <c r="E254" s="1" t="s">
        <v>8194</v>
      </c>
      <c r="F254" s="1">
        <v>23651.9</v>
      </c>
      <c r="G254" s="369">
        <v>828708000</v>
      </c>
      <c r="H254" s="1" t="s">
        <v>10050</v>
      </c>
      <c r="I254" s="1" t="s">
        <v>10148</v>
      </c>
      <c r="J254" s="1" t="s">
        <v>10055</v>
      </c>
    </row>
    <row r="255" spans="1:10">
      <c r="A255" s="639"/>
      <c r="B255" s="547"/>
      <c r="C255" s="548"/>
      <c r="D255" s="218" t="s">
        <v>122</v>
      </c>
      <c r="E255" s="1" t="s">
        <v>8194</v>
      </c>
      <c r="F255" s="1">
        <v>924.95</v>
      </c>
      <c r="G255" s="1">
        <v>0</v>
      </c>
      <c r="H255" s="1" t="s">
        <v>10050</v>
      </c>
      <c r="I255" s="1" t="s">
        <v>10147</v>
      </c>
      <c r="J255" s="1" t="s">
        <v>10055</v>
      </c>
    </row>
    <row r="256" spans="1:10">
      <c r="A256" s="639"/>
      <c r="B256" s="547"/>
      <c r="C256" s="548"/>
      <c r="D256" s="218" t="s">
        <v>122</v>
      </c>
      <c r="E256" s="1" t="s">
        <v>8194</v>
      </c>
      <c r="F256" s="1">
        <v>8888.5</v>
      </c>
      <c r="G256" s="1">
        <v>0</v>
      </c>
      <c r="H256" s="1" t="s">
        <v>10050</v>
      </c>
      <c r="I256" s="1" t="s">
        <v>10146</v>
      </c>
      <c r="J256" s="1" t="s">
        <v>10055</v>
      </c>
    </row>
    <row r="257" spans="1:10">
      <c r="A257" s="639"/>
      <c r="B257" s="547"/>
      <c r="C257" s="548"/>
      <c r="D257" s="218" t="s">
        <v>122</v>
      </c>
      <c r="E257" s="1" t="s">
        <v>8194</v>
      </c>
      <c r="F257" s="1">
        <v>52602.9</v>
      </c>
      <c r="G257" s="369">
        <v>2822560000</v>
      </c>
      <c r="H257" s="1" t="s">
        <v>10050</v>
      </c>
      <c r="I257" s="1" t="s">
        <v>10145</v>
      </c>
      <c r="J257" s="1" t="s">
        <v>10055</v>
      </c>
    </row>
    <row r="258" spans="1:10" ht="25.5">
      <c r="A258" s="639"/>
      <c r="B258" s="547"/>
      <c r="C258" s="548"/>
      <c r="D258" s="218" t="s">
        <v>122</v>
      </c>
      <c r="E258" s="1" t="s">
        <v>8194</v>
      </c>
      <c r="F258" s="1">
        <v>28452.9</v>
      </c>
      <c r="G258" s="369">
        <v>928924000</v>
      </c>
      <c r="H258" s="1" t="s">
        <v>10050</v>
      </c>
      <c r="I258" s="1" t="s">
        <v>10144</v>
      </c>
      <c r="J258" s="1" t="s">
        <v>10055</v>
      </c>
    </row>
    <row r="259" spans="1:10">
      <c r="A259" s="639"/>
      <c r="B259" s="547"/>
      <c r="C259" s="548"/>
      <c r="D259" s="218" t="s">
        <v>122</v>
      </c>
      <c r="E259" s="1" t="s">
        <v>8194</v>
      </c>
      <c r="F259" s="1">
        <v>41377.5</v>
      </c>
      <c r="G259" s="369">
        <v>2511020000</v>
      </c>
      <c r="H259" s="1" t="s">
        <v>10050</v>
      </c>
      <c r="I259" s="1" t="s">
        <v>10143</v>
      </c>
      <c r="J259" s="1" t="s">
        <v>10055</v>
      </c>
    </row>
    <row r="260" spans="1:10">
      <c r="A260" s="639"/>
      <c r="B260" s="547"/>
      <c r="C260" s="548"/>
      <c r="D260" s="218" t="s">
        <v>122</v>
      </c>
      <c r="E260" s="1" t="s">
        <v>8194</v>
      </c>
      <c r="F260" s="1">
        <v>5412.55</v>
      </c>
      <c r="G260" s="1">
        <v>0</v>
      </c>
      <c r="H260" s="1" t="s">
        <v>10050</v>
      </c>
      <c r="I260" s="1" t="s">
        <v>10142</v>
      </c>
      <c r="J260" s="1" t="s">
        <v>10055</v>
      </c>
    </row>
    <row r="261" spans="1:10">
      <c r="A261" s="639"/>
      <c r="B261" s="547"/>
      <c r="C261" s="548"/>
      <c r="D261" s="218" t="s">
        <v>122</v>
      </c>
      <c r="E261" s="1" t="s">
        <v>8194</v>
      </c>
      <c r="F261" s="1">
        <v>20616.650000000001</v>
      </c>
      <c r="G261" s="369">
        <v>1256840000</v>
      </c>
      <c r="H261" s="1" t="s">
        <v>10050</v>
      </c>
      <c r="I261" s="1" t="s">
        <v>10141</v>
      </c>
      <c r="J261" s="1" t="s">
        <v>10055</v>
      </c>
    </row>
    <row r="262" spans="1:10">
      <c r="A262" s="639"/>
      <c r="B262" s="547"/>
      <c r="C262" s="548"/>
      <c r="D262" s="218" t="s">
        <v>122</v>
      </c>
      <c r="E262" s="1" t="s">
        <v>8194</v>
      </c>
      <c r="F262" s="1">
        <v>3837.05</v>
      </c>
      <c r="G262" s="1">
        <v>0</v>
      </c>
      <c r="H262" s="1" t="s">
        <v>10050</v>
      </c>
      <c r="I262" s="1" t="s">
        <v>10140</v>
      </c>
      <c r="J262" s="1" t="s">
        <v>10052</v>
      </c>
    </row>
    <row r="263" spans="1:10">
      <c r="A263" s="639"/>
      <c r="B263" s="547"/>
      <c r="C263" s="548"/>
      <c r="D263" s="218" t="s">
        <v>122</v>
      </c>
      <c r="E263" s="1" t="s">
        <v>8194</v>
      </c>
      <c r="F263" s="1">
        <v>9738.6</v>
      </c>
      <c r="G263" s="1">
        <v>0</v>
      </c>
      <c r="H263" s="1" t="s">
        <v>10050</v>
      </c>
      <c r="I263" s="1" t="s">
        <v>10157</v>
      </c>
      <c r="J263" s="1" t="s">
        <v>10055</v>
      </c>
    </row>
    <row r="264" spans="1:10">
      <c r="A264" s="639"/>
      <c r="B264" s="547"/>
      <c r="C264" s="548"/>
      <c r="D264" s="218" t="s">
        <v>122</v>
      </c>
      <c r="E264" s="1" t="s">
        <v>8194</v>
      </c>
      <c r="F264" s="1">
        <v>5596.1</v>
      </c>
      <c r="G264" s="369">
        <v>207822000</v>
      </c>
      <c r="H264" s="1" t="s">
        <v>10050</v>
      </c>
      <c r="I264" s="1" t="s">
        <v>10158</v>
      </c>
      <c r="J264" s="1" t="s">
        <v>10055</v>
      </c>
    </row>
    <row r="265" spans="1:10">
      <c r="A265" s="639"/>
      <c r="B265" s="547"/>
      <c r="C265" s="548"/>
      <c r="D265" s="218" t="s">
        <v>122</v>
      </c>
      <c r="E265" s="1" t="s">
        <v>8194</v>
      </c>
      <c r="F265" s="1">
        <v>15099.85</v>
      </c>
      <c r="G265" s="369">
        <v>851599000</v>
      </c>
      <c r="H265" s="1" t="s">
        <v>10050</v>
      </c>
      <c r="I265" s="1" t="s">
        <v>10159</v>
      </c>
      <c r="J265" s="1" t="s">
        <v>10055</v>
      </c>
    </row>
    <row r="266" spans="1:10">
      <c r="A266" s="639"/>
      <c r="B266" s="547"/>
      <c r="C266" s="548"/>
      <c r="D266" s="218" t="s">
        <v>122</v>
      </c>
      <c r="E266" s="1" t="s">
        <v>8194</v>
      </c>
      <c r="F266" s="1">
        <v>19402.95</v>
      </c>
      <c r="G266" s="369">
        <v>1177490000</v>
      </c>
      <c r="H266" s="1" t="s">
        <v>10050</v>
      </c>
      <c r="I266" s="1" t="s">
        <v>10160</v>
      </c>
      <c r="J266" s="1" t="s">
        <v>10055</v>
      </c>
    </row>
    <row r="267" spans="1:10">
      <c r="A267" s="639"/>
      <c r="B267" s="547"/>
      <c r="C267" s="548"/>
      <c r="D267" s="218" t="s">
        <v>122</v>
      </c>
      <c r="E267" s="1" t="s">
        <v>8194</v>
      </c>
      <c r="F267" s="1">
        <v>4815.3999999999996</v>
      </c>
      <c r="G267" s="369">
        <v>398424000</v>
      </c>
      <c r="H267" s="1" t="s">
        <v>10050</v>
      </c>
      <c r="I267" s="1" t="s">
        <v>10161</v>
      </c>
      <c r="J267" s="1" t="s">
        <v>10055</v>
      </c>
    </row>
    <row r="268" spans="1:10" ht="25.5">
      <c r="A268" s="639"/>
      <c r="B268" s="547"/>
      <c r="C268" s="548"/>
      <c r="D268" s="218" t="s">
        <v>122</v>
      </c>
      <c r="E268" s="1" t="s">
        <v>8194</v>
      </c>
      <c r="F268" s="1">
        <v>6100.6</v>
      </c>
      <c r="G268" s="1">
        <v>0</v>
      </c>
      <c r="H268" s="1" t="s">
        <v>10050</v>
      </c>
      <c r="I268" s="1" t="s">
        <v>10162</v>
      </c>
      <c r="J268" s="1" t="s">
        <v>10055</v>
      </c>
    </row>
    <row r="269" spans="1:10">
      <c r="A269" s="639"/>
      <c r="B269" s="547"/>
      <c r="C269" s="548"/>
      <c r="D269" s="218" t="s">
        <v>122</v>
      </c>
      <c r="E269" s="1" t="s">
        <v>8194</v>
      </c>
      <c r="F269" s="1">
        <v>12565.4</v>
      </c>
      <c r="G269" s="369">
        <v>759961000</v>
      </c>
      <c r="H269" s="1" t="s">
        <v>10050</v>
      </c>
      <c r="I269" s="1" t="s">
        <v>10163</v>
      </c>
      <c r="J269" s="1" t="s">
        <v>10055</v>
      </c>
    </row>
    <row r="270" spans="1:10">
      <c r="A270" s="639"/>
      <c r="B270" s="547"/>
      <c r="C270" s="548"/>
      <c r="D270" s="218" t="s">
        <v>122</v>
      </c>
      <c r="E270" s="1" t="s">
        <v>8194</v>
      </c>
      <c r="F270" s="1">
        <v>775.55</v>
      </c>
      <c r="G270" s="369">
        <v>51291700</v>
      </c>
      <c r="H270" s="1" t="s">
        <v>10050</v>
      </c>
      <c r="I270" s="1" t="s">
        <v>10164</v>
      </c>
      <c r="J270" s="1" t="s">
        <v>10055</v>
      </c>
    </row>
    <row r="271" spans="1:10" ht="38.25">
      <c r="A271" s="639"/>
      <c r="B271" s="547"/>
      <c r="C271" s="548"/>
      <c r="D271" s="218" t="s">
        <v>122</v>
      </c>
      <c r="E271" s="1" t="s">
        <v>8194</v>
      </c>
      <c r="F271" s="1">
        <v>18019.7</v>
      </c>
      <c r="G271" s="369">
        <v>696141000</v>
      </c>
      <c r="H271" s="1" t="s">
        <v>10050</v>
      </c>
      <c r="I271" s="1" t="s">
        <v>10165</v>
      </c>
      <c r="J271" s="1" t="s">
        <v>10055</v>
      </c>
    </row>
    <row r="272" spans="1:10">
      <c r="A272" s="639"/>
      <c r="B272" s="547"/>
      <c r="C272" s="548"/>
      <c r="D272" s="218" t="s">
        <v>122</v>
      </c>
      <c r="E272" s="1" t="s">
        <v>8194</v>
      </c>
      <c r="F272" s="1">
        <v>1645.75</v>
      </c>
      <c r="G272" s="369">
        <v>134442000</v>
      </c>
      <c r="H272" s="1" t="s">
        <v>10050</v>
      </c>
      <c r="I272" s="1" t="s">
        <v>10166</v>
      </c>
      <c r="J272" s="1" t="s">
        <v>10055</v>
      </c>
    </row>
    <row r="273" spans="1:10">
      <c r="A273" s="639"/>
      <c r="B273" s="547"/>
      <c r="C273" s="548"/>
      <c r="D273" s="218" t="s">
        <v>122</v>
      </c>
      <c r="E273" s="1" t="s">
        <v>8194</v>
      </c>
      <c r="F273" s="1">
        <v>767.15</v>
      </c>
      <c r="G273" s="369">
        <v>62599500</v>
      </c>
      <c r="H273" s="1" t="s">
        <v>10050</v>
      </c>
      <c r="I273" s="1" t="s">
        <v>10167</v>
      </c>
      <c r="J273" s="1" t="s">
        <v>10055</v>
      </c>
    </row>
    <row r="274" spans="1:10">
      <c r="A274" s="639"/>
      <c r="B274" s="547"/>
      <c r="C274" s="548"/>
      <c r="D274" s="218" t="s">
        <v>122</v>
      </c>
      <c r="E274" s="1" t="s">
        <v>8194</v>
      </c>
      <c r="F274" s="1">
        <v>28257.9</v>
      </c>
      <c r="G274" s="369">
        <v>1394700000</v>
      </c>
      <c r="H274" s="1" t="s">
        <v>10050</v>
      </c>
      <c r="I274" s="1" t="s">
        <v>10168</v>
      </c>
      <c r="J274" s="1" t="s">
        <v>10055</v>
      </c>
    </row>
    <row r="275" spans="1:10">
      <c r="A275" s="639"/>
      <c r="B275" s="547"/>
      <c r="C275" s="548"/>
      <c r="D275" s="218" t="s">
        <v>122</v>
      </c>
      <c r="E275" s="1" t="s">
        <v>8194</v>
      </c>
      <c r="F275" s="1">
        <v>62906.8</v>
      </c>
      <c r="G275" s="369">
        <v>2504440000</v>
      </c>
      <c r="H275" s="1" t="s">
        <v>10050</v>
      </c>
      <c r="I275" s="1" t="s">
        <v>10169</v>
      </c>
      <c r="J275" s="1" t="s">
        <v>10055</v>
      </c>
    </row>
    <row r="276" spans="1:10" ht="25.5">
      <c r="A276" s="639"/>
      <c r="B276" s="547"/>
      <c r="C276" s="548"/>
      <c r="D276" s="218" t="s">
        <v>122</v>
      </c>
      <c r="E276" s="1" t="s">
        <v>10087</v>
      </c>
      <c r="F276" s="1">
        <v>37584.550000000003</v>
      </c>
      <c r="G276" s="369">
        <v>52473600000</v>
      </c>
      <c r="H276" s="1" t="s">
        <v>10050</v>
      </c>
      <c r="I276" s="1" t="s">
        <v>10170</v>
      </c>
      <c r="J276" s="1" t="s">
        <v>10055</v>
      </c>
    </row>
    <row r="277" spans="1:10" ht="25.5">
      <c r="A277" s="639"/>
      <c r="B277" s="547"/>
      <c r="C277" s="548"/>
      <c r="D277" s="218" t="s">
        <v>122</v>
      </c>
      <c r="E277" s="1" t="s">
        <v>8194</v>
      </c>
      <c r="F277" s="1">
        <v>2895</v>
      </c>
      <c r="G277" s="369">
        <v>465237000</v>
      </c>
      <c r="H277" s="1" t="s">
        <v>10050</v>
      </c>
      <c r="I277" s="1" t="s">
        <v>10171</v>
      </c>
      <c r="J277" s="1" t="s">
        <v>10055</v>
      </c>
    </row>
    <row r="278" spans="1:10">
      <c r="A278" s="639"/>
      <c r="B278" s="547"/>
      <c r="C278" s="548"/>
      <c r="D278" s="218" t="s">
        <v>122</v>
      </c>
      <c r="E278" s="1" t="s">
        <v>8194</v>
      </c>
      <c r="F278" s="1">
        <v>2240.6</v>
      </c>
      <c r="G278" s="369">
        <v>150189000</v>
      </c>
      <c r="H278" s="1" t="s">
        <v>10050</v>
      </c>
      <c r="I278" s="1" t="s">
        <v>10172</v>
      </c>
      <c r="J278" s="1" t="s">
        <v>10055</v>
      </c>
    </row>
    <row r="279" spans="1:10">
      <c r="A279" s="639"/>
      <c r="B279" s="547"/>
      <c r="C279" s="548"/>
      <c r="D279" s="218" t="s">
        <v>122</v>
      </c>
      <c r="E279" s="1" t="s">
        <v>8194</v>
      </c>
      <c r="F279" s="1">
        <v>9088.25</v>
      </c>
      <c r="G279" s="369">
        <v>491296000</v>
      </c>
      <c r="H279" s="1" t="s">
        <v>10050</v>
      </c>
      <c r="I279" s="1" t="s">
        <v>10173</v>
      </c>
      <c r="J279" s="1" t="s">
        <v>10055</v>
      </c>
    </row>
    <row r="280" spans="1:10">
      <c r="A280" s="639"/>
      <c r="B280" s="547"/>
      <c r="C280" s="548"/>
      <c r="D280" s="218" t="s">
        <v>122</v>
      </c>
      <c r="E280" s="1" t="s">
        <v>8194</v>
      </c>
      <c r="F280" s="1">
        <v>903.25</v>
      </c>
      <c r="G280" s="369">
        <v>23579700</v>
      </c>
      <c r="H280" s="1" t="s">
        <v>10050</v>
      </c>
      <c r="I280" s="1" t="s">
        <v>10174</v>
      </c>
      <c r="J280" s="1" t="s">
        <v>10055</v>
      </c>
    </row>
    <row r="281" spans="1:10">
      <c r="A281" s="639"/>
      <c r="B281" s="547"/>
      <c r="C281" s="548"/>
      <c r="D281" s="218" t="s">
        <v>122</v>
      </c>
      <c r="E281" s="1" t="s">
        <v>8194</v>
      </c>
      <c r="F281" s="1">
        <v>952.05</v>
      </c>
      <c r="G281" s="369">
        <v>24853500</v>
      </c>
      <c r="H281" s="1" t="s">
        <v>10050</v>
      </c>
      <c r="I281" s="1" t="s">
        <v>10175</v>
      </c>
      <c r="J281" s="1" t="s">
        <v>10055</v>
      </c>
    </row>
    <row r="282" spans="1:10" ht="25.5">
      <c r="A282" s="638"/>
      <c r="B282" s="544"/>
      <c r="C282" s="546"/>
      <c r="D282" s="218" t="s">
        <v>122</v>
      </c>
      <c r="E282" s="1" t="s">
        <v>8194</v>
      </c>
      <c r="F282" s="1">
        <v>10190.799999999999</v>
      </c>
      <c r="G282" s="369">
        <v>465237000</v>
      </c>
      <c r="H282" s="1" t="s">
        <v>10050</v>
      </c>
      <c r="I282" s="1" t="s">
        <v>10176</v>
      </c>
      <c r="J282" s="1" t="s">
        <v>10055</v>
      </c>
    </row>
    <row r="283" spans="1:10">
      <c r="A283" s="12">
        <f>A195+1</f>
        <v>107</v>
      </c>
      <c r="B283" s="20" t="s">
        <v>301</v>
      </c>
      <c r="C283" s="9">
        <v>2548747</v>
      </c>
      <c r="D283" s="6" t="s">
        <v>382</v>
      </c>
      <c r="E283" s="6" t="s">
        <v>382</v>
      </c>
      <c r="F283" s="6" t="s">
        <v>382</v>
      </c>
      <c r="G283" s="6" t="s">
        <v>382</v>
      </c>
      <c r="H283" s="6" t="s">
        <v>382</v>
      </c>
      <c r="I283" s="6" t="s">
        <v>382</v>
      </c>
      <c r="J283" s="6" t="s">
        <v>382</v>
      </c>
    </row>
    <row r="284" spans="1:10">
      <c r="A284" s="12">
        <f>A283+1</f>
        <v>108</v>
      </c>
      <c r="B284" s="184" t="s">
        <v>303</v>
      </c>
      <c r="C284" s="9">
        <v>2641984</v>
      </c>
      <c r="D284" s="6"/>
      <c r="E284" s="6"/>
      <c r="F284" s="6"/>
      <c r="G284" s="6"/>
      <c r="H284" s="6"/>
      <c r="I284" s="6"/>
      <c r="J284" s="77"/>
    </row>
    <row r="285" spans="1:10">
      <c r="A285" s="12">
        <f>A284+1</f>
        <v>109</v>
      </c>
      <c r="B285" s="20" t="s">
        <v>306</v>
      </c>
      <c r="C285" s="9">
        <v>6342485</v>
      </c>
      <c r="D285" s="6" t="s">
        <v>382</v>
      </c>
      <c r="E285" s="6" t="s">
        <v>382</v>
      </c>
      <c r="F285" s="6" t="s">
        <v>382</v>
      </c>
      <c r="G285" s="6" t="s">
        <v>382</v>
      </c>
      <c r="H285" s="6" t="s">
        <v>382</v>
      </c>
      <c r="I285" s="6" t="s">
        <v>382</v>
      </c>
      <c r="J285" s="6" t="s">
        <v>382</v>
      </c>
    </row>
    <row r="286" spans="1:10">
      <c r="A286" s="12">
        <f t="shared" si="2"/>
        <v>110</v>
      </c>
      <c r="B286" s="20" t="s">
        <v>307</v>
      </c>
      <c r="C286" s="9">
        <v>5166667</v>
      </c>
      <c r="D286" s="6" t="s">
        <v>382</v>
      </c>
      <c r="E286" s="6" t="s">
        <v>382</v>
      </c>
      <c r="F286" s="6" t="s">
        <v>382</v>
      </c>
      <c r="G286" s="6" t="s">
        <v>382</v>
      </c>
      <c r="H286" s="6" t="s">
        <v>382</v>
      </c>
      <c r="I286" s="6" t="s">
        <v>382</v>
      </c>
      <c r="J286" s="6" t="s">
        <v>382</v>
      </c>
    </row>
    <row r="287" spans="1:10">
      <c r="A287" s="12">
        <f t="shared" si="2"/>
        <v>111</v>
      </c>
      <c r="B287" s="20" t="s">
        <v>308</v>
      </c>
      <c r="C287" s="9">
        <v>5482046</v>
      </c>
      <c r="D287" s="6" t="s">
        <v>382</v>
      </c>
      <c r="E287" s="6" t="s">
        <v>382</v>
      </c>
      <c r="F287" s="6" t="s">
        <v>382</v>
      </c>
      <c r="G287" s="6" t="s">
        <v>382</v>
      </c>
      <c r="H287" s="6" t="s">
        <v>382</v>
      </c>
      <c r="I287" s="6" t="s">
        <v>382</v>
      </c>
      <c r="J287" s="6" t="s">
        <v>382</v>
      </c>
    </row>
    <row r="288" spans="1:10">
      <c r="A288" s="12">
        <f t="shared" si="2"/>
        <v>112</v>
      </c>
      <c r="B288" s="20" t="s">
        <v>309</v>
      </c>
      <c r="C288" s="9">
        <v>2050374</v>
      </c>
      <c r="D288" s="6" t="s">
        <v>382</v>
      </c>
      <c r="E288" s="6" t="s">
        <v>382</v>
      </c>
      <c r="F288" s="6" t="s">
        <v>382</v>
      </c>
      <c r="G288" s="6" t="s">
        <v>382</v>
      </c>
      <c r="H288" s="6" t="s">
        <v>382</v>
      </c>
      <c r="I288" s="6" t="s">
        <v>382</v>
      </c>
      <c r="J288" s="6" t="s">
        <v>382</v>
      </c>
    </row>
    <row r="289" spans="1:10">
      <c r="A289" s="12">
        <f t="shared" si="2"/>
        <v>113</v>
      </c>
      <c r="B289" s="184" t="s">
        <v>314</v>
      </c>
      <c r="C289" s="9">
        <v>2830213</v>
      </c>
      <c r="D289" s="6"/>
      <c r="E289" s="6"/>
      <c r="F289" s="6"/>
      <c r="G289" s="6"/>
      <c r="H289" s="6"/>
      <c r="I289" s="6"/>
      <c r="J289" s="77"/>
    </row>
    <row r="290" spans="1:10">
      <c r="A290" s="12">
        <f t="shared" si="2"/>
        <v>114</v>
      </c>
      <c r="B290" s="20" t="s">
        <v>315</v>
      </c>
      <c r="C290" s="9">
        <v>5320607</v>
      </c>
      <c r="D290" s="6" t="s">
        <v>382</v>
      </c>
      <c r="E290" s="6" t="s">
        <v>382</v>
      </c>
      <c r="F290" s="6" t="s">
        <v>382</v>
      </c>
      <c r="G290" s="6" t="s">
        <v>382</v>
      </c>
      <c r="H290" s="6" t="s">
        <v>382</v>
      </c>
      <c r="I290" s="6" t="s">
        <v>382</v>
      </c>
      <c r="J290" s="6" t="s">
        <v>382</v>
      </c>
    </row>
    <row r="291" spans="1:10">
      <c r="A291" s="12">
        <f t="shared" si="2"/>
        <v>115</v>
      </c>
      <c r="B291" s="184" t="s">
        <v>316</v>
      </c>
      <c r="C291" s="9">
        <v>5586119</v>
      </c>
      <c r="D291" s="6"/>
      <c r="E291" s="6"/>
      <c r="F291" s="6"/>
      <c r="G291" s="6"/>
      <c r="H291" s="6"/>
      <c r="I291" s="6"/>
      <c r="J291" s="77"/>
    </row>
    <row r="292" spans="1:10">
      <c r="A292" s="12">
        <f t="shared" si="2"/>
        <v>116</v>
      </c>
      <c r="B292" s="20" t="s">
        <v>317</v>
      </c>
      <c r="C292" s="9">
        <v>5015243</v>
      </c>
      <c r="D292" s="6" t="s">
        <v>382</v>
      </c>
      <c r="E292" s="6" t="s">
        <v>382</v>
      </c>
      <c r="F292" s="6" t="s">
        <v>382</v>
      </c>
      <c r="G292" s="6" t="s">
        <v>382</v>
      </c>
      <c r="H292" s="6" t="s">
        <v>382</v>
      </c>
      <c r="I292" s="6" t="s">
        <v>382</v>
      </c>
      <c r="J292" s="6" t="s">
        <v>382</v>
      </c>
    </row>
    <row r="293" spans="1:10">
      <c r="A293" s="12">
        <f t="shared" si="2"/>
        <v>117</v>
      </c>
      <c r="B293" s="20" t="s">
        <v>318</v>
      </c>
      <c r="C293" s="9">
        <v>5452503</v>
      </c>
      <c r="D293" s="6" t="s">
        <v>382</v>
      </c>
      <c r="E293" s="6" t="s">
        <v>382</v>
      </c>
      <c r="F293" s="6" t="s">
        <v>382</v>
      </c>
      <c r="G293" s="6" t="s">
        <v>382</v>
      </c>
      <c r="H293" s="6" t="s">
        <v>382</v>
      </c>
      <c r="I293" s="6" t="s">
        <v>382</v>
      </c>
      <c r="J293" s="6" t="s">
        <v>382</v>
      </c>
    </row>
    <row r="294" spans="1:10">
      <c r="A294" s="12">
        <f t="shared" si="2"/>
        <v>118</v>
      </c>
      <c r="B294" s="20" t="s">
        <v>319</v>
      </c>
      <c r="C294" s="9">
        <v>2887746</v>
      </c>
      <c r="D294" s="6" t="s">
        <v>382</v>
      </c>
      <c r="E294" s="6" t="s">
        <v>382</v>
      </c>
      <c r="F294" s="6" t="s">
        <v>382</v>
      </c>
      <c r="G294" s="6" t="s">
        <v>382</v>
      </c>
      <c r="H294" s="6" t="s">
        <v>382</v>
      </c>
      <c r="I294" s="6" t="s">
        <v>382</v>
      </c>
      <c r="J294" s="6" t="s">
        <v>382</v>
      </c>
    </row>
    <row r="295" spans="1:10">
      <c r="A295" s="12">
        <f t="shared" si="2"/>
        <v>119</v>
      </c>
      <c r="B295" s="20" t="s">
        <v>320</v>
      </c>
      <c r="C295" s="9">
        <v>5618339</v>
      </c>
      <c r="D295" s="6" t="s">
        <v>382</v>
      </c>
      <c r="E295" s="6" t="s">
        <v>382</v>
      </c>
      <c r="F295" s="6" t="s">
        <v>382</v>
      </c>
      <c r="G295" s="6" t="s">
        <v>382</v>
      </c>
      <c r="H295" s="6" t="s">
        <v>382</v>
      </c>
      <c r="I295" s="6" t="s">
        <v>382</v>
      </c>
      <c r="J295" s="6" t="s">
        <v>382</v>
      </c>
    </row>
    <row r="296" spans="1:10">
      <c r="A296" s="12">
        <f t="shared" si="2"/>
        <v>120</v>
      </c>
      <c r="B296" s="20" t="s">
        <v>321</v>
      </c>
      <c r="C296" s="9">
        <v>2718243</v>
      </c>
      <c r="D296" s="6" t="s">
        <v>382</v>
      </c>
      <c r="E296" s="6" t="s">
        <v>382</v>
      </c>
      <c r="F296" s="6" t="s">
        <v>382</v>
      </c>
      <c r="G296" s="6" t="s">
        <v>382</v>
      </c>
      <c r="H296" s="6" t="s">
        <v>382</v>
      </c>
      <c r="I296" s="6" t="s">
        <v>382</v>
      </c>
      <c r="J296" s="6" t="s">
        <v>382</v>
      </c>
    </row>
    <row r="297" spans="1:10">
      <c r="A297" s="12">
        <f t="shared" si="2"/>
        <v>121</v>
      </c>
      <c r="B297" s="20" t="s">
        <v>322</v>
      </c>
      <c r="C297" s="9">
        <v>6896197</v>
      </c>
      <c r="D297" s="6" t="s">
        <v>382</v>
      </c>
      <c r="E297" s="6" t="s">
        <v>382</v>
      </c>
      <c r="F297" s="6" t="s">
        <v>382</v>
      </c>
      <c r="G297" s="6" t="s">
        <v>382</v>
      </c>
      <c r="H297" s="6" t="s">
        <v>382</v>
      </c>
      <c r="I297" s="6" t="s">
        <v>382</v>
      </c>
      <c r="J297" s="6" t="s">
        <v>382</v>
      </c>
    </row>
    <row r="298" spans="1:10">
      <c r="A298" s="12">
        <f t="shared" si="2"/>
        <v>122</v>
      </c>
      <c r="B298" s="184" t="s">
        <v>324</v>
      </c>
      <c r="C298" s="9">
        <v>5824826</v>
      </c>
      <c r="D298" s="6"/>
      <c r="E298" s="6"/>
      <c r="F298" s="6"/>
      <c r="G298" s="6"/>
      <c r="H298" s="6"/>
      <c r="I298" s="6"/>
      <c r="J298" s="77"/>
    </row>
    <row r="299" spans="1:10">
      <c r="A299" s="12">
        <f t="shared" si="2"/>
        <v>123</v>
      </c>
      <c r="B299" s="20" t="s">
        <v>325</v>
      </c>
      <c r="C299" s="9">
        <v>6141536</v>
      </c>
      <c r="D299" s="6" t="s">
        <v>382</v>
      </c>
      <c r="E299" s="6" t="s">
        <v>382</v>
      </c>
      <c r="F299" s="6" t="s">
        <v>382</v>
      </c>
      <c r="G299" s="6" t="s">
        <v>382</v>
      </c>
      <c r="H299" s="6" t="s">
        <v>382</v>
      </c>
      <c r="I299" s="6" t="s">
        <v>382</v>
      </c>
      <c r="J299" s="6" t="s">
        <v>382</v>
      </c>
    </row>
    <row r="300" spans="1:10">
      <c r="A300" s="12">
        <f t="shared" si="2"/>
        <v>124</v>
      </c>
      <c r="B300" s="184" t="s">
        <v>331</v>
      </c>
      <c r="C300" s="9">
        <v>2861224</v>
      </c>
      <c r="D300" s="6"/>
      <c r="E300" s="6"/>
      <c r="F300" s="6"/>
      <c r="G300" s="6"/>
      <c r="H300" s="6"/>
      <c r="I300" s="6"/>
      <c r="J300" s="77"/>
    </row>
    <row r="301" spans="1:10">
      <c r="A301" s="12">
        <f t="shared" si="2"/>
        <v>125</v>
      </c>
      <c r="B301" s="20" t="s">
        <v>332</v>
      </c>
      <c r="C301" s="9">
        <v>5137977</v>
      </c>
      <c r="D301" s="6" t="s">
        <v>382</v>
      </c>
      <c r="E301" s="6" t="s">
        <v>382</v>
      </c>
      <c r="F301" s="6" t="s">
        <v>382</v>
      </c>
      <c r="G301" s="6" t="s">
        <v>382</v>
      </c>
      <c r="H301" s="6" t="s">
        <v>382</v>
      </c>
      <c r="I301" s="6" t="s">
        <v>382</v>
      </c>
      <c r="J301" s="6" t="s">
        <v>382</v>
      </c>
    </row>
    <row r="302" spans="1:10">
      <c r="F302" s="370">
        <f>SUM(F3:F301)</f>
        <v>24155928.993999984</v>
      </c>
      <c r="G302" s="370">
        <f>SUM(G3:G301)</f>
        <v>439454460162</v>
      </c>
    </row>
  </sheetData>
  <mergeCells count="16">
    <mergeCell ref="A134:A135"/>
    <mergeCell ref="C163:C172"/>
    <mergeCell ref="B163:B172"/>
    <mergeCell ref="A163:A172"/>
    <mergeCell ref="C195:C282"/>
    <mergeCell ref="B195:B282"/>
    <mergeCell ref="A195:A282"/>
    <mergeCell ref="B134:B135"/>
    <mergeCell ref="C134:C135"/>
    <mergeCell ref="A14:A88"/>
    <mergeCell ref="C5:C6"/>
    <mergeCell ref="B5:B6"/>
    <mergeCell ref="B7:B8"/>
    <mergeCell ref="C7:C8"/>
    <mergeCell ref="A5:A6"/>
    <mergeCell ref="A7:A8"/>
  </mergeCells>
  <phoneticPr fontId="21" type="noConversion"/>
  <conditionalFormatting sqref="B3">
    <cfRule type="duplicateValues" dxfId="24" priority="848"/>
  </conditionalFormatting>
  <conditionalFormatting sqref="B4">
    <cfRule type="duplicateValues" dxfId="23" priority="853"/>
  </conditionalFormatting>
  <conditionalFormatting sqref="B7 B5">
    <cfRule type="duplicateValues" dxfId="22" priority="648"/>
  </conditionalFormatting>
  <conditionalFormatting sqref="B89:B102">
    <cfRule type="duplicateValues" dxfId="21" priority="1420"/>
  </conditionalFormatting>
  <conditionalFormatting sqref="B103">
    <cfRule type="duplicateValues" dxfId="20" priority="17"/>
  </conditionalFormatting>
  <conditionalFormatting sqref="B104:B116">
    <cfRule type="duplicateValues" dxfId="19" priority="14"/>
  </conditionalFormatting>
  <conditionalFormatting sqref="B117:B134">
    <cfRule type="duplicateValues" dxfId="18" priority="13"/>
  </conditionalFormatting>
  <conditionalFormatting sqref="B136">
    <cfRule type="duplicateValues" dxfId="17" priority="16"/>
  </conditionalFormatting>
  <conditionalFormatting sqref="B137:B163 B173">
    <cfRule type="duplicateValues" dxfId="16" priority="1426"/>
  </conditionalFormatting>
  <conditionalFormatting sqref="B174">
    <cfRule type="duplicateValues" dxfId="15" priority="8"/>
  </conditionalFormatting>
  <conditionalFormatting sqref="B175:B178">
    <cfRule type="duplicateValues" dxfId="14" priority="9"/>
  </conditionalFormatting>
  <conditionalFormatting sqref="B179">
    <cfRule type="duplicateValues" dxfId="13" priority="11"/>
  </conditionalFormatting>
  <conditionalFormatting sqref="B180:B195 B283:B301">
    <cfRule type="duplicateValues" dxfId="12" priority="1429"/>
  </conditionalFormatting>
  <conditionalFormatting sqref="C3">
    <cfRule type="duplicateValues" dxfId="11" priority="852"/>
  </conditionalFormatting>
  <conditionalFormatting sqref="C4">
    <cfRule type="duplicateValues" dxfId="10" priority="856"/>
  </conditionalFormatting>
  <conditionalFormatting sqref="C7 C5">
    <cfRule type="duplicateValues" dxfId="9" priority="646"/>
  </conditionalFormatting>
  <conditionalFormatting sqref="C117:C134 C136:C163 C173">
    <cfRule type="duplicateValues" dxfId="8" priority="1428"/>
  </conditionalFormatting>
  <conditionalFormatting sqref="C174">
    <cfRule type="duplicateValues" dxfId="7" priority="5"/>
  </conditionalFormatting>
  <conditionalFormatting sqref="C175">
    <cfRule type="duplicateValues" dxfId="6" priority="4"/>
  </conditionalFormatting>
  <conditionalFormatting sqref="C176">
    <cfRule type="duplicateValues" dxfId="5" priority="3"/>
  </conditionalFormatting>
  <conditionalFormatting sqref="C177">
    <cfRule type="duplicateValues" dxfId="4" priority="2"/>
  </conditionalFormatting>
  <conditionalFormatting sqref="C178">
    <cfRule type="duplicateValues" dxfId="3" priority="1"/>
  </conditionalFormatting>
  <conditionalFormatting sqref="C179 C89:C116">
    <cfRule type="duplicateValues" dxfId="2" priority="7"/>
  </conditionalFormatting>
  <conditionalFormatting sqref="C180:C195 C283:C301">
    <cfRule type="duplicateValues" dxfId="1" priority="1431"/>
  </conditionalFormatting>
  <conditionalFormatting sqref="D8 F8:G8 I8:J8">
    <cfRule type="duplicateValues" dxfId="0" priority="39"/>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EF46D-242F-458C-B9E0-1CD35D9CD0D8}">
  <sheetPr>
    <tabColor rgb="FF006432"/>
  </sheetPr>
  <dimension ref="A1:H1159"/>
  <sheetViews>
    <sheetView workbookViewId="0">
      <pane ySplit="2" topLeftCell="A3" activePane="bottomLeft" state="frozen"/>
      <selection pane="bottomLeft" activeCell="A2" sqref="A2"/>
    </sheetView>
  </sheetViews>
  <sheetFormatPr defaultRowHeight="15"/>
  <cols>
    <col min="1" max="1" width="5.140625" customWidth="1"/>
    <col min="2" max="2" width="63.28515625" customWidth="1"/>
    <col min="3" max="3" width="14.7109375" style="8" customWidth="1"/>
    <col min="4" max="4" width="35" customWidth="1"/>
    <col min="5" max="5" width="27.5703125" customWidth="1"/>
    <col min="6" max="6" width="13.28515625" style="5" customWidth="1"/>
    <col min="7" max="7" width="31.7109375" customWidth="1"/>
    <col min="8" max="8" width="33.28515625" customWidth="1"/>
  </cols>
  <sheetData>
    <row r="1" spans="1:8" ht="16.5" thickBot="1">
      <c r="A1" s="641" t="s">
        <v>10177</v>
      </c>
      <c r="B1" s="641"/>
      <c r="C1" s="641"/>
      <c r="D1" s="10"/>
      <c r="E1" s="10"/>
      <c r="F1" s="6"/>
      <c r="G1" s="10"/>
      <c r="H1" s="10"/>
    </row>
    <row r="2" spans="1:8" ht="38.25" customHeight="1" thickTop="1">
      <c r="A2" s="18" t="s">
        <v>114</v>
      </c>
      <c r="B2" s="18" t="s">
        <v>10178</v>
      </c>
      <c r="C2" s="18" t="s">
        <v>10179</v>
      </c>
      <c r="D2" s="18" t="s">
        <v>10180</v>
      </c>
      <c r="E2" s="18" t="s">
        <v>10181</v>
      </c>
      <c r="F2" s="18" t="s">
        <v>8556</v>
      </c>
      <c r="G2" s="18" t="s">
        <v>10182</v>
      </c>
      <c r="H2" s="18" t="s">
        <v>115</v>
      </c>
    </row>
    <row r="3" spans="1:8" ht="25.5">
      <c r="A3" s="34">
        <v>1</v>
      </c>
      <c r="B3" s="218" t="s">
        <v>10183</v>
      </c>
      <c r="C3" s="1" t="s">
        <v>212</v>
      </c>
      <c r="D3" s="34" t="s">
        <v>10184</v>
      </c>
      <c r="E3" s="34" t="s">
        <v>10185</v>
      </c>
      <c r="F3" s="6" t="s">
        <v>10186</v>
      </c>
      <c r="G3" s="218" t="s">
        <v>10187</v>
      </c>
      <c r="H3" s="218" t="s">
        <v>2013</v>
      </c>
    </row>
    <row r="4" spans="1:8" ht="25.5">
      <c r="A4" s="34">
        <f t="shared" ref="A4:A67" si="0">A3+1</f>
        <v>2</v>
      </c>
      <c r="B4" s="218" t="s">
        <v>10188</v>
      </c>
      <c r="C4" s="1" t="s">
        <v>132</v>
      </c>
      <c r="D4" s="34" t="s">
        <v>10189</v>
      </c>
      <c r="E4" s="34" t="s">
        <v>9617</v>
      </c>
      <c r="F4" s="6" t="s">
        <v>10190</v>
      </c>
      <c r="G4" s="218" t="s">
        <v>10191</v>
      </c>
      <c r="H4" s="218" t="s">
        <v>840</v>
      </c>
    </row>
    <row r="5" spans="1:8" ht="25.5">
      <c r="A5" s="34">
        <f t="shared" si="0"/>
        <v>3</v>
      </c>
      <c r="B5" s="218" t="s">
        <v>10192</v>
      </c>
      <c r="C5" s="1" t="s">
        <v>10193</v>
      </c>
      <c r="D5" s="34" t="s">
        <v>10184</v>
      </c>
      <c r="E5" s="34" t="s">
        <v>10194</v>
      </c>
      <c r="F5" s="6" t="s">
        <v>10195</v>
      </c>
      <c r="G5" s="218" t="s">
        <v>10196</v>
      </c>
      <c r="H5" s="218" t="s">
        <v>10197</v>
      </c>
    </row>
    <row r="6" spans="1:8" ht="25.5">
      <c r="A6" s="34">
        <f t="shared" si="0"/>
        <v>4</v>
      </c>
      <c r="B6" s="218" t="s">
        <v>10192</v>
      </c>
      <c r="C6" s="1" t="s">
        <v>10193</v>
      </c>
      <c r="D6" s="34" t="s">
        <v>10184</v>
      </c>
      <c r="E6" s="34" t="s">
        <v>10198</v>
      </c>
      <c r="F6" s="6" t="s">
        <v>10199</v>
      </c>
      <c r="G6" s="218" t="s">
        <v>10200</v>
      </c>
      <c r="H6" s="218" t="s">
        <v>10197</v>
      </c>
    </row>
    <row r="7" spans="1:8" ht="38.25">
      <c r="A7" s="34">
        <f t="shared" si="0"/>
        <v>5</v>
      </c>
      <c r="B7" s="218" t="s">
        <v>10201</v>
      </c>
      <c r="C7" s="1" t="s">
        <v>10202</v>
      </c>
      <c r="D7" s="34" t="s">
        <v>10203</v>
      </c>
      <c r="E7" s="34" t="s">
        <v>10204</v>
      </c>
      <c r="F7" s="6" t="s">
        <v>10205</v>
      </c>
      <c r="G7" s="218" t="s">
        <v>10206</v>
      </c>
      <c r="H7" s="218" t="s">
        <v>10207</v>
      </c>
    </row>
    <row r="8" spans="1:8" ht="25.5">
      <c r="A8" s="34">
        <f t="shared" si="0"/>
        <v>6</v>
      </c>
      <c r="B8" s="218" t="s">
        <v>10208</v>
      </c>
      <c r="C8" s="1" t="s">
        <v>212</v>
      </c>
      <c r="D8" s="34" t="s">
        <v>10189</v>
      </c>
      <c r="E8" s="34" t="s">
        <v>10209</v>
      </c>
      <c r="F8" s="6" t="s">
        <v>10210</v>
      </c>
      <c r="G8" s="218" t="s">
        <v>8605</v>
      </c>
      <c r="H8" s="218" t="s">
        <v>10211</v>
      </c>
    </row>
    <row r="9" spans="1:8" ht="25.5">
      <c r="A9" s="34">
        <f t="shared" si="0"/>
        <v>7</v>
      </c>
      <c r="B9" s="218" t="s">
        <v>10212</v>
      </c>
      <c r="C9" s="1" t="s">
        <v>10202</v>
      </c>
      <c r="D9" s="34" t="s">
        <v>10203</v>
      </c>
      <c r="E9" s="34" t="s">
        <v>10213</v>
      </c>
      <c r="F9" s="6" t="s">
        <v>10214</v>
      </c>
      <c r="G9" s="218" t="s">
        <v>10215</v>
      </c>
      <c r="H9" s="218" t="s">
        <v>10216</v>
      </c>
    </row>
    <row r="10" spans="1:8" ht="38.25">
      <c r="A10" s="34">
        <f t="shared" si="0"/>
        <v>8</v>
      </c>
      <c r="B10" s="218" t="s">
        <v>10217</v>
      </c>
      <c r="C10" s="1" t="s">
        <v>10202</v>
      </c>
      <c r="D10" s="34" t="s">
        <v>10218</v>
      </c>
      <c r="E10" s="34" t="s">
        <v>10219</v>
      </c>
      <c r="F10" s="6" t="s">
        <v>10220</v>
      </c>
      <c r="G10" s="218" t="s">
        <v>10221</v>
      </c>
      <c r="H10" s="218" t="s">
        <v>10222</v>
      </c>
    </row>
    <row r="11" spans="1:8" ht="25.5">
      <c r="A11" s="34">
        <f t="shared" si="0"/>
        <v>9</v>
      </c>
      <c r="B11" s="218" t="s">
        <v>10223</v>
      </c>
      <c r="C11" s="1" t="s">
        <v>132</v>
      </c>
      <c r="D11" s="34" t="s">
        <v>10189</v>
      </c>
      <c r="E11" s="34" t="s">
        <v>10224</v>
      </c>
      <c r="F11" s="6" t="s">
        <v>10225</v>
      </c>
      <c r="G11" s="218" t="s">
        <v>10226</v>
      </c>
      <c r="H11" s="218" t="s">
        <v>10227</v>
      </c>
    </row>
    <row r="12" spans="1:8" ht="25.5">
      <c r="A12" s="34">
        <f t="shared" si="0"/>
        <v>10</v>
      </c>
      <c r="B12" s="218" t="s">
        <v>10228</v>
      </c>
      <c r="C12" s="1" t="s">
        <v>10229</v>
      </c>
      <c r="D12" s="34" t="s">
        <v>10189</v>
      </c>
      <c r="E12" s="34" t="s">
        <v>10230</v>
      </c>
      <c r="F12" s="6" t="s">
        <v>10231</v>
      </c>
      <c r="G12" s="218" t="s">
        <v>10232</v>
      </c>
      <c r="H12" s="218" t="s">
        <v>10233</v>
      </c>
    </row>
    <row r="13" spans="1:8" ht="25.5">
      <c r="A13" s="34">
        <f t="shared" si="0"/>
        <v>11</v>
      </c>
      <c r="B13" s="218" t="s">
        <v>10234</v>
      </c>
      <c r="C13" s="1" t="s">
        <v>132</v>
      </c>
      <c r="D13" s="34" t="s">
        <v>10189</v>
      </c>
      <c r="E13" s="34" t="s">
        <v>9617</v>
      </c>
      <c r="F13" s="6" t="s">
        <v>10235</v>
      </c>
      <c r="G13" s="218" t="s">
        <v>8839</v>
      </c>
      <c r="H13" s="218" t="s">
        <v>10236</v>
      </c>
    </row>
    <row r="14" spans="1:8" ht="25.5">
      <c r="A14" s="34">
        <f t="shared" si="0"/>
        <v>12</v>
      </c>
      <c r="B14" s="218" t="s">
        <v>10237</v>
      </c>
      <c r="C14" s="1" t="s">
        <v>122</v>
      </c>
      <c r="D14" s="34" t="s">
        <v>10189</v>
      </c>
      <c r="E14" s="34" t="s">
        <v>10238</v>
      </c>
      <c r="F14" s="6" t="s">
        <v>10239</v>
      </c>
      <c r="G14" s="218" t="s">
        <v>10240</v>
      </c>
      <c r="H14" s="218" t="s">
        <v>10241</v>
      </c>
    </row>
    <row r="15" spans="1:8" ht="25.5">
      <c r="A15" s="34">
        <f t="shared" si="0"/>
        <v>13</v>
      </c>
      <c r="B15" s="218" t="s">
        <v>10242</v>
      </c>
      <c r="C15" s="1" t="s">
        <v>10202</v>
      </c>
      <c r="D15" s="34" t="s">
        <v>10189</v>
      </c>
      <c r="E15" s="34" t="s">
        <v>10243</v>
      </c>
      <c r="F15" s="6" t="s">
        <v>10244</v>
      </c>
      <c r="G15" s="218" t="s">
        <v>10245</v>
      </c>
      <c r="H15" s="218" t="s">
        <v>10246</v>
      </c>
    </row>
    <row r="16" spans="1:8" ht="25.5">
      <c r="A16" s="34">
        <f t="shared" si="0"/>
        <v>14</v>
      </c>
      <c r="B16" s="218" t="s">
        <v>10247</v>
      </c>
      <c r="C16" s="1" t="s">
        <v>122</v>
      </c>
      <c r="D16" s="34" t="s">
        <v>10218</v>
      </c>
      <c r="E16" s="34" t="s">
        <v>10219</v>
      </c>
      <c r="F16" s="6" t="s">
        <v>10248</v>
      </c>
      <c r="G16" s="218" t="s">
        <v>10249</v>
      </c>
      <c r="H16" s="218" t="s">
        <v>10250</v>
      </c>
    </row>
    <row r="17" spans="1:8" ht="25.5">
      <c r="A17" s="34">
        <f t="shared" si="0"/>
        <v>15</v>
      </c>
      <c r="B17" s="218" t="s">
        <v>10251</v>
      </c>
      <c r="C17" s="1" t="s">
        <v>132</v>
      </c>
      <c r="D17" s="34" t="s">
        <v>10218</v>
      </c>
      <c r="E17" s="34" t="s">
        <v>10252</v>
      </c>
      <c r="F17" s="6" t="s">
        <v>10253</v>
      </c>
      <c r="G17" s="218" t="s">
        <v>10254</v>
      </c>
      <c r="H17" s="218" t="s">
        <v>10255</v>
      </c>
    </row>
    <row r="18" spans="1:8" ht="25.5">
      <c r="A18" s="34">
        <f t="shared" si="0"/>
        <v>16</v>
      </c>
      <c r="B18" s="218" t="s">
        <v>10256</v>
      </c>
      <c r="C18" s="1" t="s">
        <v>132</v>
      </c>
      <c r="D18" s="34" t="s">
        <v>10218</v>
      </c>
      <c r="E18" s="34" t="s">
        <v>10257</v>
      </c>
      <c r="F18" s="6" t="s">
        <v>10258</v>
      </c>
      <c r="G18" s="218" t="s">
        <v>10259</v>
      </c>
      <c r="H18" s="218" t="s">
        <v>10260</v>
      </c>
    </row>
    <row r="19" spans="1:8" ht="38.25">
      <c r="A19" s="34">
        <f t="shared" si="0"/>
        <v>17</v>
      </c>
      <c r="B19" s="218" t="s">
        <v>10261</v>
      </c>
      <c r="C19" s="1" t="s">
        <v>132</v>
      </c>
      <c r="D19" s="34" t="s">
        <v>10218</v>
      </c>
      <c r="E19" s="34" t="s">
        <v>10257</v>
      </c>
      <c r="F19" s="6" t="s">
        <v>10262</v>
      </c>
      <c r="G19" s="218" t="s">
        <v>10259</v>
      </c>
      <c r="H19" s="218" t="s">
        <v>10263</v>
      </c>
    </row>
    <row r="20" spans="1:8" ht="25.5">
      <c r="A20" s="34">
        <f t="shared" si="0"/>
        <v>18</v>
      </c>
      <c r="B20" s="218" t="s">
        <v>10264</v>
      </c>
      <c r="C20" s="1" t="s">
        <v>132</v>
      </c>
      <c r="D20" s="34" t="s">
        <v>10218</v>
      </c>
      <c r="E20" s="34" t="s">
        <v>10257</v>
      </c>
      <c r="F20" s="6" t="s">
        <v>10265</v>
      </c>
      <c r="G20" s="218" t="s">
        <v>10259</v>
      </c>
      <c r="H20" s="218" t="s">
        <v>10266</v>
      </c>
    </row>
    <row r="21" spans="1:8" ht="25.5">
      <c r="A21" s="34">
        <f t="shared" si="0"/>
        <v>19</v>
      </c>
      <c r="B21" s="218" t="s">
        <v>10267</v>
      </c>
      <c r="C21" s="1" t="s">
        <v>212</v>
      </c>
      <c r="D21" s="34" t="s">
        <v>10218</v>
      </c>
      <c r="E21" s="34" t="s">
        <v>10268</v>
      </c>
      <c r="F21" s="6" t="s">
        <v>10269</v>
      </c>
      <c r="G21" s="218" t="s">
        <v>10270</v>
      </c>
      <c r="H21" s="218" t="s">
        <v>10271</v>
      </c>
    </row>
    <row r="22" spans="1:8" ht="25.5">
      <c r="A22" s="34">
        <f t="shared" si="0"/>
        <v>20</v>
      </c>
      <c r="B22" s="218" t="s">
        <v>10272</v>
      </c>
      <c r="C22" s="1" t="s">
        <v>122</v>
      </c>
      <c r="D22" s="34" t="s">
        <v>10218</v>
      </c>
      <c r="E22" s="34" t="s">
        <v>10273</v>
      </c>
      <c r="F22" s="6" t="s">
        <v>10274</v>
      </c>
      <c r="G22" s="218" t="s">
        <v>10275</v>
      </c>
      <c r="H22" s="218" t="s">
        <v>10276</v>
      </c>
    </row>
    <row r="23" spans="1:8" ht="25.5">
      <c r="A23" s="34">
        <f t="shared" si="0"/>
        <v>21</v>
      </c>
      <c r="B23" s="218" t="s">
        <v>10277</v>
      </c>
      <c r="C23" s="1" t="s">
        <v>137</v>
      </c>
      <c r="D23" s="34" t="s">
        <v>10184</v>
      </c>
      <c r="E23" s="34" t="s">
        <v>10278</v>
      </c>
      <c r="F23" s="6" t="s">
        <v>10279</v>
      </c>
      <c r="G23" s="218" t="s">
        <v>10280</v>
      </c>
      <c r="H23" s="218" t="s">
        <v>10281</v>
      </c>
    </row>
    <row r="24" spans="1:8" ht="25.5">
      <c r="A24" s="34">
        <f t="shared" si="0"/>
        <v>22</v>
      </c>
      <c r="B24" s="218" t="s">
        <v>10282</v>
      </c>
      <c r="C24" s="1" t="s">
        <v>137</v>
      </c>
      <c r="D24" s="34" t="s">
        <v>10184</v>
      </c>
      <c r="E24" s="34" t="s">
        <v>10278</v>
      </c>
      <c r="F24" s="6" t="s">
        <v>10283</v>
      </c>
      <c r="G24" s="218" t="s">
        <v>10280</v>
      </c>
      <c r="H24" s="218" t="s">
        <v>10281</v>
      </c>
    </row>
    <row r="25" spans="1:8" ht="25.5">
      <c r="A25" s="34">
        <f t="shared" si="0"/>
        <v>23</v>
      </c>
      <c r="B25" s="218" t="s">
        <v>10284</v>
      </c>
      <c r="C25" s="1" t="s">
        <v>137</v>
      </c>
      <c r="D25" s="34" t="s">
        <v>10184</v>
      </c>
      <c r="E25" s="34" t="s">
        <v>10278</v>
      </c>
      <c r="F25" s="6" t="s">
        <v>10285</v>
      </c>
      <c r="G25" s="218" t="s">
        <v>10286</v>
      </c>
      <c r="H25" s="218" t="s">
        <v>10281</v>
      </c>
    </row>
    <row r="26" spans="1:8" ht="25.5">
      <c r="A26" s="34">
        <f t="shared" si="0"/>
        <v>24</v>
      </c>
      <c r="B26" s="218" t="s">
        <v>10287</v>
      </c>
      <c r="C26" s="1" t="s">
        <v>212</v>
      </c>
      <c r="D26" s="34" t="s">
        <v>10184</v>
      </c>
      <c r="E26" s="34" t="s">
        <v>10288</v>
      </c>
      <c r="F26" s="6" t="s">
        <v>10289</v>
      </c>
      <c r="G26" s="218" t="s">
        <v>10290</v>
      </c>
      <c r="H26" s="218" t="s">
        <v>10291</v>
      </c>
    </row>
    <row r="27" spans="1:8" ht="25.5">
      <c r="A27" s="34">
        <f t="shared" si="0"/>
        <v>25</v>
      </c>
      <c r="B27" s="218" t="s">
        <v>10292</v>
      </c>
      <c r="C27" s="1" t="s">
        <v>212</v>
      </c>
      <c r="D27" s="34" t="s">
        <v>10184</v>
      </c>
      <c r="E27" s="34" t="s">
        <v>10293</v>
      </c>
      <c r="F27" s="6" t="s">
        <v>10294</v>
      </c>
      <c r="G27" s="218" t="s">
        <v>10295</v>
      </c>
      <c r="H27" s="218" t="s">
        <v>10296</v>
      </c>
    </row>
    <row r="28" spans="1:8" ht="25.5">
      <c r="A28" s="34">
        <f t="shared" si="0"/>
        <v>26</v>
      </c>
      <c r="B28" s="218" t="s">
        <v>10297</v>
      </c>
      <c r="C28" s="1" t="s">
        <v>212</v>
      </c>
      <c r="D28" s="34" t="s">
        <v>10184</v>
      </c>
      <c r="E28" s="34" t="s">
        <v>10293</v>
      </c>
      <c r="F28" s="6" t="s">
        <v>10294</v>
      </c>
      <c r="G28" s="218" t="s">
        <v>10295</v>
      </c>
      <c r="H28" s="218" t="s">
        <v>10298</v>
      </c>
    </row>
    <row r="29" spans="1:8" ht="25.5">
      <c r="A29" s="34">
        <f t="shared" si="0"/>
        <v>27</v>
      </c>
      <c r="B29" s="218" t="s">
        <v>10299</v>
      </c>
      <c r="C29" s="1" t="s">
        <v>132</v>
      </c>
      <c r="D29" s="34" t="s">
        <v>10184</v>
      </c>
      <c r="E29" s="34" t="s">
        <v>10300</v>
      </c>
      <c r="F29" s="6" t="s">
        <v>10301</v>
      </c>
      <c r="G29" s="218" t="s">
        <v>10302</v>
      </c>
      <c r="H29" s="218" t="s">
        <v>10303</v>
      </c>
    </row>
    <row r="30" spans="1:8" ht="25.5">
      <c r="A30" s="34">
        <f t="shared" si="0"/>
        <v>28</v>
      </c>
      <c r="B30" s="218" t="s">
        <v>10304</v>
      </c>
      <c r="C30" s="1" t="s">
        <v>132</v>
      </c>
      <c r="D30" s="34" t="s">
        <v>10184</v>
      </c>
      <c r="E30" s="34" t="s">
        <v>10300</v>
      </c>
      <c r="F30" s="6" t="s">
        <v>10305</v>
      </c>
      <c r="G30" s="218" t="s">
        <v>10302</v>
      </c>
      <c r="H30" s="218" t="s">
        <v>10306</v>
      </c>
    </row>
    <row r="31" spans="1:8" ht="25.5">
      <c r="A31" s="34">
        <f t="shared" si="0"/>
        <v>29</v>
      </c>
      <c r="B31" s="218" t="s">
        <v>10307</v>
      </c>
      <c r="C31" s="1" t="s">
        <v>132</v>
      </c>
      <c r="D31" s="34" t="s">
        <v>10184</v>
      </c>
      <c r="E31" s="34" t="s">
        <v>10300</v>
      </c>
      <c r="F31" s="6" t="s">
        <v>10308</v>
      </c>
      <c r="G31" s="218" t="s">
        <v>10302</v>
      </c>
      <c r="H31" s="218" t="s">
        <v>10309</v>
      </c>
    </row>
    <row r="32" spans="1:8" ht="25.5">
      <c r="A32" s="34">
        <f t="shared" si="0"/>
        <v>30</v>
      </c>
      <c r="B32" s="218" t="s">
        <v>10310</v>
      </c>
      <c r="C32" s="1" t="s">
        <v>10202</v>
      </c>
      <c r="D32" s="34" t="s">
        <v>10184</v>
      </c>
      <c r="E32" s="34" t="s">
        <v>10300</v>
      </c>
      <c r="F32" s="6" t="s">
        <v>10311</v>
      </c>
      <c r="G32" s="218" t="s">
        <v>10302</v>
      </c>
      <c r="H32" s="218" t="s">
        <v>10312</v>
      </c>
    </row>
    <row r="33" spans="1:8" ht="25.5">
      <c r="A33" s="34">
        <f t="shared" si="0"/>
        <v>31</v>
      </c>
      <c r="B33" s="218" t="s">
        <v>10313</v>
      </c>
      <c r="C33" s="1" t="s">
        <v>132</v>
      </c>
      <c r="D33" s="34" t="s">
        <v>10184</v>
      </c>
      <c r="E33" s="34" t="s">
        <v>10300</v>
      </c>
      <c r="F33" s="6" t="s">
        <v>10301</v>
      </c>
      <c r="G33" s="218" t="s">
        <v>10302</v>
      </c>
      <c r="H33" s="218" t="s">
        <v>10314</v>
      </c>
    </row>
    <row r="34" spans="1:8" ht="25.5">
      <c r="A34" s="34">
        <f t="shared" si="0"/>
        <v>32</v>
      </c>
      <c r="B34" s="218" t="s">
        <v>10315</v>
      </c>
      <c r="C34" s="1" t="s">
        <v>132</v>
      </c>
      <c r="D34" s="34" t="s">
        <v>10184</v>
      </c>
      <c r="E34" s="34" t="s">
        <v>10300</v>
      </c>
      <c r="F34" s="6" t="s">
        <v>10301</v>
      </c>
      <c r="G34" s="218" t="s">
        <v>10302</v>
      </c>
      <c r="H34" s="218" t="s">
        <v>10316</v>
      </c>
    </row>
    <row r="35" spans="1:8" ht="25.5">
      <c r="A35" s="34">
        <f t="shared" si="0"/>
        <v>33</v>
      </c>
      <c r="B35" s="218" t="s">
        <v>10317</v>
      </c>
      <c r="C35" s="1" t="s">
        <v>132</v>
      </c>
      <c r="D35" s="34" t="s">
        <v>10184</v>
      </c>
      <c r="E35" s="34" t="s">
        <v>10300</v>
      </c>
      <c r="F35" s="6" t="s">
        <v>10311</v>
      </c>
      <c r="G35" s="218" t="s">
        <v>10302</v>
      </c>
      <c r="H35" s="218" t="s">
        <v>10318</v>
      </c>
    </row>
    <row r="36" spans="1:8" ht="25.5">
      <c r="A36" s="34">
        <f t="shared" si="0"/>
        <v>34</v>
      </c>
      <c r="B36" s="218" t="s">
        <v>10319</v>
      </c>
      <c r="C36" s="1" t="s">
        <v>132</v>
      </c>
      <c r="D36" s="34" t="s">
        <v>10184</v>
      </c>
      <c r="E36" s="34" t="s">
        <v>10300</v>
      </c>
      <c r="F36" s="6" t="s">
        <v>10301</v>
      </c>
      <c r="G36" s="218" t="s">
        <v>10302</v>
      </c>
      <c r="H36" s="218" t="s">
        <v>10316</v>
      </c>
    </row>
    <row r="37" spans="1:8" ht="25.5">
      <c r="A37" s="34">
        <f t="shared" si="0"/>
        <v>35</v>
      </c>
      <c r="B37" s="218" t="s">
        <v>10320</v>
      </c>
      <c r="C37" s="1" t="s">
        <v>132</v>
      </c>
      <c r="D37" s="34" t="s">
        <v>10184</v>
      </c>
      <c r="E37" s="34" t="s">
        <v>10321</v>
      </c>
      <c r="F37" s="6" t="s">
        <v>10322</v>
      </c>
      <c r="G37" s="218" t="s">
        <v>10323</v>
      </c>
      <c r="H37" s="218" t="s">
        <v>10324</v>
      </c>
    </row>
    <row r="38" spans="1:8" ht="25.5">
      <c r="A38" s="34">
        <f t="shared" si="0"/>
        <v>36</v>
      </c>
      <c r="B38" s="218" t="s">
        <v>10325</v>
      </c>
      <c r="C38" s="1" t="s">
        <v>132</v>
      </c>
      <c r="D38" s="34" t="s">
        <v>10184</v>
      </c>
      <c r="E38" s="34" t="s">
        <v>10300</v>
      </c>
      <c r="F38" s="6" t="s">
        <v>10301</v>
      </c>
      <c r="G38" s="218" t="s">
        <v>10302</v>
      </c>
      <c r="H38" s="218" t="s">
        <v>10316</v>
      </c>
    </row>
    <row r="39" spans="1:8" ht="25.5">
      <c r="A39" s="34">
        <f t="shared" si="0"/>
        <v>37</v>
      </c>
      <c r="B39" s="218" t="s">
        <v>10326</v>
      </c>
      <c r="C39" s="1" t="s">
        <v>132</v>
      </c>
      <c r="D39" s="34" t="s">
        <v>10184</v>
      </c>
      <c r="E39" s="34" t="s">
        <v>10300</v>
      </c>
      <c r="F39" s="6" t="s">
        <v>10301</v>
      </c>
      <c r="G39" s="218" t="s">
        <v>10302</v>
      </c>
      <c r="H39" s="218" t="s">
        <v>10316</v>
      </c>
    </row>
    <row r="40" spans="1:8" ht="25.5">
      <c r="A40" s="34">
        <f t="shared" si="0"/>
        <v>38</v>
      </c>
      <c r="B40" s="218" t="s">
        <v>10327</v>
      </c>
      <c r="C40" s="1" t="s">
        <v>122</v>
      </c>
      <c r="D40" s="34" t="s">
        <v>10184</v>
      </c>
      <c r="E40" s="34" t="s">
        <v>10328</v>
      </c>
      <c r="F40" s="6" t="s">
        <v>10329</v>
      </c>
      <c r="G40" s="218" t="s">
        <v>10330</v>
      </c>
      <c r="H40" s="218" t="s">
        <v>10331</v>
      </c>
    </row>
    <row r="41" spans="1:8" ht="25.5">
      <c r="A41" s="34">
        <f t="shared" si="0"/>
        <v>39</v>
      </c>
      <c r="B41" s="218" t="s">
        <v>10332</v>
      </c>
      <c r="C41" s="1" t="s">
        <v>122</v>
      </c>
      <c r="D41" s="34" t="s">
        <v>10184</v>
      </c>
      <c r="E41" s="34" t="s">
        <v>10273</v>
      </c>
      <c r="F41" s="6" t="s">
        <v>10333</v>
      </c>
      <c r="G41" s="218" t="s">
        <v>10334</v>
      </c>
      <c r="H41" s="218" t="s">
        <v>10276</v>
      </c>
    </row>
    <row r="42" spans="1:8" ht="25.5">
      <c r="A42" s="34">
        <f t="shared" si="0"/>
        <v>40</v>
      </c>
      <c r="B42" s="218" t="s">
        <v>10335</v>
      </c>
      <c r="C42" s="1" t="s">
        <v>132</v>
      </c>
      <c r="D42" s="34" t="s">
        <v>10336</v>
      </c>
      <c r="E42" s="34" t="s">
        <v>10224</v>
      </c>
      <c r="F42" s="6" t="s">
        <v>10337</v>
      </c>
      <c r="G42" s="218" t="s">
        <v>10338</v>
      </c>
      <c r="H42" s="218" t="s">
        <v>10339</v>
      </c>
    </row>
    <row r="43" spans="1:8" ht="25.5">
      <c r="A43" s="34">
        <f t="shared" si="0"/>
        <v>41</v>
      </c>
      <c r="B43" s="218" t="s">
        <v>10340</v>
      </c>
      <c r="C43" s="1" t="s">
        <v>132</v>
      </c>
      <c r="D43" s="34" t="s">
        <v>10336</v>
      </c>
      <c r="E43" s="34" t="s">
        <v>10341</v>
      </c>
      <c r="F43" s="6" t="s">
        <v>10342</v>
      </c>
      <c r="G43" s="218" t="s">
        <v>10338</v>
      </c>
      <c r="H43" s="218" t="s">
        <v>10343</v>
      </c>
    </row>
    <row r="44" spans="1:8" ht="51">
      <c r="A44" s="34">
        <f t="shared" si="0"/>
        <v>42</v>
      </c>
      <c r="B44" s="218" t="s">
        <v>10344</v>
      </c>
      <c r="C44" s="1" t="s">
        <v>10345</v>
      </c>
      <c r="D44" s="34" t="s">
        <v>10346</v>
      </c>
      <c r="E44" s="34" t="s">
        <v>10347</v>
      </c>
      <c r="F44" s="6" t="s">
        <v>10348</v>
      </c>
      <c r="G44" s="218" t="s">
        <v>8060</v>
      </c>
      <c r="H44" s="218" t="s">
        <v>217</v>
      </c>
    </row>
    <row r="45" spans="1:8" ht="38.25">
      <c r="A45" s="34">
        <f t="shared" si="0"/>
        <v>43</v>
      </c>
      <c r="B45" s="218" t="s">
        <v>10349</v>
      </c>
      <c r="C45" s="1" t="s">
        <v>10345</v>
      </c>
      <c r="D45" s="34" t="s">
        <v>10346</v>
      </c>
      <c r="E45" s="34" t="s">
        <v>10350</v>
      </c>
      <c r="F45" s="6" t="s">
        <v>10351</v>
      </c>
      <c r="G45" s="218" t="s">
        <v>10352</v>
      </c>
      <c r="H45" s="218" t="s">
        <v>10353</v>
      </c>
    </row>
    <row r="46" spans="1:8" ht="38.25">
      <c r="A46" s="34">
        <f t="shared" si="0"/>
        <v>44</v>
      </c>
      <c r="B46" s="218" t="s">
        <v>10354</v>
      </c>
      <c r="C46" s="1" t="s">
        <v>10345</v>
      </c>
      <c r="D46" s="34" t="s">
        <v>10346</v>
      </c>
      <c r="E46" s="34" t="s">
        <v>10355</v>
      </c>
      <c r="F46" s="6" t="s">
        <v>10356</v>
      </c>
      <c r="G46" s="218" t="s">
        <v>10352</v>
      </c>
      <c r="H46" s="218" t="s">
        <v>10357</v>
      </c>
    </row>
    <row r="47" spans="1:8" ht="38.25">
      <c r="A47" s="34">
        <f t="shared" si="0"/>
        <v>45</v>
      </c>
      <c r="B47" s="218" t="s">
        <v>10358</v>
      </c>
      <c r="C47" s="1" t="s">
        <v>10345</v>
      </c>
      <c r="D47" s="34" t="s">
        <v>10346</v>
      </c>
      <c r="E47" s="34" t="s">
        <v>10359</v>
      </c>
      <c r="F47" s="6" t="s">
        <v>10351</v>
      </c>
      <c r="G47" s="218" t="s">
        <v>10352</v>
      </c>
      <c r="H47" s="218" t="s">
        <v>10353</v>
      </c>
    </row>
    <row r="48" spans="1:8" ht="38.25">
      <c r="A48" s="34">
        <f t="shared" si="0"/>
        <v>46</v>
      </c>
      <c r="B48" s="218" t="s">
        <v>10360</v>
      </c>
      <c r="C48" s="1" t="s">
        <v>147</v>
      </c>
      <c r="D48" s="34" t="s">
        <v>10361</v>
      </c>
      <c r="E48" s="34" t="s">
        <v>10362</v>
      </c>
      <c r="F48" s="6" t="s">
        <v>10363</v>
      </c>
      <c r="G48" s="218" t="s">
        <v>10364</v>
      </c>
      <c r="H48" s="218" t="s">
        <v>10365</v>
      </c>
    </row>
    <row r="49" spans="1:8">
      <c r="A49" s="34">
        <f t="shared" si="0"/>
        <v>47</v>
      </c>
      <c r="B49" s="218" t="s">
        <v>10366</v>
      </c>
      <c r="C49" s="1" t="s">
        <v>302</v>
      </c>
      <c r="D49" s="34" t="s">
        <v>10367</v>
      </c>
      <c r="E49" s="34" t="s">
        <v>10230</v>
      </c>
      <c r="F49" s="6" t="s">
        <v>10368</v>
      </c>
      <c r="G49" s="218" t="s">
        <v>10364</v>
      </c>
      <c r="H49" s="218" t="s">
        <v>10233</v>
      </c>
    </row>
    <row r="50" spans="1:8">
      <c r="A50" s="34">
        <f t="shared" si="0"/>
        <v>48</v>
      </c>
      <c r="B50" s="218" t="s">
        <v>10369</v>
      </c>
      <c r="C50" s="1" t="s">
        <v>10370</v>
      </c>
      <c r="D50" s="34" t="s">
        <v>10371</v>
      </c>
      <c r="E50" s="34" t="s">
        <v>10372</v>
      </c>
      <c r="F50" s="6" t="s">
        <v>10373</v>
      </c>
      <c r="G50" s="218" t="s">
        <v>10374</v>
      </c>
      <c r="H50" s="218" t="s">
        <v>10375</v>
      </c>
    </row>
    <row r="51" spans="1:8" ht="25.5">
      <c r="A51" s="34">
        <f t="shared" si="0"/>
        <v>49</v>
      </c>
      <c r="B51" s="218" t="s">
        <v>10376</v>
      </c>
      <c r="C51" s="1" t="s">
        <v>10377</v>
      </c>
      <c r="D51" s="34" t="s">
        <v>10371</v>
      </c>
      <c r="E51" s="34" t="s">
        <v>10378</v>
      </c>
      <c r="F51" s="6" t="s">
        <v>10379</v>
      </c>
      <c r="G51" s="218"/>
      <c r="H51" s="218" t="s">
        <v>10380</v>
      </c>
    </row>
    <row r="52" spans="1:8">
      <c r="A52" s="34">
        <f t="shared" si="0"/>
        <v>50</v>
      </c>
      <c r="B52" s="218" t="s">
        <v>10381</v>
      </c>
      <c r="C52" s="1" t="s">
        <v>10382</v>
      </c>
      <c r="D52" s="34" t="s">
        <v>10371</v>
      </c>
      <c r="E52" s="34" t="s">
        <v>8572</v>
      </c>
      <c r="F52" s="6" t="s">
        <v>10383</v>
      </c>
      <c r="G52" s="218" t="s">
        <v>10374</v>
      </c>
      <c r="H52" s="218" t="s">
        <v>10384</v>
      </c>
    </row>
    <row r="53" spans="1:8" ht="25.5">
      <c r="A53" s="34">
        <f t="shared" si="0"/>
        <v>51</v>
      </c>
      <c r="B53" s="218" t="s">
        <v>10385</v>
      </c>
      <c r="C53" s="1" t="s">
        <v>147</v>
      </c>
      <c r="D53" s="34" t="s">
        <v>10371</v>
      </c>
      <c r="E53" s="34" t="s">
        <v>10386</v>
      </c>
      <c r="F53" s="6" t="s">
        <v>10387</v>
      </c>
      <c r="G53" s="218" t="s">
        <v>10374</v>
      </c>
      <c r="H53" s="218" t="s">
        <v>10388</v>
      </c>
    </row>
    <row r="54" spans="1:8" ht="25.5">
      <c r="A54" s="34">
        <f t="shared" si="0"/>
        <v>52</v>
      </c>
      <c r="B54" s="218" t="s">
        <v>10389</v>
      </c>
      <c r="C54" s="1" t="s">
        <v>132</v>
      </c>
      <c r="D54" s="34" t="s">
        <v>10371</v>
      </c>
      <c r="E54" s="34" t="s">
        <v>10390</v>
      </c>
      <c r="F54" s="6" t="s">
        <v>10391</v>
      </c>
      <c r="G54" s="218" t="s">
        <v>10374</v>
      </c>
      <c r="H54" s="218" t="s">
        <v>10392</v>
      </c>
    </row>
    <row r="55" spans="1:8">
      <c r="A55" s="34">
        <f t="shared" si="0"/>
        <v>53</v>
      </c>
      <c r="B55" s="218" t="s">
        <v>10393</v>
      </c>
      <c r="C55" s="1" t="s">
        <v>10377</v>
      </c>
      <c r="D55" s="34" t="s">
        <v>10371</v>
      </c>
      <c r="E55" s="34" t="s">
        <v>10394</v>
      </c>
      <c r="F55" s="6" t="s">
        <v>10395</v>
      </c>
      <c r="G55" s="218" t="s">
        <v>10374</v>
      </c>
      <c r="H55" s="218" t="s">
        <v>10396</v>
      </c>
    </row>
    <row r="56" spans="1:8" ht="25.5">
      <c r="A56" s="34">
        <f t="shared" si="0"/>
        <v>54</v>
      </c>
      <c r="B56" s="218" t="s">
        <v>10397</v>
      </c>
      <c r="C56" s="1" t="s">
        <v>10398</v>
      </c>
      <c r="D56" s="34" t="s">
        <v>10371</v>
      </c>
      <c r="E56" s="34" t="s">
        <v>10230</v>
      </c>
      <c r="F56" s="6" t="s">
        <v>10399</v>
      </c>
      <c r="G56" s="218"/>
      <c r="H56" s="218" t="s">
        <v>10233</v>
      </c>
    </row>
    <row r="57" spans="1:8" ht="25.5">
      <c r="A57" s="34">
        <f t="shared" si="0"/>
        <v>55</v>
      </c>
      <c r="B57" s="218" t="s">
        <v>10400</v>
      </c>
      <c r="C57" s="1" t="s">
        <v>10401</v>
      </c>
      <c r="D57" s="34" t="s">
        <v>10371</v>
      </c>
      <c r="E57" s="34" t="s">
        <v>10402</v>
      </c>
      <c r="F57" s="6" t="s">
        <v>10403</v>
      </c>
      <c r="G57" s="218" t="s">
        <v>10374</v>
      </c>
      <c r="H57" s="218" t="s">
        <v>10404</v>
      </c>
    </row>
    <row r="58" spans="1:8" ht="25.5">
      <c r="A58" s="34">
        <f t="shared" si="0"/>
        <v>56</v>
      </c>
      <c r="B58" s="218" t="s">
        <v>10405</v>
      </c>
      <c r="C58" s="1" t="s">
        <v>132</v>
      </c>
      <c r="D58" s="34" t="s">
        <v>10189</v>
      </c>
      <c r="E58" s="34" t="s">
        <v>10300</v>
      </c>
      <c r="F58" s="6" t="s">
        <v>10406</v>
      </c>
      <c r="G58" s="218" t="s">
        <v>10407</v>
      </c>
      <c r="H58" s="218" t="s">
        <v>10314</v>
      </c>
    </row>
    <row r="59" spans="1:8" ht="25.5">
      <c r="A59" s="34">
        <f t="shared" si="0"/>
        <v>57</v>
      </c>
      <c r="B59" s="218" t="s">
        <v>10408</v>
      </c>
      <c r="C59" s="1" t="s">
        <v>10409</v>
      </c>
      <c r="D59" s="34" t="s">
        <v>10371</v>
      </c>
      <c r="E59" s="34" t="s">
        <v>10410</v>
      </c>
      <c r="F59" s="6" t="s">
        <v>10411</v>
      </c>
      <c r="G59" s="218" t="s">
        <v>10374</v>
      </c>
      <c r="H59" s="218" t="s">
        <v>10412</v>
      </c>
    </row>
    <row r="60" spans="1:8" ht="25.5">
      <c r="A60" s="34">
        <f t="shared" si="0"/>
        <v>58</v>
      </c>
      <c r="B60" s="218" t="s">
        <v>10413</v>
      </c>
      <c r="C60" s="1" t="s">
        <v>132</v>
      </c>
      <c r="D60" s="34" t="s">
        <v>10414</v>
      </c>
      <c r="E60" s="34" t="s">
        <v>9617</v>
      </c>
      <c r="F60" s="6" t="s">
        <v>10415</v>
      </c>
      <c r="G60" s="218" t="s">
        <v>10374</v>
      </c>
      <c r="H60" s="218" t="s">
        <v>10416</v>
      </c>
    </row>
    <row r="61" spans="1:8" ht="25.5">
      <c r="A61" s="34">
        <f t="shared" si="0"/>
        <v>59</v>
      </c>
      <c r="B61" s="218" t="s">
        <v>10417</v>
      </c>
      <c r="C61" s="1" t="s">
        <v>132</v>
      </c>
      <c r="D61" s="34" t="s">
        <v>10414</v>
      </c>
      <c r="E61" s="34" t="s">
        <v>10300</v>
      </c>
      <c r="F61" s="6" t="s">
        <v>10418</v>
      </c>
      <c r="G61" s="218" t="s">
        <v>10374</v>
      </c>
      <c r="H61" s="218" t="s">
        <v>10419</v>
      </c>
    </row>
    <row r="62" spans="1:8" ht="25.5">
      <c r="A62" s="34">
        <f t="shared" si="0"/>
        <v>60</v>
      </c>
      <c r="B62" s="218" t="s">
        <v>10420</v>
      </c>
      <c r="C62" s="1" t="s">
        <v>10377</v>
      </c>
      <c r="D62" s="34" t="s">
        <v>10414</v>
      </c>
      <c r="E62" s="34" t="s">
        <v>10243</v>
      </c>
      <c r="F62" s="6" t="s">
        <v>10421</v>
      </c>
      <c r="G62" s="218" t="s">
        <v>10374</v>
      </c>
      <c r="H62" s="218" t="s">
        <v>10422</v>
      </c>
    </row>
    <row r="63" spans="1:8" ht="25.5">
      <c r="A63" s="34">
        <f t="shared" si="0"/>
        <v>61</v>
      </c>
      <c r="B63" s="218" t="s">
        <v>10423</v>
      </c>
      <c r="C63" s="1" t="s">
        <v>10377</v>
      </c>
      <c r="D63" s="34" t="s">
        <v>10414</v>
      </c>
      <c r="E63" s="34" t="s">
        <v>10424</v>
      </c>
      <c r="F63" s="6" t="s">
        <v>10425</v>
      </c>
      <c r="G63" s="218" t="s">
        <v>10426</v>
      </c>
      <c r="H63" s="218" t="s">
        <v>292</v>
      </c>
    </row>
    <row r="64" spans="1:8" ht="51">
      <c r="A64" s="34">
        <f t="shared" si="0"/>
        <v>62</v>
      </c>
      <c r="B64" s="218" t="s">
        <v>10427</v>
      </c>
      <c r="C64" s="1" t="s">
        <v>132</v>
      </c>
      <c r="D64" s="34" t="s">
        <v>10414</v>
      </c>
      <c r="E64" s="34" t="s">
        <v>10224</v>
      </c>
      <c r="F64" s="6" t="s">
        <v>10428</v>
      </c>
      <c r="G64" s="218" t="s">
        <v>10429</v>
      </c>
      <c r="H64" s="218" t="s">
        <v>10430</v>
      </c>
    </row>
    <row r="65" spans="1:8" ht="51">
      <c r="A65" s="34">
        <f t="shared" si="0"/>
        <v>63</v>
      </c>
      <c r="B65" s="218" t="s">
        <v>10431</v>
      </c>
      <c r="C65" s="1" t="s">
        <v>132</v>
      </c>
      <c r="D65" s="34" t="s">
        <v>10414</v>
      </c>
      <c r="E65" s="34" t="s">
        <v>10300</v>
      </c>
      <c r="F65" s="6" t="s">
        <v>10432</v>
      </c>
      <c r="G65" s="218" t="s">
        <v>10429</v>
      </c>
      <c r="H65" s="218" t="s">
        <v>10433</v>
      </c>
    </row>
    <row r="66" spans="1:8" ht="51">
      <c r="A66" s="34">
        <f t="shared" si="0"/>
        <v>64</v>
      </c>
      <c r="B66" s="218" t="s">
        <v>10434</v>
      </c>
      <c r="C66" s="1" t="s">
        <v>10435</v>
      </c>
      <c r="D66" s="34" t="s">
        <v>10414</v>
      </c>
      <c r="E66" s="34" t="s">
        <v>10436</v>
      </c>
      <c r="F66" s="6" t="s">
        <v>10437</v>
      </c>
      <c r="G66" s="218" t="s">
        <v>10429</v>
      </c>
      <c r="H66" s="218" t="s">
        <v>10438</v>
      </c>
    </row>
    <row r="67" spans="1:8" ht="51">
      <c r="A67" s="34">
        <f t="shared" si="0"/>
        <v>65</v>
      </c>
      <c r="B67" s="218" t="s">
        <v>10439</v>
      </c>
      <c r="C67" s="1" t="s">
        <v>132</v>
      </c>
      <c r="D67" s="34" t="s">
        <v>10414</v>
      </c>
      <c r="E67" s="34" t="s">
        <v>10440</v>
      </c>
      <c r="F67" s="6" t="s">
        <v>10441</v>
      </c>
      <c r="G67" s="218" t="s">
        <v>10429</v>
      </c>
      <c r="H67" s="218" t="s">
        <v>10442</v>
      </c>
    </row>
    <row r="68" spans="1:8" ht="51">
      <c r="A68" s="34">
        <f t="shared" ref="A68:A131" si="1">A67+1</f>
        <v>66</v>
      </c>
      <c r="B68" s="218" t="s">
        <v>10443</v>
      </c>
      <c r="C68" s="1" t="s">
        <v>132</v>
      </c>
      <c r="D68" s="34" t="s">
        <v>10414</v>
      </c>
      <c r="E68" s="34" t="s">
        <v>10238</v>
      </c>
      <c r="F68" s="6" t="s">
        <v>10444</v>
      </c>
      <c r="G68" s="218" t="s">
        <v>10429</v>
      </c>
      <c r="H68" s="218" t="s">
        <v>287</v>
      </c>
    </row>
    <row r="69" spans="1:8" ht="51">
      <c r="A69" s="34">
        <f t="shared" si="1"/>
        <v>67</v>
      </c>
      <c r="B69" s="218" t="s">
        <v>10445</v>
      </c>
      <c r="C69" s="1" t="s">
        <v>132</v>
      </c>
      <c r="D69" s="34" t="s">
        <v>10414</v>
      </c>
      <c r="E69" s="34" t="s">
        <v>10446</v>
      </c>
      <c r="F69" s="6" t="s">
        <v>10447</v>
      </c>
      <c r="G69" s="218" t="s">
        <v>10429</v>
      </c>
      <c r="H69" s="218" t="s">
        <v>10448</v>
      </c>
    </row>
    <row r="70" spans="1:8" ht="51">
      <c r="A70" s="34">
        <f t="shared" si="1"/>
        <v>68</v>
      </c>
      <c r="B70" s="218" t="s">
        <v>10449</v>
      </c>
      <c r="C70" s="1" t="s">
        <v>132</v>
      </c>
      <c r="D70" s="34" t="s">
        <v>10414</v>
      </c>
      <c r="E70" s="34" t="s">
        <v>10300</v>
      </c>
      <c r="F70" s="6" t="s">
        <v>10432</v>
      </c>
      <c r="G70" s="218" t="s">
        <v>10450</v>
      </c>
      <c r="H70" s="218" t="s">
        <v>10451</v>
      </c>
    </row>
    <row r="71" spans="1:8" ht="51">
      <c r="A71" s="34">
        <f t="shared" si="1"/>
        <v>69</v>
      </c>
      <c r="B71" s="218" t="s">
        <v>10452</v>
      </c>
      <c r="C71" s="1" t="s">
        <v>132</v>
      </c>
      <c r="D71" s="34" t="s">
        <v>10414</v>
      </c>
      <c r="E71" s="34" t="s">
        <v>10321</v>
      </c>
      <c r="F71" s="6" t="s">
        <v>10453</v>
      </c>
      <c r="G71" s="218" t="s">
        <v>10429</v>
      </c>
      <c r="H71" s="218" t="s">
        <v>10454</v>
      </c>
    </row>
    <row r="72" spans="1:8" ht="25.5">
      <c r="A72" s="34">
        <f t="shared" si="1"/>
        <v>70</v>
      </c>
      <c r="B72" s="218" t="s">
        <v>10455</v>
      </c>
      <c r="C72" s="1" t="s">
        <v>158</v>
      </c>
      <c r="D72" s="34" t="s">
        <v>10184</v>
      </c>
      <c r="E72" s="34" t="s">
        <v>8590</v>
      </c>
      <c r="F72" s="6" t="s">
        <v>10456</v>
      </c>
      <c r="G72" s="218" t="s">
        <v>10457</v>
      </c>
      <c r="H72" s="218" t="s">
        <v>10458</v>
      </c>
    </row>
    <row r="73" spans="1:8" ht="38.25">
      <c r="A73" s="34">
        <f t="shared" si="1"/>
        <v>71</v>
      </c>
      <c r="B73" s="218" t="s">
        <v>10459</v>
      </c>
      <c r="C73" s="1" t="s">
        <v>10460</v>
      </c>
      <c r="D73" s="34" t="s">
        <v>10189</v>
      </c>
      <c r="E73" s="34" t="s">
        <v>10461</v>
      </c>
      <c r="F73" s="6" t="s">
        <v>10462</v>
      </c>
      <c r="G73" s="218" t="s">
        <v>10463</v>
      </c>
      <c r="H73" s="218" t="s">
        <v>10464</v>
      </c>
    </row>
    <row r="74" spans="1:8" ht="38.25">
      <c r="A74" s="34">
        <f t="shared" si="1"/>
        <v>72</v>
      </c>
      <c r="B74" s="218" t="s">
        <v>10465</v>
      </c>
      <c r="C74" s="1" t="s">
        <v>10466</v>
      </c>
      <c r="D74" s="34" t="s">
        <v>10189</v>
      </c>
      <c r="E74" s="34" t="s">
        <v>10467</v>
      </c>
      <c r="F74" s="6" t="s">
        <v>10342</v>
      </c>
      <c r="G74" s="218" t="s">
        <v>10468</v>
      </c>
      <c r="H74" s="218" t="s">
        <v>10469</v>
      </c>
    </row>
    <row r="75" spans="1:8" ht="51">
      <c r="A75" s="34">
        <f t="shared" si="1"/>
        <v>73</v>
      </c>
      <c r="B75" s="218" t="s">
        <v>10470</v>
      </c>
      <c r="C75" s="1" t="s">
        <v>10471</v>
      </c>
      <c r="D75" s="34" t="s">
        <v>10184</v>
      </c>
      <c r="E75" s="34" t="s">
        <v>10472</v>
      </c>
      <c r="F75" s="6" t="s">
        <v>10473</v>
      </c>
      <c r="G75" s="218" t="s">
        <v>10474</v>
      </c>
      <c r="H75" s="218" t="s">
        <v>10475</v>
      </c>
    </row>
    <row r="76" spans="1:8" ht="51">
      <c r="A76" s="34">
        <f t="shared" si="1"/>
        <v>74</v>
      </c>
      <c r="B76" s="218" t="s">
        <v>10476</v>
      </c>
      <c r="C76" s="1" t="s">
        <v>10471</v>
      </c>
      <c r="D76" s="34" t="s">
        <v>10184</v>
      </c>
      <c r="E76" s="34" t="s">
        <v>10472</v>
      </c>
      <c r="F76" s="6" t="s">
        <v>10477</v>
      </c>
      <c r="G76" s="218" t="s">
        <v>8833</v>
      </c>
      <c r="H76" s="218" t="s">
        <v>10478</v>
      </c>
    </row>
    <row r="77" spans="1:8" ht="38.25">
      <c r="A77" s="34">
        <f t="shared" si="1"/>
        <v>75</v>
      </c>
      <c r="B77" s="218" t="s">
        <v>10479</v>
      </c>
      <c r="C77" s="1" t="s">
        <v>132</v>
      </c>
      <c r="D77" s="34" t="s">
        <v>10189</v>
      </c>
      <c r="E77" s="34" t="s">
        <v>10300</v>
      </c>
      <c r="F77" s="6" t="s">
        <v>10480</v>
      </c>
      <c r="G77" s="218" t="s">
        <v>10302</v>
      </c>
      <c r="H77" s="218" t="s">
        <v>10481</v>
      </c>
    </row>
    <row r="78" spans="1:8" ht="38.25">
      <c r="A78" s="34">
        <f t="shared" si="1"/>
        <v>76</v>
      </c>
      <c r="B78" s="218" t="s">
        <v>10479</v>
      </c>
      <c r="C78" s="1" t="s">
        <v>10482</v>
      </c>
      <c r="D78" s="34" t="s">
        <v>10189</v>
      </c>
      <c r="E78" s="34" t="s">
        <v>10300</v>
      </c>
      <c r="F78" s="6" t="s">
        <v>10483</v>
      </c>
      <c r="G78" s="218" t="s">
        <v>10302</v>
      </c>
      <c r="H78" s="218" t="s">
        <v>10484</v>
      </c>
    </row>
    <row r="79" spans="1:8" ht="25.5">
      <c r="A79" s="34">
        <f t="shared" si="1"/>
        <v>77</v>
      </c>
      <c r="B79" s="218" t="s">
        <v>10485</v>
      </c>
      <c r="C79" s="1" t="s">
        <v>10409</v>
      </c>
      <c r="D79" s="34" t="s">
        <v>10189</v>
      </c>
      <c r="E79" s="34" t="s">
        <v>10486</v>
      </c>
      <c r="F79" s="6" t="s">
        <v>10487</v>
      </c>
      <c r="G79" s="218" t="s">
        <v>10488</v>
      </c>
      <c r="H79" s="218" t="s">
        <v>10489</v>
      </c>
    </row>
    <row r="80" spans="1:8" ht="25.5">
      <c r="A80" s="34">
        <f t="shared" si="1"/>
        <v>78</v>
      </c>
      <c r="B80" s="218" t="s">
        <v>10490</v>
      </c>
      <c r="C80" s="1" t="s">
        <v>132</v>
      </c>
      <c r="D80" s="34" t="s">
        <v>10189</v>
      </c>
      <c r="E80" s="34" t="s">
        <v>9617</v>
      </c>
      <c r="F80" s="6" t="s">
        <v>10491</v>
      </c>
      <c r="G80" s="218" t="s">
        <v>10492</v>
      </c>
      <c r="H80" s="218" t="s">
        <v>10266</v>
      </c>
    </row>
    <row r="81" spans="1:8" ht="25.5">
      <c r="A81" s="34">
        <f t="shared" si="1"/>
        <v>79</v>
      </c>
      <c r="B81" s="218" t="s">
        <v>10493</v>
      </c>
      <c r="C81" s="1" t="s">
        <v>10482</v>
      </c>
      <c r="D81" s="34" t="s">
        <v>10189</v>
      </c>
      <c r="E81" s="34" t="s">
        <v>9617</v>
      </c>
      <c r="F81" s="6" t="s">
        <v>10491</v>
      </c>
      <c r="G81" s="218" t="s">
        <v>10492</v>
      </c>
      <c r="H81" s="218" t="s">
        <v>10494</v>
      </c>
    </row>
    <row r="82" spans="1:8" ht="25.5">
      <c r="A82" s="34">
        <f t="shared" si="1"/>
        <v>80</v>
      </c>
      <c r="B82" s="218" t="s">
        <v>10495</v>
      </c>
      <c r="C82" s="1" t="s">
        <v>10482</v>
      </c>
      <c r="D82" s="34" t="s">
        <v>10189</v>
      </c>
      <c r="E82" s="34" t="s">
        <v>9617</v>
      </c>
      <c r="F82" s="6" t="s">
        <v>10491</v>
      </c>
      <c r="G82" s="218" t="s">
        <v>10492</v>
      </c>
      <c r="H82" s="218" t="s">
        <v>10496</v>
      </c>
    </row>
    <row r="83" spans="1:8" ht="25.5">
      <c r="A83" s="34">
        <f t="shared" si="1"/>
        <v>81</v>
      </c>
      <c r="B83" s="218" t="s">
        <v>10497</v>
      </c>
      <c r="C83" s="1" t="s">
        <v>132</v>
      </c>
      <c r="D83" s="34" t="s">
        <v>10218</v>
      </c>
      <c r="E83" s="34" t="s">
        <v>10224</v>
      </c>
      <c r="F83" s="6" t="s">
        <v>10498</v>
      </c>
      <c r="G83" s="218" t="s">
        <v>10499</v>
      </c>
      <c r="H83" s="218" t="s">
        <v>10500</v>
      </c>
    </row>
    <row r="84" spans="1:8" ht="38.25">
      <c r="A84" s="34">
        <f t="shared" si="1"/>
        <v>82</v>
      </c>
      <c r="B84" s="218" t="s">
        <v>10501</v>
      </c>
      <c r="C84" s="1" t="s">
        <v>10502</v>
      </c>
      <c r="D84" s="34" t="s">
        <v>10189</v>
      </c>
      <c r="E84" s="34" t="s">
        <v>10503</v>
      </c>
      <c r="F84" s="6" t="s">
        <v>10504</v>
      </c>
      <c r="G84" s="218" t="s">
        <v>10505</v>
      </c>
      <c r="H84" s="218" t="s">
        <v>10506</v>
      </c>
    </row>
    <row r="85" spans="1:8">
      <c r="A85" s="34">
        <f t="shared" si="1"/>
        <v>83</v>
      </c>
      <c r="B85" s="218" t="s">
        <v>10501</v>
      </c>
      <c r="C85" s="1" t="s">
        <v>1017</v>
      </c>
      <c r="D85" s="34" t="s">
        <v>10189</v>
      </c>
      <c r="E85" s="34" t="s">
        <v>10507</v>
      </c>
      <c r="F85" s="6" t="s">
        <v>10508</v>
      </c>
      <c r="G85" s="218" t="s">
        <v>8680</v>
      </c>
      <c r="H85" s="218" t="s">
        <v>10509</v>
      </c>
    </row>
    <row r="86" spans="1:8" ht="25.5">
      <c r="A86" s="34">
        <f t="shared" si="1"/>
        <v>84</v>
      </c>
      <c r="B86" s="218" t="s">
        <v>10485</v>
      </c>
      <c r="C86" s="1" t="s">
        <v>122</v>
      </c>
      <c r="D86" s="34" t="s">
        <v>10189</v>
      </c>
      <c r="E86" s="34" t="s">
        <v>10486</v>
      </c>
      <c r="F86" s="6" t="s">
        <v>10510</v>
      </c>
      <c r="G86" s="218" t="s">
        <v>10488</v>
      </c>
      <c r="H86" s="218" t="s">
        <v>1069</v>
      </c>
    </row>
    <row r="87" spans="1:8" ht="25.5">
      <c r="A87" s="34">
        <f t="shared" si="1"/>
        <v>85</v>
      </c>
      <c r="B87" s="218" t="s">
        <v>10511</v>
      </c>
      <c r="C87" s="1" t="s">
        <v>132</v>
      </c>
      <c r="D87" s="34" t="s">
        <v>10189</v>
      </c>
      <c r="E87" s="34" t="s">
        <v>10300</v>
      </c>
      <c r="F87" s="6" t="s">
        <v>10512</v>
      </c>
      <c r="G87" s="218" t="s">
        <v>10513</v>
      </c>
      <c r="H87" s="218" t="s">
        <v>10514</v>
      </c>
    </row>
    <row r="88" spans="1:8" ht="25.5">
      <c r="A88" s="34">
        <f t="shared" si="1"/>
        <v>86</v>
      </c>
      <c r="B88" s="218" t="s">
        <v>10515</v>
      </c>
      <c r="C88" s="1" t="s">
        <v>132</v>
      </c>
      <c r="D88" s="34" t="s">
        <v>10218</v>
      </c>
      <c r="E88" s="34" t="s">
        <v>10516</v>
      </c>
      <c r="F88" s="6" t="s">
        <v>10517</v>
      </c>
      <c r="G88" s="218" t="s">
        <v>10518</v>
      </c>
      <c r="H88" s="218" t="s">
        <v>315</v>
      </c>
    </row>
    <row r="89" spans="1:8" ht="25.5">
      <c r="A89" s="34">
        <f t="shared" si="1"/>
        <v>87</v>
      </c>
      <c r="B89" s="218" t="s">
        <v>10519</v>
      </c>
      <c r="C89" s="1" t="s">
        <v>122</v>
      </c>
      <c r="D89" s="34" t="s">
        <v>10184</v>
      </c>
      <c r="E89" s="34" t="s">
        <v>10273</v>
      </c>
      <c r="F89" s="6" t="s">
        <v>10333</v>
      </c>
      <c r="G89" s="218" t="s">
        <v>10334</v>
      </c>
      <c r="H89" s="218" t="s">
        <v>10276</v>
      </c>
    </row>
    <row r="90" spans="1:8" ht="25.5">
      <c r="A90" s="34">
        <f t="shared" si="1"/>
        <v>88</v>
      </c>
      <c r="B90" s="218" t="s">
        <v>10520</v>
      </c>
      <c r="C90" s="1" t="s">
        <v>212</v>
      </c>
      <c r="D90" s="34" t="s">
        <v>10521</v>
      </c>
      <c r="E90" s="34" t="s">
        <v>10522</v>
      </c>
      <c r="F90" s="6" t="s">
        <v>10523</v>
      </c>
      <c r="G90" s="218" t="s">
        <v>10524</v>
      </c>
      <c r="H90" s="218" t="s">
        <v>10525</v>
      </c>
    </row>
    <row r="91" spans="1:8" ht="25.5">
      <c r="A91" s="34">
        <f t="shared" si="1"/>
        <v>89</v>
      </c>
      <c r="B91" s="218" t="s">
        <v>10520</v>
      </c>
      <c r="C91" s="1" t="s">
        <v>132</v>
      </c>
      <c r="D91" s="34" t="s">
        <v>10520</v>
      </c>
      <c r="E91" s="34" t="s">
        <v>10526</v>
      </c>
      <c r="F91" s="6" t="s">
        <v>10527</v>
      </c>
      <c r="G91" s="218" t="s">
        <v>10528</v>
      </c>
      <c r="H91" s="218" t="s">
        <v>10529</v>
      </c>
    </row>
    <row r="92" spans="1:8" ht="25.5">
      <c r="A92" s="34">
        <f t="shared" si="1"/>
        <v>90</v>
      </c>
      <c r="B92" s="218" t="s">
        <v>10520</v>
      </c>
      <c r="C92" s="1" t="s">
        <v>132</v>
      </c>
      <c r="D92" s="34" t="s">
        <v>10521</v>
      </c>
      <c r="E92" s="34" t="s">
        <v>10526</v>
      </c>
      <c r="F92" s="6" t="s">
        <v>10530</v>
      </c>
      <c r="G92" s="218" t="s">
        <v>10528</v>
      </c>
      <c r="H92" s="218" t="s">
        <v>10531</v>
      </c>
    </row>
    <row r="93" spans="1:8" ht="25.5">
      <c r="A93" s="34">
        <f t="shared" si="1"/>
        <v>91</v>
      </c>
      <c r="B93" s="218" t="s">
        <v>10532</v>
      </c>
      <c r="C93" s="1" t="s">
        <v>132</v>
      </c>
      <c r="D93" s="34" t="s">
        <v>10521</v>
      </c>
      <c r="E93" s="34" t="s">
        <v>10533</v>
      </c>
      <c r="F93" s="6" t="s">
        <v>10534</v>
      </c>
      <c r="G93" s="218" t="s">
        <v>10535</v>
      </c>
      <c r="H93" s="218" t="s">
        <v>10536</v>
      </c>
    </row>
    <row r="94" spans="1:8" ht="25.5">
      <c r="A94" s="34">
        <f t="shared" si="1"/>
        <v>92</v>
      </c>
      <c r="B94" s="218" t="s">
        <v>10532</v>
      </c>
      <c r="C94" s="1" t="s">
        <v>212</v>
      </c>
      <c r="D94" s="34" t="s">
        <v>10521</v>
      </c>
      <c r="E94" s="34" t="s">
        <v>10243</v>
      </c>
      <c r="F94" s="6" t="s">
        <v>10537</v>
      </c>
      <c r="G94" s="218" t="s">
        <v>10538</v>
      </c>
      <c r="H94" s="218" t="s">
        <v>10539</v>
      </c>
    </row>
    <row r="95" spans="1:8" ht="25.5">
      <c r="A95" s="34">
        <f t="shared" si="1"/>
        <v>93</v>
      </c>
      <c r="B95" s="218" t="s">
        <v>10532</v>
      </c>
      <c r="C95" s="1" t="s">
        <v>212</v>
      </c>
      <c r="D95" s="34" t="s">
        <v>10521</v>
      </c>
      <c r="E95" s="34" t="s">
        <v>10243</v>
      </c>
      <c r="F95" s="6" t="s">
        <v>10537</v>
      </c>
      <c r="G95" s="218" t="s">
        <v>10538</v>
      </c>
      <c r="H95" s="218" t="s">
        <v>10540</v>
      </c>
    </row>
    <row r="96" spans="1:8" ht="25.5">
      <c r="A96" s="34">
        <f t="shared" si="1"/>
        <v>94</v>
      </c>
      <c r="B96" s="218" t="s">
        <v>10541</v>
      </c>
      <c r="C96" s="1" t="s">
        <v>132</v>
      </c>
      <c r="D96" s="34" t="s">
        <v>10521</v>
      </c>
      <c r="E96" s="34" t="s">
        <v>10542</v>
      </c>
      <c r="F96" s="6" t="s">
        <v>10543</v>
      </c>
      <c r="G96" s="218" t="s">
        <v>10544</v>
      </c>
      <c r="H96" s="218" t="s">
        <v>10545</v>
      </c>
    </row>
    <row r="97" spans="1:8" ht="25.5">
      <c r="A97" s="34">
        <f t="shared" si="1"/>
        <v>95</v>
      </c>
      <c r="B97" s="218" t="s">
        <v>10520</v>
      </c>
      <c r="C97" s="1" t="s">
        <v>132</v>
      </c>
      <c r="D97" s="34" t="s">
        <v>10521</v>
      </c>
      <c r="E97" s="34" t="s">
        <v>10542</v>
      </c>
      <c r="F97" s="6" t="s">
        <v>10546</v>
      </c>
      <c r="G97" s="218" t="s">
        <v>10544</v>
      </c>
      <c r="H97" s="218" t="s">
        <v>10547</v>
      </c>
    </row>
    <row r="98" spans="1:8" ht="25.5">
      <c r="A98" s="34">
        <f t="shared" si="1"/>
        <v>96</v>
      </c>
      <c r="B98" s="218" t="s">
        <v>10541</v>
      </c>
      <c r="C98" s="1" t="s">
        <v>132</v>
      </c>
      <c r="D98" s="34" t="s">
        <v>10521</v>
      </c>
      <c r="E98" s="34" t="s">
        <v>10526</v>
      </c>
      <c r="F98" s="6" t="s">
        <v>10548</v>
      </c>
      <c r="G98" s="218" t="s">
        <v>10528</v>
      </c>
      <c r="H98" s="218" t="s">
        <v>10549</v>
      </c>
    </row>
    <row r="99" spans="1:8" ht="25.5">
      <c r="A99" s="34">
        <f t="shared" si="1"/>
        <v>97</v>
      </c>
      <c r="B99" s="218" t="s">
        <v>10550</v>
      </c>
      <c r="C99" s="1" t="s">
        <v>132</v>
      </c>
      <c r="D99" s="34" t="s">
        <v>10521</v>
      </c>
      <c r="E99" s="34" t="s">
        <v>9617</v>
      </c>
      <c r="F99" s="6" t="s">
        <v>10551</v>
      </c>
      <c r="G99" s="218" t="s">
        <v>10552</v>
      </c>
      <c r="H99" s="218" t="s">
        <v>10553</v>
      </c>
    </row>
    <row r="100" spans="1:8" ht="25.5">
      <c r="A100" s="34">
        <f t="shared" si="1"/>
        <v>98</v>
      </c>
      <c r="B100" s="218" t="s">
        <v>10520</v>
      </c>
      <c r="C100" s="1" t="s">
        <v>212</v>
      </c>
      <c r="D100" s="34" t="s">
        <v>10521</v>
      </c>
      <c r="E100" s="34" t="s">
        <v>10554</v>
      </c>
      <c r="F100" s="6" t="s">
        <v>10555</v>
      </c>
      <c r="G100" s="218" t="s">
        <v>10556</v>
      </c>
      <c r="H100" s="218" t="s">
        <v>10557</v>
      </c>
    </row>
    <row r="101" spans="1:8" ht="25.5">
      <c r="A101" s="34">
        <f t="shared" si="1"/>
        <v>99</v>
      </c>
      <c r="B101" s="218" t="s">
        <v>10520</v>
      </c>
      <c r="C101" s="1" t="s">
        <v>212</v>
      </c>
      <c r="D101" s="34" t="s">
        <v>10521</v>
      </c>
      <c r="E101" s="34" t="s">
        <v>10522</v>
      </c>
      <c r="F101" s="6" t="s">
        <v>10558</v>
      </c>
      <c r="G101" s="218" t="s">
        <v>10524</v>
      </c>
      <c r="H101" s="218" t="s">
        <v>10559</v>
      </c>
    </row>
    <row r="102" spans="1:8" ht="25.5">
      <c r="A102" s="34">
        <f t="shared" si="1"/>
        <v>100</v>
      </c>
      <c r="B102" s="218" t="s">
        <v>10550</v>
      </c>
      <c r="C102" s="1" t="s">
        <v>132</v>
      </c>
      <c r="D102" s="34" t="s">
        <v>10521</v>
      </c>
      <c r="E102" s="34" t="s">
        <v>9617</v>
      </c>
      <c r="F102" s="6" t="s">
        <v>10560</v>
      </c>
      <c r="G102" s="218" t="s">
        <v>10552</v>
      </c>
      <c r="H102" s="218" t="s">
        <v>10561</v>
      </c>
    </row>
    <row r="103" spans="1:8" ht="25.5">
      <c r="A103" s="34">
        <f t="shared" si="1"/>
        <v>101</v>
      </c>
      <c r="B103" s="218" t="s">
        <v>10520</v>
      </c>
      <c r="C103" s="1" t="s">
        <v>132</v>
      </c>
      <c r="D103" s="34" t="s">
        <v>10521</v>
      </c>
      <c r="E103" s="34" t="s">
        <v>10341</v>
      </c>
      <c r="F103" s="6" t="s">
        <v>10562</v>
      </c>
      <c r="G103" s="218" t="s">
        <v>10563</v>
      </c>
      <c r="H103" s="218" t="s">
        <v>10564</v>
      </c>
    </row>
    <row r="104" spans="1:8" ht="25.5">
      <c r="A104" s="34">
        <f t="shared" si="1"/>
        <v>102</v>
      </c>
      <c r="B104" s="218" t="s">
        <v>10532</v>
      </c>
      <c r="C104" s="1" t="s">
        <v>212</v>
      </c>
      <c r="D104" s="34" t="s">
        <v>10521</v>
      </c>
      <c r="E104" s="34" t="s">
        <v>10243</v>
      </c>
      <c r="F104" s="6" t="s">
        <v>10537</v>
      </c>
      <c r="G104" s="218" t="s">
        <v>10538</v>
      </c>
      <c r="H104" s="218" t="s">
        <v>10565</v>
      </c>
    </row>
    <row r="105" spans="1:8" ht="25.5">
      <c r="A105" s="34">
        <f t="shared" si="1"/>
        <v>103</v>
      </c>
      <c r="B105" s="218" t="s">
        <v>10566</v>
      </c>
      <c r="C105" s="1" t="s">
        <v>212</v>
      </c>
      <c r="D105" s="34" t="s">
        <v>10521</v>
      </c>
      <c r="E105" s="34" t="s">
        <v>10567</v>
      </c>
      <c r="F105" s="6" t="s">
        <v>10568</v>
      </c>
      <c r="G105" s="218" t="s">
        <v>10569</v>
      </c>
      <c r="H105" s="218" t="s">
        <v>10570</v>
      </c>
    </row>
    <row r="106" spans="1:8" ht="25.5">
      <c r="A106" s="34">
        <f t="shared" si="1"/>
        <v>104</v>
      </c>
      <c r="B106" s="218" t="s">
        <v>10550</v>
      </c>
      <c r="C106" s="1" t="s">
        <v>132</v>
      </c>
      <c r="D106" s="34" t="s">
        <v>10521</v>
      </c>
      <c r="E106" s="34" t="s">
        <v>9617</v>
      </c>
      <c r="F106" s="6" t="s">
        <v>10571</v>
      </c>
      <c r="G106" s="218" t="s">
        <v>10572</v>
      </c>
      <c r="H106" s="218" t="s">
        <v>10573</v>
      </c>
    </row>
    <row r="107" spans="1:8" ht="25.5">
      <c r="A107" s="34">
        <f t="shared" si="1"/>
        <v>105</v>
      </c>
      <c r="B107" s="218" t="s">
        <v>10520</v>
      </c>
      <c r="C107" s="1" t="s">
        <v>132</v>
      </c>
      <c r="D107" s="34" t="s">
        <v>10520</v>
      </c>
      <c r="E107" s="34" t="s">
        <v>10574</v>
      </c>
      <c r="F107" s="6" t="s">
        <v>10575</v>
      </c>
      <c r="G107" s="218" t="s">
        <v>10576</v>
      </c>
      <c r="H107" s="218" t="s">
        <v>10577</v>
      </c>
    </row>
    <row r="108" spans="1:8" ht="25.5">
      <c r="A108" s="34">
        <f t="shared" si="1"/>
        <v>106</v>
      </c>
      <c r="B108" s="218" t="s">
        <v>10578</v>
      </c>
      <c r="C108" s="1" t="s">
        <v>132</v>
      </c>
      <c r="D108" s="34" t="s">
        <v>10521</v>
      </c>
      <c r="E108" s="34" t="s">
        <v>10440</v>
      </c>
      <c r="F108" s="6" t="s">
        <v>10579</v>
      </c>
      <c r="G108" s="218" t="s">
        <v>10580</v>
      </c>
      <c r="H108" s="218" t="s">
        <v>10581</v>
      </c>
    </row>
    <row r="109" spans="1:8" ht="25.5">
      <c r="A109" s="34">
        <f t="shared" si="1"/>
        <v>107</v>
      </c>
      <c r="B109" s="218" t="s">
        <v>10520</v>
      </c>
      <c r="C109" s="1" t="s">
        <v>132</v>
      </c>
      <c r="D109" s="34" t="s">
        <v>10521</v>
      </c>
      <c r="E109" s="34" t="s">
        <v>10574</v>
      </c>
      <c r="F109" s="6" t="s">
        <v>10582</v>
      </c>
      <c r="G109" s="218" t="s">
        <v>10583</v>
      </c>
      <c r="H109" s="218" t="s">
        <v>10584</v>
      </c>
    </row>
    <row r="110" spans="1:8" ht="38.25">
      <c r="A110" s="34">
        <f t="shared" si="1"/>
        <v>108</v>
      </c>
      <c r="B110" s="218" t="s">
        <v>10585</v>
      </c>
      <c r="C110" s="1" t="s">
        <v>10586</v>
      </c>
      <c r="D110" s="34" t="s">
        <v>10587</v>
      </c>
      <c r="E110" s="34" t="s">
        <v>10238</v>
      </c>
      <c r="F110" s="6" t="s">
        <v>10588</v>
      </c>
      <c r="G110" s="218" t="s">
        <v>8060</v>
      </c>
      <c r="H110" s="218" t="s">
        <v>10589</v>
      </c>
    </row>
    <row r="111" spans="1:8" ht="25.5">
      <c r="A111" s="34">
        <f t="shared" si="1"/>
        <v>109</v>
      </c>
      <c r="B111" s="218" t="s">
        <v>10590</v>
      </c>
      <c r="C111" s="1" t="s">
        <v>212</v>
      </c>
      <c r="D111" s="34" t="s">
        <v>10521</v>
      </c>
      <c r="E111" s="34" t="s">
        <v>10591</v>
      </c>
      <c r="F111" s="6" t="s">
        <v>10592</v>
      </c>
      <c r="G111" s="218" t="s">
        <v>10593</v>
      </c>
      <c r="H111" s="218" t="s">
        <v>10594</v>
      </c>
    </row>
    <row r="112" spans="1:8" ht="25.5">
      <c r="A112" s="34">
        <f t="shared" si="1"/>
        <v>110</v>
      </c>
      <c r="B112" s="218" t="s">
        <v>10595</v>
      </c>
      <c r="C112" s="1" t="s">
        <v>137</v>
      </c>
      <c r="D112" s="34" t="s">
        <v>10184</v>
      </c>
      <c r="E112" s="34" t="s">
        <v>10436</v>
      </c>
      <c r="F112" s="6" t="s">
        <v>10596</v>
      </c>
      <c r="G112" s="218" t="s">
        <v>10597</v>
      </c>
      <c r="H112" s="218" t="s">
        <v>10438</v>
      </c>
    </row>
    <row r="113" spans="1:8" ht="25.5">
      <c r="A113" s="34">
        <f t="shared" si="1"/>
        <v>111</v>
      </c>
      <c r="B113" s="218" t="s">
        <v>10520</v>
      </c>
      <c r="C113" s="1" t="s">
        <v>10482</v>
      </c>
      <c r="D113" s="34" t="s">
        <v>10521</v>
      </c>
      <c r="E113" s="34" t="s">
        <v>10574</v>
      </c>
      <c r="F113" s="6" t="s">
        <v>10598</v>
      </c>
      <c r="G113" s="218" t="s">
        <v>10583</v>
      </c>
      <c r="H113" s="218" t="s">
        <v>10599</v>
      </c>
    </row>
    <row r="114" spans="1:8" ht="25.5">
      <c r="A114" s="34">
        <f t="shared" si="1"/>
        <v>112</v>
      </c>
      <c r="B114" s="218" t="s">
        <v>10520</v>
      </c>
      <c r="C114" s="1" t="s">
        <v>10600</v>
      </c>
      <c r="D114" s="34" t="s">
        <v>10521</v>
      </c>
      <c r="E114" s="34" t="s">
        <v>10591</v>
      </c>
      <c r="F114" s="6" t="s">
        <v>10601</v>
      </c>
      <c r="G114" s="218" t="s">
        <v>10602</v>
      </c>
      <c r="H114" s="218" t="s">
        <v>10603</v>
      </c>
    </row>
    <row r="115" spans="1:8" ht="25.5">
      <c r="A115" s="34">
        <f t="shared" si="1"/>
        <v>113</v>
      </c>
      <c r="B115" s="218" t="s">
        <v>10520</v>
      </c>
      <c r="C115" s="1" t="s">
        <v>132</v>
      </c>
      <c r="D115" s="34" t="s">
        <v>10521</v>
      </c>
      <c r="E115" s="34" t="s">
        <v>10574</v>
      </c>
      <c r="F115" s="6" t="s">
        <v>10575</v>
      </c>
      <c r="G115" s="218" t="s">
        <v>10583</v>
      </c>
      <c r="H115" s="218" t="s">
        <v>2296</v>
      </c>
    </row>
    <row r="116" spans="1:8" ht="25.5">
      <c r="A116" s="34">
        <f t="shared" si="1"/>
        <v>114</v>
      </c>
      <c r="B116" s="218" t="s">
        <v>10520</v>
      </c>
      <c r="C116" s="1" t="s">
        <v>122</v>
      </c>
      <c r="D116" s="34" t="s">
        <v>10521</v>
      </c>
      <c r="E116" s="34" t="s">
        <v>10341</v>
      </c>
      <c r="F116" s="6" t="s">
        <v>10604</v>
      </c>
      <c r="G116" s="218" t="s">
        <v>10605</v>
      </c>
      <c r="H116" s="218" t="s">
        <v>10606</v>
      </c>
    </row>
    <row r="117" spans="1:8" ht="25.5">
      <c r="A117" s="34">
        <f t="shared" si="1"/>
        <v>115</v>
      </c>
      <c r="B117" s="218" t="s">
        <v>10520</v>
      </c>
      <c r="C117" s="1" t="s">
        <v>132</v>
      </c>
      <c r="D117" s="34" t="s">
        <v>10521</v>
      </c>
      <c r="E117" s="34" t="s">
        <v>10607</v>
      </c>
      <c r="F117" s="6" t="s">
        <v>10608</v>
      </c>
      <c r="G117" s="218" t="s">
        <v>10609</v>
      </c>
      <c r="H117" s="218" t="s">
        <v>10610</v>
      </c>
    </row>
    <row r="118" spans="1:8" ht="25.5">
      <c r="A118" s="34">
        <f t="shared" si="1"/>
        <v>116</v>
      </c>
      <c r="B118" s="218" t="s">
        <v>10520</v>
      </c>
      <c r="C118" s="1" t="s">
        <v>132</v>
      </c>
      <c r="D118" s="34" t="s">
        <v>10520</v>
      </c>
      <c r="E118" s="34" t="s">
        <v>10607</v>
      </c>
      <c r="F118" s="6" t="s">
        <v>10611</v>
      </c>
      <c r="G118" s="218" t="s">
        <v>10609</v>
      </c>
      <c r="H118" s="218" t="s">
        <v>10612</v>
      </c>
    </row>
    <row r="119" spans="1:8" ht="25.5">
      <c r="A119" s="34">
        <f t="shared" si="1"/>
        <v>117</v>
      </c>
      <c r="B119" s="218" t="s">
        <v>10520</v>
      </c>
      <c r="C119" s="1" t="s">
        <v>132</v>
      </c>
      <c r="D119" s="34" t="s">
        <v>10520</v>
      </c>
      <c r="E119" s="34" t="s">
        <v>10607</v>
      </c>
      <c r="F119" s="6" t="s">
        <v>10613</v>
      </c>
      <c r="G119" s="218" t="s">
        <v>10609</v>
      </c>
      <c r="H119" s="218" t="s">
        <v>10614</v>
      </c>
    </row>
    <row r="120" spans="1:8" ht="25.5">
      <c r="A120" s="34">
        <f t="shared" si="1"/>
        <v>118</v>
      </c>
      <c r="B120" s="218" t="s">
        <v>10615</v>
      </c>
      <c r="C120" s="1" t="s">
        <v>122</v>
      </c>
      <c r="D120" s="34" t="s">
        <v>10520</v>
      </c>
      <c r="E120" s="34" t="s">
        <v>10616</v>
      </c>
      <c r="F120" s="6" t="s">
        <v>10617</v>
      </c>
      <c r="G120" s="218" t="s">
        <v>10618</v>
      </c>
      <c r="H120" s="218" t="s">
        <v>10619</v>
      </c>
    </row>
    <row r="121" spans="1:8" ht="38.25">
      <c r="A121" s="34">
        <f t="shared" si="1"/>
        <v>119</v>
      </c>
      <c r="B121" s="218" t="s">
        <v>10620</v>
      </c>
      <c r="C121" s="1" t="s">
        <v>10586</v>
      </c>
      <c r="D121" s="34" t="s">
        <v>10587</v>
      </c>
      <c r="E121" s="34" t="s">
        <v>10621</v>
      </c>
      <c r="F121" s="6" t="s">
        <v>10622</v>
      </c>
      <c r="G121" s="218" t="s">
        <v>8060</v>
      </c>
      <c r="H121" s="218" t="s">
        <v>10623</v>
      </c>
    </row>
    <row r="122" spans="1:8" ht="25.5">
      <c r="A122" s="34">
        <f t="shared" si="1"/>
        <v>120</v>
      </c>
      <c r="B122" s="218" t="s">
        <v>10624</v>
      </c>
      <c r="C122" s="1" t="s">
        <v>10345</v>
      </c>
      <c r="D122" s="34" t="s">
        <v>10587</v>
      </c>
      <c r="E122" s="34" t="s">
        <v>10625</v>
      </c>
      <c r="F122" s="6" t="s">
        <v>10626</v>
      </c>
      <c r="G122" s="218" t="s">
        <v>8060</v>
      </c>
      <c r="H122" s="218" t="s">
        <v>10627</v>
      </c>
    </row>
    <row r="123" spans="1:8" ht="38.25">
      <c r="A123" s="34">
        <f t="shared" si="1"/>
        <v>121</v>
      </c>
      <c r="B123" s="218" t="s">
        <v>10628</v>
      </c>
      <c r="C123" s="1" t="s">
        <v>10629</v>
      </c>
      <c r="D123" s="34" t="s">
        <v>10587</v>
      </c>
      <c r="E123" s="34" t="s">
        <v>10630</v>
      </c>
      <c r="F123" s="6" t="s">
        <v>10631</v>
      </c>
      <c r="G123" s="218" t="s">
        <v>8060</v>
      </c>
      <c r="H123" s="218" t="s">
        <v>10632</v>
      </c>
    </row>
    <row r="124" spans="1:8" ht="25.5">
      <c r="A124" s="34">
        <f t="shared" si="1"/>
        <v>122</v>
      </c>
      <c r="B124" s="218" t="s">
        <v>10633</v>
      </c>
      <c r="C124" s="1" t="s">
        <v>132</v>
      </c>
      <c r="D124" s="34" t="s">
        <v>10520</v>
      </c>
      <c r="E124" s="34" t="s">
        <v>10607</v>
      </c>
      <c r="F124" s="6" t="s">
        <v>10634</v>
      </c>
      <c r="G124" s="218" t="s">
        <v>10609</v>
      </c>
      <c r="H124" s="218" t="s">
        <v>10635</v>
      </c>
    </row>
    <row r="125" spans="1:8" ht="38.25">
      <c r="A125" s="34">
        <f t="shared" si="1"/>
        <v>123</v>
      </c>
      <c r="B125" s="218" t="s">
        <v>10636</v>
      </c>
      <c r="C125" s="1" t="s">
        <v>10377</v>
      </c>
      <c r="D125" s="34" t="s">
        <v>10520</v>
      </c>
      <c r="E125" s="34" t="s">
        <v>10293</v>
      </c>
      <c r="F125" s="6" t="s">
        <v>10637</v>
      </c>
      <c r="G125" s="218" t="s">
        <v>10638</v>
      </c>
      <c r="H125" s="218" t="s">
        <v>10639</v>
      </c>
    </row>
    <row r="126" spans="1:8" ht="25.5">
      <c r="A126" s="34">
        <f t="shared" si="1"/>
        <v>124</v>
      </c>
      <c r="B126" s="218" t="s">
        <v>10520</v>
      </c>
      <c r="C126" s="1" t="s">
        <v>132</v>
      </c>
      <c r="D126" s="34" t="s">
        <v>10520</v>
      </c>
      <c r="E126" s="34" t="s">
        <v>10607</v>
      </c>
      <c r="F126" s="6" t="s">
        <v>10640</v>
      </c>
      <c r="G126" s="218" t="s">
        <v>10609</v>
      </c>
      <c r="H126" s="218" t="s">
        <v>10641</v>
      </c>
    </row>
    <row r="127" spans="1:8" ht="25.5">
      <c r="A127" s="34">
        <f t="shared" si="1"/>
        <v>125</v>
      </c>
      <c r="B127" s="218" t="s">
        <v>10642</v>
      </c>
      <c r="C127" s="1" t="s">
        <v>132</v>
      </c>
      <c r="D127" s="34" t="s">
        <v>10414</v>
      </c>
      <c r="E127" s="34" t="s">
        <v>10643</v>
      </c>
      <c r="F127" s="6" t="s">
        <v>10644</v>
      </c>
      <c r="G127" s="218" t="s">
        <v>8060</v>
      </c>
      <c r="H127" s="218" t="s">
        <v>10645</v>
      </c>
    </row>
    <row r="128" spans="1:8" ht="25.5">
      <c r="A128" s="34">
        <f t="shared" si="1"/>
        <v>126</v>
      </c>
      <c r="B128" s="218" t="s">
        <v>10646</v>
      </c>
      <c r="C128" s="1" t="s">
        <v>132</v>
      </c>
      <c r="D128" s="34" t="s">
        <v>10336</v>
      </c>
      <c r="E128" s="34" t="s">
        <v>10643</v>
      </c>
      <c r="F128" s="6" t="s">
        <v>10647</v>
      </c>
      <c r="G128" s="218" t="s">
        <v>10338</v>
      </c>
      <c r="H128" s="218" t="s">
        <v>10648</v>
      </c>
    </row>
    <row r="129" spans="1:8" ht="38.25">
      <c r="A129" s="34">
        <f t="shared" si="1"/>
        <v>127</v>
      </c>
      <c r="B129" s="218" t="s">
        <v>10649</v>
      </c>
      <c r="C129" s="1" t="s">
        <v>10202</v>
      </c>
      <c r="D129" s="34" t="s">
        <v>10189</v>
      </c>
      <c r="E129" s="34" t="s">
        <v>10650</v>
      </c>
      <c r="F129" s="6" t="s">
        <v>10651</v>
      </c>
      <c r="G129" s="218" t="s">
        <v>10652</v>
      </c>
      <c r="H129" s="218" t="s">
        <v>10653</v>
      </c>
    </row>
    <row r="130" spans="1:8" ht="38.25">
      <c r="A130" s="34">
        <f t="shared" si="1"/>
        <v>128</v>
      </c>
      <c r="B130" s="218" t="s">
        <v>10654</v>
      </c>
      <c r="C130" s="1" t="s">
        <v>132</v>
      </c>
      <c r="D130" s="34" t="s">
        <v>10655</v>
      </c>
      <c r="E130" s="34" t="s">
        <v>10656</v>
      </c>
      <c r="F130" s="6" t="s">
        <v>10657</v>
      </c>
      <c r="G130" s="218" t="s">
        <v>10658</v>
      </c>
      <c r="H130" s="218" t="s">
        <v>10659</v>
      </c>
    </row>
    <row r="131" spans="1:8" ht="25.5">
      <c r="A131" s="34">
        <f t="shared" si="1"/>
        <v>129</v>
      </c>
      <c r="B131" s="218" t="s">
        <v>10660</v>
      </c>
      <c r="C131" s="1" t="s">
        <v>132</v>
      </c>
      <c r="D131" s="34" t="s">
        <v>10189</v>
      </c>
      <c r="E131" s="34" t="s">
        <v>10656</v>
      </c>
      <c r="F131" s="6" t="s">
        <v>10661</v>
      </c>
      <c r="G131" s="218" t="s">
        <v>10662</v>
      </c>
      <c r="H131" s="218" t="s">
        <v>10663</v>
      </c>
    </row>
    <row r="132" spans="1:8" ht="25.5">
      <c r="A132" s="34">
        <f t="shared" ref="A132:A195" si="2">A131+1</f>
        <v>130</v>
      </c>
      <c r="B132" s="218" t="s">
        <v>10550</v>
      </c>
      <c r="C132" s="1" t="s">
        <v>132</v>
      </c>
      <c r="D132" s="34" t="s">
        <v>10521</v>
      </c>
      <c r="E132" s="34" t="s">
        <v>9617</v>
      </c>
      <c r="F132" s="6" t="s">
        <v>10664</v>
      </c>
      <c r="G132" s="218" t="s">
        <v>10665</v>
      </c>
      <c r="H132" s="218" t="s">
        <v>10666</v>
      </c>
    </row>
    <row r="133" spans="1:8" ht="25.5">
      <c r="A133" s="34">
        <f t="shared" si="2"/>
        <v>131</v>
      </c>
      <c r="B133" s="218" t="s">
        <v>10550</v>
      </c>
      <c r="C133" s="1" t="s">
        <v>132</v>
      </c>
      <c r="D133" s="34" t="s">
        <v>10521</v>
      </c>
      <c r="E133" s="34" t="s">
        <v>9617</v>
      </c>
      <c r="F133" s="6" t="s">
        <v>10543</v>
      </c>
      <c r="G133" s="218" t="s">
        <v>10552</v>
      </c>
      <c r="H133" s="218" t="s">
        <v>10667</v>
      </c>
    </row>
    <row r="134" spans="1:8" ht="25.5">
      <c r="A134" s="34">
        <f t="shared" si="2"/>
        <v>132</v>
      </c>
      <c r="B134" s="218" t="s">
        <v>10550</v>
      </c>
      <c r="C134" s="1" t="s">
        <v>132</v>
      </c>
      <c r="D134" s="34" t="s">
        <v>10520</v>
      </c>
      <c r="E134" s="34" t="s">
        <v>9617</v>
      </c>
      <c r="F134" s="6" t="s">
        <v>10543</v>
      </c>
      <c r="G134" s="218" t="s">
        <v>10665</v>
      </c>
      <c r="H134" s="218" t="s">
        <v>10668</v>
      </c>
    </row>
    <row r="135" spans="1:8" ht="25.5">
      <c r="A135" s="34">
        <f t="shared" si="2"/>
        <v>133</v>
      </c>
      <c r="B135" s="218" t="s">
        <v>10550</v>
      </c>
      <c r="C135" s="1" t="s">
        <v>132</v>
      </c>
      <c r="D135" s="34" t="s">
        <v>10520</v>
      </c>
      <c r="E135" s="34" t="s">
        <v>9617</v>
      </c>
      <c r="F135" s="6" t="s">
        <v>10669</v>
      </c>
      <c r="G135" s="218" t="s">
        <v>10552</v>
      </c>
      <c r="H135" s="218" t="s">
        <v>10670</v>
      </c>
    </row>
    <row r="136" spans="1:8" ht="25.5">
      <c r="A136" s="34">
        <f t="shared" si="2"/>
        <v>134</v>
      </c>
      <c r="B136" s="218" t="s">
        <v>10550</v>
      </c>
      <c r="C136" s="1" t="s">
        <v>132</v>
      </c>
      <c r="D136" s="34" t="s">
        <v>10520</v>
      </c>
      <c r="E136" s="34" t="s">
        <v>9617</v>
      </c>
      <c r="F136" s="6" t="s">
        <v>10671</v>
      </c>
      <c r="G136" s="218" t="s">
        <v>10665</v>
      </c>
      <c r="H136" s="218" t="s">
        <v>10672</v>
      </c>
    </row>
    <row r="137" spans="1:8" ht="25.5">
      <c r="A137" s="34">
        <f t="shared" si="2"/>
        <v>135</v>
      </c>
      <c r="B137" s="218" t="s">
        <v>10673</v>
      </c>
      <c r="C137" s="1" t="s">
        <v>10600</v>
      </c>
      <c r="D137" s="34" t="s">
        <v>10520</v>
      </c>
      <c r="E137" s="34" t="s">
        <v>10567</v>
      </c>
      <c r="F137" s="6" t="s">
        <v>10674</v>
      </c>
      <c r="G137" s="218" t="s">
        <v>10569</v>
      </c>
      <c r="H137" s="218" t="s">
        <v>10675</v>
      </c>
    </row>
    <row r="138" spans="1:8" ht="25.5">
      <c r="A138" s="34">
        <f t="shared" si="2"/>
        <v>136</v>
      </c>
      <c r="B138" s="218" t="s">
        <v>10676</v>
      </c>
      <c r="C138" s="1" t="s">
        <v>212</v>
      </c>
      <c r="D138" s="34" t="s">
        <v>10520</v>
      </c>
      <c r="E138" s="34" t="s">
        <v>10591</v>
      </c>
      <c r="F138" s="6" t="s">
        <v>10677</v>
      </c>
      <c r="G138" s="218" t="s">
        <v>10602</v>
      </c>
      <c r="H138" s="218" t="s">
        <v>10678</v>
      </c>
    </row>
    <row r="139" spans="1:8" ht="38.25">
      <c r="A139" s="34">
        <f t="shared" si="2"/>
        <v>137</v>
      </c>
      <c r="B139" s="218" t="s">
        <v>10479</v>
      </c>
      <c r="C139" s="1" t="s">
        <v>132</v>
      </c>
      <c r="D139" s="34" t="s">
        <v>10189</v>
      </c>
      <c r="E139" s="34" t="s">
        <v>10300</v>
      </c>
      <c r="F139" s="6" t="s">
        <v>10679</v>
      </c>
      <c r="G139" s="218" t="s">
        <v>10680</v>
      </c>
      <c r="H139" s="218" t="s">
        <v>10681</v>
      </c>
    </row>
    <row r="140" spans="1:8" ht="25.5">
      <c r="A140" s="34">
        <f t="shared" si="2"/>
        <v>138</v>
      </c>
      <c r="B140" s="218" t="s">
        <v>10682</v>
      </c>
      <c r="C140" s="1" t="s">
        <v>212</v>
      </c>
      <c r="D140" s="34" t="s">
        <v>10189</v>
      </c>
      <c r="E140" s="34" t="s">
        <v>10522</v>
      </c>
      <c r="F140" s="6" t="s">
        <v>10683</v>
      </c>
      <c r="G140" s="218" t="s">
        <v>10684</v>
      </c>
      <c r="H140" s="218" t="s">
        <v>10685</v>
      </c>
    </row>
    <row r="141" spans="1:8" ht="25.5">
      <c r="A141" s="34">
        <f t="shared" si="2"/>
        <v>139</v>
      </c>
      <c r="B141" s="218" t="s">
        <v>10686</v>
      </c>
      <c r="C141" s="1" t="s">
        <v>10377</v>
      </c>
      <c r="D141" s="34" t="s">
        <v>10520</v>
      </c>
      <c r="E141" s="34" t="s">
        <v>10687</v>
      </c>
      <c r="F141" s="6" t="s">
        <v>10688</v>
      </c>
      <c r="G141" s="218" t="s">
        <v>10689</v>
      </c>
      <c r="H141" s="218" t="s">
        <v>10690</v>
      </c>
    </row>
    <row r="142" spans="1:8" ht="25.5">
      <c r="A142" s="34">
        <f t="shared" si="2"/>
        <v>140</v>
      </c>
      <c r="B142" s="218" t="s">
        <v>10691</v>
      </c>
      <c r="C142" s="1" t="s">
        <v>212</v>
      </c>
      <c r="D142" s="34" t="s">
        <v>10520</v>
      </c>
      <c r="E142" s="34" t="s">
        <v>10692</v>
      </c>
      <c r="F142" s="6" t="s">
        <v>10683</v>
      </c>
      <c r="G142" s="218" t="s">
        <v>10693</v>
      </c>
      <c r="H142" s="218" t="s">
        <v>10694</v>
      </c>
    </row>
    <row r="143" spans="1:8" ht="25.5">
      <c r="A143" s="34">
        <f t="shared" si="2"/>
        <v>141</v>
      </c>
      <c r="B143" s="218" t="s">
        <v>10695</v>
      </c>
      <c r="C143" s="1" t="s">
        <v>212</v>
      </c>
      <c r="D143" s="34" t="s">
        <v>10520</v>
      </c>
      <c r="E143" s="34" t="s">
        <v>10554</v>
      </c>
      <c r="F143" s="6" t="s">
        <v>10696</v>
      </c>
      <c r="G143" s="218" t="s">
        <v>10556</v>
      </c>
      <c r="H143" s="218" t="s">
        <v>10697</v>
      </c>
    </row>
    <row r="144" spans="1:8" ht="25.5">
      <c r="A144" s="34">
        <f t="shared" si="2"/>
        <v>142</v>
      </c>
      <c r="B144" s="218" t="s">
        <v>10698</v>
      </c>
      <c r="C144" s="1" t="s">
        <v>212</v>
      </c>
      <c r="D144" s="34" t="s">
        <v>10520</v>
      </c>
      <c r="E144" s="34" t="s">
        <v>10554</v>
      </c>
      <c r="F144" s="6" t="s">
        <v>10696</v>
      </c>
      <c r="G144" s="218" t="s">
        <v>10556</v>
      </c>
      <c r="H144" s="218" t="s">
        <v>10699</v>
      </c>
    </row>
    <row r="145" spans="1:8" ht="25.5">
      <c r="A145" s="34">
        <f t="shared" si="2"/>
        <v>143</v>
      </c>
      <c r="B145" s="218" t="s">
        <v>10700</v>
      </c>
      <c r="C145" s="1" t="s">
        <v>212</v>
      </c>
      <c r="D145" s="34" t="s">
        <v>10520</v>
      </c>
      <c r="E145" s="34" t="s">
        <v>10554</v>
      </c>
      <c r="F145" s="6" t="s">
        <v>10696</v>
      </c>
      <c r="G145" s="218" t="s">
        <v>10556</v>
      </c>
      <c r="H145" s="218" t="s">
        <v>10701</v>
      </c>
    </row>
    <row r="146" spans="1:8" ht="25.5">
      <c r="A146" s="34">
        <f t="shared" si="2"/>
        <v>144</v>
      </c>
      <c r="B146" s="218" t="s">
        <v>10702</v>
      </c>
      <c r="C146" s="1" t="s">
        <v>212</v>
      </c>
      <c r="D146" s="34" t="s">
        <v>10520</v>
      </c>
      <c r="E146" s="34" t="s">
        <v>10522</v>
      </c>
      <c r="F146" s="6" t="s">
        <v>10703</v>
      </c>
      <c r="G146" s="218" t="s">
        <v>10524</v>
      </c>
      <c r="H146" s="218" t="s">
        <v>10704</v>
      </c>
    </row>
    <row r="147" spans="1:8" ht="25.5">
      <c r="A147" s="34">
        <f t="shared" si="2"/>
        <v>145</v>
      </c>
      <c r="B147" s="218" t="s">
        <v>10501</v>
      </c>
      <c r="C147" s="1" t="s">
        <v>10377</v>
      </c>
      <c r="D147" s="34" t="s">
        <v>10189</v>
      </c>
      <c r="E147" s="34" t="s">
        <v>10705</v>
      </c>
      <c r="F147" s="6" t="s">
        <v>10706</v>
      </c>
      <c r="G147" s="218" t="s">
        <v>10707</v>
      </c>
      <c r="H147" s="218" t="s">
        <v>10708</v>
      </c>
    </row>
    <row r="148" spans="1:8" ht="25.5">
      <c r="A148" s="34">
        <f t="shared" si="2"/>
        <v>146</v>
      </c>
      <c r="B148" s="218" t="s">
        <v>10501</v>
      </c>
      <c r="C148" s="1" t="s">
        <v>10377</v>
      </c>
      <c r="D148" s="34" t="s">
        <v>10189</v>
      </c>
      <c r="E148" s="34" t="s">
        <v>10705</v>
      </c>
      <c r="F148" s="6" t="s">
        <v>10709</v>
      </c>
      <c r="G148" s="218" t="s">
        <v>10707</v>
      </c>
      <c r="H148" s="218" t="s">
        <v>10710</v>
      </c>
    </row>
    <row r="149" spans="1:8" ht="25.5">
      <c r="A149" s="34">
        <f t="shared" si="2"/>
        <v>147</v>
      </c>
      <c r="B149" s="218" t="s">
        <v>10501</v>
      </c>
      <c r="C149" s="1" t="s">
        <v>10377</v>
      </c>
      <c r="D149" s="34" t="s">
        <v>10189</v>
      </c>
      <c r="E149" s="34" t="s">
        <v>10507</v>
      </c>
      <c r="F149" s="6" t="s">
        <v>10711</v>
      </c>
      <c r="G149" s="218" t="s">
        <v>10712</v>
      </c>
      <c r="H149" s="218" t="s">
        <v>10713</v>
      </c>
    </row>
    <row r="150" spans="1:8" ht="25.5">
      <c r="A150" s="34">
        <f t="shared" si="2"/>
        <v>148</v>
      </c>
      <c r="B150" s="218" t="s">
        <v>10501</v>
      </c>
      <c r="C150" s="1" t="s">
        <v>10377</v>
      </c>
      <c r="D150" s="34" t="s">
        <v>10189</v>
      </c>
      <c r="E150" s="34" t="s">
        <v>10714</v>
      </c>
      <c r="F150" s="6" t="s">
        <v>10715</v>
      </c>
      <c r="G150" s="218" t="s">
        <v>10716</v>
      </c>
      <c r="H150" s="218" t="s">
        <v>10717</v>
      </c>
    </row>
    <row r="151" spans="1:8" ht="25.5">
      <c r="A151" s="34">
        <f t="shared" si="2"/>
        <v>149</v>
      </c>
      <c r="B151" s="218" t="s">
        <v>10501</v>
      </c>
      <c r="C151" s="1" t="s">
        <v>10718</v>
      </c>
      <c r="D151" s="34" t="s">
        <v>10189</v>
      </c>
      <c r="E151" s="34" t="s">
        <v>10719</v>
      </c>
      <c r="F151" s="6" t="s">
        <v>10720</v>
      </c>
      <c r="G151" s="218" t="s">
        <v>10721</v>
      </c>
      <c r="H151" s="218" t="s">
        <v>10722</v>
      </c>
    </row>
    <row r="152" spans="1:8" ht="38.25">
      <c r="A152" s="34">
        <f t="shared" si="2"/>
        <v>150</v>
      </c>
      <c r="B152" s="218" t="s">
        <v>10501</v>
      </c>
      <c r="C152" s="1" t="s">
        <v>10723</v>
      </c>
      <c r="D152" s="34" t="s">
        <v>10189</v>
      </c>
      <c r="E152" s="34" t="s">
        <v>10724</v>
      </c>
      <c r="F152" s="6" t="s">
        <v>10715</v>
      </c>
      <c r="G152" s="218" t="s">
        <v>10725</v>
      </c>
      <c r="H152" s="218" t="s">
        <v>10726</v>
      </c>
    </row>
    <row r="153" spans="1:8" ht="25.5">
      <c r="A153" s="34">
        <f t="shared" si="2"/>
        <v>151</v>
      </c>
      <c r="B153" s="218" t="s">
        <v>10501</v>
      </c>
      <c r="C153" s="1" t="s">
        <v>10502</v>
      </c>
      <c r="D153" s="34" t="s">
        <v>10189</v>
      </c>
      <c r="E153" s="34" t="s">
        <v>10230</v>
      </c>
      <c r="F153" s="6" t="s">
        <v>10727</v>
      </c>
      <c r="G153" s="218" t="s">
        <v>10728</v>
      </c>
      <c r="H153" s="218" t="s">
        <v>10729</v>
      </c>
    </row>
    <row r="154" spans="1:8" ht="25.5">
      <c r="A154" s="34">
        <f t="shared" si="2"/>
        <v>152</v>
      </c>
      <c r="B154" s="218" t="s">
        <v>10730</v>
      </c>
      <c r="C154" s="1" t="s">
        <v>132</v>
      </c>
      <c r="D154" s="34" t="s">
        <v>10189</v>
      </c>
      <c r="E154" s="34" t="s">
        <v>9617</v>
      </c>
      <c r="F154" s="6" t="s">
        <v>10731</v>
      </c>
      <c r="G154" s="218" t="s">
        <v>10732</v>
      </c>
      <c r="H154" s="218" t="s">
        <v>10733</v>
      </c>
    </row>
    <row r="155" spans="1:8" ht="25.5">
      <c r="A155" s="34">
        <f t="shared" si="2"/>
        <v>153</v>
      </c>
      <c r="B155" s="218" t="s">
        <v>10734</v>
      </c>
      <c r="C155" s="1" t="s">
        <v>132</v>
      </c>
      <c r="D155" s="34" t="s">
        <v>10189</v>
      </c>
      <c r="E155" s="34" t="s">
        <v>9617</v>
      </c>
      <c r="F155" s="6" t="s">
        <v>10731</v>
      </c>
      <c r="G155" s="218" t="s">
        <v>10732</v>
      </c>
      <c r="H155" s="218" t="s">
        <v>10236</v>
      </c>
    </row>
    <row r="156" spans="1:8" ht="38.25">
      <c r="A156" s="34">
        <f t="shared" si="2"/>
        <v>154</v>
      </c>
      <c r="B156" s="218" t="s">
        <v>10735</v>
      </c>
      <c r="C156" s="1" t="s">
        <v>132</v>
      </c>
      <c r="D156" s="34" t="s">
        <v>10189</v>
      </c>
      <c r="E156" s="34" t="s">
        <v>10736</v>
      </c>
      <c r="F156" s="6" t="s">
        <v>10737</v>
      </c>
      <c r="G156" s="218" t="s">
        <v>8839</v>
      </c>
      <c r="H156" s="218" t="s">
        <v>4288</v>
      </c>
    </row>
    <row r="157" spans="1:8">
      <c r="A157" s="34">
        <f t="shared" si="2"/>
        <v>155</v>
      </c>
      <c r="B157" s="218" t="s">
        <v>10520</v>
      </c>
      <c r="C157" s="1" t="s">
        <v>132</v>
      </c>
      <c r="D157" s="34" t="s">
        <v>10521</v>
      </c>
      <c r="E157" s="34" t="s">
        <v>10440</v>
      </c>
      <c r="F157" s="6" t="s">
        <v>10738</v>
      </c>
      <c r="G157" s="218" t="s">
        <v>10739</v>
      </c>
      <c r="H157" s="218" t="s">
        <v>10740</v>
      </c>
    </row>
    <row r="158" spans="1:8" ht="25.5">
      <c r="A158" s="34">
        <f t="shared" si="2"/>
        <v>156</v>
      </c>
      <c r="B158" s="218" t="s">
        <v>10501</v>
      </c>
      <c r="C158" s="1" t="s">
        <v>10435</v>
      </c>
      <c r="D158" s="34" t="s">
        <v>10189</v>
      </c>
      <c r="E158" s="34" t="s">
        <v>10386</v>
      </c>
      <c r="F158" s="6" t="s">
        <v>10741</v>
      </c>
      <c r="G158" s="218" t="s">
        <v>10742</v>
      </c>
      <c r="H158" s="218" t="s">
        <v>10743</v>
      </c>
    </row>
    <row r="159" spans="1:8" ht="25.5">
      <c r="A159" s="34">
        <f t="shared" si="2"/>
        <v>157</v>
      </c>
      <c r="B159" s="218" t="s">
        <v>10744</v>
      </c>
      <c r="C159" s="1" t="s">
        <v>10202</v>
      </c>
      <c r="D159" s="34" t="s">
        <v>10189</v>
      </c>
      <c r="E159" s="34" t="s">
        <v>10745</v>
      </c>
      <c r="F159" s="6" t="s">
        <v>10746</v>
      </c>
      <c r="G159" s="218" t="s">
        <v>10747</v>
      </c>
      <c r="H159" s="218" t="s">
        <v>10748</v>
      </c>
    </row>
    <row r="160" spans="1:8" ht="38.25">
      <c r="A160" s="34">
        <f t="shared" si="2"/>
        <v>158</v>
      </c>
      <c r="B160" s="218" t="s">
        <v>10749</v>
      </c>
      <c r="C160" s="1" t="s">
        <v>132</v>
      </c>
      <c r="D160" s="34" t="s">
        <v>10189</v>
      </c>
      <c r="E160" s="34" t="s">
        <v>10736</v>
      </c>
      <c r="F160" s="6" t="s">
        <v>10737</v>
      </c>
      <c r="G160" s="218" t="s">
        <v>8839</v>
      </c>
      <c r="H160" s="218" t="s">
        <v>10750</v>
      </c>
    </row>
    <row r="161" spans="1:8" ht="25.5">
      <c r="A161" s="34">
        <f t="shared" si="2"/>
        <v>159</v>
      </c>
      <c r="B161" s="218" t="s">
        <v>10751</v>
      </c>
      <c r="C161" s="1" t="s">
        <v>122</v>
      </c>
      <c r="D161" s="34" t="s">
        <v>10189</v>
      </c>
      <c r="E161" s="34" t="s">
        <v>10238</v>
      </c>
      <c r="F161" s="6" t="s">
        <v>10752</v>
      </c>
      <c r="G161" s="218" t="s">
        <v>10240</v>
      </c>
      <c r="H161" s="218" t="s">
        <v>10241</v>
      </c>
    </row>
    <row r="162" spans="1:8" ht="25.5">
      <c r="A162" s="34">
        <f t="shared" si="2"/>
        <v>160</v>
      </c>
      <c r="B162" s="218" t="s">
        <v>10753</v>
      </c>
      <c r="C162" s="1" t="s">
        <v>10754</v>
      </c>
      <c r="D162" s="34" t="s">
        <v>10184</v>
      </c>
      <c r="E162" s="34" t="s">
        <v>10755</v>
      </c>
      <c r="F162" s="6" t="s">
        <v>10756</v>
      </c>
      <c r="G162" s="218" t="s">
        <v>10757</v>
      </c>
      <c r="H162" s="218" t="s">
        <v>10758</v>
      </c>
    </row>
    <row r="163" spans="1:8" ht="38.25">
      <c r="A163" s="34">
        <f t="shared" si="2"/>
        <v>161</v>
      </c>
      <c r="B163" s="218" t="s">
        <v>10759</v>
      </c>
      <c r="C163" s="1" t="s">
        <v>10345</v>
      </c>
      <c r="D163" s="34" t="s">
        <v>10346</v>
      </c>
      <c r="E163" s="34" t="s">
        <v>8590</v>
      </c>
      <c r="F163" s="6" t="s">
        <v>10760</v>
      </c>
      <c r="G163" s="218" t="s">
        <v>10352</v>
      </c>
      <c r="H163" s="218" t="s">
        <v>10761</v>
      </c>
    </row>
    <row r="164" spans="1:8" ht="25.5">
      <c r="A164" s="34">
        <f t="shared" si="2"/>
        <v>162</v>
      </c>
      <c r="B164" s="218" t="s">
        <v>10762</v>
      </c>
      <c r="C164" s="1" t="s">
        <v>132</v>
      </c>
      <c r="D164" s="34" t="s">
        <v>10189</v>
      </c>
      <c r="E164" s="34" t="s">
        <v>10341</v>
      </c>
      <c r="F164" s="6" t="s">
        <v>10763</v>
      </c>
      <c r="G164" s="218" t="s">
        <v>10605</v>
      </c>
      <c r="H164" s="218" t="s">
        <v>10764</v>
      </c>
    </row>
    <row r="165" spans="1:8">
      <c r="A165" s="34">
        <f t="shared" si="2"/>
        <v>163</v>
      </c>
      <c r="B165" s="218" t="s">
        <v>10765</v>
      </c>
      <c r="C165" s="1" t="s">
        <v>10766</v>
      </c>
      <c r="D165" s="34" t="s">
        <v>10371</v>
      </c>
      <c r="E165" s="34" t="s">
        <v>10402</v>
      </c>
      <c r="F165" s="6" t="s">
        <v>10767</v>
      </c>
      <c r="G165" s="218" t="s">
        <v>10374</v>
      </c>
      <c r="H165" s="218" t="s">
        <v>10768</v>
      </c>
    </row>
    <row r="166" spans="1:8" ht="25.5">
      <c r="A166" s="34">
        <f t="shared" si="2"/>
        <v>164</v>
      </c>
      <c r="B166" s="218" t="s">
        <v>10769</v>
      </c>
      <c r="C166" s="1" t="s">
        <v>1017</v>
      </c>
      <c r="D166" s="34" t="s">
        <v>10189</v>
      </c>
      <c r="E166" s="34" t="s">
        <v>10770</v>
      </c>
      <c r="F166" s="6" t="s">
        <v>10771</v>
      </c>
      <c r="G166" s="218" t="s">
        <v>10772</v>
      </c>
      <c r="H166" s="218" t="s">
        <v>10773</v>
      </c>
    </row>
    <row r="167" spans="1:8" ht="25.5">
      <c r="A167" s="34">
        <f t="shared" si="2"/>
        <v>165</v>
      </c>
      <c r="B167" s="218" t="s">
        <v>10762</v>
      </c>
      <c r="C167" s="1" t="s">
        <v>132</v>
      </c>
      <c r="D167" s="34" t="s">
        <v>10189</v>
      </c>
      <c r="E167" s="34" t="s">
        <v>10341</v>
      </c>
      <c r="F167" s="6" t="s">
        <v>10774</v>
      </c>
      <c r="G167" s="218" t="s">
        <v>10605</v>
      </c>
      <c r="H167" s="218" t="s">
        <v>10775</v>
      </c>
    </row>
    <row r="168" spans="1:8" ht="25.5">
      <c r="A168" s="34">
        <f t="shared" si="2"/>
        <v>166</v>
      </c>
      <c r="B168" s="218" t="s">
        <v>10769</v>
      </c>
      <c r="C168" s="1" t="s">
        <v>1017</v>
      </c>
      <c r="D168" s="34" t="s">
        <v>10189</v>
      </c>
      <c r="E168" s="34" t="s">
        <v>10770</v>
      </c>
      <c r="F168" s="6" t="s">
        <v>10776</v>
      </c>
      <c r="G168" s="218" t="s">
        <v>10772</v>
      </c>
      <c r="H168" s="218" t="s">
        <v>10777</v>
      </c>
    </row>
    <row r="169" spans="1:8" ht="25.5">
      <c r="A169" s="34">
        <f t="shared" si="2"/>
        <v>167</v>
      </c>
      <c r="B169" s="218" t="s">
        <v>10778</v>
      </c>
      <c r="C169" s="1" t="s">
        <v>122</v>
      </c>
      <c r="D169" s="34" t="s">
        <v>10218</v>
      </c>
      <c r="E169" s="34" t="s">
        <v>10779</v>
      </c>
      <c r="F169" s="6" t="s">
        <v>10780</v>
      </c>
      <c r="G169" s="218" t="s">
        <v>10781</v>
      </c>
      <c r="H169" s="218" t="s">
        <v>10276</v>
      </c>
    </row>
    <row r="170" spans="1:8">
      <c r="A170" s="34">
        <f t="shared" si="2"/>
        <v>168</v>
      </c>
      <c r="B170" s="218" t="s">
        <v>10782</v>
      </c>
      <c r="C170" s="1" t="s">
        <v>10409</v>
      </c>
      <c r="D170" s="34" t="s">
        <v>10189</v>
      </c>
      <c r="E170" s="34" t="s">
        <v>10616</v>
      </c>
      <c r="F170" s="6" t="s">
        <v>10783</v>
      </c>
      <c r="G170" s="218" t="s">
        <v>10784</v>
      </c>
      <c r="H170" s="218" t="s">
        <v>2026</v>
      </c>
    </row>
    <row r="171" spans="1:8" ht="38.25">
      <c r="A171" s="34">
        <f t="shared" si="2"/>
        <v>169</v>
      </c>
      <c r="B171" s="218" t="s">
        <v>10785</v>
      </c>
      <c r="C171" s="1" t="s">
        <v>132</v>
      </c>
      <c r="D171" s="34" t="s">
        <v>10785</v>
      </c>
      <c r="E171" s="34" t="s">
        <v>10786</v>
      </c>
      <c r="F171" s="6" t="s">
        <v>10787</v>
      </c>
      <c r="G171" s="218" t="s">
        <v>10788</v>
      </c>
      <c r="H171" s="218" t="s">
        <v>10789</v>
      </c>
    </row>
    <row r="172" spans="1:8" ht="38.25">
      <c r="A172" s="34">
        <f t="shared" si="2"/>
        <v>170</v>
      </c>
      <c r="B172" s="218" t="s">
        <v>10790</v>
      </c>
      <c r="C172" s="1" t="s">
        <v>10482</v>
      </c>
      <c r="D172" s="34" t="s">
        <v>10189</v>
      </c>
      <c r="E172" s="34" t="s">
        <v>9617</v>
      </c>
      <c r="F172" s="6" t="s">
        <v>10737</v>
      </c>
      <c r="G172" s="218" t="s">
        <v>8839</v>
      </c>
      <c r="H172" s="218" t="s">
        <v>10733</v>
      </c>
    </row>
    <row r="173" spans="1:8" ht="25.5">
      <c r="A173" s="34">
        <f t="shared" si="2"/>
        <v>171</v>
      </c>
      <c r="B173" s="218" t="s">
        <v>10791</v>
      </c>
      <c r="C173" s="1" t="s">
        <v>10792</v>
      </c>
      <c r="D173" s="34" t="s">
        <v>10189</v>
      </c>
      <c r="E173" s="34" t="s">
        <v>10793</v>
      </c>
      <c r="F173" s="6" t="s">
        <v>10794</v>
      </c>
      <c r="G173" s="218" t="s">
        <v>10795</v>
      </c>
      <c r="H173" s="218" t="s">
        <v>10796</v>
      </c>
    </row>
    <row r="174" spans="1:8" ht="25.5">
      <c r="A174" s="34">
        <f t="shared" si="2"/>
        <v>172</v>
      </c>
      <c r="B174" s="218" t="s">
        <v>10797</v>
      </c>
      <c r="C174" s="1" t="s">
        <v>10435</v>
      </c>
      <c r="D174" s="34" t="s">
        <v>10189</v>
      </c>
      <c r="E174" s="34" t="s">
        <v>10386</v>
      </c>
      <c r="F174" s="6" t="s">
        <v>10798</v>
      </c>
      <c r="G174" s="218" t="s">
        <v>10742</v>
      </c>
      <c r="H174" s="218" t="s">
        <v>10743</v>
      </c>
    </row>
    <row r="175" spans="1:8" ht="51">
      <c r="A175" s="34">
        <f t="shared" si="2"/>
        <v>173</v>
      </c>
      <c r="B175" s="218" t="s">
        <v>10799</v>
      </c>
      <c r="C175" s="1" t="s">
        <v>132</v>
      </c>
      <c r="D175" s="34" t="s">
        <v>10800</v>
      </c>
      <c r="E175" s="34" t="s">
        <v>10607</v>
      </c>
      <c r="F175" s="6" t="s">
        <v>10801</v>
      </c>
      <c r="G175" s="218" t="s">
        <v>10802</v>
      </c>
      <c r="H175" s="218" t="s">
        <v>10803</v>
      </c>
    </row>
    <row r="176" spans="1:8" ht="38.25">
      <c r="A176" s="34">
        <f t="shared" si="2"/>
        <v>174</v>
      </c>
      <c r="B176" s="218" t="s">
        <v>10804</v>
      </c>
      <c r="C176" s="1" t="s">
        <v>132</v>
      </c>
      <c r="D176" s="34" t="s">
        <v>10805</v>
      </c>
      <c r="E176" s="34" t="s">
        <v>10806</v>
      </c>
      <c r="F176" s="6" t="s">
        <v>10807</v>
      </c>
      <c r="G176" s="218" t="s">
        <v>10808</v>
      </c>
      <c r="H176" s="218" t="s">
        <v>10809</v>
      </c>
    </row>
    <row r="177" spans="1:8" ht="25.5">
      <c r="A177" s="34">
        <f t="shared" si="2"/>
        <v>175</v>
      </c>
      <c r="B177" s="218" t="s">
        <v>10810</v>
      </c>
      <c r="C177" s="1" t="s">
        <v>132</v>
      </c>
      <c r="D177" s="34" t="s">
        <v>10805</v>
      </c>
      <c r="E177" s="34" t="s">
        <v>10811</v>
      </c>
      <c r="F177" s="6" t="s">
        <v>10812</v>
      </c>
      <c r="G177" s="218" t="s">
        <v>10813</v>
      </c>
      <c r="H177" s="218" t="s">
        <v>10814</v>
      </c>
    </row>
    <row r="178" spans="1:8" ht="25.5">
      <c r="A178" s="34">
        <f t="shared" si="2"/>
        <v>176</v>
      </c>
      <c r="B178" s="218" t="s">
        <v>10815</v>
      </c>
      <c r="C178" s="1" t="s">
        <v>132</v>
      </c>
      <c r="D178" s="34" t="s">
        <v>10805</v>
      </c>
      <c r="E178" s="34" t="s">
        <v>10526</v>
      </c>
      <c r="F178" s="6" t="s">
        <v>10816</v>
      </c>
      <c r="G178" s="218" t="s">
        <v>10817</v>
      </c>
      <c r="H178" s="218" t="s">
        <v>10818</v>
      </c>
    </row>
    <row r="179" spans="1:8" ht="38.25">
      <c r="A179" s="34">
        <f t="shared" si="2"/>
        <v>177</v>
      </c>
      <c r="B179" s="218" t="s">
        <v>10819</v>
      </c>
      <c r="C179" s="1" t="s">
        <v>132</v>
      </c>
      <c r="D179" s="34" t="s">
        <v>10820</v>
      </c>
      <c r="E179" s="34" t="s">
        <v>10643</v>
      </c>
      <c r="F179" s="6" t="s">
        <v>10821</v>
      </c>
      <c r="G179" s="218" t="s">
        <v>10822</v>
      </c>
      <c r="H179" s="218" t="s">
        <v>10823</v>
      </c>
    </row>
    <row r="180" spans="1:8" ht="38.25">
      <c r="A180" s="34">
        <f t="shared" si="2"/>
        <v>178</v>
      </c>
      <c r="B180" s="218" t="s">
        <v>10824</v>
      </c>
      <c r="C180" s="1" t="s">
        <v>132</v>
      </c>
      <c r="D180" s="34" t="s">
        <v>10800</v>
      </c>
      <c r="E180" s="34" t="s">
        <v>10440</v>
      </c>
      <c r="F180" s="6" t="s">
        <v>10825</v>
      </c>
      <c r="G180" s="218" t="s">
        <v>10826</v>
      </c>
      <c r="H180" s="218" t="s">
        <v>10827</v>
      </c>
    </row>
    <row r="181" spans="1:8" ht="25.5">
      <c r="A181" s="34">
        <f t="shared" si="2"/>
        <v>179</v>
      </c>
      <c r="B181" s="218" t="s">
        <v>10828</v>
      </c>
      <c r="C181" s="1" t="s">
        <v>147</v>
      </c>
      <c r="D181" s="34" t="s">
        <v>10829</v>
      </c>
      <c r="E181" s="34" t="s">
        <v>10472</v>
      </c>
      <c r="F181" s="6" t="s">
        <v>10830</v>
      </c>
      <c r="G181" s="218" t="s">
        <v>10831</v>
      </c>
      <c r="H181" s="218" t="s">
        <v>10832</v>
      </c>
    </row>
    <row r="182" spans="1:8" ht="25.5">
      <c r="A182" s="34">
        <f t="shared" si="2"/>
        <v>180</v>
      </c>
      <c r="B182" s="218" t="s">
        <v>10782</v>
      </c>
      <c r="C182" s="1" t="s">
        <v>10833</v>
      </c>
      <c r="D182" s="34" t="s">
        <v>10189</v>
      </c>
      <c r="E182" s="34" t="s">
        <v>10834</v>
      </c>
      <c r="F182" s="6" t="s">
        <v>10835</v>
      </c>
      <c r="G182" s="218" t="s">
        <v>10788</v>
      </c>
      <c r="H182" s="218" t="s">
        <v>6270</v>
      </c>
    </row>
    <row r="183" spans="1:8" ht="38.25">
      <c r="A183" s="34">
        <f t="shared" si="2"/>
        <v>181</v>
      </c>
      <c r="B183" s="218" t="s">
        <v>10836</v>
      </c>
      <c r="C183" s="1" t="s">
        <v>10502</v>
      </c>
      <c r="D183" s="34" t="s">
        <v>10189</v>
      </c>
      <c r="E183" s="34" t="s">
        <v>10503</v>
      </c>
      <c r="F183" s="6" t="s">
        <v>10837</v>
      </c>
      <c r="G183" s="218" t="s">
        <v>10505</v>
      </c>
      <c r="H183" s="218" t="s">
        <v>10506</v>
      </c>
    </row>
    <row r="184" spans="1:8" ht="25.5">
      <c r="A184" s="34">
        <f t="shared" si="2"/>
        <v>182</v>
      </c>
      <c r="B184" s="218" t="s">
        <v>10836</v>
      </c>
      <c r="C184" s="1" t="s">
        <v>10377</v>
      </c>
      <c r="D184" s="34" t="s">
        <v>10189</v>
      </c>
      <c r="E184" s="34" t="s">
        <v>10838</v>
      </c>
      <c r="F184" s="6" t="s">
        <v>10839</v>
      </c>
      <c r="G184" s="218" t="s">
        <v>10840</v>
      </c>
      <c r="H184" s="218" t="s">
        <v>10841</v>
      </c>
    </row>
    <row r="185" spans="1:8" ht="51">
      <c r="A185" s="34">
        <f t="shared" si="2"/>
        <v>183</v>
      </c>
      <c r="B185" s="218" t="s">
        <v>10842</v>
      </c>
      <c r="C185" s="1" t="s">
        <v>122</v>
      </c>
      <c r="D185" s="34" t="s">
        <v>10843</v>
      </c>
      <c r="E185" s="34" t="s">
        <v>10755</v>
      </c>
      <c r="F185" s="6" t="s">
        <v>10844</v>
      </c>
      <c r="G185" s="218" t="s">
        <v>10845</v>
      </c>
      <c r="H185" s="218" t="s">
        <v>10846</v>
      </c>
    </row>
    <row r="186" spans="1:8" ht="38.25">
      <c r="A186" s="34">
        <f t="shared" si="2"/>
        <v>184</v>
      </c>
      <c r="B186" s="218" t="s">
        <v>10847</v>
      </c>
      <c r="C186" s="1" t="s">
        <v>122</v>
      </c>
      <c r="D186" s="34" t="s">
        <v>10848</v>
      </c>
      <c r="E186" s="34" t="s">
        <v>10213</v>
      </c>
      <c r="F186" s="6" t="s">
        <v>10849</v>
      </c>
      <c r="G186" s="218" t="s">
        <v>10850</v>
      </c>
      <c r="H186" s="218" t="s">
        <v>10851</v>
      </c>
    </row>
    <row r="187" spans="1:8" ht="25.5">
      <c r="A187" s="34">
        <f t="shared" si="2"/>
        <v>185</v>
      </c>
      <c r="B187" s="218" t="s">
        <v>10852</v>
      </c>
      <c r="C187" s="1" t="s">
        <v>147</v>
      </c>
      <c r="D187" s="34"/>
      <c r="E187" s="34" t="s">
        <v>10472</v>
      </c>
      <c r="F187" s="6" t="s">
        <v>10853</v>
      </c>
      <c r="G187" s="218" t="s">
        <v>10831</v>
      </c>
      <c r="H187" s="218" t="s">
        <v>10854</v>
      </c>
    </row>
    <row r="188" spans="1:8" ht="25.5">
      <c r="A188" s="34">
        <f t="shared" si="2"/>
        <v>186</v>
      </c>
      <c r="B188" s="218" t="s">
        <v>10855</v>
      </c>
      <c r="C188" s="1" t="s">
        <v>10502</v>
      </c>
      <c r="D188" s="34" t="s">
        <v>10189</v>
      </c>
      <c r="E188" s="34" t="s">
        <v>10856</v>
      </c>
      <c r="F188" s="6" t="s">
        <v>10857</v>
      </c>
      <c r="G188" s="218" t="s">
        <v>10858</v>
      </c>
      <c r="H188" s="218" t="s">
        <v>10859</v>
      </c>
    </row>
    <row r="189" spans="1:8" ht="38.25">
      <c r="A189" s="34">
        <f t="shared" si="2"/>
        <v>187</v>
      </c>
      <c r="B189" s="218" t="s">
        <v>10479</v>
      </c>
      <c r="C189" s="1" t="s">
        <v>132</v>
      </c>
      <c r="D189" s="34" t="s">
        <v>10361</v>
      </c>
      <c r="E189" s="34" t="s">
        <v>10860</v>
      </c>
      <c r="F189" s="6" t="s">
        <v>10861</v>
      </c>
      <c r="G189" s="218" t="s">
        <v>8821</v>
      </c>
      <c r="H189" s="218" t="s">
        <v>10862</v>
      </c>
    </row>
    <row r="190" spans="1:8" ht="25.5">
      <c r="A190" s="34">
        <f t="shared" si="2"/>
        <v>188</v>
      </c>
      <c r="B190" s="218" t="s">
        <v>10863</v>
      </c>
      <c r="C190" s="1" t="s">
        <v>10377</v>
      </c>
      <c r="D190" s="34" t="s">
        <v>10189</v>
      </c>
      <c r="E190" s="34" t="s">
        <v>10838</v>
      </c>
      <c r="F190" s="6" t="s">
        <v>10864</v>
      </c>
      <c r="G190" s="218" t="s">
        <v>10840</v>
      </c>
      <c r="H190" s="218" t="s">
        <v>211</v>
      </c>
    </row>
    <row r="191" spans="1:8" ht="51">
      <c r="A191" s="34">
        <f t="shared" si="2"/>
        <v>189</v>
      </c>
      <c r="B191" s="218" t="s">
        <v>10865</v>
      </c>
      <c r="C191" s="1" t="s">
        <v>122</v>
      </c>
      <c r="D191" s="34" t="s">
        <v>10866</v>
      </c>
      <c r="E191" s="34" t="s">
        <v>10705</v>
      </c>
      <c r="F191" s="6" t="s">
        <v>10867</v>
      </c>
      <c r="G191" s="218" t="s">
        <v>10868</v>
      </c>
      <c r="H191" s="218" t="s">
        <v>10869</v>
      </c>
    </row>
    <row r="192" spans="1:8" ht="51">
      <c r="A192" s="34">
        <f t="shared" si="2"/>
        <v>190</v>
      </c>
      <c r="B192" s="218" t="s">
        <v>10865</v>
      </c>
      <c r="C192" s="1" t="s">
        <v>200</v>
      </c>
      <c r="D192" s="34" t="s">
        <v>10866</v>
      </c>
      <c r="E192" s="34" t="s">
        <v>10870</v>
      </c>
      <c r="F192" s="6" t="s">
        <v>10871</v>
      </c>
      <c r="G192" s="218" t="s">
        <v>10872</v>
      </c>
      <c r="H192" s="218" t="s">
        <v>10873</v>
      </c>
    </row>
    <row r="193" spans="1:8" ht="25.5">
      <c r="A193" s="34">
        <f t="shared" si="2"/>
        <v>191</v>
      </c>
      <c r="B193" s="218" t="s">
        <v>10874</v>
      </c>
      <c r="C193" s="1" t="s">
        <v>10875</v>
      </c>
      <c r="D193" s="34" t="s">
        <v>10189</v>
      </c>
      <c r="E193" s="34" t="s">
        <v>10876</v>
      </c>
      <c r="F193" s="6" t="s">
        <v>10877</v>
      </c>
      <c r="G193" s="218" t="s">
        <v>10878</v>
      </c>
      <c r="H193" s="218" t="s">
        <v>10879</v>
      </c>
    </row>
    <row r="194" spans="1:8">
      <c r="A194" s="34">
        <f t="shared" si="2"/>
        <v>192</v>
      </c>
      <c r="B194" s="218" t="s">
        <v>10782</v>
      </c>
      <c r="C194" s="1" t="s">
        <v>132</v>
      </c>
      <c r="D194" s="34" t="s">
        <v>10189</v>
      </c>
      <c r="E194" s="34" t="s">
        <v>10880</v>
      </c>
      <c r="F194" s="6" t="s">
        <v>10881</v>
      </c>
      <c r="G194" s="218" t="s">
        <v>10882</v>
      </c>
      <c r="H194" s="218" t="s">
        <v>10883</v>
      </c>
    </row>
    <row r="195" spans="1:8">
      <c r="A195" s="34">
        <f t="shared" si="2"/>
        <v>193</v>
      </c>
      <c r="B195" s="218" t="s">
        <v>10884</v>
      </c>
      <c r="C195" s="1" t="s">
        <v>1060</v>
      </c>
      <c r="D195" s="34" t="s">
        <v>10218</v>
      </c>
      <c r="E195" s="34" t="s">
        <v>10204</v>
      </c>
      <c r="F195" s="6" t="s">
        <v>10853</v>
      </c>
      <c r="G195" s="218" t="s">
        <v>10885</v>
      </c>
      <c r="H195" s="218" t="s">
        <v>10886</v>
      </c>
    </row>
    <row r="196" spans="1:8">
      <c r="A196" s="34">
        <f t="shared" ref="A196:A259" si="3">A195+1</f>
        <v>194</v>
      </c>
      <c r="B196" s="218" t="s">
        <v>10884</v>
      </c>
      <c r="C196" s="1" t="s">
        <v>10887</v>
      </c>
      <c r="D196" s="34" t="s">
        <v>10218</v>
      </c>
      <c r="E196" s="34" t="s">
        <v>10204</v>
      </c>
      <c r="F196" s="6" t="s">
        <v>10888</v>
      </c>
      <c r="G196" s="218" t="s">
        <v>10885</v>
      </c>
      <c r="H196" s="218" t="s">
        <v>10889</v>
      </c>
    </row>
    <row r="197" spans="1:8" ht="25.5">
      <c r="A197" s="34">
        <f t="shared" si="3"/>
        <v>195</v>
      </c>
      <c r="B197" s="218" t="s">
        <v>10890</v>
      </c>
      <c r="C197" s="1" t="s">
        <v>132</v>
      </c>
      <c r="D197" s="34" t="s">
        <v>10521</v>
      </c>
      <c r="E197" s="34" t="s">
        <v>10891</v>
      </c>
      <c r="F197" s="6" t="s">
        <v>10892</v>
      </c>
      <c r="G197" s="218" t="s">
        <v>10893</v>
      </c>
      <c r="H197" s="218" t="s">
        <v>10894</v>
      </c>
    </row>
    <row r="198" spans="1:8" ht="25.5">
      <c r="A198" s="34">
        <f t="shared" si="3"/>
        <v>196</v>
      </c>
      <c r="B198" s="218" t="s">
        <v>10890</v>
      </c>
      <c r="C198" s="1" t="s">
        <v>132</v>
      </c>
      <c r="D198" s="34" t="s">
        <v>10189</v>
      </c>
      <c r="E198" s="34" t="s">
        <v>10891</v>
      </c>
      <c r="F198" s="6" t="s">
        <v>10895</v>
      </c>
      <c r="G198" s="218" t="s">
        <v>10896</v>
      </c>
      <c r="H198" s="218" t="s">
        <v>10897</v>
      </c>
    </row>
    <row r="199" spans="1:8" ht="25.5">
      <c r="A199" s="34">
        <f t="shared" si="3"/>
        <v>197</v>
      </c>
      <c r="B199" s="218" t="s">
        <v>10890</v>
      </c>
      <c r="C199" s="1" t="s">
        <v>132</v>
      </c>
      <c r="D199" s="34" t="s">
        <v>10521</v>
      </c>
      <c r="E199" s="34" t="s">
        <v>10891</v>
      </c>
      <c r="F199" s="6" t="s">
        <v>10892</v>
      </c>
      <c r="G199" s="218" t="s">
        <v>10896</v>
      </c>
      <c r="H199" s="218" t="s">
        <v>10898</v>
      </c>
    </row>
    <row r="200" spans="1:8" ht="25.5">
      <c r="A200" s="34">
        <f t="shared" si="3"/>
        <v>198</v>
      </c>
      <c r="B200" s="218" t="s">
        <v>10899</v>
      </c>
      <c r="C200" s="1" t="s">
        <v>10502</v>
      </c>
      <c r="D200" s="34" t="s">
        <v>10189</v>
      </c>
      <c r="E200" s="34" t="s">
        <v>10230</v>
      </c>
      <c r="F200" s="6" t="s">
        <v>10900</v>
      </c>
      <c r="G200" s="218" t="s">
        <v>10728</v>
      </c>
      <c r="H200" s="218" t="s">
        <v>224</v>
      </c>
    </row>
    <row r="201" spans="1:8" ht="25.5">
      <c r="A201" s="34">
        <f t="shared" si="3"/>
        <v>199</v>
      </c>
      <c r="B201" s="218" t="s">
        <v>10901</v>
      </c>
      <c r="C201" s="1" t="s">
        <v>147</v>
      </c>
      <c r="D201" s="34" t="s">
        <v>10902</v>
      </c>
      <c r="E201" s="34" t="s">
        <v>10472</v>
      </c>
      <c r="F201" s="6" t="s">
        <v>10903</v>
      </c>
      <c r="G201" s="218" t="s">
        <v>10831</v>
      </c>
      <c r="H201" s="218" t="s">
        <v>10904</v>
      </c>
    </row>
    <row r="202" spans="1:8" ht="25.5">
      <c r="A202" s="34">
        <f t="shared" si="3"/>
        <v>200</v>
      </c>
      <c r="B202" s="218" t="s">
        <v>10532</v>
      </c>
      <c r="C202" s="1" t="s">
        <v>10482</v>
      </c>
      <c r="D202" s="34" t="s">
        <v>10521</v>
      </c>
      <c r="E202" s="34" t="s">
        <v>10350</v>
      </c>
      <c r="F202" s="6" t="s">
        <v>10905</v>
      </c>
      <c r="G202" s="218" t="s">
        <v>10906</v>
      </c>
      <c r="H202" s="218" t="s">
        <v>10907</v>
      </c>
    </row>
    <row r="203" spans="1:8" ht="25.5">
      <c r="A203" s="34">
        <f t="shared" si="3"/>
        <v>201</v>
      </c>
      <c r="B203" s="218" t="s">
        <v>10532</v>
      </c>
      <c r="C203" s="1" t="s">
        <v>10482</v>
      </c>
      <c r="D203" s="34" t="s">
        <v>10521</v>
      </c>
      <c r="E203" s="34" t="s">
        <v>10350</v>
      </c>
      <c r="F203" s="6" t="s">
        <v>10905</v>
      </c>
      <c r="G203" s="218" t="s">
        <v>10906</v>
      </c>
      <c r="H203" s="218" t="s">
        <v>10908</v>
      </c>
    </row>
    <row r="204" spans="1:8" ht="25.5">
      <c r="A204" s="34">
        <f t="shared" si="3"/>
        <v>202</v>
      </c>
      <c r="B204" s="218" t="s">
        <v>10532</v>
      </c>
      <c r="C204" s="1" t="s">
        <v>132</v>
      </c>
      <c r="D204" s="34" t="s">
        <v>10521</v>
      </c>
      <c r="E204" s="34" t="s">
        <v>10350</v>
      </c>
      <c r="F204" s="6" t="s">
        <v>10905</v>
      </c>
      <c r="G204" s="218" t="s">
        <v>10906</v>
      </c>
      <c r="H204" s="218" t="s">
        <v>10909</v>
      </c>
    </row>
    <row r="205" spans="1:8" ht="25.5">
      <c r="A205" s="34">
        <f t="shared" si="3"/>
        <v>203</v>
      </c>
      <c r="B205" s="218" t="s">
        <v>10532</v>
      </c>
      <c r="C205" s="1" t="s">
        <v>132</v>
      </c>
      <c r="D205" s="34" t="s">
        <v>10521</v>
      </c>
      <c r="E205" s="34" t="s">
        <v>10350</v>
      </c>
      <c r="F205" s="6" t="s">
        <v>10905</v>
      </c>
      <c r="G205" s="218" t="s">
        <v>10906</v>
      </c>
      <c r="H205" s="218" t="s">
        <v>10910</v>
      </c>
    </row>
    <row r="206" spans="1:8" ht="25.5">
      <c r="A206" s="34">
        <f t="shared" si="3"/>
        <v>204</v>
      </c>
      <c r="B206" s="218" t="s">
        <v>10532</v>
      </c>
      <c r="C206" s="1" t="s">
        <v>10377</v>
      </c>
      <c r="D206" s="34" t="s">
        <v>10521</v>
      </c>
      <c r="E206" s="34" t="s">
        <v>10293</v>
      </c>
      <c r="F206" s="6" t="s">
        <v>10911</v>
      </c>
      <c r="G206" s="218" t="s">
        <v>10906</v>
      </c>
      <c r="H206" s="218" t="s">
        <v>10912</v>
      </c>
    </row>
    <row r="207" spans="1:8" ht="25.5">
      <c r="A207" s="34">
        <f t="shared" si="3"/>
        <v>205</v>
      </c>
      <c r="B207" s="218" t="s">
        <v>10532</v>
      </c>
      <c r="C207" s="1" t="s">
        <v>132</v>
      </c>
      <c r="D207" s="34" t="s">
        <v>10520</v>
      </c>
      <c r="E207" s="34" t="s">
        <v>10350</v>
      </c>
      <c r="F207" s="6" t="s">
        <v>10905</v>
      </c>
      <c r="G207" s="218" t="s">
        <v>10906</v>
      </c>
      <c r="H207" s="218" t="s">
        <v>10913</v>
      </c>
    </row>
    <row r="208" spans="1:8" ht="25.5">
      <c r="A208" s="34">
        <f t="shared" si="3"/>
        <v>206</v>
      </c>
      <c r="B208" s="218" t="s">
        <v>10532</v>
      </c>
      <c r="C208" s="1" t="s">
        <v>132</v>
      </c>
      <c r="D208" s="34" t="s">
        <v>10521</v>
      </c>
      <c r="E208" s="34" t="s">
        <v>10526</v>
      </c>
      <c r="F208" s="6" t="s">
        <v>10877</v>
      </c>
      <c r="G208" s="218" t="s">
        <v>10906</v>
      </c>
      <c r="H208" s="218" t="s">
        <v>10914</v>
      </c>
    </row>
    <row r="209" spans="1:8" ht="25.5">
      <c r="A209" s="34">
        <f t="shared" si="3"/>
        <v>207</v>
      </c>
      <c r="B209" s="218" t="s">
        <v>10532</v>
      </c>
      <c r="C209" s="1" t="s">
        <v>132</v>
      </c>
      <c r="D209" s="34" t="s">
        <v>10521</v>
      </c>
      <c r="E209" s="34" t="s">
        <v>10542</v>
      </c>
      <c r="F209" s="6" t="s">
        <v>10881</v>
      </c>
      <c r="G209" s="218" t="s">
        <v>10906</v>
      </c>
      <c r="H209" s="218" t="s">
        <v>10915</v>
      </c>
    </row>
    <row r="210" spans="1:8" ht="25.5">
      <c r="A210" s="34">
        <f t="shared" si="3"/>
        <v>208</v>
      </c>
      <c r="B210" s="218" t="s">
        <v>10532</v>
      </c>
      <c r="C210" s="1" t="s">
        <v>132</v>
      </c>
      <c r="D210" s="34" t="s">
        <v>10521</v>
      </c>
      <c r="E210" s="34" t="s">
        <v>10916</v>
      </c>
      <c r="F210" s="6" t="s">
        <v>10917</v>
      </c>
      <c r="G210" s="218" t="s">
        <v>10906</v>
      </c>
      <c r="H210" s="218" t="s">
        <v>10918</v>
      </c>
    </row>
    <row r="211" spans="1:8" ht="25.5">
      <c r="A211" s="34">
        <f t="shared" si="3"/>
        <v>209</v>
      </c>
      <c r="B211" s="218" t="s">
        <v>10532</v>
      </c>
      <c r="C211" s="1" t="s">
        <v>132</v>
      </c>
      <c r="D211" s="34" t="s">
        <v>10521</v>
      </c>
      <c r="E211" s="34" t="s">
        <v>10656</v>
      </c>
      <c r="F211" s="6" t="s">
        <v>10919</v>
      </c>
      <c r="G211" s="218" t="s">
        <v>10906</v>
      </c>
      <c r="H211" s="218" t="s">
        <v>10920</v>
      </c>
    </row>
    <row r="212" spans="1:8" ht="25.5">
      <c r="A212" s="34">
        <f t="shared" si="3"/>
        <v>210</v>
      </c>
      <c r="B212" s="218" t="s">
        <v>10532</v>
      </c>
      <c r="C212" s="1" t="s">
        <v>132</v>
      </c>
      <c r="D212" s="34" t="s">
        <v>10521</v>
      </c>
      <c r="E212" s="34" t="s">
        <v>9617</v>
      </c>
      <c r="F212" s="6" t="s">
        <v>10921</v>
      </c>
      <c r="G212" s="218" t="s">
        <v>10906</v>
      </c>
      <c r="H212" s="218" t="s">
        <v>10922</v>
      </c>
    </row>
    <row r="213" spans="1:8" ht="25.5">
      <c r="A213" s="34">
        <f t="shared" si="3"/>
        <v>211</v>
      </c>
      <c r="B213" s="218" t="s">
        <v>10532</v>
      </c>
      <c r="C213" s="1" t="s">
        <v>10377</v>
      </c>
      <c r="D213" s="34" t="s">
        <v>10520</v>
      </c>
      <c r="E213" s="34" t="s">
        <v>10288</v>
      </c>
      <c r="F213" s="6" t="s">
        <v>10923</v>
      </c>
      <c r="G213" s="218" t="s">
        <v>10906</v>
      </c>
      <c r="H213" s="218" t="s">
        <v>10924</v>
      </c>
    </row>
    <row r="214" spans="1:8" ht="25.5">
      <c r="A214" s="34">
        <f t="shared" si="3"/>
        <v>212</v>
      </c>
      <c r="B214" s="218" t="s">
        <v>10532</v>
      </c>
      <c r="C214" s="1" t="s">
        <v>10377</v>
      </c>
      <c r="D214" s="34" t="s">
        <v>10521</v>
      </c>
      <c r="E214" s="34" t="s">
        <v>10925</v>
      </c>
      <c r="F214" s="6" t="s">
        <v>10926</v>
      </c>
      <c r="G214" s="218" t="s">
        <v>10906</v>
      </c>
      <c r="H214" s="218" t="s">
        <v>10927</v>
      </c>
    </row>
    <row r="215" spans="1:8" ht="25.5">
      <c r="A215" s="34">
        <f t="shared" si="3"/>
        <v>213</v>
      </c>
      <c r="B215" s="218" t="s">
        <v>10532</v>
      </c>
      <c r="C215" s="1" t="s">
        <v>132</v>
      </c>
      <c r="D215" s="34" t="s">
        <v>10521</v>
      </c>
      <c r="E215" s="34" t="s">
        <v>10891</v>
      </c>
      <c r="F215" s="6" t="s">
        <v>10928</v>
      </c>
      <c r="G215" s="218" t="s">
        <v>10906</v>
      </c>
      <c r="H215" s="218" t="s">
        <v>10929</v>
      </c>
    </row>
    <row r="216" spans="1:8" ht="25.5">
      <c r="A216" s="34">
        <f t="shared" si="3"/>
        <v>214</v>
      </c>
      <c r="B216" s="218" t="s">
        <v>10532</v>
      </c>
      <c r="C216" s="1" t="s">
        <v>132</v>
      </c>
      <c r="D216" s="34" t="s">
        <v>10521</v>
      </c>
      <c r="E216" s="34" t="s">
        <v>10891</v>
      </c>
      <c r="F216" s="6" t="s">
        <v>10928</v>
      </c>
      <c r="G216" s="218" t="s">
        <v>10906</v>
      </c>
      <c r="H216" s="218" t="s">
        <v>10930</v>
      </c>
    </row>
    <row r="217" spans="1:8" ht="25.5">
      <c r="A217" s="34">
        <f t="shared" si="3"/>
        <v>215</v>
      </c>
      <c r="B217" s="218" t="s">
        <v>10532</v>
      </c>
      <c r="C217" s="1" t="s">
        <v>132</v>
      </c>
      <c r="D217" s="34" t="s">
        <v>10521</v>
      </c>
      <c r="E217" s="34" t="s">
        <v>10891</v>
      </c>
      <c r="F217" s="6" t="s">
        <v>10928</v>
      </c>
      <c r="G217" s="218" t="s">
        <v>10906</v>
      </c>
      <c r="H217" s="218" t="s">
        <v>10931</v>
      </c>
    </row>
    <row r="218" spans="1:8" ht="25.5">
      <c r="A218" s="34">
        <f t="shared" si="3"/>
        <v>216</v>
      </c>
      <c r="B218" s="218" t="s">
        <v>10532</v>
      </c>
      <c r="C218" s="1" t="s">
        <v>132</v>
      </c>
      <c r="D218" s="34" t="s">
        <v>10521</v>
      </c>
      <c r="E218" s="34" t="s">
        <v>10891</v>
      </c>
      <c r="F218" s="6" t="s">
        <v>10928</v>
      </c>
      <c r="G218" s="218" t="s">
        <v>10906</v>
      </c>
      <c r="H218" s="218" t="s">
        <v>10932</v>
      </c>
    </row>
    <row r="219" spans="1:8" ht="25.5">
      <c r="A219" s="34">
        <f t="shared" si="3"/>
        <v>217</v>
      </c>
      <c r="B219" s="218" t="s">
        <v>10532</v>
      </c>
      <c r="C219" s="1" t="s">
        <v>132</v>
      </c>
      <c r="D219" s="34" t="s">
        <v>10521</v>
      </c>
      <c r="E219" s="34" t="s">
        <v>10891</v>
      </c>
      <c r="F219" s="6" t="s">
        <v>10933</v>
      </c>
      <c r="G219" s="218" t="s">
        <v>10906</v>
      </c>
      <c r="H219" s="218" t="s">
        <v>10934</v>
      </c>
    </row>
    <row r="220" spans="1:8" ht="25.5">
      <c r="A220" s="34">
        <f t="shared" si="3"/>
        <v>218</v>
      </c>
      <c r="B220" s="218" t="s">
        <v>10532</v>
      </c>
      <c r="C220" s="1" t="s">
        <v>132</v>
      </c>
      <c r="D220" s="34" t="s">
        <v>10520</v>
      </c>
      <c r="E220" s="34" t="s">
        <v>10891</v>
      </c>
      <c r="F220" s="6" t="s">
        <v>10928</v>
      </c>
      <c r="G220" s="218" t="s">
        <v>10906</v>
      </c>
      <c r="H220" s="218" t="s">
        <v>10935</v>
      </c>
    </row>
    <row r="221" spans="1:8" ht="25.5">
      <c r="A221" s="34">
        <f t="shared" si="3"/>
        <v>219</v>
      </c>
      <c r="B221" s="218" t="s">
        <v>10532</v>
      </c>
      <c r="C221" s="1" t="s">
        <v>132</v>
      </c>
      <c r="D221" s="34" t="s">
        <v>10521</v>
      </c>
      <c r="E221" s="34" t="s">
        <v>10936</v>
      </c>
      <c r="F221" s="6" t="s">
        <v>10937</v>
      </c>
      <c r="G221" s="218" t="s">
        <v>10906</v>
      </c>
      <c r="H221" s="218" t="s">
        <v>10938</v>
      </c>
    </row>
    <row r="222" spans="1:8" ht="25.5">
      <c r="A222" s="34">
        <f t="shared" si="3"/>
        <v>220</v>
      </c>
      <c r="B222" s="218" t="s">
        <v>10532</v>
      </c>
      <c r="C222" s="1" t="s">
        <v>132</v>
      </c>
      <c r="D222" s="34" t="s">
        <v>10520</v>
      </c>
      <c r="E222" s="34" t="s">
        <v>10936</v>
      </c>
      <c r="F222" s="6" t="s">
        <v>10937</v>
      </c>
      <c r="G222" s="218" t="s">
        <v>10906</v>
      </c>
      <c r="H222" s="218" t="s">
        <v>10939</v>
      </c>
    </row>
    <row r="223" spans="1:8" ht="25.5">
      <c r="A223" s="34">
        <f t="shared" si="3"/>
        <v>221</v>
      </c>
      <c r="B223" s="218" t="s">
        <v>10532</v>
      </c>
      <c r="C223" s="1" t="s">
        <v>10377</v>
      </c>
      <c r="D223" s="34" t="s">
        <v>10521</v>
      </c>
      <c r="E223" s="34" t="s">
        <v>10692</v>
      </c>
      <c r="F223" s="6" t="s">
        <v>10940</v>
      </c>
      <c r="G223" s="218" t="s">
        <v>10906</v>
      </c>
      <c r="H223" s="218" t="s">
        <v>10941</v>
      </c>
    </row>
    <row r="224" spans="1:8" ht="25.5">
      <c r="A224" s="34">
        <f t="shared" si="3"/>
        <v>222</v>
      </c>
      <c r="B224" s="218" t="s">
        <v>10532</v>
      </c>
      <c r="C224" s="1" t="s">
        <v>132</v>
      </c>
      <c r="D224" s="34" t="s">
        <v>10521</v>
      </c>
      <c r="E224" s="34" t="s">
        <v>10936</v>
      </c>
      <c r="F224" s="6" t="s">
        <v>10937</v>
      </c>
      <c r="G224" s="218" t="s">
        <v>10906</v>
      </c>
      <c r="H224" s="218" t="s">
        <v>10942</v>
      </c>
    </row>
    <row r="225" spans="1:8" ht="25.5">
      <c r="A225" s="34">
        <f t="shared" si="3"/>
        <v>223</v>
      </c>
      <c r="B225" s="218" t="s">
        <v>10532</v>
      </c>
      <c r="C225" s="1" t="s">
        <v>10377</v>
      </c>
      <c r="D225" s="34" t="s">
        <v>10521</v>
      </c>
      <c r="E225" s="34" t="s">
        <v>10522</v>
      </c>
      <c r="F225" s="6" t="s">
        <v>10943</v>
      </c>
      <c r="G225" s="218" t="s">
        <v>10906</v>
      </c>
      <c r="H225" s="218" t="s">
        <v>10944</v>
      </c>
    </row>
    <row r="226" spans="1:8" ht="25.5">
      <c r="A226" s="34">
        <f t="shared" si="3"/>
        <v>224</v>
      </c>
      <c r="B226" s="218" t="s">
        <v>10532</v>
      </c>
      <c r="C226" s="1" t="s">
        <v>10377</v>
      </c>
      <c r="D226" s="34" t="s">
        <v>10521</v>
      </c>
      <c r="E226" s="34" t="s">
        <v>10945</v>
      </c>
      <c r="F226" s="6" t="s">
        <v>10946</v>
      </c>
      <c r="G226" s="218" t="s">
        <v>10906</v>
      </c>
      <c r="H226" s="218" t="s">
        <v>10947</v>
      </c>
    </row>
    <row r="227" spans="1:8" ht="25.5">
      <c r="A227" s="34">
        <f t="shared" si="3"/>
        <v>225</v>
      </c>
      <c r="B227" s="218" t="s">
        <v>10532</v>
      </c>
      <c r="C227" s="1" t="s">
        <v>10377</v>
      </c>
      <c r="D227" s="34" t="s">
        <v>10521</v>
      </c>
      <c r="E227" s="34" t="s">
        <v>10554</v>
      </c>
      <c r="F227" s="6" t="s">
        <v>10948</v>
      </c>
      <c r="G227" s="218" t="s">
        <v>10906</v>
      </c>
      <c r="H227" s="218" t="s">
        <v>10949</v>
      </c>
    </row>
    <row r="228" spans="1:8" ht="38.25">
      <c r="A228" s="34">
        <f t="shared" si="3"/>
        <v>226</v>
      </c>
      <c r="B228" s="218" t="s">
        <v>10950</v>
      </c>
      <c r="C228" s="1" t="s">
        <v>10951</v>
      </c>
      <c r="D228" s="34" t="s">
        <v>10361</v>
      </c>
      <c r="E228" s="34" t="s">
        <v>10952</v>
      </c>
      <c r="F228" s="6" t="s">
        <v>10953</v>
      </c>
      <c r="G228" s="218" t="s">
        <v>10954</v>
      </c>
      <c r="H228" s="218" t="s">
        <v>10955</v>
      </c>
    </row>
    <row r="229" spans="1:8" ht="25.5">
      <c r="A229" s="34">
        <f t="shared" si="3"/>
        <v>227</v>
      </c>
      <c r="B229" s="218" t="s">
        <v>10956</v>
      </c>
      <c r="C229" s="1" t="s">
        <v>10193</v>
      </c>
      <c r="D229" s="34" t="s">
        <v>10189</v>
      </c>
      <c r="E229" s="34" t="s">
        <v>10209</v>
      </c>
      <c r="F229" s="6" t="s">
        <v>10957</v>
      </c>
      <c r="G229" s="218" t="s">
        <v>8605</v>
      </c>
      <c r="H229" s="218" t="s">
        <v>10958</v>
      </c>
    </row>
    <row r="230" spans="1:8" ht="38.25">
      <c r="A230" s="34">
        <f t="shared" si="3"/>
        <v>228</v>
      </c>
      <c r="B230" s="218" t="s">
        <v>10959</v>
      </c>
      <c r="C230" s="1" t="s">
        <v>10754</v>
      </c>
      <c r="D230" s="34" t="s">
        <v>10189</v>
      </c>
      <c r="E230" s="34" t="s">
        <v>10410</v>
      </c>
      <c r="F230" s="6" t="s">
        <v>10960</v>
      </c>
      <c r="G230" s="218" t="s">
        <v>10961</v>
      </c>
      <c r="H230" s="218" t="s">
        <v>1900</v>
      </c>
    </row>
    <row r="231" spans="1:8" ht="25.5">
      <c r="A231" s="34">
        <f t="shared" si="3"/>
        <v>229</v>
      </c>
      <c r="B231" s="218" t="s">
        <v>10962</v>
      </c>
      <c r="C231" s="1" t="s">
        <v>132</v>
      </c>
      <c r="D231" s="34" t="s">
        <v>10189</v>
      </c>
      <c r="E231" s="34" t="s">
        <v>9617</v>
      </c>
      <c r="F231" s="6" t="s">
        <v>10190</v>
      </c>
      <c r="G231" s="218" t="s">
        <v>10492</v>
      </c>
      <c r="H231" s="218" t="s">
        <v>2684</v>
      </c>
    </row>
    <row r="232" spans="1:8" ht="25.5">
      <c r="A232" s="34">
        <f t="shared" si="3"/>
        <v>230</v>
      </c>
      <c r="B232" s="218" t="s">
        <v>10963</v>
      </c>
      <c r="C232" s="1" t="s">
        <v>122</v>
      </c>
      <c r="D232" s="34" t="s">
        <v>10189</v>
      </c>
      <c r="E232" s="34" t="s">
        <v>10964</v>
      </c>
      <c r="F232" s="6" t="s">
        <v>10965</v>
      </c>
      <c r="G232" s="218" t="s">
        <v>10966</v>
      </c>
      <c r="H232" s="218" t="s">
        <v>10967</v>
      </c>
    </row>
    <row r="233" spans="1:8" ht="25.5">
      <c r="A233" s="34">
        <f t="shared" si="3"/>
        <v>231</v>
      </c>
      <c r="B233" s="218" t="s">
        <v>10968</v>
      </c>
      <c r="C233" s="1" t="s">
        <v>132</v>
      </c>
      <c r="D233" s="34" t="s">
        <v>10189</v>
      </c>
      <c r="E233" s="34" t="s">
        <v>10736</v>
      </c>
      <c r="F233" s="6" t="s">
        <v>10969</v>
      </c>
      <c r="G233" s="218" t="s">
        <v>8839</v>
      </c>
      <c r="H233" s="218" t="s">
        <v>10970</v>
      </c>
    </row>
    <row r="234" spans="1:8" ht="25.5">
      <c r="A234" s="34">
        <f t="shared" si="3"/>
        <v>232</v>
      </c>
      <c r="B234" s="218" t="s">
        <v>10971</v>
      </c>
      <c r="C234" s="1" t="s">
        <v>10202</v>
      </c>
      <c r="D234" s="34" t="s">
        <v>10218</v>
      </c>
      <c r="E234" s="34" t="s">
        <v>8596</v>
      </c>
      <c r="F234" s="6" t="s">
        <v>10972</v>
      </c>
      <c r="G234" s="218" t="s">
        <v>10973</v>
      </c>
      <c r="H234" s="218" t="s">
        <v>251</v>
      </c>
    </row>
    <row r="235" spans="1:8" ht="25.5">
      <c r="A235" s="34">
        <f t="shared" si="3"/>
        <v>233</v>
      </c>
      <c r="B235" s="218" t="s">
        <v>10974</v>
      </c>
      <c r="C235" s="1" t="s">
        <v>122</v>
      </c>
      <c r="D235" s="34" t="s">
        <v>10218</v>
      </c>
      <c r="E235" s="34" t="s">
        <v>10964</v>
      </c>
      <c r="F235" s="6" t="s">
        <v>10975</v>
      </c>
      <c r="G235" s="218" t="s">
        <v>10976</v>
      </c>
      <c r="H235" s="218" t="s">
        <v>10967</v>
      </c>
    </row>
    <row r="236" spans="1:8" ht="25.5">
      <c r="A236" s="34">
        <f t="shared" si="3"/>
        <v>234</v>
      </c>
      <c r="B236" s="218" t="s">
        <v>10977</v>
      </c>
      <c r="C236" s="1" t="s">
        <v>137</v>
      </c>
      <c r="D236" s="34" t="s">
        <v>10189</v>
      </c>
      <c r="E236" s="34" t="s">
        <v>10209</v>
      </c>
      <c r="F236" s="6" t="s">
        <v>10978</v>
      </c>
      <c r="G236" s="218" t="s">
        <v>8605</v>
      </c>
      <c r="H236" s="218" t="s">
        <v>10979</v>
      </c>
    </row>
    <row r="237" spans="1:8" ht="38.25">
      <c r="A237" s="34">
        <f t="shared" si="3"/>
        <v>235</v>
      </c>
      <c r="B237" s="218" t="s">
        <v>10980</v>
      </c>
      <c r="C237" s="1" t="s">
        <v>132</v>
      </c>
      <c r="D237" s="34" t="s">
        <v>10189</v>
      </c>
      <c r="E237" s="34" t="s">
        <v>10981</v>
      </c>
      <c r="F237" s="6" t="s">
        <v>10982</v>
      </c>
      <c r="G237" s="218" t="s">
        <v>10983</v>
      </c>
      <c r="H237" s="218" t="s">
        <v>10984</v>
      </c>
    </row>
    <row r="238" spans="1:8" ht="25.5">
      <c r="A238" s="34">
        <f t="shared" si="3"/>
        <v>236</v>
      </c>
      <c r="B238" s="218" t="s">
        <v>10985</v>
      </c>
      <c r="C238" s="1" t="s">
        <v>132</v>
      </c>
      <c r="D238" s="34" t="s">
        <v>10189</v>
      </c>
      <c r="E238" s="34" t="s">
        <v>9617</v>
      </c>
      <c r="F238" s="6" t="s">
        <v>10235</v>
      </c>
      <c r="G238" s="218" t="s">
        <v>8839</v>
      </c>
      <c r="H238" s="218" t="s">
        <v>10266</v>
      </c>
    </row>
    <row r="239" spans="1:8" ht="25.5">
      <c r="A239" s="34">
        <f t="shared" si="3"/>
        <v>237</v>
      </c>
      <c r="B239" s="218" t="s">
        <v>10986</v>
      </c>
      <c r="C239" s="1" t="s">
        <v>10202</v>
      </c>
      <c r="D239" s="34" t="s">
        <v>10189</v>
      </c>
      <c r="E239" s="34" t="s">
        <v>10964</v>
      </c>
      <c r="F239" s="6" t="s">
        <v>10987</v>
      </c>
      <c r="G239" s="218" t="s">
        <v>8938</v>
      </c>
      <c r="H239" s="218" t="s">
        <v>10988</v>
      </c>
    </row>
    <row r="240" spans="1:8" ht="25.5">
      <c r="A240" s="34">
        <f t="shared" si="3"/>
        <v>238</v>
      </c>
      <c r="B240" s="218" t="s">
        <v>10989</v>
      </c>
      <c r="C240" s="1" t="s">
        <v>132</v>
      </c>
      <c r="D240" s="34" t="s">
        <v>10218</v>
      </c>
      <c r="E240" s="34" t="s">
        <v>10257</v>
      </c>
      <c r="F240" s="6" t="s">
        <v>10990</v>
      </c>
      <c r="G240" s="218" t="s">
        <v>10991</v>
      </c>
      <c r="H240" s="218" t="s">
        <v>10260</v>
      </c>
    </row>
    <row r="241" spans="1:8" ht="25.5">
      <c r="A241" s="34">
        <f t="shared" si="3"/>
        <v>239</v>
      </c>
      <c r="B241" s="218" t="s">
        <v>10992</v>
      </c>
      <c r="C241" s="1" t="s">
        <v>132</v>
      </c>
      <c r="D241" s="34" t="s">
        <v>10218</v>
      </c>
      <c r="E241" s="34" t="s">
        <v>10257</v>
      </c>
      <c r="F241" s="6" t="s">
        <v>10258</v>
      </c>
      <c r="G241" s="218" t="s">
        <v>10259</v>
      </c>
      <c r="H241" s="218" t="s">
        <v>10260</v>
      </c>
    </row>
    <row r="242" spans="1:8" ht="25.5">
      <c r="A242" s="34">
        <f t="shared" si="3"/>
        <v>240</v>
      </c>
      <c r="B242" s="218" t="s">
        <v>10993</v>
      </c>
      <c r="C242" s="1" t="s">
        <v>122</v>
      </c>
      <c r="D242" s="34" t="s">
        <v>10218</v>
      </c>
      <c r="E242" s="34" t="s">
        <v>10219</v>
      </c>
      <c r="F242" s="6" t="s">
        <v>10994</v>
      </c>
      <c r="G242" s="218" t="s">
        <v>10249</v>
      </c>
      <c r="H242" s="218" t="s">
        <v>10995</v>
      </c>
    </row>
    <row r="243" spans="1:8" ht="38.25">
      <c r="A243" s="34">
        <f t="shared" si="3"/>
        <v>241</v>
      </c>
      <c r="B243" s="218" t="s">
        <v>10996</v>
      </c>
      <c r="C243" s="1" t="s">
        <v>132</v>
      </c>
      <c r="D243" s="34" t="s">
        <v>10218</v>
      </c>
      <c r="E243" s="34" t="s">
        <v>10257</v>
      </c>
      <c r="F243" s="6" t="s">
        <v>10997</v>
      </c>
      <c r="G243" s="218" t="s">
        <v>10259</v>
      </c>
      <c r="H243" s="218" t="s">
        <v>10314</v>
      </c>
    </row>
    <row r="244" spans="1:8" ht="25.5">
      <c r="A244" s="34">
        <f t="shared" si="3"/>
        <v>242</v>
      </c>
      <c r="B244" s="218" t="s">
        <v>10998</v>
      </c>
      <c r="C244" s="1" t="s">
        <v>10999</v>
      </c>
      <c r="D244" s="34" t="s">
        <v>10218</v>
      </c>
      <c r="E244" s="34" t="s">
        <v>10876</v>
      </c>
      <c r="F244" s="6" t="s">
        <v>10669</v>
      </c>
      <c r="G244" s="218" t="s">
        <v>11000</v>
      </c>
      <c r="H244" s="218" t="s">
        <v>11001</v>
      </c>
    </row>
    <row r="245" spans="1:8" ht="25.5">
      <c r="A245" s="34">
        <f t="shared" si="3"/>
        <v>243</v>
      </c>
      <c r="B245" s="218" t="s">
        <v>11002</v>
      </c>
      <c r="C245" s="1" t="s">
        <v>132</v>
      </c>
      <c r="D245" s="34" t="s">
        <v>10218</v>
      </c>
      <c r="E245" s="34" t="s">
        <v>10257</v>
      </c>
      <c r="F245" s="6" t="s">
        <v>11003</v>
      </c>
      <c r="G245" s="218" t="s">
        <v>10259</v>
      </c>
      <c r="H245" s="218" t="s">
        <v>10236</v>
      </c>
    </row>
    <row r="246" spans="1:8" ht="25.5">
      <c r="A246" s="34">
        <f t="shared" si="3"/>
        <v>244</v>
      </c>
      <c r="B246" s="218" t="s">
        <v>11004</v>
      </c>
      <c r="C246" s="1" t="s">
        <v>132</v>
      </c>
      <c r="D246" s="34" t="s">
        <v>10218</v>
      </c>
      <c r="E246" s="34" t="s">
        <v>11005</v>
      </c>
      <c r="F246" s="6" t="s">
        <v>11006</v>
      </c>
      <c r="G246" s="218" t="s">
        <v>11007</v>
      </c>
      <c r="H246" s="218" t="s">
        <v>10246</v>
      </c>
    </row>
    <row r="247" spans="1:8" ht="25.5">
      <c r="A247" s="34">
        <f t="shared" si="3"/>
        <v>245</v>
      </c>
      <c r="B247" s="218" t="s">
        <v>11008</v>
      </c>
      <c r="C247" s="1" t="s">
        <v>137</v>
      </c>
      <c r="D247" s="34" t="s">
        <v>10184</v>
      </c>
      <c r="E247" s="34" t="s">
        <v>10278</v>
      </c>
      <c r="F247" s="6" t="s">
        <v>11009</v>
      </c>
      <c r="G247" s="218" t="s">
        <v>10286</v>
      </c>
      <c r="H247" s="218" t="s">
        <v>10281</v>
      </c>
    </row>
    <row r="248" spans="1:8" ht="25.5">
      <c r="A248" s="34">
        <f t="shared" si="3"/>
        <v>246</v>
      </c>
      <c r="B248" s="218" t="s">
        <v>11010</v>
      </c>
      <c r="C248" s="1" t="s">
        <v>137</v>
      </c>
      <c r="D248" s="34" t="s">
        <v>10184</v>
      </c>
      <c r="E248" s="34" t="s">
        <v>10278</v>
      </c>
      <c r="F248" s="6" t="s">
        <v>10283</v>
      </c>
      <c r="G248" s="218" t="s">
        <v>10286</v>
      </c>
      <c r="H248" s="218" t="s">
        <v>10281</v>
      </c>
    </row>
    <row r="249" spans="1:8" ht="25.5">
      <c r="A249" s="34">
        <f t="shared" si="3"/>
        <v>247</v>
      </c>
      <c r="B249" s="218" t="s">
        <v>11011</v>
      </c>
      <c r="C249" s="1" t="s">
        <v>10754</v>
      </c>
      <c r="D249" s="34" t="s">
        <v>10184</v>
      </c>
      <c r="E249" s="34" t="s">
        <v>10288</v>
      </c>
      <c r="F249" s="6" t="s">
        <v>11012</v>
      </c>
      <c r="G249" s="218" t="s">
        <v>11013</v>
      </c>
      <c r="H249" s="218" t="s">
        <v>11014</v>
      </c>
    </row>
    <row r="250" spans="1:8" ht="25.5">
      <c r="A250" s="34">
        <f t="shared" si="3"/>
        <v>248</v>
      </c>
      <c r="B250" s="218" t="s">
        <v>11015</v>
      </c>
      <c r="C250" s="1" t="s">
        <v>10754</v>
      </c>
      <c r="D250" s="34" t="s">
        <v>10184</v>
      </c>
      <c r="E250" s="34" t="s">
        <v>10288</v>
      </c>
      <c r="F250" s="6" t="s">
        <v>11016</v>
      </c>
      <c r="G250" s="218" t="s">
        <v>10290</v>
      </c>
      <c r="H250" s="218" t="s">
        <v>11017</v>
      </c>
    </row>
    <row r="251" spans="1:8" ht="25.5">
      <c r="A251" s="34">
        <f t="shared" si="3"/>
        <v>249</v>
      </c>
      <c r="B251" s="218" t="s">
        <v>11018</v>
      </c>
      <c r="C251" s="1" t="s">
        <v>212</v>
      </c>
      <c r="D251" s="34" t="s">
        <v>10184</v>
      </c>
      <c r="E251" s="34" t="s">
        <v>10293</v>
      </c>
      <c r="F251" s="6" t="s">
        <v>11019</v>
      </c>
      <c r="G251" s="218" t="s">
        <v>10295</v>
      </c>
      <c r="H251" s="218" t="s">
        <v>11020</v>
      </c>
    </row>
    <row r="252" spans="1:8" ht="25.5">
      <c r="A252" s="34">
        <f t="shared" si="3"/>
        <v>250</v>
      </c>
      <c r="B252" s="218" t="s">
        <v>11021</v>
      </c>
      <c r="C252" s="1" t="s">
        <v>212</v>
      </c>
      <c r="D252" s="34" t="s">
        <v>10184</v>
      </c>
      <c r="E252" s="34" t="s">
        <v>10293</v>
      </c>
      <c r="F252" s="6" t="s">
        <v>11022</v>
      </c>
      <c r="G252" s="218" t="s">
        <v>10295</v>
      </c>
      <c r="H252" s="218" t="s">
        <v>11023</v>
      </c>
    </row>
    <row r="253" spans="1:8" ht="25.5">
      <c r="A253" s="34">
        <f t="shared" si="3"/>
        <v>251</v>
      </c>
      <c r="B253" s="218" t="s">
        <v>11024</v>
      </c>
      <c r="C253" s="1" t="s">
        <v>10754</v>
      </c>
      <c r="D253" s="34" t="s">
        <v>10184</v>
      </c>
      <c r="E253" s="34" t="s">
        <v>10410</v>
      </c>
      <c r="F253" s="6" t="s">
        <v>11025</v>
      </c>
      <c r="G253" s="218" t="s">
        <v>10474</v>
      </c>
      <c r="H253" s="218" t="s">
        <v>11026</v>
      </c>
    </row>
    <row r="254" spans="1:8" ht="25.5">
      <c r="A254" s="34">
        <f t="shared" si="3"/>
        <v>252</v>
      </c>
      <c r="B254" s="218" t="s">
        <v>11027</v>
      </c>
      <c r="C254" s="1" t="s">
        <v>212</v>
      </c>
      <c r="D254" s="34" t="s">
        <v>10184</v>
      </c>
      <c r="E254" s="34" t="s">
        <v>10293</v>
      </c>
      <c r="F254" s="6" t="s">
        <v>11028</v>
      </c>
      <c r="G254" s="218" t="s">
        <v>10295</v>
      </c>
      <c r="H254" s="218" t="s">
        <v>11029</v>
      </c>
    </row>
    <row r="255" spans="1:8" ht="25.5">
      <c r="A255" s="34">
        <f t="shared" si="3"/>
        <v>253</v>
      </c>
      <c r="B255" s="218" t="s">
        <v>11030</v>
      </c>
      <c r="C255" s="1" t="s">
        <v>132</v>
      </c>
      <c r="D255" s="34" t="s">
        <v>10184</v>
      </c>
      <c r="E255" s="34" t="s">
        <v>10300</v>
      </c>
      <c r="F255" s="6" t="s">
        <v>10301</v>
      </c>
      <c r="G255" s="218" t="s">
        <v>10302</v>
      </c>
      <c r="H255" s="218" t="s">
        <v>10303</v>
      </c>
    </row>
    <row r="256" spans="1:8" ht="25.5">
      <c r="A256" s="34">
        <f t="shared" si="3"/>
        <v>254</v>
      </c>
      <c r="B256" s="218" t="s">
        <v>11031</v>
      </c>
      <c r="C256" s="1" t="s">
        <v>132</v>
      </c>
      <c r="D256" s="34" t="s">
        <v>10184</v>
      </c>
      <c r="E256" s="34" t="s">
        <v>10300</v>
      </c>
      <c r="F256" s="6" t="s">
        <v>10311</v>
      </c>
      <c r="G256" s="218" t="s">
        <v>10302</v>
      </c>
      <c r="H256" s="218" t="s">
        <v>11032</v>
      </c>
    </row>
    <row r="257" spans="1:8" ht="25.5">
      <c r="A257" s="34">
        <f t="shared" si="3"/>
        <v>255</v>
      </c>
      <c r="B257" s="218" t="s">
        <v>11033</v>
      </c>
      <c r="C257" s="1" t="s">
        <v>122</v>
      </c>
      <c r="D257" s="34" t="s">
        <v>10184</v>
      </c>
      <c r="E257" s="34" t="s">
        <v>10300</v>
      </c>
      <c r="F257" s="6" t="s">
        <v>10311</v>
      </c>
      <c r="G257" s="218" t="s">
        <v>10302</v>
      </c>
      <c r="H257" s="218" t="s">
        <v>10419</v>
      </c>
    </row>
    <row r="258" spans="1:8" ht="25.5">
      <c r="A258" s="34">
        <f t="shared" si="3"/>
        <v>256</v>
      </c>
      <c r="B258" s="218" t="s">
        <v>11034</v>
      </c>
      <c r="C258" s="1" t="s">
        <v>132</v>
      </c>
      <c r="D258" s="34" t="s">
        <v>10184</v>
      </c>
      <c r="E258" s="34" t="s">
        <v>10300</v>
      </c>
      <c r="F258" s="6" t="s">
        <v>10311</v>
      </c>
      <c r="G258" s="218" t="s">
        <v>10302</v>
      </c>
      <c r="H258" s="218" t="s">
        <v>11035</v>
      </c>
    </row>
    <row r="259" spans="1:8" ht="25.5">
      <c r="A259" s="34">
        <f t="shared" si="3"/>
        <v>257</v>
      </c>
      <c r="B259" s="218" t="s">
        <v>11036</v>
      </c>
      <c r="C259" s="1" t="s">
        <v>212</v>
      </c>
      <c r="D259" s="34" t="s">
        <v>10184</v>
      </c>
      <c r="E259" s="34" t="s">
        <v>10300</v>
      </c>
      <c r="F259" s="6" t="s">
        <v>11037</v>
      </c>
      <c r="G259" s="218" t="s">
        <v>10302</v>
      </c>
      <c r="H259" s="218" t="s">
        <v>10388</v>
      </c>
    </row>
    <row r="260" spans="1:8" ht="25.5">
      <c r="A260" s="34">
        <f t="shared" ref="A260:A323" si="4">A259+1</f>
        <v>258</v>
      </c>
      <c r="B260" s="218" t="s">
        <v>11038</v>
      </c>
      <c r="C260" s="1" t="s">
        <v>10202</v>
      </c>
      <c r="D260" s="34" t="s">
        <v>10184</v>
      </c>
      <c r="E260" s="34" t="s">
        <v>10300</v>
      </c>
      <c r="F260" s="6" t="s">
        <v>10311</v>
      </c>
      <c r="G260" s="218" t="s">
        <v>10302</v>
      </c>
      <c r="H260" s="218" t="s">
        <v>11039</v>
      </c>
    </row>
    <row r="261" spans="1:8" ht="25.5">
      <c r="A261" s="34">
        <f t="shared" si="4"/>
        <v>259</v>
      </c>
      <c r="B261" s="218" t="s">
        <v>11040</v>
      </c>
      <c r="C261" s="1" t="s">
        <v>132</v>
      </c>
      <c r="D261" s="34" t="s">
        <v>10184</v>
      </c>
      <c r="E261" s="34" t="s">
        <v>10300</v>
      </c>
      <c r="F261" s="6" t="s">
        <v>10301</v>
      </c>
      <c r="G261" s="218" t="s">
        <v>10302</v>
      </c>
      <c r="H261" s="218" t="s">
        <v>10316</v>
      </c>
    </row>
    <row r="262" spans="1:8" ht="25.5">
      <c r="A262" s="34">
        <f t="shared" si="4"/>
        <v>260</v>
      </c>
      <c r="B262" s="218" t="s">
        <v>11041</v>
      </c>
      <c r="C262" s="1" t="s">
        <v>132</v>
      </c>
      <c r="D262" s="34" t="s">
        <v>10184</v>
      </c>
      <c r="E262" s="34" t="s">
        <v>10321</v>
      </c>
      <c r="F262" s="6" t="s">
        <v>11042</v>
      </c>
      <c r="G262" s="218" t="s">
        <v>10323</v>
      </c>
      <c r="H262" s="218" t="s">
        <v>11043</v>
      </c>
    </row>
    <row r="263" spans="1:8" ht="25.5">
      <c r="A263" s="34">
        <f t="shared" si="4"/>
        <v>261</v>
      </c>
      <c r="B263" s="218" t="s">
        <v>11044</v>
      </c>
      <c r="C263" s="1" t="s">
        <v>132</v>
      </c>
      <c r="D263" s="34" t="s">
        <v>10184</v>
      </c>
      <c r="E263" s="34" t="s">
        <v>10446</v>
      </c>
      <c r="F263" s="6" t="s">
        <v>11045</v>
      </c>
      <c r="G263" s="218" t="s">
        <v>11046</v>
      </c>
      <c r="H263" s="218" t="s">
        <v>10255</v>
      </c>
    </row>
    <row r="264" spans="1:8" ht="25.5">
      <c r="A264" s="34">
        <f t="shared" si="4"/>
        <v>262</v>
      </c>
      <c r="B264" s="218" t="s">
        <v>11047</v>
      </c>
      <c r="C264" s="1" t="s">
        <v>10202</v>
      </c>
      <c r="D264" s="34" t="s">
        <v>10184</v>
      </c>
      <c r="E264" s="34" t="s">
        <v>11048</v>
      </c>
      <c r="F264" s="6" t="s">
        <v>11049</v>
      </c>
      <c r="G264" s="218" t="s">
        <v>11050</v>
      </c>
      <c r="H264" s="218" t="s">
        <v>11051</v>
      </c>
    </row>
    <row r="265" spans="1:8" ht="25.5">
      <c r="A265" s="34">
        <f t="shared" si="4"/>
        <v>263</v>
      </c>
      <c r="B265" s="218" t="s">
        <v>11052</v>
      </c>
      <c r="C265" s="1" t="s">
        <v>132</v>
      </c>
      <c r="D265" s="34" t="s">
        <v>10184</v>
      </c>
      <c r="E265" s="34" t="s">
        <v>10300</v>
      </c>
      <c r="F265" s="6" t="s">
        <v>10301</v>
      </c>
      <c r="G265" s="218" t="s">
        <v>10302</v>
      </c>
      <c r="H265" s="218" t="s">
        <v>10316</v>
      </c>
    </row>
    <row r="266" spans="1:8" ht="25.5">
      <c r="A266" s="34">
        <f t="shared" si="4"/>
        <v>264</v>
      </c>
      <c r="B266" s="218" t="s">
        <v>11053</v>
      </c>
      <c r="C266" s="1" t="s">
        <v>132</v>
      </c>
      <c r="D266" s="34" t="s">
        <v>10184</v>
      </c>
      <c r="E266" s="34" t="s">
        <v>10300</v>
      </c>
      <c r="F266" s="6" t="s">
        <v>10301</v>
      </c>
      <c r="G266" s="218" t="s">
        <v>10302</v>
      </c>
      <c r="H266" s="218" t="s">
        <v>10316</v>
      </c>
    </row>
    <row r="267" spans="1:8" ht="25.5">
      <c r="A267" s="34">
        <f t="shared" si="4"/>
        <v>265</v>
      </c>
      <c r="B267" s="218" t="s">
        <v>11054</v>
      </c>
      <c r="C267" s="1" t="s">
        <v>132</v>
      </c>
      <c r="D267" s="34" t="s">
        <v>10336</v>
      </c>
      <c r="E267" s="34" t="s">
        <v>11055</v>
      </c>
      <c r="F267" s="6" t="s">
        <v>11056</v>
      </c>
      <c r="G267" s="218" t="s">
        <v>10338</v>
      </c>
      <c r="H267" s="218" t="s">
        <v>11057</v>
      </c>
    </row>
    <row r="268" spans="1:8" ht="25.5">
      <c r="A268" s="34">
        <f t="shared" si="4"/>
        <v>266</v>
      </c>
      <c r="B268" s="218" t="s">
        <v>11058</v>
      </c>
      <c r="C268" s="1" t="s">
        <v>122</v>
      </c>
      <c r="D268" s="34" t="s">
        <v>10184</v>
      </c>
      <c r="E268" s="34" t="s">
        <v>10273</v>
      </c>
      <c r="F268" s="6" t="s">
        <v>11059</v>
      </c>
      <c r="G268" s="218" t="s">
        <v>10334</v>
      </c>
      <c r="H268" s="218" t="s">
        <v>10276</v>
      </c>
    </row>
    <row r="269" spans="1:8" ht="25.5">
      <c r="A269" s="34">
        <f t="shared" si="4"/>
        <v>267</v>
      </c>
      <c r="B269" s="218" t="s">
        <v>11060</v>
      </c>
      <c r="C269" s="1" t="s">
        <v>122</v>
      </c>
      <c r="D269" s="34" t="s">
        <v>10184</v>
      </c>
      <c r="E269" s="34" t="s">
        <v>10273</v>
      </c>
      <c r="F269" s="6" t="s">
        <v>11059</v>
      </c>
      <c r="G269" s="218" t="s">
        <v>10334</v>
      </c>
      <c r="H269" s="218" t="s">
        <v>10276</v>
      </c>
    </row>
    <row r="270" spans="1:8" ht="25.5">
      <c r="A270" s="34">
        <f t="shared" si="4"/>
        <v>268</v>
      </c>
      <c r="B270" s="218" t="s">
        <v>11061</v>
      </c>
      <c r="C270" s="1" t="s">
        <v>10202</v>
      </c>
      <c r="D270" s="34" t="s">
        <v>10336</v>
      </c>
      <c r="E270" s="34" t="s">
        <v>10607</v>
      </c>
      <c r="F270" s="6" t="s">
        <v>11062</v>
      </c>
      <c r="G270" s="218" t="s">
        <v>10338</v>
      </c>
      <c r="H270" s="218" t="s">
        <v>11063</v>
      </c>
    </row>
    <row r="271" spans="1:8" ht="38.25">
      <c r="A271" s="34">
        <f t="shared" si="4"/>
        <v>269</v>
      </c>
      <c r="B271" s="218" t="s">
        <v>11064</v>
      </c>
      <c r="C271" s="1" t="s">
        <v>10345</v>
      </c>
      <c r="D271" s="34" t="s">
        <v>10346</v>
      </c>
      <c r="E271" s="34" t="s">
        <v>10952</v>
      </c>
      <c r="F271" s="6" t="s">
        <v>11065</v>
      </c>
      <c r="G271" s="218" t="s">
        <v>10352</v>
      </c>
      <c r="H271" s="218" t="s">
        <v>11066</v>
      </c>
    </row>
    <row r="272" spans="1:8" ht="38.25">
      <c r="A272" s="34">
        <f t="shared" si="4"/>
        <v>270</v>
      </c>
      <c r="B272" s="218" t="s">
        <v>11067</v>
      </c>
      <c r="C272" s="1" t="s">
        <v>10345</v>
      </c>
      <c r="D272" s="34" t="s">
        <v>10346</v>
      </c>
      <c r="E272" s="34" t="s">
        <v>10925</v>
      </c>
      <c r="F272" s="6" t="s">
        <v>11068</v>
      </c>
      <c r="G272" s="218" t="s">
        <v>10352</v>
      </c>
      <c r="H272" s="218" t="s">
        <v>11069</v>
      </c>
    </row>
    <row r="273" spans="1:8" ht="25.5">
      <c r="A273" s="34">
        <f t="shared" si="4"/>
        <v>271</v>
      </c>
      <c r="B273" s="218" t="s">
        <v>11070</v>
      </c>
      <c r="C273" s="1" t="s">
        <v>10345</v>
      </c>
      <c r="D273" s="34" t="s">
        <v>10346</v>
      </c>
      <c r="E273" s="34" t="s">
        <v>10856</v>
      </c>
      <c r="F273" s="6" t="s">
        <v>11071</v>
      </c>
      <c r="G273" s="218" t="s">
        <v>8060</v>
      </c>
      <c r="H273" s="218" t="s">
        <v>11072</v>
      </c>
    </row>
    <row r="274" spans="1:8" ht="38.25">
      <c r="A274" s="34">
        <f t="shared" si="4"/>
        <v>272</v>
      </c>
      <c r="B274" s="218" t="s">
        <v>11073</v>
      </c>
      <c r="C274" s="1" t="s">
        <v>10345</v>
      </c>
      <c r="D274" s="34" t="s">
        <v>10346</v>
      </c>
      <c r="E274" s="34" t="s">
        <v>11074</v>
      </c>
      <c r="F274" s="6" t="s">
        <v>11075</v>
      </c>
      <c r="G274" s="218" t="s">
        <v>10352</v>
      </c>
      <c r="H274" s="218" t="s">
        <v>11076</v>
      </c>
    </row>
    <row r="275" spans="1:8">
      <c r="A275" s="34">
        <f t="shared" si="4"/>
        <v>273</v>
      </c>
      <c r="B275" s="218" t="s">
        <v>11077</v>
      </c>
      <c r="C275" s="1" t="s">
        <v>132</v>
      </c>
      <c r="D275" s="34" t="s">
        <v>10367</v>
      </c>
      <c r="E275" s="34" t="s">
        <v>10526</v>
      </c>
      <c r="F275" s="6" t="s">
        <v>11078</v>
      </c>
      <c r="G275" s="218" t="s">
        <v>10364</v>
      </c>
      <c r="H275" s="218" t="s">
        <v>10255</v>
      </c>
    </row>
    <row r="276" spans="1:8" ht="25.5">
      <c r="A276" s="34">
        <f t="shared" si="4"/>
        <v>274</v>
      </c>
      <c r="B276" s="218" t="s">
        <v>10376</v>
      </c>
      <c r="C276" s="1" t="s">
        <v>11079</v>
      </c>
      <c r="D276" s="34" t="s">
        <v>10371</v>
      </c>
      <c r="E276" s="34" t="s">
        <v>10378</v>
      </c>
      <c r="F276" s="6" t="s">
        <v>11080</v>
      </c>
      <c r="G276" s="218" t="s">
        <v>10374</v>
      </c>
      <c r="H276" s="218" t="s">
        <v>10380</v>
      </c>
    </row>
    <row r="277" spans="1:8" ht="25.5">
      <c r="A277" s="34">
        <f t="shared" si="4"/>
        <v>275</v>
      </c>
      <c r="B277" s="218" t="s">
        <v>11081</v>
      </c>
      <c r="C277" s="1" t="s">
        <v>11082</v>
      </c>
      <c r="D277" s="34" t="s">
        <v>10371</v>
      </c>
      <c r="E277" s="34" t="s">
        <v>10793</v>
      </c>
      <c r="F277" s="6" t="s">
        <v>11083</v>
      </c>
      <c r="G277" s="218" t="s">
        <v>10374</v>
      </c>
      <c r="H277" s="218" t="s">
        <v>11084</v>
      </c>
    </row>
    <row r="278" spans="1:8" ht="25.5">
      <c r="A278" s="34">
        <f t="shared" si="4"/>
        <v>276</v>
      </c>
      <c r="B278" s="218" t="s">
        <v>11085</v>
      </c>
      <c r="C278" s="1" t="s">
        <v>132</v>
      </c>
      <c r="D278" s="34" t="s">
        <v>10371</v>
      </c>
      <c r="E278" s="34" t="s">
        <v>11086</v>
      </c>
      <c r="F278" s="6" t="s">
        <v>11087</v>
      </c>
      <c r="G278" s="218" t="s">
        <v>10374</v>
      </c>
      <c r="H278" s="218" t="s">
        <v>11088</v>
      </c>
    </row>
    <row r="279" spans="1:8">
      <c r="A279" s="34">
        <f t="shared" si="4"/>
        <v>277</v>
      </c>
      <c r="B279" s="218" t="s">
        <v>11089</v>
      </c>
      <c r="C279" s="1" t="s">
        <v>132</v>
      </c>
      <c r="D279" s="34" t="s">
        <v>10371</v>
      </c>
      <c r="E279" s="34" t="s">
        <v>11090</v>
      </c>
      <c r="F279" s="6" t="s">
        <v>11091</v>
      </c>
      <c r="G279" s="218" t="s">
        <v>10374</v>
      </c>
      <c r="H279" s="218" t="s">
        <v>11092</v>
      </c>
    </row>
    <row r="280" spans="1:8" ht="25.5">
      <c r="A280" s="34">
        <f t="shared" si="4"/>
        <v>278</v>
      </c>
      <c r="B280" s="218" t="s">
        <v>11093</v>
      </c>
      <c r="C280" s="1" t="s">
        <v>1939</v>
      </c>
      <c r="D280" s="34" t="s">
        <v>10371</v>
      </c>
      <c r="E280" s="34" t="s">
        <v>10185</v>
      </c>
      <c r="F280" s="6" t="s">
        <v>11094</v>
      </c>
      <c r="G280" s="218" t="s">
        <v>10374</v>
      </c>
      <c r="H280" s="218" t="s">
        <v>308</v>
      </c>
    </row>
    <row r="281" spans="1:8" ht="25.5">
      <c r="A281" s="34">
        <f t="shared" si="4"/>
        <v>279</v>
      </c>
      <c r="B281" s="218" t="s">
        <v>11095</v>
      </c>
      <c r="C281" s="1" t="s">
        <v>122</v>
      </c>
      <c r="D281" s="34" t="s">
        <v>10189</v>
      </c>
      <c r="E281" s="34" t="s">
        <v>10402</v>
      </c>
      <c r="F281" s="6" t="s">
        <v>11096</v>
      </c>
      <c r="G281" s="218" t="s">
        <v>11097</v>
      </c>
      <c r="H281" s="218" t="s">
        <v>11098</v>
      </c>
    </row>
    <row r="282" spans="1:8" ht="25.5">
      <c r="A282" s="34">
        <f t="shared" si="4"/>
        <v>280</v>
      </c>
      <c r="B282" s="218" t="s">
        <v>10408</v>
      </c>
      <c r="C282" s="1" t="s">
        <v>11099</v>
      </c>
      <c r="D282" s="34" t="s">
        <v>10371</v>
      </c>
      <c r="E282" s="34" t="s">
        <v>11100</v>
      </c>
      <c r="F282" s="6" t="s">
        <v>11101</v>
      </c>
      <c r="G282" s="218" t="s">
        <v>10374</v>
      </c>
      <c r="H282" s="218" t="s">
        <v>10412</v>
      </c>
    </row>
    <row r="283" spans="1:8" ht="25.5">
      <c r="A283" s="34">
        <f t="shared" si="4"/>
        <v>281</v>
      </c>
      <c r="B283" s="218" t="s">
        <v>11102</v>
      </c>
      <c r="C283" s="1" t="s">
        <v>10409</v>
      </c>
      <c r="D283" s="34" t="s">
        <v>10414</v>
      </c>
      <c r="E283" s="34" t="s">
        <v>11103</v>
      </c>
      <c r="F283" s="6" t="s">
        <v>11104</v>
      </c>
      <c r="G283" s="218" t="s">
        <v>10374</v>
      </c>
      <c r="H283" s="218" t="s">
        <v>11105</v>
      </c>
    </row>
    <row r="284" spans="1:8" ht="25.5">
      <c r="A284" s="34">
        <f t="shared" si="4"/>
        <v>282</v>
      </c>
      <c r="B284" s="218" t="s">
        <v>11106</v>
      </c>
      <c r="C284" s="1" t="s">
        <v>10409</v>
      </c>
      <c r="D284" s="34" t="s">
        <v>10414</v>
      </c>
      <c r="E284" s="34" t="s">
        <v>11103</v>
      </c>
      <c r="F284" s="6" t="s">
        <v>11104</v>
      </c>
      <c r="G284" s="218" t="s">
        <v>10374</v>
      </c>
      <c r="H284" s="218" t="s">
        <v>11107</v>
      </c>
    </row>
    <row r="285" spans="1:8" ht="25.5">
      <c r="A285" s="34">
        <f t="shared" si="4"/>
        <v>283</v>
      </c>
      <c r="B285" s="218" t="s">
        <v>11108</v>
      </c>
      <c r="C285" s="1" t="s">
        <v>10377</v>
      </c>
      <c r="D285" s="34" t="s">
        <v>10414</v>
      </c>
      <c r="E285" s="34" t="s">
        <v>10243</v>
      </c>
      <c r="F285" s="6" t="s">
        <v>10421</v>
      </c>
      <c r="G285" s="218" t="s">
        <v>10374</v>
      </c>
      <c r="H285" s="218" t="s">
        <v>11109</v>
      </c>
    </row>
    <row r="286" spans="1:8" ht="25.5">
      <c r="A286" s="34">
        <f t="shared" si="4"/>
        <v>284</v>
      </c>
      <c r="B286" s="218" t="s">
        <v>11110</v>
      </c>
      <c r="C286" s="1" t="s">
        <v>132</v>
      </c>
      <c r="D286" s="34" t="s">
        <v>10414</v>
      </c>
      <c r="E286" s="34" t="s">
        <v>10321</v>
      </c>
      <c r="F286" s="6" t="s">
        <v>11111</v>
      </c>
      <c r="G286" s="218" t="s">
        <v>10374</v>
      </c>
      <c r="H286" s="218" t="s">
        <v>11112</v>
      </c>
    </row>
    <row r="287" spans="1:8" ht="51">
      <c r="A287" s="34">
        <f t="shared" si="4"/>
        <v>285</v>
      </c>
      <c r="B287" s="218" t="s">
        <v>11113</v>
      </c>
      <c r="C287" s="1" t="s">
        <v>11079</v>
      </c>
      <c r="D287" s="34" t="s">
        <v>10414</v>
      </c>
      <c r="E287" s="34" t="s">
        <v>11114</v>
      </c>
      <c r="F287" s="6" t="s">
        <v>10644</v>
      </c>
      <c r="G287" s="218" t="s">
        <v>10429</v>
      </c>
      <c r="H287" s="218" t="s">
        <v>11115</v>
      </c>
    </row>
    <row r="288" spans="1:8" ht="51">
      <c r="A288" s="34">
        <f t="shared" si="4"/>
        <v>286</v>
      </c>
      <c r="B288" s="218" t="s">
        <v>11116</v>
      </c>
      <c r="C288" s="1" t="s">
        <v>132</v>
      </c>
      <c r="D288" s="34" t="s">
        <v>10414</v>
      </c>
      <c r="E288" s="34" t="s">
        <v>11117</v>
      </c>
      <c r="F288" s="6" t="s">
        <v>11003</v>
      </c>
      <c r="G288" s="218" t="s">
        <v>10429</v>
      </c>
      <c r="H288" s="218" t="s">
        <v>11118</v>
      </c>
    </row>
    <row r="289" spans="1:8" ht="51">
      <c r="A289" s="34">
        <f t="shared" si="4"/>
        <v>287</v>
      </c>
      <c r="B289" s="218" t="s">
        <v>11119</v>
      </c>
      <c r="C289" s="1" t="s">
        <v>132</v>
      </c>
      <c r="D289" s="34" t="s">
        <v>10414</v>
      </c>
      <c r="E289" s="34" t="s">
        <v>10341</v>
      </c>
      <c r="F289" s="6" t="s">
        <v>11120</v>
      </c>
      <c r="G289" s="218" t="s">
        <v>11121</v>
      </c>
      <c r="H289" s="218" t="s">
        <v>10343</v>
      </c>
    </row>
    <row r="290" spans="1:8" ht="51">
      <c r="A290" s="34">
        <f t="shared" si="4"/>
        <v>288</v>
      </c>
      <c r="B290" s="218" t="s">
        <v>11122</v>
      </c>
      <c r="C290" s="1" t="s">
        <v>137</v>
      </c>
      <c r="D290" s="34" t="s">
        <v>10414</v>
      </c>
      <c r="E290" s="34" t="s">
        <v>11123</v>
      </c>
      <c r="F290" s="6" t="s">
        <v>10262</v>
      </c>
      <c r="G290" s="218" t="s">
        <v>10429</v>
      </c>
      <c r="H290" s="218" t="s">
        <v>11124</v>
      </c>
    </row>
    <row r="291" spans="1:8" ht="51">
      <c r="A291" s="34">
        <f t="shared" si="4"/>
        <v>289</v>
      </c>
      <c r="B291" s="218" t="s">
        <v>11125</v>
      </c>
      <c r="C291" s="1" t="s">
        <v>132</v>
      </c>
      <c r="D291" s="34" t="s">
        <v>10414</v>
      </c>
      <c r="E291" s="34" t="s">
        <v>10526</v>
      </c>
      <c r="F291" s="6" t="s">
        <v>11126</v>
      </c>
      <c r="G291" s="218" t="s">
        <v>10429</v>
      </c>
      <c r="H291" s="218" t="s">
        <v>11127</v>
      </c>
    </row>
    <row r="292" spans="1:8" ht="51">
      <c r="A292" s="34">
        <f t="shared" si="4"/>
        <v>290</v>
      </c>
      <c r="B292" s="218" t="s">
        <v>11128</v>
      </c>
      <c r="C292" s="1" t="s">
        <v>916</v>
      </c>
      <c r="D292" s="34" t="s">
        <v>10414</v>
      </c>
      <c r="E292" s="34" t="s">
        <v>10288</v>
      </c>
      <c r="F292" s="6" t="s">
        <v>11129</v>
      </c>
      <c r="G292" s="218" t="s">
        <v>10429</v>
      </c>
      <c r="H292" s="218" t="s">
        <v>11130</v>
      </c>
    </row>
    <row r="293" spans="1:8" ht="51">
      <c r="A293" s="34">
        <f t="shared" si="4"/>
        <v>291</v>
      </c>
      <c r="B293" s="218" t="s">
        <v>11131</v>
      </c>
      <c r="C293" s="1" t="s">
        <v>132</v>
      </c>
      <c r="D293" s="34" t="s">
        <v>10414</v>
      </c>
      <c r="E293" s="34" t="s">
        <v>10446</v>
      </c>
      <c r="F293" s="6" t="s">
        <v>10274</v>
      </c>
      <c r="G293" s="218" t="s">
        <v>10429</v>
      </c>
      <c r="H293" s="218" t="s">
        <v>11132</v>
      </c>
    </row>
    <row r="294" spans="1:8" ht="51">
      <c r="A294" s="34">
        <f t="shared" si="4"/>
        <v>292</v>
      </c>
      <c r="B294" s="218" t="s">
        <v>11133</v>
      </c>
      <c r="C294" s="1" t="s">
        <v>10409</v>
      </c>
      <c r="D294" s="34" t="s">
        <v>10414</v>
      </c>
      <c r="E294" s="34" t="s">
        <v>11134</v>
      </c>
      <c r="F294" s="6" t="s">
        <v>11135</v>
      </c>
      <c r="G294" s="218" t="s">
        <v>10429</v>
      </c>
      <c r="H294" s="218" t="s">
        <v>11136</v>
      </c>
    </row>
    <row r="295" spans="1:8" ht="51">
      <c r="A295" s="34">
        <f t="shared" si="4"/>
        <v>293</v>
      </c>
      <c r="B295" s="218" t="s">
        <v>11137</v>
      </c>
      <c r="C295" s="1" t="s">
        <v>11079</v>
      </c>
      <c r="D295" s="34" t="s">
        <v>10414</v>
      </c>
      <c r="E295" s="34" t="s">
        <v>10268</v>
      </c>
      <c r="F295" s="6" t="s">
        <v>10432</v>
      </c>
      <c r="G295" s="218" t="s">
        <v>10429</v>
      </c>
      <c r="H295" s="218" t="s">
        <v>11138</v>
      </c>
    </row>
    <row r="296" spans="1:8" ht="25.5">
      <c r="A296" s="34">
        <f t="shared" si="4"/>
        <v>294</v>
      </c>
      <c r="B296" s="218" t="s">
        <v>11139</v>
      </c>
      <c r="C296" s="1" t="s">
        <v>11140</v>
      </c>
      <c r="D296" s="34" t="s">
        <v>10189</v>
      </c>
      <c r="E296" s="34" t="s">
        <v>11141</v>
      </c>
      <c r="F296" s="6" t="s">
        <v>11142</v>
      </c>
      <c r="G296" s="218" t="s">
        <v>11143</v>
      </c>
      <c r="H296" s="218" t="s">
        <v>11144</v>
      </c>
    </row>
    <row r="297" spans="1:8" ht="25.5">
      <c r="A297" s="34">
        <f t="shared" si="4"/>
        <v>295</v>
      </c>
      <c r="B297" s="218" t="s">
        <v>11145</v>
      </c>
      <c r="C297" s="1" t="s">
        <v>1035</v>
      </c>
      <c r="D297" s="34" t="s">
        <v>10189</v>
      </c>
      <c r="E297" s="34" t="s">
        <v>11048</v>
      </c>
      <c r="F297" s="6" t="s">
        <v>11146</v>
      </c>
      <c r="G297" s="218" t="s">
        <v>11050</v>
      </c>
      <c r="H297" s="218" t="s">
        <v>11147</v>
      </c>
    </row>
    <row r="298" spans="1:8" ht="25.5">
      <c r="A298" s="34">
        <f t="shared" si="4"/>
        <v>296</v>
      </c>
      <c r="B298" s="218" t="s">
        <v>11148</v>
      </c>
      <c r="C298" s="1" t="s">
        <v>1035</v>
      </c>
      <c r="D298" s="34" t="s">
        <v>10218</v>
      </c>
      <c r="E298" s="34" t="s">
        <v>11149</v>
      </c>
      <c r="F298" s="6" t="s">
        <v>11150</v>
      </c>
      <c r="G298" s="218" t="s">
        <v>11151</v>
      </c>
      <c r="H298" s="218" t="s">
        <v>11152</v>
      </c>
    </row>
    <row r="299" spans="1:8" ht="51">
      <c r="A299" s="34">
        <f t="shared" si="4"/>
        <v>297</v>
      </c>
      <c r="B299" s="218" t="s">
        <v>11153</v>
      </c>
      <c r="C299" s="1" t="s">
        <v>10471</v>
      </c>
      <c r="D299" s="34" t="s">
        <v>10336</v>
      </c>
      <c r="E299" s="34" t="s">
        <v>10770</v>
      </c>
      <c r="F299" s="6" t="s">
        <v>10447</v>
      </c>
      <c r="G299" s="218" t="s">
        <v>10658</v>
      </c>
      <c r="H299" s="218" t="s">
        <v>11154</v>
      </c>
    </row>
    <row r="300" spans="1:8" ht="76.5">
      <c r="A300" s="34">
        <f t="shared" si="4"/>
        <v>298</v>
      </c>
      <c r="B300" s="218" t="s">
        <v>11155</v>
      </c>
      <c r="C300" s="1" t="s">
        <v>11156</v>
      </c>
      <c r="D300" s="34" t="s">
        <v>10184</v>
      </c>
      <c r="E300" s="34" t="s">
        <v>10472</v>
      </c>
      <c r="F300" s="6" t="s">
        <v>11157</v>
      </c>
      <c r="G300" s="218" t="s">
        <v>11158</v>
      </c>
      <c r="H300" s="218" t="s">
        <v>10412</v>
      </c>
    </row>
    <row r="301" spans="1:8" ht="38.25">
      <c r="A301" s="34">
        <f t="shared" si="4"/>
        <v>299</v>
      </c>
      <c r="B301" s="218" t="s">
        <v>11159</v>
      </c>
      <c r="C301" s="1" t="s">
        <v>11160</v>
      </c>
      <c r="D301" s="34" t="s">
        <v>10203</v>
      </c>
      <c r="E301" s="34" t="s">
        <v>10755</v>
      </c>
      <c r="F301" s="6" t="s">
        <v>11161</v>
      </c>
      <c r="G301" s="218" t="s">
        <v>11162</v>
      </c>
      <c r="H301" s="218" t="s">
        <v>11163</v>
      </c>
    </row>
    <row r="302" spans="1:8" ht="38.25">
      <c r="A302" s="34">
        <f t="shared" si="4"/>
        <v>300</v>
      </c>
      <c r="B302" s="218" t="s">
        <v>10479</v>
      </c>
      <c r="C302" s="1" t="s">
        <v>132</v>
      </c>
      <c r="D302" s="34" t="s">
        <v>10189</v>
      </c>
      <c r="E302" s="34" t="s">
        <v>10300</v>
      </c>
      <c r="F302" s="6" t="s">
        <v>10480</v>
      </c>
      <c r="G302" s="218" t="s">
        <v>10302</v>
      </c>
      <c r="H302" s="218" t="s">
        <v>11032</v>
      </c>
    </row>
    <row r="303" spans="1:8" ht="38.25">
      <c r="A303" s="34">
        <f t="shared" si="4"/>
        <v>301</v>
      </c>
      <c r="B303" s="218" t="s">
        <v>10479</v>
      </c>
      <c r="C303" s="1" t="s">
        <v>132</v>
      </c>
      <c r="D303" s="34" t="s">
        <v>10189</v>
      </c>
      <c r="E303" s="34" t="s">
        <v>10300</v>
      </c>
      <c r="F303" s="6" t="s">
        <v>10483</v>
      </c>
      <c r="G303" s="218" t="s">
        <v>10302</v>
      </c>
      <c r="H303" s="218" t="s">
        <v>11164</v>
      </c>
    </row>
    <row r="304" spans="1:8" ht="25.5">
      <c r="A304" s="34">
        <f t="shared" si="4"/>
        <v>302</v>
      </c>
      <c r="B304" s="218" t="s">
        <v>11165</v>
      </c>
      <c r="C304" s="1" t="s">
        <v>132</v>
      </c>
      <c r="D304" s="34"/>
      <c r="E304" s="34" t="s">
        <v>9617</v>
      </c>
      <c r="F304" s="6" t="s">
        <v>10491</v>
      </c>
      <c r="G304" s="218" t="s">
        <v>10191</v>
      </c>
      <c r="H304" s="218" t="s">
        <v>8663</v>
      </c>
    </row>
    <row r="305" spans="1:8" ht="38.25">
      <c r="A305" s="34">
        <f t="shared" si="4"/>
        <v>303</v>
      </c>
      <c r="B305" s="218" t="s">
        <v>10836</v>
      </c>
      <c r="C305" s="1" t="s">
        <v>122</v>
      </c>
      <c r="D305" s="34" t="s">
        <v>10189</v>
      </c>
      <c r="E305" s="34" t="s">
        <v>11166</v>
      </c>
      <c r="F305" s="6" t="s">
        <v>11167</v>
      </c>
      <c r="G305" s="218" t="s">
        <v>11168</v>
      </c>
      <c r="H305" s="218" t="s">
        <v>10726</v>
      </c>
    </row>
    <row r="306" spans="1:8" ht="25.5">
      <c r="A306" s="34">
        <f t="shared" si="4"/>
        <v>304</v>
      </c>
      <c r="B306" s="218" t="s">
        <v>11169</v>
      </c>
      <c r="C306" s="1" t="s">
        <v>10482</v>
      </c>
      <c r="D306" s="34" t="s">
        <v>10189</v>
      </c>
      <c r="E306" s="34" t="s">
        <v>9617</v>
      </c>
      <c r="F306" s="6" t="s">
        <v>10491</v>
      </c>
      <c r="G306" s="218" t="s">
        <v>10492</v>
      </c>
      <c r="H306" s="218" t="s">
        <v>11170</v>
      </c>
    </row>
    <row r="307" spans="1:8" ht="25.5">
      <c r="A307" s="34">
        <f t="shared" si="4"/>
        <v>305</v>
      </c>
      <c r="B307" s="218" t="s">
        <v>11171</v>
      </c>
      <c r="C307" s="1" t="s">
        <v>132</v>
      </c>
      <c r="D307" s="34" t="s">
        <v>11172</v>
      </c>
      <c r="E307" s="34" t="s">
        <v>10224</v>
      </c>
      <c r="F307" s="6" t="s">
        <v>11173</v>
      </c>
      <c r="G307" s="218" t="s">
        <v>11174</v>
      </c>
      <c r="H307" s="218" t="s">
        <v>11175</v>
      </c>
    </row>
    <row r="308" spans="1:8" ht="25.5">
      <c r="A308" s="34">
        <f t="shared" si="4"/>
        <v>306</v>
      </c>
      <c r="B308" s="218" t="s">
        <v>11176</v>
      </c>
      <c r="C308" s="1" t="s">
        <v>10482</v>
      </c>
      <c r="D308" s="34" t="s">
        <v>10189</v>
      </c>
      <c r="E308" s="34" t="s">
        <v>9617</v>
      </c>
      <c r="F308" s="6" t="s">
        <v>11177</v>
      </c>
      <c r="G308" s="218" t="s">
        <v>10492</v>
      </c>
      <c r="H308" s="218" t="s">
        <v>11178</v>
      </c>
    </row>
    <row r="309" spans="1:8" ht="25.5">
      <c r="A309" s="34">
        <f t="shared" si="4"/>
        <v>307</v>
      </c>
      <c r="B309" s="218" t="s">
        <v>11179</v>
      </c>
      <c r="C309" s="1" t="s">
        <v>10482</v>
      </c>
      <c r="D309" s="34" t="s">
        <v>10189</v>
      </c>
      <c r="E309" s="34" t="s">
        <v>10300</v>
      </c>
      <c r="F309" s="6" t="s">
        <v>10480</v>
      </c>
      <c r="G309" s="218" t="s">
        <v>10513</v>
      </c>
      <c r="H309" s="218" t="s">
        <v>11032</v>
      </c>
    </row>
    <row r="310" spans="1:8" ht="25.5">
      <c r="A310" s="34">
        <f t="shared" si="4"/>
        <v>308</v>
      </c>
      <c r="B310" s="218" t="s">
        <v>11180</v>
      </c>
      <c r="C310" s="1" t="s">
        <v>132</v>
      </c>
      <c r="D310" s="34" t="s">
        <v>10521</v>
      </c>
      <c r="E310" s="34" t="s">
        <v>10607</v>
      </c>
      <c r="F310" s="6" t="s">
        <v>10634</v>
      </c>
      <c r="G310" s="218" t="s">
        <v>11181</v>
      </c>
      <c r="H310" s="218" t="s">
        <v>11182</v>
      </c>
    </row>
    <row r="311" spans="1:8" ht="25.5">
      <c r="A311" s="34">
        <f t="shared" si="4"/>
        <v>309</v>
      </c>
      <c r="B311" s="218" t="s">
        <v>10501</v>
      </c>
      <c r="C311" s="1" t="s">
        <v>10377</v>
      </c>
      <c r="D311" s="34" t="s">
        <v>10189</v>
      </c>
      <c r="E311" s="34" t="s">
        <v>11183</v>
      </c>
      <c r="F311" s="6" t="s">
        <v>11184</v>
      </c>
      <c r="G311" s="218" t="s">
        <v>11185</v>
      </c>
      <c r="H311" s="218" t="s">
        <v>11186</v>
      </c>
    </row>
    <row r="312" spans="1:8" ht="25.5">
      <c r="A312" s="34">
        <f t="shared" si="4"/>
        <v>310</v>
      </c>
      <c r="B312" s="218" t="s">
        <v>10501</v>
      </c>
      <c r="C312" s="1" t="s">
        <v>11187</v>
      </c>
      <c r="D312" s="34" t="s">
        <v>10189</v>
      </c>
      <c r="E312" s="34" t="s">
        <v>10230</v>
      </c>
      <c r="F312" s="6" t="s">
        <v>10727</v>
      </c>
      <c r="G312" s="218" t="s">
        <v>10728</v>
      </c>
      <c r="H312" s="218" t="s">
        <v>11188</v>
      </c>
    </row>
    <row r="313" spans="1:8" ht="25.5">
      <c r="A313" s="34">
        <f t="shared" si="4"/>
        <v>311</v>
      </c>
      <c r="B313" s="218" t="s">
        <v>10501</v>
      </c>
      <c r="C313" s="1" t="s">
        <v>10377</v>
      </c>
      <c r="D313" s="34" t="s">
        <v>10189</v>
      </c>
      <c r="E313" s="34" t="s">
        <v>10705</v>
      </c>
      <c r="F313" s="6" t="s">
        <v>10715</v>
      </c>
      <c r="G313" s="218" t="s">
        <v>10707</v>
      </c>
      <c r="H313" s="218" t="s">
        <v>11189</v>
      </c>
    </row>
    <row r="314" spans="1:8" ht="25.5">
      <c r="A314" s="34">
        <f t="shared" si="4"/>
        <v>312</v>
      </c>
      <c r="B314" s="218" t="s">
        <v>10501</v>
      </c>
      <c r="C314" s="1" t="s">
        <v>200</v>
      </c>
      <c r="D314" s="34" t="s">
        <v>10189</v>
      </c>
      <c r="E314" s="34" t="s">
        <v>10870</v>
      </c>
      <c r="F314" s="6" t="s">
        <v>10715</v>
      </c>
      <c r="G314" s="218" t="s">
        <v>11190</v>
      </c>
      <c r="H314" s="218" t="s">
        <v>11191</v>
      </c>
    </row>
    <row r="315" spans="1:8">
      <c r="A315" s="34">
        <f t="shared" si="4"/>
        <v>313</v>
      </c>
      <c r="B315" s="218" t="s">
        <v>10501</v>
      </c>
      <c r="C315" s="1" t="s">
        <v>10502</v>
      </c>
      <c r="D315" s="34" t="s">
        <v>10189</v>
      </c>
      <c r="E315" s="34" t="s">
        <v>10705</v>
      </c>
      <c r="F315" s="6" t="s">
        <v>11192</v>
      </c>
      <c r="G315" s="218" t="s">
        <v>8605</v>
      </c>
      <c r="H315" s="218" t="s">
        <v>168</v>
      </c>
    </row>
    <row r="316" spans="1:8" ht="25.5">
      <c r="A316" s="34">
        <f t="shared" si="4"/>
        <v>314</v>
      </c>
      <c r="B316" s="218" t="s">
        <v>10501</v>
      </c>
      <c r="C316" s="1" t="s">
        <v>10482</v>
      </c>
      <c r="D316" s="34" t="s">
        <v>10189</v>
      </c>
      <c r="E316" s="34" t="s">
        <v>10300</v>
      </c>
      <c r="F316" s="6" t="s">
        <v>10480</v>
      </c>
      <c r="G316" s="218" t="s">
        <v>10513</v>
      </c>
      <c r="H316" s="218" t="s">
        <v>306</v>
      </c>
    </row>
    <row r="317" spans="1:8" ht="25.5">
      <c r="A317" s="34">
        <f t="shared" si="4"/>
        <v>315</v>
      </c>
      <c r="B317" s="218" t="s">
        <v>10485</v>
      </c>
      <c r="C317" s="1" t="s">
        <v>132</v>
      </c>
      <c r="D317" s="34" t="s">
        <v>10189</v>
      </c>
      <c r="E317" s="34" t="s">
        <v>11055</v>
      </c>
      <c r="F317" s="6" t="s">
        <v>10487</v>
      </c>
      <c r="G317" s="218" t="s">
        <v>10488</v>
      </c>
      <c r="H317" s="218" t="s">
        <v>11193</v>
      </c>
    </row>
    <row r="318" spans="1:8" ht="25.5">
      <c r="A318" s="34">
        <f t="shared" si="4"/>
        <v>316</v>
      </c>
      <c r="B318" s="218" t="s">
        <v>10497</v>
      </c>
      <c r="C318" s="1" t="s">
        <v>132</v>
      </c>
      <c r="D318" s="34" t="s">
        <v>10218</v>
      </c>
      <c r="E318" s="34" t="s">
        <v>10198</v>
      </c>
      <c r="F318" s="6" t="s">
        <v>11194</v>
      </c>
      <c r="G318" s="218" t="s">
        <v>10518</v>
      </c>
      <c r="H318" s="218" t="s">
        <v>10197</v>
      </c>
    </row>
    <row r="319" spans="1:8" ht="63.75">
      <c r="A319" s="34">
        <f t="shared" si="4"/>
        <v>317</v>
      </c>
      <c r="B319" s="218" t="s">
        <v>10836</v>
      </c>
      <c r="C319" s="1" t="s">
        <v>147</v>
      </c>
      <c r="D319" s="34" t="s">
        <v>10189</v>
      </c>
      <c r="E319" s="34" t="s">
        <v>10952</v>
      </c>
      <c r="F319" s="6" t="s">
        <v>11195</v>
      </c>
      <c r="G319" s="218" t="s">
        <v>11196</v>
      </c>
      <c r="H319" s="218" t="s">
        <v>10955</v>
      </c>
    </row>
    <row r="320" spans="1:8" ht="25.5">
      <c r="A320" s="34">
        <f t="shared" si="4"/>
        <v>318</v>
      </c>
      <c r="B320" s="218" t="s">
        <v>10550</v>
      </c>
      <c r="C320" s="1" t="s">
        <v>132</v>
      </c>
      <c r="D320" s="34" t="s">
        <v>10521</v>
      </c>
      <c r="E320" s="34" t="s">
        <v>9617</v>
      </c>
      <c r="F320" s="6" t="s">
        <v>11197</v>
      </c>
      <c r="G320" s="218" t="s">
        <v>10665</v>
      </c>
      <c r="H320" s="218" t="s">
        <v>11198</v>
      </c>
    </row>
    <row r="321" spans="1:8" ht="25.5">
      <c r="A321" s="34">
        <f t="shared" si="4"/>
        <v>319</v>
      </c>
      <c r="B321" s="218" t="s">
        <v>10520</v>
      </c>
      <c r="C321" s="1" t="s">
        <v>132</v>
      </c>
      <c r="D321" s="34" t="s">
        <v>10521</v>
      </c>
      <c r="E321" s="34" t="s">
        <v>10542</v>
      </c>
      <c r="F321" s="6" t="s">
        <v>11199</v>
      </c>
      <c r="G321" s="218" t="s">
        <v>11200</v>
      </c>
      <c r="H321" s="218" t="s">
        <v>11201</v>
      </c>
    </row>
    <row r="322" spans="1:8" ht="25.5">
      <c r="A322" s="34">
        <f t="shared" si="4"/>
        <v>320</v>
      </c>
      <c r="B322" s="218" t="s">
        <v>10520</v>
      </c>
      <c r="C322" s="1" t="s">
        <v>132</v>
      </c>
      <c r="D322" s="34" t="s">
        <v>10521</v>
      </c>
      <c r="E322" s="34" t="s">
        <v>10542</v>
      </c>
      <c r="F322" s="6" t="s">
        <v>10611</v>
      </c>
      <c r="G322" s="218" t="s">
        <v>10544</v>
      </c>
      <c r="H322" s="218" t="s">
        <v>11202</v>
      </c>
    </row>
    <row r="323" spans="1:8" ht="25.5">
      <c r="A323" s="34">
        <f t="shared" si="4"/>
        <v>321</v>
      </c>
      <c r="B323" s="218" t="s">
        <v>10532</v>
      </c>
      <c r="C323" s="1" t="s">
        <v>132</v>
      </c>
      <c r="D323" s="34" t="s">
        <v>10521</v>
      </c>
      <c r="E323" s="34" t="s">
        <v>10542</v>
      </c>
      <c r="F323" s="6" t="s">
        <v>10342</v>
      </c>
      <c r="G323" s="218" t="s">
        <v>10544</v>
      </c>
      <c r="H323" s="218" t="s">
        <v>11203</v>
      </c>
    </row>
    <row r="324" spans="1:8" ht="25.5">
      <c r="A324" s="34">
        <f t="shared" ref="A324:A387" si="5">A323+1</f>
        <v>322</v>
      </c>
      <c r="B324" s="218" t="s">
        <v>10532</v>
      </c>
      <c r="C324" s="1" t="s">
        <v>132</v>
      </c>
      <c r="D324" s="34" t="s">
        <v>10521</v>
      </c>
      <c r="E324" s="34" t="s">
        <v>10533</v>
      </c>
      <c r="F324" s="6" t="s">
        <v>11204</v>
      </c>
      <c r="G324" s="218" t="s">
        <v>10535</v>
      </c>
      <c r="H324" s="218" t="s">
        <v>11205</v>
      </c>
    </row>
    <row r="325" spans="1:8" ht="25.5">
      <c r="A325" s="34">
        <f t="shared" si="5"/>
        <v>323</v>
      </c>
      <c r="B325" s="218" t="s">
        <v>10520</v>
      </c>
      <c r="C325" s="1" t="s">
        <v>132</v>
      </c>
      <c r="D325" s="34" t="s">
        <v>10521</v>
      </c>
      <c r="E325" s="34" t="s">
        <v>10542</v>
      </c>
      <c r="F325" s="6" t="s">
        <v>11206</v>
      </c>
      <c r="G325" s="218" t="s">
        <v>10544</v>
      </c>
      <c r="H325" s="218" t="s">
        <v>10545</v>
      </c>
    </row>
    <row r="326" spans="1:8" ht="25.5">
      <c r="A326" s="34">
        <f t="shared" si="5"/>
        <v>324</v>
      </c>
      <c r="B326" s="218" t="s">
        <v>10520</v>
      </c>
      <c r="C326" s="1" t="s">
        <v>132</v>
      </c>
      <c r="D326" s="34" t="s">
        <v>10521</v>
      </c>
      <c r="E326" s="34" t="s">
        <v>10542</v>
      </c>
      <c r="F326" s="6" t="s">
        <v>11207</v>
      </c>
      <c r="G326" s="218" t="s">
        <v>10544</v>
      </c>
      <c r="H326" s="218" t="s">
        <v>11208</v>
      </c>
    </row>
    <row r="327" spans="1:8" ht="25.5">
      <c r="A327" s="34">
        <f t="shared" si="5"/>
        <v>325</v>
      </c>
      <c r="B327" s="218" t="s">
        <v>10550</v>
      </c>
      <c r="C327" s="1" t="s">
        <v>132</v>
      </c>
      <c r="D327" s="34" t="s">
        <v>10521</v>
      </c>
      <c r="E327" s="34" t="s">
        <v>9617</v>
      </c>
      <c r="F327" s="6" t="s">
        <v>10990</v>
      </c>
      <c r="G327" s="218" t="s">
        <v>10552</v>
      </c>
      <c r="H327" s="218" t="s">
        <v>11209</v>
      </c>
    </row>
    <row r="328" spans="1:8" ht="25.5">
      <c r="A328" s="34">
        <f t="shared" si="5"/>
        <v>326</v>
      </c>
      <c r="B328" s="218" t="s">
        <v>10520</v>
      </c>
      <c r="C328" s="1" t="s">
        <v>132</v>
      </c>
      <c r="D328" s="34" t="s">
        <v>10521</v>
      </c>
      <c r="E328" s="34" t="s">
        <v>10341</v>
      </c>
      <c r="F328" s="6" t="s">
        <v>10562</v>
      </c>
      <c r="G328" s="218" t="s">
        <v>10563</v>
      </c>
      <c r="H328" s="218" t="s">
        <v>11210</v>
      </c>
    </row>
    <row r="329" spans="1:8" ht="25.5">
      <c r="A329" s="34">
        <f t="shared" si="5"/>
        <v>327</v>
      </c>
      <c r="B329" s="218" t="s">
        <v>10550</v>
      </c>
      <c r="C329" s="1" t="s">
        <v>132</v>
      </c>
      <c r="D329" s="34" t="s">
        <v>10521</v>
      </c>
      <c r="E329" s="34" t="s">
        <v>9617</v>
      </c>
      <c r="F329" s="6" t="s">
        <v>11211</v>
      </c>
      <c r="G329" s="218" t="s">
        <v>10552</v>
      </c>
      <c r="H329" s="218" t="s">
        <v>10667</v>
      </c>
    </row>
    <row r="330" spans="1:8" ht="25.5">
      <c r="A330" s="34">
        <f t="shared" si="5"/>
        <v>328</v>
      </c>
      <c r="B330" s="218" t="s">
        <v>10532</v>
      </c>
      <c r="C330" s="1" t="s">
        <v>132</v>
      </c>
      <c r="D330" s="34" t="s">
        <v>10521</v>
      </c>
      <c r="E330" s="34" t="s">
        <v>10533</v>
      </c>
      <c r="F330" s="6" t="s">
        <v>10534</v>
      </c>
      <c r="G330" s="218" t="s">
        <v>10535</v>
      </c>
      <c r="H330" s="218" t="s">
        <v>11212</v>
      </c>
    </row>
    <row r="331" spans="1:8" ht="25.5">
      <c r="A331" s="34">
        <f t="shared" si="5"/>
        <v>329</v>
      </c>
      <c r="B331" s="218" t="s">
        <v>11213</v>
      </c>
      <c r="C331" s="1" t="s">
        <v>132</v>
      </c>
      <c r="D331" s="34" t="s">
        <v>10521</v>
      </c>
      <c r="E331" s="34" t="s">
        <v>9617</v>
      </c>
      <c r="F331" s="6" t="s">
        <v>10669</v>
      </c>
      <c r="G331" s="218" t="s">
        <v>10552</v>
      </c>
      <c r="H331" s="218" t="s">
        <v>11214</v>
      </c>
    </row>
    <row r="332" spans="1:8" ht="25.5">
      <c r="A332" s="34">
        <f t="shared" si="5"/>
        <v>330</v>
      </c>
      <c r="B332" s="218" t="s">
        <v>10520</v>
      </c>
      <c r="C332" s="1" t="s">
        <v>132</v>
      </c>
      <c r="D332" s="34" t="s">
        <v>10521</v>
      </c>
      <c r="E332" s="34" t="s">
        <v>10542</v>
      </c>
      <c r="F332" s="6" t="s">
        <v>11215</v>
      </c>
      <c r="G332" s="218" t="s">
        <v>10544</v>
      </c>
      <c r="H332" s="218" t="s">
        <v>11216</v>
      </c>
    </row>
    <row r="333" spans="1:8" ht="25.5">
      <c r="A333" s="34">
        <f t="shared" si="5"/>
        <v>331</v>
      </c>
      <c r="B333" s="218" t="s">
        <v>10520</v>
      </c>
      <c r="C333" s="1" t="s">
        <v>132</v>
      </c>
      <c r="D333" s="34" t="s">
        <v>10521</v>
      </c>
      <c r="E333" s="34" t="s">
        <v>10341</v>
      </c>
      <c r="F333" s="6" t="s">
        <v>10562</v>
      </c>
      <c r="G333" s="218" t="s">
        <v>11217</v>
      </c>
      <c r="H333" s="218" t="s">
        <v>11218</v>
      </c>
    </row>
    <row r="334" spans="1:8" ht="25.5">
      <c r="A334" s="34">
        <f t="shared" si="5"/>
        <v>332</v>
      </c>
      <c r="B334" s="218" t="s">
        <v>10520</v>
      </c>
      <c r="C334" s="1" t="s">
        <v>212</v>
      </c>
      <c r="D334" s="34" t="s">
        <v>10521</v>
      </c>
      <c r="E334" s="34" t="s">
        <v>10591</v>
      </c>
      <c r="F334" s="6" t="s">
        <v>11219</v>
      </c>
      <c r="G334" s="218" t="s">
        <v>11220</v>
      </c>
      <c r="H334" s="218" t="s">
        <v>11221</v>
      </c>
    </row>
    <row r="335" spans="1:8" ht="38.25">
      <c r="A335" s="34">
        <f t="shared" si="5"/>
        <v>333</v>
      </c>
      <c r="B335" s="218" t="s">
        <v>11222</v>
      </c>
      <c r="C335" s="1" t="s">
        <v>10629</v>
      </c>
      <c r="D335" s="34" t="s">
        <v>10587</v>
      </c>
      <c r="E335" s="34" t="s">
        <v>10402</v>
      </c>
      <c r="F335" s="6" t="s">
        <v>11223</v>
      </c>
      <c r="G335" s="218" t="s">
        <v>8060</v>
      </c>
      <c r="H335" s="218" t="s">
        <v>11224</v>
      </c>
    </row>
    <row r="336" spans="1:8" ht="25.5">
      <c r="A336" s="34">
        <f t="shared" si="5"/>
        <v>334</v>
      </c>
      <c r="B336" s="218" t="s">
        <v>11225</v>
      </c>
      <c r="C336" s="1" t="s">
        <v>10345</v>
      </c>
      <c r="D336" s="34" t="s">
        <v>10587</v>
      </c>
      <c r="E336" s="34" t="s">
        <v>11123</v>
      </c>
      <c r="F336" s="6" t="s">
        <v>11226</v>
      </c>
      <c r="G336" s="218" t="s">
        <v>8060</v>
      </c>
      <c r="H336" s="218" t="s">
        <v>11227</v>
      </c>
    </row>
    <row r="337" spans="1:8" ht="25.5">
      <c r="A337" s="34">
        <f t="shared" si="5"/>
        <v>335</v>
      </c>
      <c r="B337" s="218" t="s">
        <v>10520</v>
      </c>
      <c r="C337" s="1" t="s">
        <v>212</v>
      </c>
      <c r="D337" s="34" t="s">
        <v>10520</v>
      </c>
      <c r="E337" s="34" t="s">
        <v>10591</v>
      </c>
      <c r="F337" s="6" t="s">
        <v>11219</v>
      </c>
      <c r="G337" s="218" t="s">
        <v>11220</v>
      </c>
      <c r="H337" s="218" t="s">
        <v>11202</v>
      </c>
    </row>
    <row r="338" spans="1:8" ht="25.5">
      <c r="A338" s="34">
        <f t="shared" si="5"/>
        <v>336</v>
      </c>
      <c r="B338" s="218" t="s">
        <v>10520</v>
      </c>
      <c r="C338" s="1" t="s">
        <v>212</v>
      </c>
      <c r="D338" s="34" t="s">
        <v>10521</v>
      </c>
      <c r="E338" s="34" t="s">
        <v>10591</v>
      </c>
      <c r="F338" s="6" t="s">
        <v>11228</v>
      </c>
      <c r="G338" s="218" t="s">
        <v>10602</v>
      </c>
      <c r="H338" s="218" t="s">
        <v>11229</v>
      </c>
    </row>
    <row r="339" spans="1:8" ht="25.5">
      <c r="A339" s="34">
        <f t="shared" si="5"/>
        <v>337</v>
      </c>
      <c r="B339" s="218" t="s">
        <v>10520</v>
      </c>
      <c r="C339" s="1" t="s">
        <v>212</v>
      </c>
      <c r="D339" s="34" t="s">
        <v>10521</v>
      </c>
      <c r="E339" s="34" t="s">
        <v>10705</v>
      </c>
      <c r="F339" s="6" t="s">
        <v>11230</v>
      </c>
      <c r="G339" s="218" t="s">
        <v>11231</v>
      </c>
      <c r="H339" s="218" t="s">
        <v>11232</v>
      </c>
    </row>
    <row r="340" spans="1:8" ht="25.5">
      <c r="A340" s="34">
        <f t="shared" si="5"/>
        <v>338</v>
      </c>
      <c r="B340" s="218" t="s">
        <v>10520</v>
      </c>
      <c r="C340" s="1" t="s">
        <v>10377</v>
      </c>
      <c r="D340" s="34" t="s">
        <v>10521</v>
      </c>
      <c r="E340" s="34" t="s">
        <v>10293</v>
      </c>
      <c r="F340" s="6" t="s">
        <v>11233</v>
      </c>
      <c r="G340" s="218" t="s">
        <v>11234</v>
      </c>
      <c r="H340" s="218" t="s">
        <v>11235</v>
      </c>
    </row>
    <row r="341" spans="1:8" ht="25.5">
      <c r="A341" s="34">
        <f t="shared" si="5"/>
        <v>339</v>
      </c>
      <c r="B341" s="218" t="s">
        <v>10520</v>
      </c>
      <c r="C341" s="1" t="s">
        <v>132</v>
      </c>
      <c r="D341" s="34" t="s">
        <v>10521</v>
      </c>
      <c r="E341" s="34" t="s">
        <v>10526</v>
      </c>
      <c r="F341" s="6" t="s">
        <v>11236</v>
      </c>
      <c r="G341" s="218" t="s">
        <v>11237</v>
      </c>
      <c r="H341" s="218" t="s">
        <v>11238</v>
      </c>
    </row>
    <row r="342" spans="1:8" ht="25.5">
      <c r="A342" s="34">
        <f t="shared" si="5"/>
        <v>340</v>
      </c>
      <c r="B342" s="218" t="s">
        <v>10520</v>
      </c>
      <c r="C342" s="1" t="s">
        <v>132</v>
      </c>
      <c r="D342" s="34" t="s">
        <v>10521</v>
      </c>
      <c r="E342" s="34" t="s">
        <v>10574</v>
      </c>
      <c r="F342" s="6" t="s">
        <v>10598</v>
      </c>
      <c r="G342" s="218" t="s">
        <v>10583</v>
      </c>
      <c r="H342" s="218" t="s">
        <v>11239</v>
      </c>
    </row>
    <row r="343" spans="1:8" ht="25.5">
      <c r="A343" s="34">
        <f t="shared" si="5"/>
        <v>341</v>
      </c>
      <c r="B343" s="218" t="s">
        <v>10520</v>
      </c>
      <c r="C343" s="1" t="s">
        <v>10377</v>
      </c>
      <c r="D343" s="34" t="s">
        <v>10521</v>
      </c>
      <c r="E343" s="34" t="s">
        <v>11055</v>
      </c>
      <c r="F343" s="6" t="s">
        <v>10560</v>
      </c>
      <c r="G343" s="218" t="s">
        <v>11240</v>
      </c>
      <c r="H343" s="218" t="s">
        <v>11241</v>
      </c>
    </row>
    <row r="344" spans="1:8" ht="25.5">
      <c r="A344" s="34">
        <f t="shared" si="5"/>
        <v>342</v>
      </c>
      <c r="B344" s="218" t="s">
        <v>10520</v>
      </c>
      <c r="C344" s="1" t="s">
        <v>212</v>
      </c>
      <c r="D344" s="34" t="s">
        <v>10521</v>
      </c>
      <c r="E344" s="34" t="s">
        <v>10591</v>
      </c>
      <c r="F344" s="6" t="s">
        <v>11242</v>
      </c>
      <c r="G344" s="218" t="s">
        <v>10602</v>
      </c>
      <c r="H344" s="218" t="s">
        <v>11243</v>
      </c>
    </row>
    <row r="345" spans="1:8" ht="25.5">
      <c r="A345" s="34">
        <f t="shared" si="5"/>
        <v>343</v>
      </c>
      <c r="B345" s="218" t="s">
        <v>10520</v>
      </c>
      <c r="C345" s="1" t="s">
        <v>132</v>
      </c>
      <c r="D345" s="34" t="s">
        <v>10521</v>
      </c>
      <c r="E345" s="34" t="s">
        <v>10341</v>
      </c>
      <c r="F345" s="6" t="s">
        <v>11244</v>
      </c>
      <c r="G345" s="218" t="s">
        <v>10605</v>
      </c>
      <c r="H345" s="218" t="s">
        <v>11245</v>
      </c>
    </row>
    <row r="346" spans="1:8" ht="25.5">
      <c r="A346" s="34">
        <f t="shared" si="5"/>
        <v>344</v>
      </c>
      <c r="B346" s="218" t="s">
        <v>10520</v>
      </c>
      <c r="C346" s="1" t="s">
        <v>132</v>
      </c>
      <c r="D346" s="34" t="s">
        <v>10521</v>
      </c>
      <c r="E346" s="34" t="s">
        <v>11246</v>
      </c>
      <c r="F346" s="6" t="s">
        <v>11247</v>
      </c>
      <c r="G346" s="218" t="s">
        <v>11248</v>
      </c>
      <c r="H346" s="218" t="s">
        <v>11202</v>
      </c>
    </row>
    <row r="347" spans="1:8" ht="25.5">
      <c r="A347" s="34">
        <f t="shared" si="5"/>
        <v>345</v>
      </c>
      <c r="B347" s="218" t="s">
        <v>10520</v>
      </c>
      <c r="C347" s="1" t="s">
        <v>132</v>
      </c>
      <c r="D347" s="34" t="s">
        <v>10521</v>
      </c>
      <c r="E347" s="34" t="s">
        <v>10607</v>
      </c>
      <c r="F347" s="6" t="s">
        <v>10608</v>
      </c>
      <c r="G347" s="218" t="s">
        <v>10609</v>
      </c>
      <c r="H347" s="218" t="s">
        <v>11249</v>
      </c>
    </row>
    <row r="348" spans="1:8" ht="25.5">
      <c r="A348" s="34">
        <f t="shared" si="5"/>
        <v>346</v>
      </c>
      <c r="B348" s="218" t="s">
        <v>10520</v>
      </c>
      <c r="C348" s="1" t="s">
        <v>132</v>
      </c>
      <c r="D348" s="34" t="s">
        <v>10520</v>
      </c>
      <c r="E348" s="34" t="s">
        <v>10607</v>
      </c>
      <c r="F348" s="6" t="s">
        <v>10611</v>
      </c>
      <c r="G348" s="218" t="s">
        <v>10609</v>
      </c>
      <c r="H348" s="218" t="s">
        <v>11250</v>
      </c>
    </row>
    <row r="349" spans="1:8" ht="25.5">
      <c r="A349" s="34">
        <f t="shared" si="5"/>
        <v>347</v>
      </c>
      <c r="B349" s="218" t="s">
        <v>10520</v>
      </c>
      <c r="C349" s="1" t="s">
        <v>132</v>
      </c>
      <c r="D349" s="34" t="s">
        <v>10520</v>
      </c>
      <c r="E349" s="34" t="s">
        <v>10607</v>
      </c>
      <c r="F349" s="6" t="s">
        <v>11251</v>
      </c>
      <c r="G349" s="218" t="s">
        <v>10609</v>
      </c>
      <c r="H349" s="218" t="s">
        <v>11252</v>
      </c>
    </row>
    <row r="350" spans="1:8" ht="25.5">
      <c r="A350" s="34">
        <f t="shared" si="5"/>
        <v>348</v>
      </c>
      <c r="B350" s="218" t="s">
        <v>10615</v>
      </c>
      <c r="C350" s="1" t="s">
        <v>122</v>
      </c>
      <c r="D350" s="34" t="s">
        <v>10520</v>
      </c>
      <c r="E350" s="34" t="s">
        <v>10616</v>
      </c>
      <c r="F350" s="6" t="s">
        <v>10617</v>
      </c>
      <c r="G350" s="218" t="s">
        <v>10618</v>
      </c>
      <c r="H350" s="218" t="s">
        <v>11253</v>
      </c>
    </row>
    <row r="351" spans="1:8" ht="25.5">
      <c r="A351" s="34">
        <f t="shared" si="5"/>
        <v>349</v>
      </c>
      <c r="B351" s="218" t="s">
        <v>10615</v>
      </c>
      <c r="C351" s="1" t="s">
        <v>122</v>
      </c>
      <c r="D351" s="34" t="s">
        <v>10521</v>
      </c>
      <c r="E351" s="34" t="s">
        <v>10616</v>
      </c>
      <c r="F351" s="6" t="s">
        <v>10617</v>
      </c>
      <c r="G351" s="218" t="s">
        <v>10618</v>
      </c>
      <c r="H351" s="218" t="s">
        <v>11254</v>
      </c>
    </row>
    <row r="352" spans="1:8" ht="38.25">
      <c r="A352" s="34">
        <f t="shared" si="5"/>
        <v>350</v>
      </c>
      <c r="B352" s="218" t="s">
        <v>11255</v>
      </c>
      <c r="C352" s="1" t="s">
        <v>10629</v>
      </c>
      <c r="D352" s="34" t="s">
        <v>10587</v>
      </c>
      <c r="E352" s="34" t="s">
        <v>8572</v>
      </c>
      <c r="F352" s="6" t="s">
        <v>10622</v>
      </c>
      <c r="G352" s="218" t="s">
        <v>8060</v>
      </c>
      <c r="H352" s="218" t="s">
        <v>11256</v>
      </c>
    </row>
    <row r="353" spans="1:8" ht="25.5">
      <c r="A353" s="34">
        <f t="shared" si="5"/>
        <v>351</v>
      </c>
      <c r="B353" s="218" t="s">
        <v>10520</v>
      </c>
      <c r="C353" s="1" t="s">
        <v>132</v>
      </c>
      <c r="D353" s="34" t="s">
        <v>10521</v>
      </c>
      <c r="E353" s="34" t="s">
        <v>10341</v>
      </c>
      <c r="F353" s="6" t="s">
        <v>11257</v>
      </c>
      <c r="G353" s="218" t="s">
        <v>11217</v>
      </c>
      <c r="H353" s="218" t="s">
        <v>11258</v>
      </c>
    </row>
    <row r="354" spans="1:8" ht="25.5">
      <c r="A354" s="34">
        <f t="shared" si="5"/>
        <v>352</v>
      </c>
      <c r="B354" s="218" t="s">
        <v>11259</v>
      </c>
      <c r="C354" s="1" t="s">
        <v>11260</v>
      </c>
      <c r="D354" s="34" t="s">
        <v>10587</v>
      </c>
      <c r="E354" s="34" t="s">
        <v>11261</v>
      </c>
      <c r="F354" s="6" t="s">
        <v>11262</v>
      </c>
      <c r="G354" s="218" t="s">
        <v>8060</v>
      </c>
      <c r="H354" s="218" t="s">
        <v>10632</v>
      </c>
    </row>
    <row r="355" spans="1:8" ht="25.5">
      <c r="A355" s="34">
        <f t="shared" si="5"/>
        <v>353</v>
      </c>
      <c r="B355" s="218" t="s">
        <v>11263</v>
      </c>
      <c r="C355" s="1" t="s">
        <v>132</v>
      </c>
      <c r="D355" s="34" t="s">
        <v>10371</v>
      </c>
      <c r="E355" s="34" t="s">
        <v>11264</v>
      </c>
      <c r="F355" s="6" t="s">
        <v>11265</v>
      </c>
      <c r="G355" s="218" t="s">
        <v>10374</v>
      </c>
      <c r="H355" s="218" t="s">
        <v>11266</v>
      </c>
    </row>
    <row r="356" spans="1:8">
      <c r="A356" s="34">
        <f t="shared" si="5"/>
        <v>354</v>
      </c>
      <c r="B356" s="218" t="s">
        <v>11267</v>
      </c>
      <c r="C356" s="1" t="s">
        <v>132</v>
      </c>
      <c r="D356" s="34" t="s">
        <v>10371</v>
      </c>
      <c r="E356" s="34" t="s">
        <v>11268</v>
      </c>
      <c r="F356" s="6" t="s">
        <v>11269</v>
      </c>
      <c r="G356" s="218" t="s">
        <v>10374</v>
      </c>
      <c r="H356" s="218" t="s">
        <v>11270</v>
      </c>
    </row>
    <row r="357" spans="1:8" ht="38.25">
      <c r="A357" s="34">
        <f t="shared" si="5"/>
        <v>355</v>
      </c>
      <c r="B357" s="218" t="s">
        <v>11271</v>
      </c>
      <c r="C357" s="1" t="s">
        <v>132</v>
      </c>
      <c r="D357" s="34" t="s">
        <v>10655</v>
      </c>
      <c r="E357" s="34" t="s">
        <v>10656</v>
      </c>
      <c r="F357" s="6" t="s">
        <v>10657</v>
      </c>
      <c r="G357" s="218" t="s">
        <v>10658</v>
      </c>
      <c r="H357" s="218" t="s">
        <v>10659</v>
      </c>
    </row>
    <row r="358" spans="1:8" ht="38.25">
      <c r="A358" s="34">
        <f t="shared" si="5"/>
        <v>356</v>
      </c>
      <c r="B358" s="218" t="s">
        <v>11272</v>
      </c>
      <c r="C358" s="1" t="s">
        <v>132</v>
      </c>
      <c r="D358" s="34" t="s">
        <v>10336</v>
      </c>
      <c r="E358" s="34" t="s">
        <v>10656</v>
      </c>
      <c r="F358" s="6" t="s">
        <v>10657</v>
      </c>
      <c r="G358" s="218" t="s">
        <v>10658</v>
      </c>
      <c r="H358" s="218" t="s">
        <v>10659</v>
      </c>
    </row>
    <row r="359" spans="1:8" ht="25.5">
      <c r="A359" s="34">
        <f t="shared" si="5"/>
        <v>357</v>
      </c>
      <c r="B359" s="218" t="s">
        <v>11273</v>
      </c>
      <c r="C359" s="1" t="s">
        <v>132</v>
      </c>
      <c r="D359" s="34" t="s">
        <v>10189</v>
      </c>
      <c r="E359" s="34" t="s">
        <v>10656</v>
      </c>
      <c r="F359" s="6" t="s">
        <v>11257</v>
      </c>
      <c r="G359" s="218" t="s">
        <v>8814</v>
      </c>
      <c r="H359" s="218" t="s">
        <v>11274</v>
      </c>
    </row>
    <row r="360" spans="1:8" ht="25.5">
      <c r="A360" s="34">
        <f t="shared" si="5"/>
        <v>358</v>
      </c>
      <c r="B360" s="218" t="s">
        <v>10550</v>
      </c>
      <c r="C360" s="1" t="s">
        <v>132</v>
      </c>
      <c r="D360" s="34" t="s">
        <v>10521</v>
      </c>
      <c r="E360" s="34" t="s">
        <v>9617</v>
      </c>
      <c r="F360" s="6" t="s">
        <v>11275</v>
      </c>
      <c r="G360" s="218" t="s">
        <v>10665</v>
      </c>
      <c r="H360" s="218" t="s">
        <v>11276</v>
      </c>
    </row>
    <row r="361" spans="1:8" ht="25.5">
      <c r="A361" s="34">
        <f t="shared" si="5"/>
        <v>359</v>
      </c>
      <c r="B361" s="218" t="s">
        <v>10550</v>
      </c>
      <c r="C361" s="1" t="s">
        <v>132</v>
      </c>
      <c r="D361" s="34" t="s">
        <v>10520</v>
      </c>
      <c r="E361" s="34" t="s">
        <v>9617</v>
      </c>
      <c r="F361" s="6" t="s">
        <v>11277</v>
      </c>
      <c r="G361" s="218" t="s">
        <v>10665</v>
      </c>
      <c r="H361" s="218" t="s">
        <v>11278</v>
      </c>
    </row>
    <row r="362" spans="1:8" ht="25.5">
      <c r="A362" s="34">
        <f t="shared" si="5"/>
        <v>360</v>
      </c>
      <c r="B362" s="218" t="s">
        <v>11279</v>
      </c>
      <c r="C362" s="1" t="s">
        <v>212</v>
      </c>
      <c r="D362" s="34"/>
      <c r="E362" s="34" t="s">
        <v>10687</v>
      </c>
      <c r="F362" s="6" t="s">
        <v>10688</v>
      </c>
      <c r="G362" s="218" t="s">
        <v>10689</v>
      </c>
      <c r="H362" s="218" t="s">
        <v>11280</v>
      </c>
    </row>
    <row r="363" spans="1:8" ht="25.5">
      <c r="A363" s="34">
        <f t="shared" si="5"/>
        <v>361</v>
      </c>
      <c r="B363" s="218" t="s">
        <v>11281</v>
      </c>
      <c r="C363" s="1" t="s">
        <v>212</v>
      </c>
      <c r="D363" s="34" t="s">
        <v>10520</v>
      </c>
      <c r="E363" s="34" t="s">
        <v>10554</v>
      </c>
      <c r="F363" s="6" t="s">
        <v>11282</v>
      </c>
      <c r="G363" s="218" t="s">
        <v>11283</v>
      </c>
      <c r="H363" s="218" t="s">
        <v>11284</v>
      </c>
    </row>
    <row r="364" spans="1:8" ht="25.5">
      <c r="A364" s="34">
        <f t="shared" si="5"/>
        <v>362</v>
      </c>
      <c r="B364" s="218" t="s">
        <v>11285</v>
      </c>
      <c r="C364" s="1" t="s">
        <v>212</v>
      </c>
      <c r="D364" s="34" t="s">
        <v>10520</v>
      </c>
      <c r="E364" s="34" t="s">
        <v>10687</v>
      </c>
      <c r="F364" s="6" t="s">
        <v>10688</v>
      </c>
      <c r="G364" s="218" t="s">
        <v>10689</v>
      </c>
      <c r="H364" s="218" t="s">
        <v>11286</v>
      </c>
    </row>
    <row r="365" spans="1:8" ht="25.5">
      <c r="A365" s="34">
        <f t="shared" si="5"/>
        <v>363</v>
      </c>
      <c r="B365" s="218" t="s">
        <v>11287</v>
      </c>
      <c r="C365" s="1" t="s">
        <v>212</v>
      </c>
      <c r="D365" s="34" t="s">
        <v>10520</v>
      </c>
      <c r="E365" s="34" t="s">
        <v>10687</v>
      </c>
      <c r="F365" s="6" t="s">
        <v>11282</v>
      </c>
      <c r="G365" s="218" t="s">
        <v>10689</v>
      </c>
      <c r="H365" s="218" t="s">
        <v>11288</v>
      </c>
    </row>
    <row r="366" spans="1:8" ht="38.25">
      <c r="A366" s="34">
        <f t="shared" si="5"/>
        <v>364</v>
      </c>
      <c r="B366" s="218" t="s">
        <v>10479</v>
      </c>
      <c r="C366" s="1" t="s">
        <v>132</v>
      </c>
      <c r="D366" s="34" t="s">
        <v>10189</v>
      </c>
      <c r="E366" s="34" t="s">
        <v>10321</v>
      </c>
      <c r="F366" s="6" t="s">
        <v>11289</v>
      </c>
      <c r="G366" s="218" t="s">
        <v>11290</v>
      </c>
      <c r="H366" s="218" t="s">
        <v>10324</v>
      </c>
    </row>
    <row r="367" spans="1:8" ht="25.5">
      <c r="A367" s="34">
        <f t="shared" si="5"/>
        <v>365</v>
      </c>
      <c r="B367" s="218" t="s">
        <v>11291</v>
      </c>
      <c r="C367" s="1" t="s">
        <v>212</v>
      </c>
      <c r="D367" s="34" t="s">
        <v>10520</v>
      </c>
      <c r="E367" s="34" t="s">
        <v>10687</v>
      </c>
      <c r="F367" s="6" t="s">
        <v>10688</v>
      </c>
      <c r="G367" s="218" t="s">
        <v>10689</v>
      </c>
      <c r="H367" s="218" t="s">
        <v>11292</v>
      </c>
    </row>
    <row r="368" spans="1:8" ht="25.5">
      <c r="A368" s="34">
        <f t="shared" si="5"/>
        <v>366</v>
      </c>
      <c r="B368" s="218" t="s">
        <v>11293</v>
      </c>
      <c r="C368" s="1" t="s">
        <v>10377</v>
      </c>
      <c r="D368" s="34" t="s">
        <v>10520</v>
      </c>
      <c r="E368" s="34" t="s">
        <v>10687</v>
      </c>
      <c r="F368" s="6" t="s">
        <v>11294</v>
      </c>
      <c r="G368" s="218" t="s">
        <v>10689</v>
      </c>
      <c r="H368" s="218" t="s">
        <v>11295</v>
      </c>
    </row>
    <row r="369" spans="1:8" ht="25.5">
      <c r="A369" s="34">
        <f t="shared" si="5"/>
        <v>367</v>
      </c>
      <c r="B369" s="218" t="s">
        <v>11296</v>
      </c>
      <c r="C369" s="1" t="s">
        <v>10600</v>
      </c>
      <c r="D369" s="34" t="s">
        <v>10520</v>
      </c>
      <c r="E369" s="34" t="s">
        <v>10554</v>
      </c>
      <c r="F369" s="6" t="s">
        <v>10696</v>
      </c>
      <c r="G369" s="218" t="s">
        <v>10556</v>
      </c>
      <c r="H369" s="218" t="s">
        <v>11297</v>
      </c>
    </row>
    <row r="370" spans="1:8" ht="25.5">
      <c r="A370" s="34">
        <f t="shared" si="5"/>
        <v>368</v>
      </c>
      <c r="B370" s="218" t="s">
        <v>11298</v>
      </c>
      <c r="C370" s="1" t="s">
        <v>212</v>
      </c>
      <c r="D370" s="34" t="s">
        <v>10520</v>
      </c>
      <c r="E370" s="34" t="s">
        <v>10522</v>
      </c>
      <c r="F370" s="6" t="s">
        <v>11299</v>
      </c>
      <c r="G370" s="218" t="s">
        <v>10524</v>
      </c>
      <c r="H370" s="218" t="s">
        <v>11300</v>
      </c>
    </row>
    <row r="371" spans="1:8" ht="25.5">
      <c r="A371" s="34">
        <f t="shared" si="5"/>
        <v>369</v>
      </c>
      <c r="B371" s="218" t="s">
        <v>11301</v>
      </c>
      <c r="C371" s="1" t="s">
        <v>212</v>
      </c>
      <c r="D371" s="34" t="s">
        <v>10520</v>
      </c>
      <c r="E371" s="34" t="s">
        <v>10692</v>
      </c>
      <c r="F371" s="6" t="s">
        <v>10683</v>
      </c>
      <c r="G371" s="218" t="s">
        <v>10693</v>
      </c>
      <c r="H371" s="218" t="s">
        <v>11302</v>
      </c>
    </row>
    <row r="372" spans="1:8" ht="25.5">
      <c r="A372" s="34">
        <f t="shared" si="5"/>
        <v>370</v>
      </c>
      <c r="B372" s="218" t="s">
        <v>11303</v>
      </c>
      <c r="C372" s="1" t="s">
        <v>212</v>
      </c>
      <c r="D372" s="34" t="s">
        <v>10520</v>
      </c>
      <c r="E372" s="34" t="s">
        <v>10692</v>
      </c>
      <c r="F372" s="6" t="s">
        <v>10683</v>
      </c>
      <c r="G372" s="218" t="s">
        <v>10693</v>
      </c>
      <c r="H372" s="218" t="s">
        <v>11304</v>
      </c>
    </row>
    <row r="373" spans="1:8" ht="25.5">
      <c r="A373" s="34">
        <f t="shared" si="5"/>
        <v>371</v>
      </c>
      <c r="B373" s="218" t="s">
        <v>11305</v>
      </c>
      <c r="C373" s="1" t="s">
        <v>212</v>
      </c>
      <c r="D373" s="34" t="s">
        <v>10520</v>
      </c>
      <c r="E373" s="34" t="s">
        <v>10554</v>
      </c>
      <c r="F373" s="6" t="s">
        <v>10696</v>
      </c>
      <c r="G373" s="218" t="s">
        <v>10556</v>
      </c>
      <c r="H373" s="218" t="s">
        <v>11306</v>
      </c>
    </row>
    <row r="374" spans="1:8" ht="25.5">
      <c r="A374" s="34">
        <f t="shared" si="5"/>
        <v>372</v>
      </c>
      <c r="B374" s="218" t="s">
        <v>11307</v>
      </c>
      <c r="C374" s="1" t="s">
        <v>212</v>
      </c>
      <c r="D374" s="34" t="s">
        <v>10520</v>
      </c>
      <c r="E374" s="34" t="s">
        <v>10554</v>
      </c>
      <c r="F374" s="6" t="s">
        <v>10696</v>
      </c>
      <c r="G374" s="218" t="s">
        <v>10556</v>
      </c>
      <c r="H374" s="218" t="s">
        <v>11308</v>
      </c>
    </row>
    <row r="375" spans="1:8" ht="25.5">
      <c r="A375" s="34">
        <f t="shared" si="5"/>
        <v>373</v>
      </c>
      <c r="B375" s="218" t="s">
        <v>11309</v>
      </c>
      <c r="C375" s="1" t="s">
        <v>212</v>
      </c>
      <c r="D375" s="34" t="s">
        <v>10520</v>
      </c>
      <c r="E375" s="34" t="s">
        <v>10522</v>
      </c>
      <c r="F375" s="6" t="s">
        <v>11310</v>
      </c>
      <c r="G375" s="218" t="s">
        <v>10524</v>
      </c>
      <c r="H375" s="218" t="s">
        <v>11311</v>
      </c>
    </row>
    <row r="376" spans="1:8" ht="25.5">
      <c r="A376" s="34">
        <f t="shared" si="5"/>
        <v>374</v>
      </c>
      <c r="B376" s="218" t="s">
        <v>10485</v>
      </c>
      <c r="C376" s="1" t="s">
        <v>132</v>
      </c>
      <c r="D376" s="34" t="s">
        <v>10189</v>
      </c>
      <c r="E376" s="34" t="s">
        <v>10981</v>
      </c>
      <c r="F376" s="6" t="s">
        <v>11312</v>
      </c>
      <c r="G376" s="218" t="s">
        <v>10488</v>
      </c>
      <c r="H376" s="218" t="s">
        <v>3248</v>
      </c>
    </row>
    <row r="377" spans="1:8" ht="25.5">
      <c r="A377" s="34">
        <f t="shared" si="5"/>
        <v>375</v>
      </c>
      <c r="B377" s="218" t="s">
        <v>10485</v>
      </c>
      <c r="C377" s="1" t="s">
        <v>132</v>
      </c>
      <c r="D377" s="34" t="s">
        <v>10189</v>
      </c>
      <c r="E377" s="34" t="s">
        <v>11055</v>
      </c>
      <c r="F377" s="6" t="s">
        <v>10487</v>
      </c>
      <c r="G377" s="218" t="s">
        <v>10488</v>
      </c>
      <c r="H377" s="218" t="s">
        <v>11313</v>
      </c>
    </row>
    <row r="378" spans="1:8" ht="25.5">
      <c r="A378" s="34">
        <f t="shared" si="5"/>
        <v>376</v>
      </c>
      <c r="B378" s="218" t="s">
        <v>10501</v>
      </c>
      <c r="C378" s="1" t="s">
        <v>10502</v>
      </c>
      <c r="D378" s="34" t="s">
        <v>10189</v>
      </c>
      <c r="E378" s="34" t="s">
        <v>10705</v>
      </c>
      <c r="F378" s="6" t="s">
        <v>11314</v>
      </c>
      <c r="G378" s="218" t="s">
        <v>10707</v>
      </c>
      <c r="H378" s="218" t="s">
        <v>8167</v>
      </c>
    </row>
    <row r="379" spans="1:8" ht="25.5">
      <c r="A379" s="34">
        <f t="shared" si="5"/>
        <v>377</v>
      </c>
      <c r="B379" s="218" t="s">
        <v>11315</v>
      </c>
      <c r="C379" s="1" t="s">
        <v>132</v>
      </c>
      <c r="D379" s="34" t="s">
        <v>10189</v>
      </c>
      <c r="E379" s="34" t="s">
        <v>10300</v>
      </c>
      <c r="F379" s="6" t="s">
        <v>10480</v>
      </c>
      <c r="G379" s="218" t="s">
        <v>10513</v>
      </c>
      <c r="H379" s="218" t="s">
        <v>11316</v>
      </c>
    </row>
    <row r="380" spans="1:8" ht="25.5">
      <c r="A380" s="34">
        <f t="shared" si="5"/>
        <v>378</v>
      </c>
      <c r="B380" s="218" t="s">
        <v>10501</v>
      </c>
      <c r="C380" s="1" t="s">
        <v>137</v>
      </c>
      <c r="D380" s="34" t="s">
        <v>10189</v>
      </c>
      <c r="E380" s="34" t="s">
        <v>10705</v>
      </c>
      <c r="F380" s="6" t="s">
        <v>11317</v>
      </c>
      <c r="G380" s="218" t="s">
        <v>10707</v>
      </c>
      <c r="H380" s="218" t="s">
        <v>11318</v>
      </c>
    </row>
    <row r="381" spans="1:8" ht="25.5">
      <c r="A381" s="34">
        <f t="shared" si="5"/>
        <v>379</v>
      </c>
      <c r="B381" s="218" t="s">
        <v>10501</v>
      </c>
      <c r="C381" s="1" t="s">
        <v>10377</v>
      </c>
      <c r="D381" s="34" t="s">
        <v>10189</v>
      </c>
      <c r="E381" s="34" t="s">
        <v>10705</v>
      </c>
      <c r="F381" s="6" t="s">
        <v>11319</v>
      </c>
      <c r="G381" s="218" t="s">
        <v>10707</v>
      </c>
      <c r="H381" s="218" t="s">
        <v>10211</v>
      </c>
    </row>
    <row r="382" spans="1:8" ht="25.5">
      <c r="A382" s="34">
        <f t="shared" si="5"/>
        <v>380</v>
      </c>
      <c r="B382" s="218" t="s">
        <v>10501</v>
      </c>
      <c r="C382" s="1" t="s">
        <v>10377</v>
      </c>
      <c r="D382" s="34" t="s">
        <v>10189</v>
      </c>
      <c r="E382" s="34" t="s">
        <v>10719</v>
      </c>
      <c r="F382" s="6" t="s">
        <v>10720</v>
      </c>
      <c r="G382" s="218" t="s">
        <v>10721</v>
      </c>
      <c r="H382" s="218" t="s">
        <v>1758</v>
      </c>
    </row>
    <row r="383" spans="1:8" ht="25.5">
      <c r="A383" s="34">
        <f t="shared" si="5"/>
        <v>381</v>
      </c>
      <c r="B383" s="218" t="s">
        <v>11176</v>
      </c>
      <c r="C383" s="1" t="s">
        <v>132</v>
      </c>
      <c r="D383" s="34" t="s">
        <v>10189</v>
      </c>
      <c r="E383" s="34" t="s">
        <v>9617</v>
      </c>
      <c r="F383" s="6" t="s">
        <v>10731</v>
      </c>
      <c r="G383" s="218" t="s">
        <v>10732</v>
      </c>
      <c r="H383" s="218" t="s">
        <v>4288</v>
      </c>
    </row>
    <row r="384" spans="1:8" ht="25.5">
      <c r="A384" s="34">
        <f t="shared" si="5"/>
        <v>382</v>
      </c>
      <c r="B384" s="218" t="s">
        <v>11320</v>
      </c>
      <c r="C384" s="1" t="s">
        <v>132</v>
      </c>
      <c r="D384" s="34" t="s">
        <v>10189</v>
      </c>
      <c r="E384" s="34" t="s">
        <v>9617</v>
      </c>
      <c r="F384" s="6" t="s">
        <v>10731</v>
      </c>
      <c r="G384" s="218" t="s">
        <v>11321</v>
      </c>
      <c r="H384" s="218" t="s">
        <v>1608</v>
      </c>
    </row>
    <row r="385" spans="1:8" ht="38.25">
      <c r="A385" s="34">
        <f t="shared" si="5"/>
        <v>383</v>
      </c>
      <c r="B385" s="218" t="s">
        <v>10735</v>
      </c>
      <c r="C385" s="1" t="s">
        <v>132</v>
      </c>
      <c r="D385" s="34" t="s">
        <v>10189</v>
      </c>
      <c r="E385" s="34" t="s">
        <v>10736</v>
      </c>
      <c r="F385" s="6" t="s">
        <v>10737</v>
      </c>
      <c r="G385" s="218" t="s">
        <v>8839</v>
      </c>
      <c r="H385" s="218" t="s">
        <v>11322</v>
      </c>
    </row>
    <row r="386" spans="1:8" ht="38.25">
      <c r="A386" s="34">
        <f t="shared" si="5"/>
        <v>384</v>
      </c>
      <c r="B386" s="218" t="s">
        <v>10790</v>
      </c>
      <c r="C386" s="1" t="s">
        <v>132</v>
      </c>
      <c r="D386" s="34" t="s">
        <v>10189</v>
      </c>
      <c r="E386" s="34" t="s">
        <v>9617</v>
      </c>
      <c r="F386" s="6" t="s">
        <v>10737</v>
      </c>
      <c r="G386" s="218" t="s">
        <v>8839</v>
      </c>
      <c r="H386" s="218" t="s">
        <v>4842</v>
      </c>
    </row>
    <row r="387" spans="1:8" ht="25.5">
      <c r="A387" s="34">
        <f t="shared" si="5"/>
        <v>385</v>
      </c>
      <c r="B387" s="218" t="s">
        <v>11323</v>
      </c>
      <c r="C387" s="1" t="s">
        <v>132</v>
      </c>
      <c r="D387" s="34" t="s">
        <v>10189</v>
      </c>
      <c r="E387" s="34" t="s">
        <v>11324</v>
      </c>
      <c r="F387" s="6" t="s">
        <v>11325</v>
      </c>
      <c r="G387" s="218" t="s">
        <v>11326</v>
      </c>
      <c r="H387" s="218" t="s">
        <v>11327</v>
      </c>
    </row>
    <row r="388" spans="1:8" ht="25.5">
      <c r="A388" s="34">
        <f t="shared" ref="A388:A451" si="6">A387+1</f>
        <v>386</v>
      </c>
      <c r="B388" s="218" t="s">
        <v>11328</v>
      </c>
      <c r="C388" s="1" t="s">
        <v>122</v>
      </c>
      <c r="D388" s="34" t="s">
        <v>10218</v>
      </c>
      <c r="E388" s="34" t="s">
        <v>10238</v>
      </c>
      <c r="F388" s="6" t="s">
        <v>10239</v>
      </c>
      <c r="G388" s="218" t="s">
        <v>10240</v>
      </c>
      <c r="H388" s="218" t="s">
        <v>10241</v>
      </c>
    </row>
    <row r="389" spans="1:8" ht="25.5">
      <c r="A389" s="34">
        <f t="shared" si="6"/>
        <v>387</v>
      </c>
      <c r="B389" s="218" t="s">
        <v>11329</v>
      </c>
      <c r="C389" s="1" t="s">
        <v>147</v>
      </c>
      <c r="D389" s="34" t="s">
        <v>10184</v>
      </c>
      <c r="E389" s="34" t="s">
        <v>10472</v>
      </c>
      <c r="F389" s="6" t="s">
        <v>11330</v>
      </c>
      <c r="G389" s="218" t="s">
        <v>11331</v>
      </c>
      <c r="H389" s="218" t="s">
        <v>327</v>
      </c>
    </row>
    <row r="390" spans="1:8" ht="25.5">
      <c r="A390" s="34">
        <f t="shared" si="6"/>
        <v>388</v>
      </c>
      <c r="B390" s="218" t="s">
        <v>10497</v>
      </c>
      <c r="C390" s="1" t="s">
        <v>11332</v>
      </c>
      <c r="D390" s="34" t="s">
        <v>10218</v>
      </c>
      <c r="E390" s="34" t="s">
        <v>10964</v>
      </c>
      <c r="F390" s="6" t="s">
        <v>11333</v>
      </c>
      <c r="G390" s="218" t="s">
        <v>10976</v>
      </c>
      <c r="H390" s="218" t="s">
        <v>10967</v>
      </c>
    </row>
    <row r="391" spans="1:8" ht="38.25">
      <c r="A391" s="34">
        <f t="shared" si="6"/>
        <v>389</v>
      </c>
      <c r="B391" s="218" t="s">
        <v>11334</v>
      </c>
      <c r="C391" s="1" t="s">
        <v>132</v>
      </c>
      <c r="D391" s="34" t="s">
        <v>10189</v>
      </c>
      <c r="E391" s="34" t="s">
        <v>11335</v>
      </c>
      <c r="F391" s="6" t="s">
        <v>11336</v>
      </c>
      <c r="G391" s="218" t="s">
        <v>11337</v>
      </c>
      <c r="H391" s="218" t="s">
        <v>11338</v>
      </c>
    </row>
    <row r="392" spans="1:8">
      <c r="A392" s="34">
        <f t="shared" si="6"/>
        <v>390</v>
      </c>
      <c r="B392" s="218" t="s">
        <v>11339</v>
      </c>
      <c r="C392" s="1" t="s">
        <v>1060</v>
      </c>
      <c r="D392" s="34" t="s">
        <v>10218</v>
      </c>
      <c r="E392" s="34" t="s">
        <v>10472</v>
      </c>
      <c r="F392" s="6" t="s">
        <v>11340</v>
      </c>
      <c r="G392" s="218" t="s">
        <v>11341</v>
      </c>
      <c r="H392" s="218" t="s">
        <v>11342</v>
      </c>
    </row>
    <row r="393" spans="1:8" ht="25.5">
      <c r="A393" s="34">
        <f t="shared" si="6"/>
        <v>391</v>
      </c>
      <c r="B393" s="218" t="s">
        <v>10762</v>
      </c>
      <c r="C393" s="1" t="s">
        <v>132</v>
      </c>
      <c r="D393" s="34" t="s">
        <v>10189</v>
      </c>
      <c r="E393" s="34" t="s">
        <v>10341</v>
      </c>
      <c r="F393" s="6" t="s">
        <v>11343</v>
      </c>
      <c r="G393" s="218" t="s">
        <v>10605</v>
      </c>
      <c r="H393" s="218" t="s">
        <v>11344</v>
      </c>
    </row>
    <row r="394" spans="1:8" ht="25.5">
      <c r="A394" s="34">
        <f t="shared" si="6"/>
        <v>392</v>
      </c>
      <c r="B394" s="218" t="s">
        <v>11345</v>
      </c>
      <c r="C394" s="1" t="s">
        <v>132</v>
      </c>
      <c r="D394" s="34" t="s">
        <v>10521</v>
      </c>
      <c r="E394" s="34" t="s">
        <v>11346</v>
      </c>
      <c r="F394" s="6" t="s">
        <v>11347</v>
      </c>
      <c r="G394" s="218" t="s">
        <v>11348</v>
      </c>
      <c r="H394" s="218" t="s">
        <v>11349</v>
      </c>
    </row>
    <row r="395" spans="1:8" ht="25.5">
      <c r="A395" s="34">
        <f t="shared" si="6"/>
        <v>393</v>
      </c>
      <c r="B395" s="218" t="s">
        <v>11350</v>
      </c>
      <c r="C395" s="1" t="s">
        <v>10202</v>
      </c>
      <c r="D395" s="34" t="s">
        <v>10189</v>
      </c>
      <c r="E395" s="34" t="s">
        <v>11351</v>
      </c>
      <c r="F395" s="6" t="s">
        <v>11352</v>
      </c>
      <c r="G395" s="218" t="s">
        <v>11353</v>
      </c>
      <c r="H395" s="218" t="s">
        <v>11354</v>
      </c>
    </row>
    <row r="396" spans="1:8" ht="25.5">
      <c r="A396" s="34">
        <f t="shared" si="6"/>
        <v>394</v>
      </c>
      <c r="B396" s="218" t="s">
        <v>10501</v>
      </c>
      <c r="C396" s="1" t="s">
        <v>10792</v>
      </c>
      <c r="D396" s="34" t="s">
        <v>10189</v>
      </c>
      <c r="E396" s="34" t="s">
        <v>10793</v>
      </c>
      <c r="F396" s="6" t="s">
        <v>10794</v>
      </c>
      <c r="G396" s="218" t="s">
        <v>11355</v>
      </c>
      <c r="H396" s="218" t="s">
        <v>10796</v>
      </c>
    </row>
    <row r="397" spans="1:8">
      <c r="A397" s="34">
        <f t="shared" si="6"/>
        <v>395</v>
      </c>
      <c r="B397" s="218" t="s">
        <v>10782</v>
      </c>
      <c r="C397" s="1" t="s">
        <v>1027</v>
      </c>
      <c r="D397" s="34" t="s">
        <v>10189</v>
      </c>
      <c r="E397" s="34" t="s">
        <v>10616</v>
      </c>
      <c r="F397" s="6" t="s">
        <v>11356</v>
      </c>
      <c r="G397" s="218" t="s">
        <v>10784</v>
      </c>
      <c r="H397" s="218" t="s">
        <v>11357</v>
      </c>
    </row>
    <row r="398" spans="1:8" ht="25.5">
      <c r="A398" s="34">
        <f t="shared" si="6"/>
        <v>396</v>
      </c>
      <c r="B398" s="218" t="s">
        <v>11358</v>
      </c>
      <c r="C398" s="1" t="s">
        <v>11082</v>
      </c>
      <c r="D398" s="34" t="s">
        <v>11358</v>
      </c>
      <c r="E398" s="34" t="s">
        <v>11346</v>
      </c>
      <c r="F398" s="6" t="s">
        <v>11359</v>
      </c>
      <c r="G398" s="218" t="s">
        <v>11360</v>
      </c>
      <c r="H398" s="218" t="s">
        <v>254</v>
      </c>
    </row>
    <row r="399" spans="1:8" ht="25.5">
      <c r="A399" s="34">
        <f t="shared" si="6"/>
        <v>397</v>
      </c>
      <c r="B399" s="218" t="s">
        <v>11361</v>
      </c>
      <c r="C399" s="1" t="s">
        <v>843</v>
      </c>
      <c r="D399" s="34" t="s">
        <v>10189</v>
      </c>
      <c r="E399" s="34" t="s">
        <v>8596</v>
      </c>
      <c r="F399" s="6" t="s">
        <v>11362</v>
      </c>
      <c r="G399" s="218" t="s">
        <v>11363</v>
      </c>
      <c r="H399" s="218" t="s">
        <v>11364</v>
      </c>
    </row>
    <row r="400" spans="1:8" ht="25.5">
      <c r="A400" s="34">
        <f t="shared" si="6"/>
        <v>398</v>
      </c>
      <c r="B400" s="218" t="s">
        <v>11365</v>
      </c>
      <c r="C400" s="1" t="s">
        <v>10482</v>
      </c>
      <c r="D400" s="34" t="s">
        <v>10800</v>
      </c>
      <c r="E400" s="34" t="s">
        <v>10607</v>
      </c>
      <c r="F400" s="6" t="s">
        <v>11366</v>
      </c>
      <c r="G400" s="218" t="s">
        <v>11367</v>
      </c>
      <c r="H400" s="218" t="s">
        <v>11368</v>
      </c>
    </row>
    <row r="401" spans="1:8" ht="25.5">
      <c r="A401" s="34">
        <f t="shared" si="6"/>
        <v>399</v>
      </c>
      <c r="B401" s="218" t="s">
        <v>11369</v>
      </c>
      <c r="C401" s="1" t="s">
        <v>10435</v>
      </c>
      <c r="D401" s="34" t="s">
        <v>10805</v>
      </c>
      <c r="E401" s="34" t="s">
        <v>10607</v>
      </c>
      <c r="F401" s="6" t="s">
        <v>10801</v>
      </c>
      <c r="G401" s="218" t="s">
        <v>11370</v>
      </c>
      <c r="H401" s="218" t="s">
        <v>11371</v>
      </c>
    </row>
    <row r="402" spans="1:8" ht="38.25">
      <c r="A402" s="34">
        <f t="shared" si="6"/>
        <v>400</v>
      </c>
      <c r="B402" s="218" t="s">
        <v>11372</v>
      </c>
      <c r="C402" s="1" t="s">
        <v>132</v>
      </c>
      <c r="D402" s="34" t="s">
        <v>10805</v>
      </c>
      <c r="E402" s="34" t="s">
        <v>11373</v>
      </c>
      <c r="F402" s="6" t="s">
        <v>11374</v>
      </c>
      <c r="G402" s="218" t="s">
        <v>11375</v>
      </c>
      <c r="H402" s="218" t="s">
        <v>10314</v>
      </c>
    </row>
    <row r="403" spans="1:8" ht="25.5">
      <c r="A403" s="34">
        <f t="shared" si="6"/>
        <v>401</v>
      </c>
      <c r="B403" s="218" t="s">
        <v>11376</v>
      </c>
      <c r="C403" s="1" t="s">
        <v>132</v>
      </c>
      <c r="D403" s="34" t="s">
        <v>10805</v>
      </c>
      <c r="E403" s="34" t="s">
        <v>10607</v>
      </c>
      <c r="F403" s="6" t="s">
        <v>10812</v>
      </c>
      <c r="G403" s="218" t="s">
        <v>10813</v>
      </c>
      <c r="H403" s="218" t="s">
        <v>11377</v>
      </c>
    </row>
    <row r="404" spans="1:8" ht="38.25">
      <c r="A404" s="34">
        <f t="shared" si="6"/>
        <v>402</v>
      </c>
      <c r="B404" s="218" t="s">
        <v>11378</v>
      </c>
      <c r="C404" s="1" t="s">
        <v>132</v>
      </c>
      <c r="D404" s="34" t="s">
        <v>10805</v>
      </c>
      <c r="E404" s="34" t="s">
        <v>11335</v>
      </c>
      <c r="F404" s="6" t="s">
        <v>10720</v>
      </c>
      <c r="G404" s="218" t="s">
        <v>11379</v>
      </c>
      <c r="H404" s="218" t="s">
        <v>11380</v>
      </c>
    </row>
    <row r="405" spans="1:8" ht="38.25">
      <c r="A405" s="34">
        <f t="shared" si="6"/>
        <v>403</v>
      </c>
      <c r="B405" s="218" t="s">
        <v>11381</v>
      </c>
      <c r="C405" s="1" t="s">
        <v>132</v>
      </c>
      <c r="D405" s="34"/>
      <c r="E405" s="34" t="s">
        <v>10607</v>
      </c>
      <c r="F405" s="6" t="s">
        <v>11382</v>
      </c>
      <c r="G405" s="218" t="s">
        <v>10813</v>
      </c>
      <c r="H405" s="218" t="s">
        <v>11383</v>
      </c>
    </row>
    <row r="406" spans="1:8">
      <c r="A406" s="34">
        <f t="shared" si="6"/>
        <v>404</v>
      </c>
      <c r="B406" s="218" t="s">
        <v>10782</v>
      </c>
      <c r="C406" s="1" t="s">
        <v>10502</v>
      </c>
      <c r="D406" s="34" t="s">
        <v>10189</v>
      </c>
      <c r="E406" s="34" t="s">
        <v>10350</v>
      </c>
      <c r="F406" s="6" t="s">
        <v>10835</v>
      </c>
      <c r="G406" s="218" t="s">
        <v>10788</v>
      </c>
      <c r="H406" s="218" t="s">
        <v>5608</v>
      </c>
    </row>
    <row r="407" spans="1:8" ht="25.5">
      <c r="A407" s="34">
        <f t="shared" si="6"/>
        <v>405</v>
      </c>
      <c r="B407" s="218" t="s">
        <v>11384</v>
      </c>
      <c r="C407" s="1" t="s">
        <v>147</v>
      </c>
      <c r="D407" s="34" t="s">
        <v>10189</v>
      </c>
      <c r="E407" s="34" t="s">
        <v>10472</v>
      </c>
      <c r="F407" s="6" t="s">
        <v>10830</v>
      </c>
      <c r="G407" s="218" t="s">
        <v>10831</v>
      </c>
      <c r="H407" s="218" t="s">
        <v>10904</v>
      </c>
    </row>
    <row r="408" spans="1:8" ht="25.5">
      <c r="A408" s="34">
        <f t="shared" si="6"/>
        <v>406</v>
      </c>
      <c r="B408" s="218" t="s">
        <v>10836</v>
      </c>
      <c r="C408" s="1" t="s">
        <v>10377</v>
      </c>
      <c r="D408" s="34" t="s">
        <v>10189</v>
      </c>
      <c r="E408" s="34" t="s">
        <v>10424</v>
      </c>
      <c r="F408" s="6" t="s">
        <v>10837</v>
      </c>
      <c r="G408" s="218" t="s">
        <v>11385</v>
      </c>
      <c r="H408" s="218" t="s">
        <v>292</v>
      </c>
    </row>
    <row r="409" spans="1:8" ht="25.5">
      <c r="A409" s="34">
        <f t="shared" si="6"/>
        <v>407</v>
      </c>
      <c r="B409" s="218" t="s">
        <v>11386</v>
      </c>
      <c r="C409" s="1" t="s">
        <v>147</v>
      </c>
      <c r="D409" s="34" t="s">
        <v>10189</v>
      </c>
      <c r="E409" s="34" t="s">
        <v>10472</v>
      </c>
      <c r="F409" s="6" t="s">
        <v>11387</v>
      </c>
      <c r="G409" s="218" t="s">
        <v>8833</v>
      </c>
      <c r="H409" s="218" t="s">
        <v>10854</v>
      </c>
    </row>
    <row r="410" spans="1:8" ht="51">
      <c r="A410" s="34">
        <f t="shared" si="6"/>
        <v>408</v>
      </c>
      <c r="B410" s="218" t="s">
        <v>11388</v>
      </c>
      <c r="C410" s="1" t="s">
        <v>122</v>
      </c>
      <c r="D410" s="34" t="s">
        <v>11389</v>
      </c>
      <c r="E410" s="34" t="s">
        <v>10213</v>
      </c>
      <c r="F410" s="6" t="s">
        <v>11390</v>
      </c>
      <c r="G410" s="218" t="s">
        <v>10845</v>
      </c>
      <c r="H410" s="218" t="s">
        <v>11391</v>
      </c>
    </row>
    <row r="411" spans="1:8" ht="38.25">
      <c r="A411" s="34">
        <f t="shared" si="6"/>
        <v>409</v>
      </c>
      <c r="B411" s="218" t="s">
        <v>11392</v>
      </c>
      <c r="C411" s="1" t="s">
        <v>122</v>
      </c>
      <c r="D411" s="34" t="s">
        <v>10848</v>
      </c>
      <c r="E411" s="34" t="s">
        <v>10213</v>
      </c>
      <c r="F411" s="6" t="s">
        <v>10849</v>
      </c>
      <c r="G411" s="218" t="s">
        <v>10850</v>
      </c>
      <c r="H411" s="218" t="s">
        <v>11393</v>
      </c>
    </row>
    <row r="412" spans="1:8">
      <c r="A412" s="34">
        <f t="shared" si="6"/>
        <v>410</v>
      </c>
      <c r="B412" s="218" t="s">
        <v>11394</v>
      </c>
      <c r="C412" s="1" t="s">
        <v>302</v>
      </c>
      <c r="D412" s="34" t="s">
        <v>10189</v>
      </c>
      <c r="E412" s="34" t="s">
        <v>10230</v>
      </c>
      <c r="F412" s="6" t="s">
        <v>10888</v>
      </c>
      <c r="G412" s="218" t="s">
        <v>10232</v>
      </c>
      <c r="H412" s="218" t="s">
        <v>10233</v>
      </c>
    </row>
    <row r="413" spans="1:8" ht="25.5">
      <c r="A413" s="34">
        <f t="shared" si="6"/>
        <v>411</v>
      </c>
      <c r="B413" s="218" t="s">
        <v>11395</v>
      </c>
      <c r="C413" s="1" t="s">
        <v>10377</v>
      </c>
      <c r="D413" s="34" t="s">
        <v>10189</v>
      </c>
      <c r="E413" s="34" t="s">
        <v>10838</v>
      </c>
      <c r="F413" s="6" t="s">
        <v>11396</v>
      </c>
      <c r="G413" s="218" t="s">
        <v>10840</v>
      </c>
      <c r="H413" s="218" t="s">
        <v>10841</v>
      </c>
    </row>
    <row r="414" spans="1:8" ht="25.5">
      <c r="A414" s="34">
        <f t="shared" si="6"/>
        <v>412</v>
      </c>
      <c r="B414" s="218" t="s">
        <v>11397</v>
      </c>
      <c r="C414" s="1" t="s">
        <v>132</v>
      </c>
      <c r="D414" s="34" t="s">
        <v>10189</v>
      </c>
      <c r="E414" s="34" t="s">
        <v>10650</v>
      </c>
      <c r="F414" s="6" t="s">
        <v>11398</v>
      </c>
      <c r="G414" s="218" t="s">
        <v>11399</v>
      </c>
      <c r="H414" s="218" t="s">
        <v>4457</v>
      </c>
    </row>
    <row r="415" spans="1:8" ht="25.5">
      <c r="A415" s="34">
        <f t="shared" si="6"/>
        <v>413</v>
      </c>
      <c r="B415" s="218" t="s">
        <v>11400</v>
      </c>
      <c r="C415" s="1" t="s">
        <v>10502</v>
      </c>
      <c r="D415" s="34" t="s">
        <v>10189</v>
      </c>
      <c r="E415" s="34" t="s">
        <v>10856</v>
      </c>
      <c r="F415" s="6" t="s">
        <v>10857</v>
      </c>
      <c r="G415" s="218" t="s">
        <v>10858</v>
      </c>
      <c r="H415" s="218" t="s">
        <v>11401</v>
      </c>
    </row>
    <row r="416" spans="1:8" ht="51">
      <c r="A416" s="34">
        <f t="shared" si="6"/>
        <v>414</v>
      </c>
      <c r="B416" s="218" t="s">
        <v>10865</v>
      </c>
      <c r="C416" s="1" t="s">
        <v>122</v>
      </c>
      <c r="D416" s="34" t="s">
        <v>10866</v>
      </c>
      <c r="E416" s="34" t="s">
        <v>11402</v>
      </c>
      <c r="F416" s="6" t="s">
        <v>10867</v>
      </c>
      <c r="G416" s="218" t="s">
        <v>11403</v>
      </c>
      <c r="H416" s="218" t="s">
        <v>11404</v>
      </c>
    </row>
    <row r="417" spans="1:8" ht="25.5">
      <c r="A417" s="34">
        <f t="shared" si="6"/>
        <v>415</v>
      </c>
      <c r="B417" s="218" t="s">
        <v>11405</v>
      </c>
      <c r="C417" s="1" t="s">
        <v>122</v>
      </c>
      <c r="D417" s="34" t="s">
        <v>10189</v>
      </c>
      <c r="E417" s="34" t="s">
        <v>10238</v>
      </c>
      <c r="F417" s="6" t="s">
        <v>11406</v>
      </c>
      <c r="G417" s="218" t="s">
        <v>10240</v>
      </c>
      <c r="H417" s="218" t="s">
        <v>287</v>
      </c>
    </row>
    <row r="418" spans="1:8" ht="25.5">
      <c r="A418" s="34">
        <f t="shared" si="6"/>
        <v>416</v>
      </c>
      <c r="B418" s="218" t="s">
        <v>11407</v>
      </c>
      <c r="C418" s="1" t="s">
        <v>122</v>
      </c>
      <c r="D418" s="34"/>
      <c r="E418" s="34" t="s">
        <v>10278</v>
      </c>
      <c r="F418" s="6" t="s">
        <v>11408</v>
      </c>
      <c r="G418" s="218" t="s">
        <v>10286</v>
      </c>
      <c r="H418" s="218" t="s">
        <v>11409</v>
      </c>
    </row>
    <row r="419" spans="1:8" ht="25.5">
      <c r="A419" s="34">
        <f t="shared" si="6"/>
        <v>417</v>
      </c>
      <c r="B419" s="218" t="s">
        <v>11410</v>
      </c>
      <c r="C419" s="1" t="s">
        <v>10833</v>
      </c>
      <c r="D419" s="34" t="s">
        <v>10218</v>
      </c>
      <c r="E419" s="34" t="s">
        <v>10876</v>
      </c>
      <c r="F419" s="6" t="s">
        <v>11411</v>
      </c>
      <c r="G419" s="218" t="s">
        <v>11412</v>
      </c>
      <c r="H419" s="218" t="s">
        <v>11413</v>
      </c>
    </row>
    <row r="420" spans="1:8">
      <c r="A420" s="34">
        <f t="shared" si="6"/>
        <v>418</v>
      </c>
      <c r="B420" s="218" t="s">
        <v>10782</v>
      </c>
      <c r="C420" s="1" t="s">
        <v>132</v>
      </c>
      <c r="D420" s="34" t="s">
        <v>10189</v>
      </c>
      <c r="E420" s="34" t="s">
        <v>10526</v>
      </c>
      <c r="F420" s="6" t="s">
        <v>11414</v>
      </c>
      <c r="G420" s="218" t="s">
        <v>10882</v>
      </c>
      <c r="H420" s="218" t="s">
        <v>11415</v>
      </c>
    </row>
    <row r="421" spans="1:8" ht="25.5">
      <c r="A421" s="34">
        <f t="shared" si="6"/>
        <v>419</v>
      </c>
      <c r="B421" s="218" t="s">
        <v>11416</v>
      </c>
      <c r="C421" s="1" t="s">
        <v>1939</v>
      </c>
      <c r="D421" s="34" t="s">
        <v>10189</v>
      </c>
      <c r="E421" s="34" t="s">
        <v>11417</v>
      </c>
      <c r="F421" s="6" t="s">
        <v>11418</v>
      </c>
      <c r="G421" s="218" t="s">
        <v>11419</v>
      </c>
      <c r="H421" s="218" t="s">
        <v>3688</v>
      </c>
    </row>
    <row r="422" spans="1:8">
      <c r="A422" s="34">
        <f t="shared" si="6"/>
        <v>420</v>
      </c>
      <c r="B422" s="218" t="s">
        <v>10884</v>
      </c>
      <c r="C422" s="1" t="s">
        <v>1060</v>
      </c>
      <c r="D422" s="34" t="s">
        <v>10218</v>
      </c>
      <c r="E422" s="34" t="s">
        <v>10204</v>
      </c>
      <c r="F422" s="6" t="s">
        <v>11420</v>
      </c>
      <c r="G422" s="218" t="s">
        <v>10885</v>
      </c>
      <c r="H422" s="218" t="s">
        <v>11421</v>
      </c>
    </row>
    <row r="423" spans="1:8">
      <c r="A423" s="34">
        <f t="shared" si="6"/>
        <v>421</v>
      </c>
      <c r="B423" s="218" t="s">
        <v>10884</v>
      </c>
      <c r="C423" s="1" t="s">
        <v>11422</v>
      </c>
      <c r="D423" s="34" t="s">
        <v>10218</v>
      </c>
      <c r="E423" s="34" t="s">
        <v>10204</v>
      </c>
      <c r="F423" s="6" t="s">
        <v>11423</v>
      </c>
      <c r="G423" s="218" t="s">
        <v>10885</v>
      </c>
      <c r="H423" s="218" t="s">
        <v>11424</v>
      </c>
    </row>
    <row r="424" spans="1:8" ht="25.5">
      <c r="A424" s="34">
        <f t="shared" si="6"/>
        <v>422</v>
      </c>
      <c r="B424" s="218" t="s">
        <v>10890</v>
      </c>
      <c r="C424" s="1" t="s">
        <v>132</v>
      </c>
      <c r="D424" s="34" t="s">
        <v>10189</v>
      </c>
      <c r="E424" s="34" t="s">
        <v>10891</v>
      </c>
      <c r="F424" s="6" t="s">
        <v>10892</v>
      </c>
      <c r="G424" s="218" t="s">
        <v>10893</v>
      </c>
      <c r="H424" s="218" t="s">
        <v>11425</v>
      </c>
    </row>
    <row r="425" spans="1:8" ht="25.5">
      <c r="A425" s="34">
        <f t="shared" si="6"/>
        <v>423</v>
      </c>
      <c r="B425" s="218" t="s">
        <v>10890</v>
      </c>
      <c r="C425" s="1" t="s">
        <v>132</v>
      </c>
      <c r="D425" s="34" t="s">
        <v>10521</v>
      </c>
      <c r="E425" s="34" t="s">
        <v>10891</v>
      </c>
      <c r="F425" s="6" t="s">
        <v>10892</v>
      </c>
      <c r="G425" s="218" t="s">
        <v>10893</v>
      </c>
      <c r="H425" s="218" t="s">
        <v>11426</v>
      </c>
    </row>
    <row r="426" spans="1:8" ht="25.5">
      <c r="A426" s="34">
        <f t="shared" si="6"/>
        <v>424</v>
      </c>
      <c r="B426" s="218" t="s">
        <v>10890</v>
      </c>
      <c r="C426" s="1" t="s">
        <v>132</v>
      </c>
      <c r="D426" s="34" t="s">
        <v>10521</v>
      </c>
      <c r="E426" s="34" t="s">
        <v>10891</v>
      </c>
      <c r="F426" s="6" t="s">
        <v>11427</v>
      </c>
      <c r="G426" s="218" t="s">
        <v>10896</v>
      </c>
      <c r="H426" s="218" t="s">
        <v>11428</v>
      </c>
    </row>
    <row r="427" spans="1:8" ht="25.5">
      <c r="A427" s="34">
        <f t="shared" si="6"/>
        <v>425</v>
      </c>
      <c r="B427" s="218" t="s">
        <v>11429</v>
      </c>
      <c r="C427" s="1" t="s">
        <v>132</v>
      </c>
      <c r="D427" s="34" t="s">
        <v>10189</v>
      </c>
      <c r="E427" s="34" t="s">
        <v>10891</v>
      </c>
      <c r="F427" s="6" t="s">
        <v>10867</v>
      </c>
      <c r="G427" s="218" t="s">
        <v>10893</v>
      </c>
      <c r="H427" s="218" t="s">
        <v>11430</v>
      </c>
    </row>
    <row r="428" spans="1:8" ht="25.5">
      <c r="A428" s="34">
        <f t="shared" si="6"/>
        <v>426</v>
      </c>
      <c r="B428" s="218" t="s">
        <v>11431</v>
      </c>
      <c r="C428" s="1" t="s">
        <v>11432</v>
      </c>
      <c r="D428" s="34" t="s">
        <v>10189</v>
      </c>
      <c r="E428" s="34" t="s">
        <v>10472</v>
      </c>
      <c r="F428" s="6" t="s">
        <v>11433</v>
      </c>
      <c r="G428" s="218" t="s">
        <v>10831</v>
      </c>
      <c r="H428" s="218" t="s">
        <v>11434</v>
      </c>
    </row>
    <row r="429" spans="1:8" ht="25.5">
      <c r="A429" s="34">
        <f t="shared" si="6"/>
        <v>427</v>
      </c>
      <c r="B429" s="218" t="s">
        <v>10532</v>
      </c>
      <c r="C429" s="1" t="s">
        <v>10482</v>
      </c>
      <c r="D429" s="34" t="s">
        <v>10521</v>
      </c>
      <c r="E429" s="34" t="s">
        <v>10350</v>
      </c>
      <c r="F429" s="6" t="s">
        <v>10905</v>
      </c>
      <c r="G429" s="218" t="s">
        <v>10906</v>
      </c>
      <c r="H429" s="218" t="s">
        <v>11435</v>
      </c>
    </row>
    <row r="430" spans="1:8" ht="25.5">
      <c r="A430" s="34">
        <f t="shared" si="6"/>
        <v>428</v>
      </c>
      <c r="B430" s="218" t="s">
        <v>10532</v>
      </c>
      <c r="C430" s="1" t="s">
        <v>10482</v>
      </c>
      <c r="D430" s="34" t="s">
        <v>10521</v>
      </c>
      <c r="E430" s="34" t="s">
        <v>10350</v>
      </c>
      <c r="F430" s="6" t="s">
        <v>10905</v>
      </c>
      <c r="G430" s="218" t="s">
        <v>10906</v>
      </c>
      <c r="H430" s="218" t="s">
        <v>11436</v>
      </c>
    </row>
    <row r="431" spans="1:8" ht="25.5">
      <c r="A431" s="34">
        <f t="shared" si="6"/>
        <v>429</v>
      </c>
      <c r="B431" s="218" t="s">
        <v>10532</v>
      </c>
      <c r="C431" s="1" t="s">
        <v>132</v>
      </c>
      <c r="D431" s="34" t="s">
        <v>10521</v>
      </c>
      <c r="E431" s="34" t="s">
        <v>10350</v>
      </c>
      <c r="F431" s="6" t="s">
        <v>10905</v>
      </c>
      <c r="G431" s="218" t="s">
        <v>10906</v>
      </c>
      <c r="H431" s="218" t="s">
        <v>11437</v>
      </c>
    </row>
    <row r="432" spans="1:8" ht="25.5">
      <c r="A432" s="34">
        <f t="shared" si="6"/>
        <v>430</v>
      </c>
      <c r="B432" s="218" t="s">
        <v>10532</v>
      </c>
      <c r="C432" s="1" t="s">
        <v>11438</v>
      </c>
      <c r="D432" s="34" t="s">
        <v>10521</v>
      </c>
      <c r="E432" s="34" t="s">
        <v>11439</v>
      </c>
      <c r="F432" s="6" t="s">
        <v>11440</v>
      </c>
      <c r="G432" s="218" t="s">
        <v>10906</v>
      </c>
      <c r="H432" s="218" t="s">
        <v>11441</v>
      </c>
    </row>
    <row r="433" spans="1:8" ht="25.5">
      <c r="A433" s="34">
        <f t="shared" si="6"/>
        <v>431</v>
      </c>
      <c r="B433" s="218" t="s">
        <v>10532</v>
      </c>
      <c r="C433" s="1" t="s">
        <v>132</v>
      </c>
      <c r="D433" s="34" t="s">
        <v>10521</v>
      </c>
      <c r="E433" s="34" t="s">
        <v>10350</v>
      </c>
      <c r="F433" s="6" t="s">
        <v>10905</v>
      </c>
      <c r="G433" s="218" t="s">
        <v>10906</v>
      </c>
      <c r="H433" s="218" t="s">
        <v>11442</v>
      </c>
    </row>
    <row r="434" spans="1:8" ht="25.5">
      <c r="A434" s="34">
        <f t="shared" si="6"/>
        <v>432</v>
      </c>
      <c r="B434" s="218" t="s">
        <v>10532</v>
      </c>
      <c r="C434" s="1" t="s">
        <v>132</v>
      </c>
      <c r="D434" s="34" t="s">
        <v>10521</v>
      </c>
      <c r="E434" s="34" t="s">
        <v>10350</v>
      </c>
      <c r="F434" s="6" t="s">
        <v>10905</v>
      </c>
      <c r="G434" s="218" t="s">
        <v>10906</v>
      </c>
      <c r="H434" s="218" t="s">
        <v>11443</v>
      </c>
    </row>
    <row r="435" spans="1:8" ht="25.5">
      <c r="A435" s="34">
        <f t="shared" si="6"/>
        <v>433</v>
      </c>
      <c r="B435" s="218" t="s">
        <v>10532</v>
      </c>
      <c r="C435" s="1" t="s">
        <v>132</v>
      </c>
      <c r="D435" s="34" t="s">
        <v>10520</v>
      </c>
      <c r="E435" s="34" t="s">
        <v>10446</v>
      </c>
      <c r="F435" s="6" t="s">
        <v>11444</v>
      </c>
      <c r="G435" s="218" t="s">
        <v>10906</v>
      </c>
      <c r="H435" s="218" t="s">
        <v>11445</v>
      </c>
    </row>
    <row r="436" spans="1:8" ht="25.5">
      <c r="A436" s="34">
        <f t="shared" si="6"/>
        <v>434</v>
      </c>
      <c r="B436" s="218" t="s">
        <v>10532</v>
      </c>
      <c r="C436" s="1" t="s">
        <v>132</v>
      </c>
      <c r="D436" s="34" t="s">
        <v>10521</v>
      </c>
      <c r="E436" s="34" t="s">
        <v>10542</v>
      </c>
      <c r="F436" s="6" t="s">
        <v>11446</v>
      </c>
      <c r="G436" s="218" t="s">
        <v>10906</v>
      </c>
      <c r="H436" s="218" t="s">
        <v>11447</v>
      </c>
    </row>
    <row r="437" spans="1:8" ht="25.5">
      <c r="A437" s="34">
        <f t="shared" si="6"/>
        <v>435</v>
      </c>
      <c r="B437" s="218" t="s">
        <v>10532</v>
      </c>
      <c r="C437" s="1" t="s">
        <v>132</v>
      </c>
      <c r="D437" s="34" t="s">
        <v>10521</v>
      </c>
      <c r="E437" s="34" t="s">
        <v>10542</v>
      </c>
      <c r="F437" s="6" t="s">
        <v>11448</v>
      </c>
      <c r="G437" s="218" t="s">
        <v>10906</v>
      </c>
      <c r="H437" s="218" t="s">
        <v>11449</v>
      </c>
    </row>
    <row r="438" spans="1:8" ht="25.5">
      <c r="A438" s="34">
        <f t="shared" si="6"/>
        <v>436</v>
      </c>
      <c r="B438" s="218" t="s">
        <v>10532</v>
      </c>
      <c r="C438" s="1" t="s">
        <v>132</v>
      </c>
      <c r="D438" s="34" t="s">
        <v>10521</v>
      </c>
      <c r="E438" s="34" t="s">
        <v>10916</v>
      </c>
      <c r="F438" s="6" t="s">
        <v>11450</v>
      </c>
      <c r="G438" s="218" t="s">
        <v>10906</v>
      </c>
      <c r="H438" s="218" t="s">
        <v>11451</v>
      </c>
    </row>
    <row r="439" spans="1:8" ht="25.5">
      <c r="A439" s="34">
        <f t="shared" si="6"/>
        <v>437</v>
      </c>
      <c r="B439" s="218" t="s">
        <v>10532</v>
      </c>
      <c r="C439" s="1" t="s">
        <v>132</v>
      </c>
      <c r="D439" s="34" t="s">
        <v>10521</v>
      </c>
      <c r="E439" s="34" t="s">
        <v>10656</v>
      </c>
      <c r="F439" s="6" t="s">
        <v>10919</v>
      </c>
      <c r="G439" s="218" t="s">
        <v>10906</v>
      </c>
      <c r="H439" s="218" t="s">
        <v>11452</v>
      </c>
    </row>
    <row r="440" spans="1:8" ht="25.5">
      <c r="A440" s="34">
        <f t="shared" si="6"/>
        <v>438</v>
      </c>
      <c r="B440" s="218" t="s">
        <v>10532</v>
      </c>
      <c r="C440" s="1" t="s">
        <v>2008</v>
      </c>
      <c r="D440" s="34" t="s">
        <v>10521</v>
      </c>
      <c r="E440" s="34" t="s">
        <v>11453</v>
      </c>
      <c r="F440" s="6" t="s">
        <v>11454</v>
      </c>
      <c r="G440" s="218" t="s">
        <v>10906</v>
      </c>
      <c r="H440" s="218" t="s">
        <v>11455</v>
      </c>
    </row>
    <row r="441" spans="1:8" ht="25.5">
      <c r="A441" s="34">
        <f t="shared" si="6"/>
        <v>439</v>
      </c>
      <c r="B441" s="218" t="s">
        <v>10532</v>
      </c>
      <c r="C441" s="1" t="s">
        <v>10377</v>
      </c>
      <c r="D441" s="34" t="s">
        <v>10520</v>
      </c>
      <c r="E441" s="34" t="s">
        <v>10288</v>
      </c>
      <c r="F441" s="6" t="s">
        <v>10923</v>
      </c>
      <c r="G441" s="218" t="s">
        <v>10906</v>
      </c>
      <c r="H441" s="218" t="s">
        <v>11456</v>
      </c>
    </row>
    <row r="442" spans="1:8" ht="25.5">
      <c r="A442" s="34">
        <f t="shared" si="6"/>
        <v>440</v>
      </c>
      <c r="B442" s="218" t="s">
        <v>10532</v>
      </c>
      <c r="C442" s="1" t="s">
        <v>10377</v>
      </c>
      <c r="D442" s="34" t="s">
        <v>10521</v>
      </c>
      <c r="E442" s="34" t="s">
        <v>10925</v>
      </c>
      <c r="F442" s="6" t="s">
        <v>11457</v>
      </c>
      <c r="G442" s="218" t="s">
        <v>10906</v>
      </c>
      <c r="H442" s="218" t="s">
        <v>11458</v>
      </c>
    </row>
    <row r="443" spans="1:8" ht="25.5">
      <c r="A443" s="34">
        <f t="shared" si="6"/>
        <v>441</v>
      </c>
      <c r="B443" s="218" t="s">
        <v>10532</v>
      </c>
      <c r="C443" s="1" t="s">
        <v>132</v>
      </c>
      <c r="D443" s="34" t="s">
        <v>10521</v>
      </c>
      <c r="E443" s="34" t="s">
        <v>10891</v>
      </c>
      <c r="F443" s="6" t="s">
        <v>10928</v>
      </c>
      <c r="G443" s="218" t="s">
        <v>10906</v>
      </c>
      <c r="H443" s="218" t="s">
        <v>11459</v>
      </c>
    </row>
    <row r="444" spans="1:8" ht="25.5">
      <c r="A444" s="34">
        <f t="shared" si="6"/>
        <v>442</v>
      </c>
      <c r="B444" s="218" t="s">
        <v>10532</v>
      </c>
      <c r="C444" s="1" t="s">
        <v>132</v>
      </c>
      <c r="D444" s="34" t="s">
        <v>10521</v>
      </c>
      <c r="E444" s="34" t="s">
        <v>10891</v>
      </c>
      <c r="F444" s="6" t="s">
        <v>10928</v>
      </c>
      <c r="G444" s="218" t="s">
        <v>10906</v>
      </c>
      <c r="H444" s="218" t="s">
        <v>11460</v>
      </c>
    </row>
    <row r="445" spans="1:8" ht="25.5">
      <c r="A445" s="34">
        <f t="shared" si="6"/>
        <v>443</v>
      </c>
      <c r="B445" s="218" t="s">
        <v>10532</v>
      </c>
      <c r="C445" s="1" t="s">
        <v>132</v>
      </c>
      <c r="D445" s="34" t="s">
        <v>10520</v>
      </c>
      <c r="E445" s="34" t="s">
        <v>10891</v>
      </c>
      <c r="F445" s="6" t="s">
        <v>10928</v>
      </c>
      <c r="G445" s="218" t="s">
        <v>10906</v>
      </c>
      <c r="H445" s="218" t="s">
        <v>11461</v>
      </c>
    </row>
    <row r="446" spans="1:8" ht="25.5">
      <c r="A446" s="34">
        <f t="shared" si="6"/>
        <v>444</v>
      </c>
      <c r="B446" s="218" t="s">
        <v>10532</v>
      </c>
      <c r="C446" s="1" t="s">
        <v>132</v>
      </c>
      <c r="D446" s="34" t="s">
        <v>10521</v>
      </c>
      <c r="E446" s="34" t="s">
        <v>10891</v>
      </c>
      <c r="F446" s="6" t="s">
        <v>10928</v>
      </c>
      <c r="G446" s="218" t="s">
        <v>10906</v>
      </c>
      <c r="H446" s="218" t="s">
        <v>11462</v>
      </c>
    </row>
    <row r="447" spans="1:8" ht="25.5">
      <c r="A447" s="34">
        <f t="shared" si="6"/>
        <v>445</v>
      </c>
      <c r="B447" s="218" t="s">
        <v>10532</v>
      </c>
      <c r="C447" s="1" t="s">
        <v>132</v>
      </c>
      <c r="D447" s="34" t="s">
        <v>10520</v>
      </c>
      <c r="E447" s="34" t="s">
        <v>10891</v>
      </c>
      <c r="F447" s="6" t="s">
        <v>10928</v>
      </c>
      <c r="G447" s="218" t="s">
        <v>10906</v>
      </c>
      <c r="H447" s="218" t="s">
        <v>11463</v>
      </c>
    </row>
    <row r="448" spans="1:8" ht="25.5">
      <c r="A448" s="34">
        <f t="shared" si="6"/>
        <v>446</v>
      </c>
      <c r="B448" s="218" t="s">
        <v>10532</v>
      </c>
      <c r="C448" s="1" t="s">
        <v>132</v>
      </c>
      <c r="D448" s="34" t="s">
        <v>10521</v>
      </c>
      <c r="E448" s="34" t="s">
        <v>10891</v>
      </c>
      <c r="F448" s="6" t="s">
        <v>10933</v>
      </c>
      <c r="G448" s="218" t="s">
        <v>10906</v>
      </c>
      <c r="H448" s="218" t="s">
        <v>10935</v>
      </c>
    </row>
    <row r="449" spans="1:8" ht="25.5">
      <c r="A449" s="34">
        <f t="shared" si="6"/>
        <v>447</v>
      </c>
      <c r="B449" s="218" t="s">
        <v>10532</v>
      </c>
      <c r="C449" s="1" t="s">
        <v>132</v>
      </c>
      <c r="D449" s="34" t="s">
        <v>10521</v>
      </c>
      <c r="E449" s="34" t="s">
        <v>10936</v>
      </c>
      <c r="F449" s="6" t="s">
        <v>10937</v>
      </c>
      <c r="G449" s="218" t="s">
        <v>10906</v>
      </c>
      <c r="H449" s="218" t="s">
        <v>11464</v>
      </c>
    </row>
    <row r="450" spans="1:8" ht="25.5">
      <c r="A450" s="34">
        <f t="shared" si="6"/>
        <v>448</v>
      </c>
      <c r="B450" s="218" t="s">
        <v>10532</v>
      </c>
      <c r="C450" s="1" t="s">
        <v>132</v>
      </c>
      <c r="D450" s="34" t="s">
        <v>10521</v>
      </c>
      <c r="E450" s="34" t="s">
        <v>10936</v>
      </c>
      <c r="F450" s="6" t="s">
        <v>10937</v>
      </c>
      <c r="G450" s="218" t="s">
        <v>10906</v>
      </c>
      <c r="H450" s="218" t="s">
        <v>11465</v>
      </c>
    </row>
    <row r="451" spans="1:8" ht="25.5">
      <c r="A451" s="34">
        <f t="shared" si="6"/>
        <v>449</v>
      </c>
      <c r="B451" s="218" t="s">
        <v>10532</v>
      </c>
      <c r="C451" s="1" t="s">
        <v>132</v>
      </c>
      <c r="D451" s="34" t="s">
        <v>10521</v>
      </c>
      <c r="E451" s="34" t="s">
        <v>10936</v>
      </c>
      <c r="F451" s="6" t="s">
        <v>10937</v>
      </c>
      <c r="G451" s="218" t="s">
        <v>10906</v>
      </c>
      <c r="H451" s="218" t="s">
        <v>11466</v>
      </c>
    </row>
    <row r="452" spans="1:8" ht="25.5">
      <c r="A452" s="34">
        <f t="shared" ref="A452:A515" si="7">A451+1</f>
        <v>450</v>
      </c>
      <c r="B452" s="218" t="s">
        <v>10532</v>
      </c>
      <c r="C452" s="1" t="s">
        <v>132</v>
      </c>
      <c r="D452" s="34" t="s">
        <v>10521</v>
      </c>
      <c r="E452" s="34" t="s">
        <v>10936</v>
      </c>
      <c r="F452" s="6" t="s">
        <v>10937</v>
      </c>
      <c r="G452" s="218" t="s">
        <v>10906</v>
      </c>
      <c r="H452" s="218" t="s">
        <v>11467</v>
      </c>
    </row>
    <row r="453" spans="1:8" ht="25.5">
      <c r="A453" s="34">
        <f t="shared" si="7"/>
        <v>451</v>
      </c>
      <c r="B453" s="218" t="s">
        <v>10532</v>
      </c>
      <c r="C453" s="1" t="s">
        <v>10377</v>
      </c>
      <c r="D453" s="34" t="s">
        <v>10521</v>
      </c>
      <c r="E453" s="34" t="s">
        <v>10522</v>
      </c>
      <c r="F453" s="6" t="s">
        <v>10888</v>
      </c>
      <c r="G453" s="218" t="s">
        <v>10906</v>
      </c>
      <c r="H453" s="218" t="s">
        <v>11468</v>
      </c>
    </row>
    <row r="454" spans="1:8" ht="25.5">
      <c r="A454" s="34">
        <f t="shared" si="7"/>
        <v>452</v>
      </c>
      <c r="B454" s="218" t="s">
        <v>10532</v>
      </c>
      <c r="C454" s="1" t="s">
        <v>10377</v>
      </c>
      <c r="D454" s="34" t="s">
        <v>10521</v>
      </c>
      <c r="E454" s="34" t="s">
        <v>10522</v>
      </c>
      <c r="F454" s="6" t="s">
        <v>11469</v>
      </c>
      <c r="G454" s="218" t="s">
        <v>10906</v>
      </c>
      <c r="H454" s="218" t="s">
        <v>11470</v>
      </c>
    </row>
    <row r="455" spans="1:8" ht="25.5">
      <c r="A455" s="34">
        <f t="shared" si="7"/>
        <v>453</v>
      </c>
      <c r="B455" s="218" t="s">
        <v>11471</v>
      </c>
      <c r="C455" s="1" t="s">
        <v>132</v>
      </c>
      <c r="D455" s="34" t="s">
        <v>10189</v>
      </c>
      <c r="E455" s="34" t="s">
        <v>11335</v>
      </c>
      <c r="F455" s="6" t="s">
        <v>11006</v>
      </c>
      <c r="G455" s="218" t="s">
        <v>11472</v>
      </c>
      <c r="H455" s="218" t="s">
        <v>3028</v>
      </c>
    </row>
    <row r="456" spans="1:8" ht="25.5">
      <c r="A456" s="34">
        <f t="shared" si="7"/>
        <v>454</v>
      </c>
      <c r="B456" s="218" t="s">
        <v>11473</v>
      </c>
      <c r="C456" s="1" t="s">
        <v>10345</v>
      </c>
      <c r="D456" s="34" t="s">
        <v>10189</v>
      </c>
      <c r="E456" s="34" t="s">
        <v>10876</v>
      </c>
      <c r="F456" s="6" t="s">
        <v>11474</v>
      </c>
      <c r="G456" s="218" t="s">
        <v>11475</v>
      </c>
      <c r="H456" s="218" t="s">
        <v>11476</v>
      </c>
    </row>
    <row r="457" spans="1:8" ht="25.5">
      <c r="A457" s="34">
        <f t="shared" si="7"/>
        <v>455</v>
      </c>
      <c r="B457" s="218" t="s">
        <v>11477</v>
      </c>
      <c r="C457" s="1" t="s">
        <v>10435</v>
      </c>
      <c r="D457" s="34" t="s">
        <v>10189</v>
      </c>
      <c r="E457" s="34" t="s">
        <v>11478</v>
      </c>
      <c r="F457" s="6" t="s">
        <v>11479</v>
      </c>
      <c r="G457" s="218" t="s">
        <v>10280</v>
      </c>
      <c r="H457" s="218" t="s">
        <v>11480</v>
      </c>
    </row>
    <row r="458" spans="1:8" ht="25.5">
      <c r="A458" s="34">
        <f t="shared" si="7"/>
        <v>456</v>
      </c>
      <c r="B458" s="218" t="s">
        <v>11481</v>
      </c>
      <c r="C458" s="1" t="s">
        <v>132</v>
      </c>
      <c r="D458" s="34" t="s">
        <v>10189</v>
      </c>
      <c r="E458" s="34" t="s">
        <v>9617</v>
      </c>
      <c r="F458" s="6" t="s">
        <v>10190</v>
      </c>
      <c r="G458" s="218" t="s">
        <v>10492</v>
      </c>
      <c r="H458" s="218" t="s">
        <v>1734</v>
      </c>
    </row>
    <row r="459" spans="1:8" ht="25.5">
      <c r="A459" s="34">
        <f t="shared" si="7"/>
        <v>457</v>
      </c>
      <c r="B459" s="218" t="s">
        <v>11482</v>
      </c>
      <c r="C459" s="1" t="s">
        <v>132</v>
      </c>
      <c r="D459" s="34" t="s">
        <v>10189</v>
      </c>
      <c r="E459" s="34" t="s">
        <v>9617</v>
      </c>
      <c r="F459" s="6" t="s">
        <v>10190</v>
      </c>
      <c r="G459" s="218" t="s">
        <v>10492</v>
      </c>
      <c r="H459" s="218" t="s">
        <v>11483</v>
      </c>
    </row>
    <row r="460" spans="1:8" ht="25.5">
      <c r="A460" s="34">
        <f t="shared" si="7"/>
        <v>458</v>
      </c>
      <c r="B460" s="218" t="s">
        <v>11484</v>
      </c>
      <c r="C460" s="1" t="s">
        <v>132</v>
      </c>
      <c r="D460" s="34" t="s">
        <v>10218</v>
      </c>
      <c r="E460" s="34" t="s">
        <v>10198</v>
      </c>
      <c r="F460" s="6" t="s">
        <v>11485</v>
      </c>
      <c r="G460" s="218" t="s">
        <v>11486</v>
      </c>
      <c r="H460" s="218" t="s">
        <v>10197</v>
      </c>
    </row>
    <row r="461" spans="1:8" ht="25.5">
      <c r="A461" s="34">
        <f t="shared" si="7"/>
        <v>459</v>
      </c>
      <c r="B461" s="218" t="s">
        <v>11487</v>
      </c>
      <c r="C461" s="1" t="s">
        <v>10193</v>
      </c>
      <c r="D461" s="34" t="s">
        <v>10189</v>
      </c>
      <c r="E461" s="34" t="s">
        <v>10194</v>
      </c>
      <c r="F461" s="6" t="s">
        <v>11488</v>
      </c>
      <c r="G461" s="218" t="s">
        <v>11489</v>
      </c>
      <c r="H461" s="218" t="s">
        <v>10197</v>
      </c>
    </row>
    <row r="462" spans="1:8" ht="38.25">
      <c r="A462" s="34">
        <f t="shared" si="7"/>
        <v>460</v>
      </c>
      <c r="B462" s="218" t="s">
        <v>11490</v>
      </c>
      <c r="C462" s="1" t="s">
        <v>10345</v>
      </c>
      <c r="D462" s="34" t="s">
        <v>10189</v>
      </c>
      <c r="E462" s="34" t="s">
        <v>10621</v>
      </c>
      <c r="F462" s="6" t="s">
        <v>11199</v>
      </c>
      <c r="G462" s="218" t="s">
        <v>11491</v>
      </c>
      <c r="H462" s="218" t="s">
        <v>11492</v>
      </c>
    </row>
    <row r="463" spans="1:8" ht="25.5">
      <c r="A463" s="34">
        <f t="shared" si="7"/>
        <v>461</v>
      </c>
      <c r="B463" s="218" t="s">
        <v>11493</v>
      </c>
      <c r="C463" s="1" t="s">
        <v>122</v>
      </c>
      <c r="D463" s="34" t="s">
        <v>10189</v>
      </c>
      <c r="E463" s="34" t="s">
        <v>10341</v>
      </c>
      <c r="F463" s="6" t="s">
        <v>11494</v>
      </c>
      <c r="G463" s="218" t="s">
        <v>10605</v>
      </c>
      <c r="H463" s="218" t="s">
        <v>8173</v>
      </c>
    </row>
    <row r="464" spans="1:8" ht="25.5">
      <c r="A464" s="34">
        <f t="shared" si="7"/>
        <v>462</v>
      </c>
      <c r="B464" s="218" t="s">
        <v>11495</v>
      </c>
      <c r="C464" s="1" t="s">
        <v>212</v>
      </c>
      <c r="D464" s="34" t="s">
        <v>10189</v>
      </c>
      <c r="E464" s="34" t="s">
        <v>10621</v>
      </c>
      <c r="F464" s="6" t="s">
        <v>11496</v>
      </c>
      <c r="G464" s="218" t="s">
        <v>11497</v>
      </c>
      <c r="H464" s="218" t="s">
        <v>11498</v>
      </c>
    </row>
    <row r="465" spans="1:8" ht="25.5">
      <c r="A465" s="34">
        <f t="shared" si="7"/>
        <v>463</v>
      </c>
      <c r="B465" s="218" t="s">
        <v>11499</v>
      </c>
      <c r="C465" s="1" t="s">
        <v>10202</v>
      </c>
      <c r="D465" s="34" t="s">
        <v>10203</v>
      </c>
      <c r="E465" s="34" t="s">
        <v>10213</v>
      </c>
      <c r="F465" s="6" t="s">
        <v>11500</v>
      </c>
      <c r="G465" s="218" t="s">
        <v>11501</v>
      </c>
      <c r="H465" s="218" t="s">
        <v>11502</v>
      </c>
    </row>
    <row r="466" spans="1:8" ht="25.5">
      <c r="A466" s="34">
        <f t="shared" si="7"/>
        <v>464</v>
      </c>
      <c r="B466" s="218" t="s">
        <v>11503</v>
      </c>
      <c r="C466" s="1" t="s">
        <v>10202</v>
      </c>
      <c r="D466" s="34" t="s">
        <v>10218</v>
      </c>
      <c r="E466" s="34" t="s">
        <v>8596</v>
      </c>
      <c r="F466" s="6" t="s">
        <v>11504</v>
      </c>
      <c r="G466" s="218" t="s">
        <v>11505</v>
      </c>
      <c r="H466" s="218" t="s">
        <v>11506</v>
      </c>
    </row>
    <row r="467" spans="1:8" ht="25.5">
      <c r="A467" s="34">
        <f t="shared" si="7"/>
        <v>465</v>
      </c>
      <c r="B467" s="218" t="s">
        <v>11507</v>
      </c>
      <c r="C467" s="1" t="s">
        <v>212</v>
      </c>
      <c r="D467" s="34" t="s">
        <v>10189</v>
      </c>
      <c r="E467" s="34" t="s">
        <v>10209</v>
      </c>
      <c r="F467" s="6" t="s">
        <v>10669</v>
      </c>
      <c r="G467" s="218" t="s">
        <v>8605</v>
      </c>
      <c r="H467" s="218" t="s">
        <v>11508</v>
      </c>
    </row>
    <row r="468" spans="1:8" ht="25.5">
      <c r="A468" s="34">
        <f t="shared" si="7"/>
        <v>466</v>
      </c>
      <c r="B468" s="218" t="s">
        <v>11509</v>
      </c>
      <c r="C468" s="1" t="s">
        <v>137</v>
      </c>
      <c r="D468" s="34" t="s">
        <v>10189</v>
      </c>
      <c r="E468" s="34" t="s">
        <v>10386</v>
      </c>
      <c r="F468" s="6" t="s">
        <v>10798</v>
      </c>
      <c r="G468" s="218" t="s">
        <v>10742</v>
      </c>
      <c r="H468" s="218" t="s">
        <v>10743</v>
      </c>
    </row>
    <row r="469" spans="1:8" ht="25.5">
      <c r="A469" s="34">
        <f t="shared" si="7"/>
        <v>467</v>
      </c>
      <c r="B469" s="218" t="s">
        <v>11510</v>
      </c>
      <c r="C469" s="1" t="s">
        <v>132</v>
      </c>
      <c r="D469" s="34" t="s">
        <v>10189</v>
      </c>
      <c r="E469" s="34" t="s">
        <v>9617</v>
      </c>
      <c r="F469" s="6" t="s">
        <v>11511</v>
      </c>
      <c r="G469" s="218" t="s">
        <v>8839</v>
      </c>
      <c r="H469" s="218" t="s">
        <v>11512</v>
      </c>
    </row>
    <row r="470" spans="1:8" ht="25.5">
      <c r="A470" s="34">
        <f t="shared" si="7"/>
        <v>468</v>
      </c>
      <c r="B470" s="218" t="s">
        <v>11513</v>
      </c>
      <c r="C470" s="1" t="s">
        <v>137</v>
      </c>
      <c r="D470" s="34" t="s">
        <v>10218</v>
      </c>
      <c r="E470" s="34" t="s">
        <v>10219</v>
      </c>
      <c r="F470" s="6" t="s">
        <v>10798</v>
      </c>
      <c r="G470" s="218" t="s">
        <v>10249</v>
      </c>
      <c r="H470" s="218" t="s">
        <v>10281</v>
      </c>
    </row>
    <row r="471" spans="1:8" ht="25.5">
      <c r="A471" s="34">
        <f t="shared" si="7"/>
        <v>469</v>
      </c>
      <c r="B471" s="218" t="s">
        <v>11514</v>
      </c>
      <c r="C471" s="1" t="s">
        <v>132</v>
      </c>
      <c r="D471" s="34" t="s">
        <v>10218</v>
      </c>
      <c r="E471" s="34" t="s">
        <v>11515</v>
      </c>
      <c r="F471" s="6" t="s">
        <v>11516</v>
      </c>
      <c r="G471" s="218" t="s">
        <v>10518</v>
      </c>
      <c r="H471" s="218" t="s">
        <v>11517</v>
      </c>
    </row>
    <row r="472" spans="1:8" ht="25.5">
      <c r="A472" s="34">
        <f t="shared" si="7"/>
        <v>470</v>
      </c>
      <c r="B472" s="218" t="s">
        <v>11518</v>
      </c>
      <c r="C472" s="1" t="s">
        <v>132</v>
      </c>
      <c r="D472" s="34" t="s">
        <v>10218</v>
      </c>
      <c r="E472" s="34" t="s">
        <v>11515</v>
      </c>
      <c r="F472" s="6" t="s">
        <v>10248</v>
      </c>
      <c r="G472" s="218" t="s">
        <v>10518</v>
      </c>
      <c r="H472" s="218" t="s">
        <v>11519</v>
      </c>
    </row>
    <row r="473" spans="1:8" ht="25.5">
      <c r="A473" s="34">
        <f t="shared" si="7"/>
        <v>471</v>
      </c>
      <c r="B473" s="218" t="s">
        <v>11520</v>
      </c>
      <c r="C473" s="1" t="s">
        <v>132</v>
      </c>
      <c r="D473" s="34" t="s">
        <v>10218</v>
      </c>
      <c r="E473" s="34" t="s">
        <v>10257</v>
      </c>
      <c r="F473" s="6" t="s">
        <v>11479</v>
      </c>
      <c r="G473" s="218" t="s">
        <v>10259</v>
      </c>
      <c r="H473" s="218" t="s">
        <v>10306</v>
      </c>
    </row>
    <row r="474" spans="1:8" ht="38.25">
      <c r="A474" s="34">
        <f t="shared" si="7"/>
        <v>472</v>
      </c>
      <c r="B474" s="218" t="s">
        <v>11521</v>
      </c>
      <c r="C474" s="1" t="s">
        <v>132</v>
      </c>
      <c r="D474" s="34" t="s">
        <v>10218</v>
      </c>
      <c r="E474" s="34" t="s">
        <v>10257</v>
      </c>
      <c r="F474" s="6" t="s">
        <v>10265</v>
      </c>
      <c r="G474" s="218" t="s">
        <v>10259</v>
      </c>
      <c r="H474" s="218" t="s">
        <v>11032</v>
      </c>
    </row>
    <row r="475" spans="1:8" ht="25.5">
      <c r="A475" s="34">
        <f t="shared" si="7"/>
        <v>473</v>
      </c>
      <c r="B475" s="218" t="s">
        <v>11522</v>
      </c>
      <c r="C475" s="1" t="s">
        <v>132</v>
      </c>
      <c r="D475" s="34" t="s">
        <v>10218</v>
      </c>
      <c r="E475" s="34" t="s">
        <v>10257</v>
      </c>
      <c r="F475" s="6" t="s">
        <v>11523</v>
      </c>
      <c r="G475" s="218" t="s">
        <v>10259</v>
      </c>
      <c r="H475" s="218" t="s">
        <v>11512</v>
      </c>
    </row>
    <row r="476" spans="1:8" ht="25.5">
      <c r="A476" s="34">
        <f t="shared" si="7"/>
        <v>474</v>
      </c>
      <c r="B476" s="218" t="s">
        <v>11524</v>
      </c>
      <c r="C476" s="1" t="s">
        <v>132</v>
      </c>
      <c r="D476" s="34" t="s">
        <v>10218</v>
      </c>
      <c r="E476" s="34" t="s">
        <v>10257</v>
      </c>
      <c r="F476" s="6" t="s">
        <v>11525</v>
      </c>
      <c r="G476" s="218" t="s">
        <v>10259</v>
      </c>
      <c r="H476" s="218" t="s">
        <v>11526</v>
      </c>
    </row>
    <row r="477" spans="1:8" ht="25.5">
      <c r="A477" s="34">
        <f t="shared" si="7"/>
        <v>475</v>
      </c>
      <c r="B477" s="218" t="s">
        <v>11527</v>
      </c>
      <c r="C477" s="1" t="s">
        <v>132</v>
      </c>
      <c r="D477" s="34" t="s">
        <v>10218</v>
      </c>
      <c r="E477" s="34" t="s">
        <v>11528</v>
      </c>
      <c r="F477" s="6" t="s">
        <v>10265</v>
      </c>
      <c r="G477" s="218" t="s">
        <v>11529</v>
      </c>
      <c r="H477" s="218" t="s">
        <v>11530</v>
      </c>
    </row>
    <row r="478" spans="1:8" ht="25.5">
      <c r="A478" s="34">
        <f t="shared" si="7"/>
        <v>476</v>
      </c>
      <c r="B478" s="218" t="s">
        <v>11531</v>
      </c>
      <c r="C478" s="1" t="s">
        <v>122</v>
      </c>
      <c r="D478" s="34" t="s">
        <v>10184</v>
      </c>
      <c r="E478" s="34" t="s">
        <v>10786</v>
      </c>
      <c r="F478" s="6" t="s">
        <v>11532</v>
      </c>
      <c r="G478" s="218" t="s">
        <v>11533</v>
      </c>
      <c r="H478" s="218" t="s">
        <v>11534</v>
      </c>
    </row>
    <row r="479" spans="1:8" ht="25.5">
      <c r="A479" s="34">
        <f t="shared" si="7"/>
        <v>477</v>
      </c>
      <c r="B479" s="218" t="s">
        <v>11535</v>
      </c>
      <c r="C479" s="1" t="s">
        <v>137</v>
      </c>
      <c r="D479" s="34" t="s">
        <v>10184</v>
      </c>
      <c r="E479" s="34" t="s">
        <v>10278</v>
      </c>
      <c r="F479" s="6" t="s">
        <v>10283</v>
      </c>
      <c r="G479" s="218" t="s">
        <v>10280</v>
      </c>
      <c r="H479" s="218" t="s">
        <v>10281</v>
      </c>
    </row>
    <row r="480" spans="1:8" ht="25.5">
      <c r="A480" s="34">
        <f t="shared" si="7"/>
        <v>478</v>
      </c>
      <c r="B480" s="218" t="s">
        <v>11536</v>
      </c>
      <c r="C480" s="1" t="s">
        <v>137</v>
      </c>
      <c r="D480" s="34" t="s">
        <v>10184</v>
      </c>
      <c r="E480" s="34" t="s">
        <v>10278</v>
      </c>
      <c r="F480" s="6" t="s">
        <v>11537</v>
      </c>
      <c r="G480" s="218" t="s">
        <v>10286</v>
      </c>
      <c r="H480" s="218" t="s">
        <v>10281</v>
      </c>
    </row>
    <row r="481" spans="1:8" ht="25.5">
      <c r="A481" s="34">
        <f t="shared" si="7"/>
        <v>479</v>
      </c>
      <c r="B481" s="218" t="s">
        <v>11538</v>
      </c>
      <c r="C481" s="1" t="s">
        <v>212</v>
      </c>
      <c r="D481" s="34" t="s">
        <v>10184</v>
      </c>
      <c r="E481" s="34" t="s">
        <v>10293</v>
      </c>
      <c r="F481" s="6" t="s">
        <v>11539</v>
      </c>
      <c r="G481" s="218" t="s">
        <v>10295</v>
      </c>
      <c r="H481" s="218" t="s">
        <v>11540</v>
      </c>
    </row>
    <row r="482" spans="1:8" ht="25.5">
      <c r="A482" s="34">
        <f t="shared" si="7"/>
        <v>480</v>
      </c>
      <c r="B482" s="218" t="s">
        <v>11541</v>
      </c>
      <c r="C482" s="1" t="s">
        <v>212</v>
      </c>
      <c r="D482" s="34" t="s">
        <v>10184</v>
      </c>
      <c r="E482" s="34" t="s">
        <v>10293</v>
      </c>
      <c r="F482" s="6" t="s">
        <v>11542</v>
      </c>
      <c r="G482" s="218" t="s">
        <v>10295</v>
      </c>
      <c r="H482" s="218" t="s">
        <v>11543</v>
      </c>
    </row>
    <row r="483" spans="1:8" ht="25.5">
      <c r="A483" s="34">
        <f t="shared" si="7"/>
        <v>481</v>
      </c>
      <c r="B483" s="218" t="s">
        <v>11544</v>
      </c>
      <c r="C483" s="1" t="s">
        <v>212</v>
      </c>
      <c r="D483" s="34" t="s">
        <v>10184</v>
      </c>
      <c r="E483" s="34" t="s">
        <v>10293</v>
      </c>
      <c r="F483" s="6" t="s">
        <v>11545</v>
      </c>
      <c r="G483" s="218" t="s">
        <v>10295</v>
      </c>
      <c r="H483" s="218" t="s">
        <v>11546</v>
      </c>
    </row>
    <row r="484" spans="1:8" ht="25.5">
      <c r="A484" s="34">
        <f t="shared" si="7"/>
        <v>482</v>
      </c>
      <c r="B484" s="218" t="s">
        <v>11547</v>
      </c>
      <c r="C484" s="1" t="s">
        <v>122</v>
      </c>
      <c r="D484" s="34" t="s">
        <v>10184</v>
      </c>
      <c r="E484" s="34" t="s">
        <v>11086</v>
      </c>
      <c r="F484" s="6" t="s">
        <v>11548</v>
      </c>
      <c r="G484" s="218" t="s">
        <v>11549</v>
      </c>
      <c r="H484" s="218" t="s">
        <v>11550</v>
      </c>
    </row>
    <row r="485" spans="1:8" ht="25.5">
      <c r="A485" s="34">
        <f t="shared" si="7"/>
        <v>483</v>
      </c>
      <c r="B485" s="218" t="s">
        <v>11551</v>
      </c>
      <c r="C485" s="1" t="s">
        <v>212</v>
      </c>
      <c r="D485" s="34" t="s">
        <v>10184</v>
      </c>
      <c r="E485" s="34" t="s">
        <v>10293</v>
      </c>
      <c r="F485" s="6" t="s">
        <v>11552</v>
      </c>
      <c r="G485" s="218" t="s">
        <v>11553</v>
      </c>
      <c r="H485" s="218" t="s">
        <v>11554</v>
      </c>
    </row>
    <row r="486" spans="1:8" ht="25.5">
      <c r="A486" s="34">
        <f t="shared" si="7"/>
        <v>484</v>
      </c>
      <c r="B486" s="218" t="s">
        <v>11555</v>
      </c>
      <c r="C486" s="1" t="s">
        <v>132</v>
      </c>
      <c r="D486" s="34" t="s">
        <v>10184</v>
      </c>
      <c r="E486" s="34" t="s">
        <v>10300</v>
      </c>
      <c r="F486" s="6" t="s">
        <v>10301</v>
      </c>
      <c r="G486" s="218" t="s">
        <v>10302</v>
      </c>
      <c r="H486" s="218" t="s">
        <v>10303</v>
      </c>
    </row>
    <row r="487" spans="1:8" ht="25.5">
      <c r="A487" s="34">
        <f t="shared" si="7"/>
        <v>485</v>
      </c>
      <c r="B487" s="218" t="s">
        <v>11556</v>
      </c>
      <c r="C487" s="1" t="s">
        <v>132</v>
      </c>
      <c r="D487" s="34" t="s">
        <v>10184</v>
      </c>
      <c r="E487" s="34" t="s">
        <v>10300</v>
      </c>
      <c r="F487" s="6" t="s">
        <v>10301</v>
      </c>
      <c r="G487" s="218" t="s">
        <v>10302</v>
      </c>
      <c r="H487" s="218" t="s">
        <v>10303</v>
      </c>
    </row>
    <row r="488" spans="1:8" ht="25.5">
      <c r="A488" s="34">
        <f t="shared" si="7"/>
        <v>486</v>
      </c>
      <c r="B488" s="218" t="s">
        <v>11557</v>
      </c>
      <c r="C488" s="1" t="s">
        <v>132</v>
      </c>
      <c r="D488" s="34" t="s">
        <v>10184</v>
      </c>
      <c r="E488" s="34" t="s">
        <v>10300</v>
      </c>
      <c r="F488" s="6" t="s">
        <v>10308</v>
      </c>
      <c r="G488" s="218" t="s">
        <v>10302</v>
      </c>
      <c r="H488" s="218" t="s">
        <v>11316</v>
      </c>
    </row>
    <row r="489" spans="1:8" ht="25.5">
      <c r="A489" s="34">
        <f t="shared" si="7"/>
        <v>487</v>
      </c>
      <c r="B489" s="218" t="s">
        <v>11558</v>
      </c>
      <c r="C489" s="1" t="s">
        <v>132</v>
      </c>
      <c r="D489" s="34" t="s">
        <v>10184</v>
      </c>
      <c r="E489" s="34" t="s">
        <v>10300</v>
      </c>
      <c r="F489" s="6" t="s">
        <v>10311</v>
      </c>
      <c r="G489" s="218" t="s">
        <v>10302</v>
      </c>
      <c r="H489" s="218" t="s">
        <v>10260</v>
      </c>
    </row>
    <row r="490" spans="1:8" ht="25.5">
      <c r="A490" s="34">
        <f t="shared" si="7"/>
        <v>488</v>
      </c>
      <c r="B490" s="218" t="s">
        <v>11559</v>
      </c>
      <c r="C490" s="1" t="s">
        <v>132</v>
      </c>
      <c r="D490" s="34" t="s">
        <v>10184</v>
      </c>
      <c r="E490" s="34" t="s">
        <v>10300</v>
      </c>
      <c r="F490" s="6" t="s">
        <v>10308</v>
      </c>
      <c r="G490" s="218" t="s">
        <v>10302</v>
      </c>
      <c r="H490" s="218" t="s">
        <v>11560</v>
      </c>
    </row>
    <row r="491" spans="1:8" ht="25.5">
      <c r="A491" s="34">
        <f t="shared" si="7"/>
        <v>489</v>
      </c>
      <c r="B491" s="218" t="s">
        <v>11561</v>
      </c>
      <c r="C491" s="1" t="s">
        <v>132</v>
      </c>
      <c r="D491" s="34" t="s">
        <v>10184</v>
      </c>
      <c r="E491" s="34" t="s">
        <v>10300</v>
      </c>
      <c r="F491" s="6" t="s">
        <v>10301</v>
      </c>
      <c r="G491" s="218" t="s">
        <v>10302</v>
      </c>
      <c r="H491" s="218" t="s">
        <v>10316</v>
      </c>
    </row>
    <row r="492" spans="1:8" ht="25.5">
      <c r="A492" s="34">
        <f t="shared" si="7"/>
        <v>490</v>
      </c>
      <c r="B492" s="218" t="s">
        <v>11562</v>
      </c>
      <c r="C492" s="1" t="s">
        <v>132</v>
      </c>
      <c r="D492" s="34" t="s">
        <v>10184</v>
      </c>
      <c r="E492" s="34" t="s">
        <v>10300</v>
      </c>
      <c r="F492" s="6" t="s">
        <v>11150</v>
      </c>
      <c r="G492" s="218" t="s">
        <v>10302</v>
      </c>
      <c r="H492" s="218" t="s">
        <v>11563</v>
      </c>
    </row>
    <row r="493" spans="1:8" ht="25.5">
      <c r="A493" s="34">
        <f t="shared" si="7"/>
        <v>491</v>
      </c>
      <c r="B493" s="218" t="s">
        <v>11564</v>
      </c>
      <c r="C493" s="1" t="s">
        <v>132</v>
      </c>
      <c r="D493" s="34" t="s">
        <v>10184</v>
      </c>
      <c r="E493" s="34" t="s">
        <v>10300</v>
      </c>
      <c r="F493" s="6" t="s">
        <v>10301</v>
      </c>
      <c r="G493" s="218" t="s">
        <v>10302</v>
      </c>
      <c r="H493" s="218" t="s">
        <v>10316</v>
      </c>
    </row>
    <row r="494" spans="1:8" ht="25.5">
      <c r="A494" s="34">
        <f t="shared" si="7"/>
        <v>492</v>
      </c>
      <c r="B494" s="218" t="s">
        <v>11565</v>
      </c>
      <c r="C494" s="1" t="s">
        <v>212</v>
      </c>
      <c r="D494" s="34" t="s">
        <v>10184</v>
      </c>
      <c r="E494" s="34" t="s">
        <v>10268</v>
      </c>
      <c r="F494" s="6" t="s">
        <v>11566</v>
      </c>
      <c r="G494" s="218" t="s">
        <v>11567</v>
      </c>
      <c r="H494" s="218" t="s">
        <v>10271</v>
      </c>
    </row>
    <row r="495" spans="1:8" ht="25.5">
      <c r="A495" s="34">
        <f t="shared" si="7"/>
        <v>493</v>
      </c>
      <c r="B495" s="218" t="s">
        <v>11568</v>
      </c>
      <c r="C495" s="1" t="s">
        <v>11569</v>
      </c>
      <c r="D495" s="34" t="s">
        <v>10184</v>
      </c>
      <c r="E495" s="34" t="s">
        <v>10224</v>
      </c>
      <c r="F495" s="6" t="s">
        <v>11570</v>
      </c>
      <c r="G495" s="218" t="s">
        <v>10226</v>
      </c>
      <c r="H495" s="218" t="s">
        <v>10500</v>
      </c>
    </row>
    <row r="496" spans="1:8" ht="25.5">
      <c r="A496" s="34">
        <f t="shared" si="7"/>
        <v>494</v>
      </c>
      <c r="B496" s="218" t="s">
        <v>11571</v>
      </c>
      <c r="C496" s="1" t="s">
        <v>132</v>
      </c>
      <c r="D496" s="34" t="s">
        <v>10184</v>
      </c>
      <c r="E496" s="34" t="s">
        <v>10300</v>
      </c>
      <c r="F496" s="6" t="s">
        <v>10301</v>
      </c>
      <c r="G496" s="218" t="s">
        <v>10302</v>
      </c>
      <c r="H496" s="218" t="s">
        <v>10316</v>
      </c>
    </row>
    <row r="497" spans="1:8" ht="25.5">
      <c r="A497" s="34">
        <f t="shared" si="7"/>
        <v>495</v>
      </c>
      <c r="B497" s="218" t="s">
        <v>11572</v>
      </c>
      <c r="C497" s="1" t="s">
        <v>122</v>
      </c>
      <c r="D497" s="34" t="s">
        <v>10184</v>
      </c>
      <c r="E497" s="34" t="s">
        <v>10273</v>
      </c>
      <c r="F497" s="6" t="s">
        <v>11059</v>
      </c>
      <c r="G497" s="218" t="s">
        <v>10334</v>
      </c>
      <c r="H497" s="218" t="s">
        <v>10276</v>
      </c>
    </row>
    <row r="498" spans="1:8" ht="25.5">
      <c r="A498" s="34">
        <f t="shared" si="7"/>
        <v>496</v>
      </c>
      <c r="B498" s="218" t="s">
        <v>11573</v>
      </c>
      <c r="C498" s="1" t="s">
        <v>132</v>
      </c>
      <c r="D498" s="34" t="s">
        <v>10184</v>
      </c>
      <c r="E498" s="34" t="s">
        <v>10446</v>
      </c>
      <c r="F498" s="6" t="s">
        <v>11574</v>
      </c>
      <c r="G498" s="218" t="s">
        <v>11046</v>
      </c>
      <c r="H498" s="218" t="s">
        <v>11575</v>
      </c>
    </row>
    <row r="499" spans="1:8" ht="25.5">
      <c r="A499" s="34">
        <f t="shared" si="7"/>
        <v>497</v>
      </c>
      <c r="B499" s="218" t="s">
        <v>11576</v>
      </c>
      <c r="C499" s="1" t="s">
        <v>122</v>
      </c>
      <c r="D499" s="34" t="s">
        <v>10184</v>
      </c>
      <c r="E499" s="34" t="s">
        <v>10273</v>
      </c>
      <c r="F499" s="6" t="s">
        <v>11059</v>
      </c>
      <c r="G499" s="218" t="s">
        <v>10334</v>
      </c>
      <c r="H499" s="218" t="s">
        <v>10276</v>
      </c>
    </row>
    <row r="500" spans="1:8" ht="25.5">
      <c r="A500" s="34">
        <f t="shared" si="7"/>
        <v>498</v>
      </c>
      <c r="B500" s="218" t="s">
        <v>11577</v>
      </c>
      <c r="C500" s="1" t="s">
        <v>132</v>
      </c>
      <c r="D500" s="34" t="s">
        <v>10336</v>
      </c>
      <c r="E500" s="34" t="s">
        <v>10341</v>
      </c>
      <c r="F500" s="6" t="s">
        <v>11056</v>
      </c>
      <c r="G500" s="218" t="s">
        <v>10338</v>
      </c>
      <c r="H500" s="218" t="s">
        <v>10343</v>
      </c>
    </row>
    <row r="501" spans="1:8" ht="25.5">
      <c r="A501" s="34">
        <f t="shared" si="7"/>
        <v>499</v>
      </c>
      <c r="B501" s="218" t="s">
        <v>11578</v>
      </c>
      <c r="C501" s="1" t="s">
        <v>132</v>
      </c>
      <c r="D501" s="34" t="s">
        <v>10336</v>
      </c>
      <c r="E501" s="34" t="s">
        <v>10341</v>
      </c>
      <c r="F501" s="6" t="s">
        <v>11579</v>
      </c>
      <c r="G501" s="218" t="s">
        <v>10658</v>
      </c>
      <c r="H501" s="218" t="s">
        <v>10775</v>
      </c>
    </row>
    <row r="502" spans="1:8" ht="25.5">
      <c r="A502" s="34">
        <f t="shared" si="7"/>
        <v>500</v>
      </c>
      <c r="B502" s="218" t="s">
        <v>11580</v>
      </c>
      <c r="C502" s="1" t="s">
        <v>132</v>
      </c>
      <c r="D502" s="34" t="s">
        <v>10336</v>
      </c>
      <c r="E502" s="34" t="s">
        <v>10880</v>
      </c>
      <c r="F502" s="6" t="s">
        <v>10975</v>
      </c>
      <c r="G502" s="218" t="s">
        <v>10658</v>
      </c>
      <c r="H502" s="218" t="s">
        <v>11581</v>
      </c>
    </row>
    <row r="503" spans="1:8" ht="38.25">
      <c r="A503" s="34">
        <f t="shared" si="7"/>
        <v>501</v>
      </c>
      <c r="B503" s="218" t="s">
        <v>11582</v>
      </c>
      <c r="C503" s="1" t="s">
        <v>10345</v>
      </c>
      <c r="D503" s="34" t="s">
        <v>10346</v>
      </c>
      <c r="E503" s="34" t="s">
        <v>10355</v>
      </c>
      <c r="F503" s="6" t="s">
        <v>11068</v>
      </c>
      <c r="G503" s="218" t="s">
        <v>10352</v>
      </c>
      <c r="H503" s="218" t="s">
        <v>11069</v>
      </c>
    </row>
    <row r="504" spans="1:8" ht="51">
      <c r="A504" s="34">
        <f t="shared" si="7"/>
        <v>502</v>
      </c>
      <c r="B504" s="218" t="s">
        <v>11583</v>
      </c>
      <c r="C504" s="1" t="s">
        <v>10345</v>
      </c>
      <c r="D504" s="34" t="s">
        <v>10346</v>
      </c>
      <c r="E504" s="34" t="s">
        <v>10362</v>
      </c>
      <c r="F504" s="6" t="s">
        <v>11584</v>
      </c>
      <c r="G504" s="218" t="s">
        <v>8060</v>
      </c>
      <c r="H504" s="218" t="s">
        <v>11585</v>
      </c>
    </row>
    <row r="505" spans="1:8" ht="38.25">
      <c r="A505" s="34">
        <f t="shared" si="7"/>
        <v>503</v>
      </c>
      <c r="B505" s="218" t="s">
        <v>11586</v>
      </c>
      <c r="C505" s="1" t="s">
        <v>302</v>
      </c>
      <c r="D505" s="34" t="s">
        <v>10367</v>
      </c>
      <c r="E505" s="34" t="s">
        <v>10230</v>
      </c>
      <c r="F505" s="6" t="s">
        <v>11587</v>
      </c>
      <c r="G505" s="218" t="s">
        <v>10364</v>
      </c>
      <c r="H505" s="218" t="s">
        <v>10233</v>
      </c>
    </row>
    <row r="506" spans="1:8" ht="25.5">
      <c r="A506" s="34">
        <f t="shared" si="7"/>
        <v>504</v>
      </c>
      <c r="B506" s="218" t="s">
        <v>11588</v>
      </c>
      <c r="C506" s="1" t="s">
        <v>132</v>
      </c>
      <c r="D506" s="34" t="s">
        <v>10367</v>
      </c>
      <c r="E506" s="34" t="s">
        <v>10526</v>
      </c>
      <c r="F506" s="6" t="s">
        <v>11589</v>
      </c>
      <c r="G506" s="218" t="s">
        <v>10364</v>
      </c>
      <c r="H506" s="218" t="s">
        <v>11590</v>
      </c>
    </row>
    <row r="507" spans="1:8" ht="25.5">
      <c r="A507" s="34">
        <f t="shared" si="7"/>
        <v>505</v>
      </c>
      <c r="B507" s="218" t="s">
        <v>11591</v>
      </c>
      <c r="C507" s="1" t="s">
        <v>11592</v>
      </c>
      <c r="D507" s="34" t="s">
        <v>10371</v>
      </c>
      <c r="E507" s="34" t="s">
        <v>10378</v>
      </c>
      <c r="F507" s="6" t="s">
        <v>11593</v>
      </c>
      <c r="G507" s="218" t="s">
        <v>10374</v>
      </c>
      <c r="H507" s="218" t="s">
        <v>11594</v>
      </c>
    </row>
    <row r="508" spans="1:8" ht="25.5">
      <c r="A508" s="34">
        <f t="shared" si="7"/>
        <v>506</v>
      </c>
      <c r="B508" s="218" t="s">
        <v>11595</v>
      </c>
      <c r="C508" s="1" t="s">
        <v>11592</v>
      </c>
      <c r="D508" s="34" t="s">
        <v>10371</v>
      </c>
      <c r="E508" s="34" t="s">
        <v>10378</v>
      </c>
      <c r="F508" s="6" t="s">
        <v>11596</v>
      </c>
      <c r="G508" s="218" t="s">
        <v>10374</v>
      </c>
      <c r="H508" s="218" t="s">
        <v>4500</v>
      </c>
    </row>
    <row r="509" spans="1:8" ht="25.5">
      <c r="A509" s="34">
        <f t="shared" si="7"/>
        <v>507</v>
      </c>
      <c r="B509" s="218" t="s">
        <v>11597</v>
      </c>
      <c r="C509" s="1" t="s">
        <v>132</v>
      </c>
      <c r="D509" s="34" t="s">
        <v>10371</v>
      </c>
      <c r="E509" s="34" t="s">
        <v>11478</v>
      </c>
      <c r="F509" s="6" t="s">
        <v>11598</v>
      </c>
      <c r="G509" s="218" t="s">
        <v>10374</v>
      </c>
      <c r="H509" s="218" t="s">
        <v>11599</v>
      </c>
    </row>
    <row r="510" spans="1:8">
      <c r="A510" s="34">
        <f t="shared" si="7"/>
        <v>508</v>
      </c>
      <c r="B510" s="218" t="s">
        <v>11600</v>
      </c>
      <c r="C510" s="1" t="s">
        <v>11601</v>
      </c>
      <c r="D510" s="34" t="s">
        <v>10371</v>
      </c>
      <c r="E510" s="34" t="s">
        <v>11114</v>
      </c>
      <c r="F510" s="6" t="s">
        <v>10626</v>
      </c>
      <c r="G510" s="218" t="s">
        <v>10374</v>
      </c>
      <c r="H510" s="218" t="s">
        <v>11602</v>
      </c>
    </row>
    <row r="511" spans="1:8">
      <c r="A511" s="34">
        <f t="shared" si="7"/>
        <v>509</v>
      </c>
      <c r="B511" s="218" t="s">
        <v>11603</v>
      </c>
      <c r="C511" s="1" t="s">
        <v>10370</v>
      </c>
      <c r="D511" s="34" t="s">
        <v>10371</v>
      </c>
      <c r="E511" s="34" t="s">
        <v>11604</v>
      </c>
      <c r="F511" s="6" t="s">
        <v>11605</v>
      </c>
      <c r="G511" s="218" t="s">
        <v>10374</v>
      </c>
      <c r="H511" s="218" t="s">
        <v>11606</v>
      </c>
    </row>
    <row r="512" spans="1:8" ht="25.5">
      <c r="A512" s="34">
        <f t="shared" si="7"/>
        <v>510</v>
      </c>
      <c r="B512" s="218" t="s">
        <v>11607</v>
      </c>
      <c r="C512" s="1" t="s">
        <v>132</v>
      </c>
      <c r="D512" s="34" t="s">
        <v>10371</v>
      </c>
      <c r="E512" s="34" t="s">
        <v>11608</v>
      </c>
      <c r="F512" s="6" t="s">
        <v>11609</v>
      </c>
      <c r="G512" s="218" t="s">
        <v>10374</v>
      </c>
      <c r="H512" s="218" t="s">
        <v>11610</v>
      </c>
    </row>
    <row r="513" spans="1:8" ht="25.5">
      <c r="A513" s="34">
        <f t="shared" si="7"/>
        <v>511</v>
      </c>
      <c r="B513" s="218" t="s">
        <v>10408</v>
      </c>
      <c r="C513" s="1" t="s">
        <v>11611</v>
      </c>
      <c r="D513" s="34" t="s">
        <v>10371</v>
      </c>
      <c r="E513" s="34" t="s">
        <v>11100</v>
      </c>
      <c r="F513" s="6" t="s">
        <v>11612</v>
      </c>
      <c r="G513" s="218" t="s">
        <v>10374</v>
      </c>
      <c r="H513" s="218" t="s">
        <v>10412</v>
      </c>
    </row>
    <row r="514" spans="1:8" ht="51">
      <c r="A514" s="34">
        <f t="shared" si="7"/>
        <v>512</v>
      </c>
      <c r="B514" s="218" t="s">
        <v>11613</v>
      </c>
      <c r="C514" s="1" t="s">
        <v>132</v>
      </c>
      <c r="D514" s="34" t="s">
        <v>10414</v>
      </c>
      <c r="E514" s="34" t="s">
        <v>10300</v>
      </c>
      <c r="F514" s="6" t="s">
        <v>11614</v>
      </c>
      <c r="G514" s="218" t="s">
        <v>11615</v>
      </c>
      <c r="H514" s="218" t="s">
        <v>11616</v>
      </c>
    </row>
    <row r="515" spans="1:8" ht="25.5">
      <c r="A515" s="34">
        <f t="shared" si="7"/>
        <v>513</v>
      </c>
      <c r="B515" s="218" t="s">
        <v>11617</v>
      </c>
      <c r="C515" s="1" t="s">
        <v>10435</v>
      </c>
      <c r="D515" s="34" t="s">
        <v>10414</v>
      </c>
      <c r="E515" s="34" t="s">
        <v>10705</v>
      </c>
      <c r="F515" s="6" t="s">
        <v>11618</v>
      </c>
      <c r="G515" s="218" t="s">
        <v>10374</v>
      </c>
      <c r="H515" s="218" t="s">
        <v>11318</v>
      </c>
    </row>
    <row r="516" spans="1:8" ht="25.5">
      <c r="A516" s="34">
        <f t="shared" ref="A516:A579" si="8">A515+1</f>
        <v>514</v>
      </c>
      <c r="B516" s="218" t="s">
        <v>11619</v>
      </c>
      <c r="C516" s="1" t="s">
        <v>132</v>
      </c>
      <c r="D516" s="34" t="s">
        <v>10414</v>
      </c>
      <c r="E516" s="34" t="s">
        <v>10321</v>
      </c>
      <c r="F516" s="6" t="s">
        <v>11620</v>
      </c>
      <c r="G516" s="218" t="s">
        <v>10374</v>
      </c>
      <c r="H516" s="218" t="s">
        <v>11621</v>
      </c>
    </row>
    <row r="517" spans="1:8" ht="51">
      <c r="A517" s="34">
        <f t="shared" si="8"/>
        <v>515</v>
      </c>
      <c r="B517" s="218" t="s">
        <v>11622</v>
      </c>
      <c r="C517" s="1" t="s">
        <v>10398</v>
      </c>
      <c r="D517" s="34" t="s">
        <v>10414</v>
      </c>
      <c r="E517" s="34" t="s">
        <v>11134</v>
      </c>
      <c r="F517" s="6" t="s">
        <v>10447</v>
      </c>
      <c r="G517" s="218" t="s">
        <v>10429</v>
      </c>
      <c r="H517" s="218" t="s">
        <v>11623</v>
      </c>
    </row>
    <row r="518" spans="1:8" ht="25.5">
      <c r="A518" s="34">
        <f t="shared" si="8"/>
        <v>516</v>
      </c>
      <c r="B518" s="218" t="s">
        <v>11624</v>
      </c>
      <c r="C518" s="1" t="s">
        <v>132</v>
      </c>
      <c r="D518" s="34" t="s">
        <v>10414</v>
      </c>
      <c r="E518" s="34" t="s">
        <v>10185</v>
      </c>
      <c r="F518" s="6" t="s">
        <v>11625</v>
      </c>
      <c r="G518" s="218" t="s">
        <v>10374</v>
      </c>
      <c r="H518" s="218" t="s">
        <v>11626</v>
      </c>
    </row>
    <row r="519" spans="1:8" ht="25.5">
      <c r="A519" s="34">
        <f t="shared" si="8"/>
        <v>517</v>
      </c>
      <c r="B519" s="218" t="s">
        <v>11627</v>
      </c>
      <c r="C519" s="1" t="s">
        <v>132</v>
      </c>
      <c r="D519" s="34" t="s">
        <v>10414</v>
      </c>
      <c r="E519" s="34" t="s">
        <v>11114</v>
      </c>
      <c r="F519" s="6" t="s">
        <v>11111</v>
      </c>
      <c r="G519" s="218" t="s">
        <v>10374</v>
      </c>
      <c r="H519" s="218" t="s">
        <v>11628</v>
      </c>
    </row>
    <row r="520" spans="1:8" ht="51">
      <c r="A520" s="34">
        <f t="shared" si="8"/>
        <v>518</v>
      </c>
      <c r="B520" s="218" t="s">
        <v>11629</v>
      </c>
      <c r="C520" s="1" t="s">
        <v>10409</v>
      </c>
      <c r="D520" s="34" t="s">
        <v>10414</v>
      </c>
      <c r="E520" s="34" t="s">
        <v>10616</v>
      </c>
      <c r="F520" s="6" t="s">
        <v>11630</v>
      </c>
      <c r="G520" s="218" t="s">
        <v>10429</v>
      </c>
      <c r="H520" s="218" t="s">
        <v>11631</v>
      </c>
    </row>
    <row r="521" spans="1:8" ht="51">
      <c r="A521" s="34">
        <f t="shared" si="8"/>
        <v>519</v>
      </c>
      <c r="B521" s="218" t="s">
        <v>11632</v>
      </c>
      <c r="C521" s="1" t="s">
        <v>137</v>
      </c>
      <c r="D521" s="34" t="s">
        <v>10414</v>
      </c>
      <c r="E521" s="34" t="s">
        <v>10793</v>
      </c>
      <c r="F521" s="6" t="s">
        <v>11120</v>
      </c>
      <c r="G521" s="218" t="s">
        <v>11633</v>
      </c>
      <c r="H521" s="218" t="s">
        <v>11634</v>
      </c>
    </row>
    <row r="522" spans="1:8" ht="51">
      <c r="A522" s="34">
        <f t="shared" si="8"/>
        <v>520</v>
      </c>
      <c r="B522" s="218" t="s">
        <v>11635</v>
      </c>
      <c r="C522" s="1" t="s">
        <v>11636</v>
      </c>
      <c r="D522" s="34" t="s">
        <v>10414</v>
      </c>
      <c r="E522" s="34" t="s">
        <v>11637</v>
      </c>
      <c r="F522" s="6" t="s">
        <v>11638</v>
      </c>
      <c r="G522" s="218" t="s">
        <v>10429</v>
      </c>
      <c r="H522" s="218" t="s">
        <v>11639</v>
      </c>
    </row>
    <row r="523" spans="1:8" ht="51">
      <c r="A523" s="34">
        <f t="shared" si="8"/>
        <v>521</v>
      </c>
      <c r="B523" s="218" t="s">
        <v>11128</v>
      </c>
      <c r="C523" s="1" t="s">
        <v>10754</v>
      </c>
      <c r="D523" s="34" t="s">
        <v>10414</v>
      </c>
      <c r="E523" s="34" t="s">
        <v>10870</v>
      </c>
      <c r="F523" s="6" t="s">
        <v>11129</v>
      </c>
      <c r="G523" s="218" t="s">
        <v>10429</v>
      </c>
      <c r="H523" s="218" t="s">
        <v>11130</v>
      </c>
    </row>
    <row r="524" spans="1:8" ht="51">
      <c r="A524" s="34">
        <f t="shared" si="8"/>
        <v>522</v>
      </c>
      <c r="B524" s="218" t="s">
        <v>11640</v>
      </c>
      <c r="C524" s="1" t="s">
        <v>11082</v>
      </c>
      <c r="D524" s="34" t="s">
        <v>10414</v>
      </c>
      <c r="E524" s="34" t="s">
        <v>10230</v>
      </c>
      <c r="F524" s="6" t="s">
        <v>11630</v>
      </c>
      <c r="G524" s="218" t="s">
        <v>10429</v>
      </c>
      <c r="H524" s="218" t="s">
        <v>11641</v>
      </c>
    </row>
    <row r="525" spans="1:8" ht="51">
      <c r="A525" s="34">
        <f t="shared" si="8"/>
        <v>523</v>
      </c>
      <c r="B525" s="218" t="s">
        <v>11642</v>
      </c>
      <c r="C525" s="1" t="s">
        <v>11082</v>
      </c>
      <c r="D525" s="34" t="s">
        <v>10414</v>
      </c>
      <c r="E525" s="34" t="s">
        <v>11141</v>
      </c>
      <c r="F525" s="6" t="s">
        <v>11126</v>
      </c>
      <c r="G525" s="218" t="s">
        <v>10429</v>
      </c>
      <c r="H525" s="218" t="s">
        <v>11643</v>
      </c>
    </row>
    <row r="526" spans="1:8" ht="51">
      <c r="A526" s="34">
        <f t="shared" si="8"/>
        <v>524</v>
      </c>
      <c r="B526" s="218" t="s">
        <v>11644</v>
      </c>
      <c r="C526" s="1" t="s">
        <v>132</v>
      </c>
      <c r="D526" s="34" t="s">
        <v>10414</v>
      </c>
      <c r="E526" s="34" t="s">
        <v>11645</v>
      </c>
      <c r="F526" s="6" t="s">
        <v>11646</v>
      </c>
      <c r="G526" s="218" t="s">
        <v>10429</v>
      </c>
      <c r="H526" s="218" t="s">
        <v>307</v>
      </c>
    </row>
    <row r="527" spans="1:8" ht="51">
      <c r="A527" s="34">
        <f t="shared" si="8"/>
        <v>525</v>
      </c>
      <c r="B527" s="218" t="s">
        <v>11647</v>
      </c>
      <c r="C527" s="1" t="s">
        <v>10377</v>
      </c>
      <c r="D527" s="34" t="s">
        <v>10414</v>
      </c>
      <c r="E527" s="34" t="s">
        <v>10838</v>
      </c>
      <c r="F527" s="6" t="s">
        <v>11150</v>
      </c>
      <c r="G527" s="218" t="s">
        <v>10429</v>
      </c>
      <c r="H527" s="218" t="s">
        <v>10841</v>
      </c>
    </row>
    <row r="528" spans="1:8" ht="25.5">
      <c r="A528" s="34">
        <f t="shared" si="8"/>
        <v>526</v>
      </c>
      <c r="B528" s="218" t="s">
        <v>11648</v>
      </c>
      <c r="C528" s="1" t="s">
        <v>132</v>
      </c>
      <c r="D528" s="34" t="s">
        <v>10218</v>
      </c>
      <c r="E528" s="34" t="s">
        <v>11055</v>
      </c>
      <c r="F528" s="6" t="s">
        <v>11638</v>
      </c>
      <c r="G528" s="218" t="s">
        <v>11649</v>
      </c>
      <c r="H528" s="218" t="s">
        <v>11650</v>
      </c>
    </row>
    <row r="529" spans="1:8" ht="25.5">
      <c r="A529" s="34">
        <f t="shared" si="8"/>
        <v>527</v>
      </c>
      <c r="B529" s="218" t="s">
        <v>11651</v>
      </c>
      <c r="C529" s="1" t="s">
        <v>1035</v>
      </c>
      <c r="D529" s="34" t="s">
        <v>10189</v>
      </c>
      <c r="E529" s="34" t="s">
        <v>11652</v>
      </c>
      <c r="F529" s="6" t="s">
        <v>11653</v>
      </c>
      <c r="G529" s="218" t="s">
        <v>11654</v>
      </c>
      <c r="H529" s="218" t="s">
        <v>11152</v>
      </c>
    </row>
    <row r="530" spans="1:8" ht="25.5">
      <c r="A530" s="34">
        <f t="shared" si="8"/>
        <v>528</v>
      </c>
      <c r="B530" s="218" t="s">
        <v>11655</v>
      </c>
      <c r="C530" s="1" t="s">
        <v>158</v>
      </c>
      <c r="D530" s="34" t="s">
        <v>10184</v>
      </c>
      <c r="E530" s="34" t="s">
        <v>8590</v>
      </c>
      <c r="F530" s="6" t="s">
        <v>11656</v>
      </c>
      <c r="G530" s="218" t="s">
        <v>11657</v>
      </c>
      <c r="H530" s="218" t="s">
        <v>11658</v>
      </c>
    </row>
    <row r="531" spans="1:8" ht="51">
      <c r="A531" s="34">
        <f t="shared" si="8"/>
        <v>529</v>
      </c>
      <c r="B531" s="218" t="s">
        <v>11659</v>
      </c>
      <c r="C531" s="1" t="s">
        <v>10471</v>
      </c>
      <c r="D531" s="34" t="s">
        <v>10184</v>
      </c>
      <c r="E531" s="34" t="s">
        <v>10268</v>
      </c>
      <c r="F531" s="6" t="s">
        <v>11566</v>
      </c>
      <c r="G531" s="218" t="s">
        <v>11567</v>
      </c>
      <c r="H531" s="218" t="s">
        <v>11660</v>
      </c>
    </row>
    <row r="532" spans="1:8">
      <c r="A532" s="34">
        <f t="shared" si="8"/>
        <v>530</v>
      </c>
      <c r="B532" s="218" t="s">
        <v>11661</v>
      </c>
      <c r="C532" s="1" t="s">
        <v>158</v>
      </c>
      <c r="D532" s="34" t="s">
        <v>10371</v>
      </c>
      <c r="E532" s="34" t="s">
        <v>11402</v>
      </c>
      <c r="F532" s="6" t="s">
        <v>11662</v>
      </c>
      <c r="G532" s="218" t="s">
        <v>11663</v>
      </c>
      <c r="H532" s="218" t="s">
        <v>11664</v>
      </c>
    </row>
    <row r="533" spans="1:8" ht="38.25">
      <c r="A533" s="34">
        <f t="shared" si="8"/>
        <v>531</v>
      </c>
      <c r="B533" s="218" t="s">
        <v>10479</v>
      </c>
      <c r="C533" s="1" t="s">
        <v>132</v>
      </c>
      <c r="D533" s="34" t="s">
        <v>10189</v>
      </c>
      <c r="E533" s="34" t="s">
        <v>10300</v>
      </c>
      <c r="F533" s="6" t="s">
        <v>10480</v>
      </c>
      <c r="G533" s="218" t="s">
        <v>10302</v>
      </c>
      <c r="H533" s="218" t="s">
        <v>11316</v>
      </c>
    </row>
    <row r="534" spans="1:8" ht="25.5">
      <c r="A534" s="34">
        <f t="shared" si="8"/>
        <v>532</v>
      </c>
      <c r="B534" s="218" t="s">
        <v>11665</v>
      </c>
      <c r="C534" s="1" t="s">
        <v>11611</v>
      </c>
      <c r="D534" s="34" t="s">
        <v>10189</v>
      </c>
      <c r="E534" s="34" t="s">
        <v>10472</v>
      </c>
      <c r="F534" s="6" t="s">
        <v>10664</v>
      </c>
      <c r="G534" s="218" t="s">
        <v>10831</v>
      </c>
      <c r="H534" s="218" t="s">
        <v>327</v>
      </c>
    </row>
    <row r="535" spans="1:8" ht="38.25">
      <c r="A535" s="34">
        <f t="shared" si="8"/>
        <v>533</v>
      </c>
      <c r="B535" s="218" t="s">
        <v>11666</v>
      </c>
      <c r="C535" s="1" t="s">
        <v>132</v>
      </c>
      <c r="D535" s="34" t="s">
        <v>10189</v>
      </c>
      <c r="E535" s="34" t="s">
        <v>10300</v>
      </c>
      <c r="F535" s="6" t="s">
        <v>10512</v>
      </c>
      <c r="G535" s="218" t="s">
        <v>10302</v>
      </c>
      <c r="H535" s="218" t="s">
        <v>11667</v>
      </c>
    </row>
    <row r="536" spans="1:8" ht="25.5">
      <c r="A536" s="34">
        <f t="shared" si="8"/>
        <v>534</v>
      </c>
      <c r="B536" s="218" t="s">
        <v>11668</v>
      </c>
      <c r="C536" s="1" t="s">
        <v>132</v>
      </c>
      <c r="D536" s="34" t="s">
        <v>10189</v>
      </c>
      <c r="E536" s="34" t="s">
        <v>9617</v>
      </c>
      <c r="F536" s="6" t="s">
        <v>10491</v>
      </c>
      <c r="G536" s="218" t="s">
        <v>10492</v>
      </c>
      <c r="H536" s="218" t="s">
        <v>11669</v>
      </c>
    </row>
    <row r="537" spans="1:8" ht="38.25">
      <c r="A537" s="34">
        <f t="shared" si="8"/>
        <v>535</v>
      </c>
      <c r="B537" s="218" t="s">
        <v>11670</v>
      </c>
      <c r="C537" s="1" t="s">
        <v>1060</v>
      </c>
      <c r="D537" s="34" t="s">
        <v>10189</v>
      </c>
      <c r="E537" s="34" t="s">
        <v>10402</v>
      </c>
      <c r="F537" s="6" t="s">
        <v>10741</v>
      </c>
      <c r="G537" s="218" t="s">
        <v>11671</v>
      </c>
      <c r="H537" s="218" t="s">
        <v>4575</v>
      </c>
    </row>
    <row r="538" spans="1:8" ht="25.5">
      <c r="A538" s="34">
        <f t="shared" si="8"/>
        <v>536</v>
      </c>
      <c r="B538" s="218" t="s">
        <v>11672</v>
      </c>
      <c r="C538" s="1" t="s">
        <v>132</v>
      </c>
      <c r="D538" s="34" t="s">
        <v>10189</v>
      </c>
      <c r="E538" s="34" t="s">
        <v>9617</v>
      </c>
      <c r="F538" s="6" t="s">
        <v>10491</v>
      </c>
      <c r="G538" s="218" t="s">
        <v>10492</v>
      </c>
      <c r="H538" s="218" t="s">
        <v>11673</v>
      </c>
    </row>
    <row r="539" spans="1:8" ht="25.5">
      <c r="A539" s="34">
        <f t="shared" si="8"/>
        <v>537</v>
      </c>
      <c r="B539" s="218" t="s">
        <v>11674</v>
      </c>
      <c r="C539" s="1" t="s">
        <v>132</v>
      </c>
      <c r="D539" s="34" t="s">
        <v>10521</v>
      </c>
      <c r="E539" s="34" t="s">
        <v>10607</v>
      </c>
      <c r="F539" s="6" t="s">
        <v>10608</v>
      </c>
      <c r="G539" s="218" t="s">
        <v>11181</v>
      </c>
      <c r="H539" s="218" t="s">
        <v>11675</v>
      </c>
    </row>
    <row r="540" spans="1:8" ht="25.5">
      <c r="A540" s="34">
        <f t="shared" si="8"/>
        <v>538</v>
      </c>
      <c r="B540" s="218" t="s">
        <v>10501</v>
      </c>
      <c r="C540" s="1" t="s">
        <v>10377</v>
      </c>
      <c r="D540" s="34" t="s">
        <v>10189</v>
      </c>
      <c r="E540" s="34" t="s">
        <v>10838</v>
      </c>
      <c r="F540" s="6" t="s">
        <v>11676</v>
      </c>
      <c r="G540" s="218" t="s">
        <v>10840</v>
      </c>
      <c r="H540" s="218" t="s">
        <v>10841</v>
      </c>
    </row>
    <row r="541" spans="1:8" ht="25.5">
      <c r="A541" s="34">
        <f t="shared" si="8"/>
        <v>539</v>
      </c>
      <c r="B541" s="218" t="s">
        <v>10501</v>
      </c>
      <c r="C541" s="1" t="s">
        <v>10502</v>
      </c>
      <c r="D541" s="34" t="s">
        <v>10189</v>
      </c>
      <c r="E541" s="34" t="s">
        <v>10230</v>
      </c>
      <c r="F541" s="6" t="s">
        <v>10727</v>
      </c>
      <c r="G541" s="218" t="s">
        <v>10728</v>
      </c>
      <c r="H541" s="218" t="s">
        <v>224</v>
      </c>
    </row>
    <row r="542" spans="1:8" ht="25.5">
      <c r="A542" s="34">
        <f t="shared" si="8"/>
        <v>540</v>
      </c>
      <c r="B542" s="218" t="s">
        <v>10501</v>
      </c>
      <c r="C542" s="1" t="s">
        <v>10435</v>
      </c>
      <c r="D542" s="34" t="s">
        <v>10189</v>
      </c>
      <c r="E542" s="34" t="s">
        <v>10719</v>
      </c>
      <c r="F542" s="6" t="s">
        <v>10720</v>
      </c>
      <c r="G542" s="218" t="s">
        <v>10721</v>
      </c>
      <c r="H542" s="218" t="s">
        <v>11677</v>
      </c>
    </row>
    <row r="543" spans="1:8" ht="25.5">
      <c r="A543" s="34">
        <f t="shared" si="8"/>
        <v>541</v>
      </c>
      <c r="B543" s="218" t="s">
        <v>11678</v>
      </c>
      <c r="C543" s="1" t="s">
        <v>10482</v>
      </c>
      <c r="D543" s="34" t="s">
        <v>10189</v>
      </c>
      <c r="E543" s="34" t="s">
        <v>10300</v>
      </c>
      <c r="F543" s="6" t="s">
        <v>10480</v>
      </c>
      <c r="G543" s="218" t="s">
        <v>10513</v>
      </c>
      <c r="H543" s="218" t="s">
        <v>11679</v>
      </c>
    </row>
    <row r="544" spans="1:8" ht="25.5">
      <c r="A544" s="34">
        <f t="shared" si="8"/>
        <v>542</v>
      </c>
      <c r="B544" s="218" t="s">
        <v>11680</v>
      </c>
      <c r="C544" s="1" t="s">
        <v>10482</v>
      </c>
      <c r="D544" s="34" t="s">
        <v>10189</v>
      </c>
      <c r="E544" s="34" t="s">
        <v>10300</v>
      </c>
      <c r="F544" s="6" t="s">
        <v>10480</v>
      </c>
      <c r="G544" s="218" t="s">
        <v>10513</v>
      </c>
      <c r="H544" s="218" t="s">
        <v>219</v>
      </c>
    </row>
    <row r="545" spans="1:8" ht="25.5">
      <c r="A545" s="34">
        <f t="shared" si="8"/>
        <v>543</v>
      </c>
      <c r="B545" s="218" t="s">
        <v>10501</v>
      </c>
      <c r="C545" s="1" t="s">
        <v>200</v>
      </c>
      <c r="D545" s="34" t="s">
        <v>10189</v>
      </c>
      <c r="E545" s="34" t="s">
        <v>10870</v>
      </c>
      <c r="F545" s="6" t="s">
        <v>11681</v>
      </c>
      <c r="G545" s="218" t="s">
        <v>11190</v>
      </c>
      <c r="H545" s="218" t="s">
        <v>11682</v>
      </c>
    </row>
    <row r="546" spans="1:8" ht="25.5">
      <c r="A546" s="34">
        <f t="shared" si="8"/>
        <v>544</v>
      </c>
      <c r="B546" s="218" t="s">
        <v>10501</v>
      </c>
      <c r="C546" s="1" t="s">
        <v>200</v>
      </c>
      <c r="D546" s="34" t="s">
        <v>10189</v>
      </c>
      <c r="E546" s="34" t="s">
        <v>10870</v>
      </c>
      <c r="F546" s="6" t="s">
        <v>10715</v>
      </c>
      <c r="G546" s="218" t="s">
        <v>11190</v>
      </c>
      <c r="H546" s="218" t="s">
        <v>11683</v>
      </c>
    </row>
    <row r="547" spans="1:8">
      <c r="A547" s="34">
        <f t="shared" si="8"/>
        <v>545</v>
      </c>
      <c r="B547" s="218" t="s">
        <v>10501</v>
      </c>
      <c r="C547" s="1" t="s">
        <v>10377</v>
      </c>
      <c r="D547" s="34" t="s">
        <v>10189</v>
      </c>
      <c r="E547" s="34" t="s">
        <v>10591</v>
      </c>
      <c r="F547" s="6" t="s">
        <v>11684</v>
      </c>
      <c r="G547" s="218" t="s">
        <v>8605</v>
      </c>
      <c r="H547" s="218" t="s">
        <v>11685</v>
      </c>
    </row>
    <row r="548" spans="1:8" ht="25.5">
      <c r="A548" s="34">
        <f t="shared" si="8"/>
        <v>546</v>
      </c>
      <c r="B548" s="218" t="s">
        <v>10501</v>
      </c>
      <c r="C548" s="1" t="s">
        <v>10377</v>
      </c>
      <c r="D548" s="34" t="s">
        <v>10189</v>
      </c>
      <c r="E548" s="34" t="s">
        <v>10705</v>
      </c>
      <c r="F548" s="6" t="s">
        <v>11686</v>
      </c>
      <c r="G548" s="218" t="s">
        <v>10707</v>
      </c>
      <c r="H548" s="218" t="s">
        <v>11687</v>
      </c>
    </row>
    <row r="549" spans="1:8" ht="25.5">
      <c r="A549" s="34">
        <f t="shared" si="8"/>
        <v>547</v>
      </c>
      <c r="B549" s="218" t="s">
        <v>10485</v>
      </c>
      <c r="C549" s="1" t="s">
        <v>11688</v>
      </c>
      <c r="D549" s="34" t="s">
        <v>10189</v>
      </c>
      <c r="E549" s="34" t="s">
        <v>11090</v>
      </c>
      <c r="F549" s="6" t="s">
        <v>11689</v>
      </c>
      <c r="G549" s="218" t="s">
        <v>10488</v>
      </c>
      <c r="H549" s="218" t="s">
        <v>888</v>
      </c>
    </row>
    <row r="550" spans="1:8" ht="76.5">
      <c r="A550" s="34">
        <f t="shared" si="8"/>
        <v>548</v>
      </c>
      <c r="B550" s="218" t="s">
        <v>11690</v>
      </c>
      <c r="C550" s="1" t="s">
        <v>11691</v>
      </c>
      <c r="D550" s="34" t="s">
        <v>10189</v>
      </c>
      <c r="E550" s="34" t="s">
        <v>10952</v>
      </c>
      <c r="F550" s="6" t="s">
        <v>11195</v>
      </c>
      <c r="G550" s="218" t="s">
        <v>11692</v>
      </c>
      <c r="H550" s="218" t="s">
        <v>11693</v>
      </c>
    </row>
    <row r="551" spans="1:8" ht="38.25">
      <c r="A551" s="34">
        <f t="shared" si="8"/>
        <v>549</v>
      </c>
      <c r="B551" s="218" t="s">
        <v>10532</v>
      </c>
      <c r="C551" s="1" t="s">
        <v>132</v>
      </c>
      <c r="D551" s="34" t="s">
        <v>10521</v>
      </c>
      <c r="E551" s="34" t="s">
        <v>10533</v>
      </c>
      <c r="F551" s="6" t="s">
        <v>10534</v>
      </c>
      <c r="G551" s="218" t="s">
        <v>11694</v>
      </c>
      <c r="H551" s="218" t="s">
        <v>11695</v>
      </c>
    </row>
    <row r="552" spans="1:8" ht="25.5">
      <c r="A552" s="34">
        <f t="shared" si="8"/>
        <v>550</v>
      </c>
      <c r="B552" s="218" t="s">
        <v>10520</v>
      </c>
      <c r="C552" s="1" t="s">
        <v>132</v>
      </c>
      <c r="D552" s="34" t="s">
        <v>10521</v>
      </c>
      <c r="E552" s="34" t="s">
        <v>10526</v>
      </c>
      <c r="F552" s="6" t="s">
        <v>10530</v>
      </c>
      <c r="G552" s="218" t="s">
        <v>10528</v>
      </c>
      <c r="H552" s="218" t="s">
        <v>11696</v>
      </c>
    </row>
    <row r="553" spans="1:8" ht="25.5">
      <c r="A553" s="34">
        <f t="shared" si="8"/>
        <v>551</v>
      </c>
      <c r="B553" s="218" t="s">
        <v>10520</v>
      </c>
      <c r="C553" s="1" t="s">
        <v>132</v>
      </c>
      <c r="D553" s="34" t="s">
        <v>10521</v>
      </c>
      <c r="E553" s="34" t="s">
        <v>10542</v>
      </c>
      <c r="F553" s="6" t="s">
        <v>11584</v>
      </c>
      <c r="G553" s="218" t="s">
        <v>10544</v>
      </c>
      <c r="H553" s="218" t="s">
        <v>11202</v>
      </c>
    </row>
    <row r="554" spans="1:8" ht="25.5">
      <c r="A554" s="34">
        <f t="shared" si="8"/>
        <v>552</v>
      </c>
      <c r="B554" s="218" t="s">
        <v>10532</v>
      </c>
      <c r="C554" s="1" t="s">
        <v>132</v>
      </c>
      <c r="D554" s="34" t="s">
        <v>10521</v>
      </c>
      <c r="E554" s="34" t="s">
        <v>10542</v>
      </c>
      <c r="F554" s="6" t="s">
        <v>10342</v>
      </c>
      <c r="G554" s="218" t="s">
        <v>10544</v>
      </c>
      <c r="H554" s="218" t="s">
        <v>11203</v>
      </c>
    </row>
    <row r="555" spans="1:8" ht="25.5">
      <c r="A555" s="34">
        <f t="shared" si="8"/>
        <v>553</v>
      </c>
      <c r="B555" s="218" t="s">
        <v>10520</v>
      </c>
      <c r="C555" s="1" t="s">
        <v>132</v>
      </c>
      <c r="D555" s="34" t="s">
        <v>10521</v>
      </c>
      <c r="E555" s="34" t="s">
        <v>10542</v>
      </c>
      <c r="F555" s="6" t="s">
        <v>11697</v>
      </c>
      <c r="G555" s="218" t="s">
        <v>10544</v>
      </c>
      <c r="H555" s="218" t="s">
        <v>11202</v>
      </c>
    </row>
    <row r="556" spans="1:8" ht="25.5">
      <c r="A556" s="34">
        <f t="shared" si="8"/>
        <v>554</v>
      </c>
      <c r="B556" s="218" t="s">
        <v>10520</v>
      </c>
      <c r="C556" s="1" t="s">
        <v>212</v>
      </c>
      <c r="D556" s="34" t="s">
        <v>10521</v>
      </c>
      <c r="E556" s="34" t="s">
        <v>10554</v>
      </c>
      <c r="F556" s="6" t="s">
        <v>11698</v>
      </c>
      <c r="G556" s="218" t="s">
        <v>10556</v>
      </c>
      <c r="H556" s="218" t="s">
        <v>11699</v>
      </c>
    </row>
    <row r="557" spans="1:8" ht="25.5">
      <c r="A557" s="34">
        <f t="shared" si="8"/>
        <v>555</v>
      </c>
      <c r="B557" s="218" t="s">
        <v>10532</v>
      </c>
      <c r="C557" s="1" t="s">
        <v>212</v>
      </c>
      <c r="D557" s="34" t="s">
        <v>10521</v>
      </c>
      <c r="E557" s="34" t="s">
        <v>10243</v>
      </c>
      <c r="F557" s="6" t="s">
        <v>10537</v>
      </c>
      <c r="G557" s="218" t="s">
        <v>10538</v>
      </c>
      <c r="H557" s="218" t="s">
        <v>11700</v>
      </c>
    </row>
    <row r="558" spans="1:8" ht="25.5">
      <c r="A558" s="34">
        <f t="shared" si="8"/>
        <v>556</v>
      </c>
      <c r="B558" s="218" t="s">
        <v>11701</v>
      </c>
      <c r="C558" s="1" t="s">
        <v>212</v>
      </c>
      <c r="D558" s="34" t="s">
        <v>10521</v>
      </c>
      <c r="E558" s="34" t="s">
        <v>10554</v>
      </c>
      <c r="F558" s="6" t="s">
        <v>11702</v>
      </c>
      <c r="G558" s="218" t="s">
        <v>10556</v>
      </c>
      <c r="H558" s="218" t="s">
        <v>11703</v>
      </c>
    </row>
    <row r="559" spans="1:8" ht="25.5">
      <c r="A559" s="34">
        <f t="shared" si="8"/>
        <v>557</v>
      </c>
      <c r="B559" s="218" t="s">
        <v>10541</v>
      </c>
      <c r="C559" s="1" t="s">
        <v>132</v>
      </c>
      <c r="D559" s="34" t="s">
        <v>10521</v>
      </c>
      <c r="E559" s="34" t="s">
        <v>10542</v>
      </c>
      <c r="F559" s="6" t="s">
        <v>11704</v>
      </c>
      <c r="G559" s="218" t="s">
        <v>10544</v>
      </c>
      <c r="H559" s="218" t="s">
        <v>11208</v>
      </c>
    </row>
    <row r="560" spans="1:8" ht="38.25">
      <c r="A560" s="34">
        <f t="shared" si="8"/>
        <v>558</v>
      </c>
      <c r="B560" s="218" t="s">
        <v>10532</v>
      </c>
      <c r="C560" s="1" t="s">
        <v>132</v>
      </c>
      <c r="D560" s="34" t="s">
        <v>10521</v>
      </c>
      <c r="E560" s="34" t="s">
        <v>10533</v>
      </c>
      <c r="F560" s="6" t="s">
        <v>10534</v>
      </c>
      <c r="G560" s="218" t="s">
        <v>11694</v>
      </c>
      <c r="H560" s="218" t="s">
        <v>11705</v>
      </c>
    </row>
    <row r="561" spans="1:8" ht="25.5">
      <c r="A561" s="34">
        <f t="shared" si="8"/>
        <v>559</v>
      </c>
      <c r="B561" s="218" t="s">
        <v>10550</v>
      </c>
      <c r="C561" s="1" t="s">
        <v>132</v>
      </c>
      <c r="D561" s="34" t="s">
        <v>10521</v>
      </c>
      <c r="E561" s="34" t="s">
        <v>9617</v>
      </c>
      <c r="F561" s="6" t="s">
        <v>11197</v>
      </c>
      <c r="G561" s="218" t="s">
        <v>10552</v>
      </c>
      <c r="H561" s="218" t="s">
        <v>11706</v>
      </c>
    </row>
    <row r="562" spans="1:8" ht="25.5">
      <c r="A562" s="34">
        <f t="shared" si="8"/>
        <v>560</v>
      </c>
      <c r="B562" s="218" t="s">
        <v>10550</v>
      </c>
      <c r="C562" s="1" t="s">
        <v>132</v>
      </c>
      <c r="D562" s="34" t="s">
        <v>10521</v>
      </c>
      <c r="E562" s="34" t="s">
        <v>9617</v>
      </c>
      <c r="F562" s="6" t="s">
        <v>11262</v>
      </c>
      <c r="G562" s="218" t="s">
        <v>10552</v>
      </c>
      <c r="H562" s="218" t="s">
        <v>11707</v>
      </c>
    </row>
    <row r="563" spans="1:8" ht="25.5">
      <c r="A563" s="34">
        <f t="shared" si="8"/>
        <v>561</v>
      </c>
      <c r="B563" s="218" t="s">
        <v>10520</v>
      </c>
      <c r="C563" s="1" t="s">
        <v>132</v>
      </c>
      <c r="D563" s="34" t="s">
        <v>10521</v>
      </c>
      <c r="E563" s="34" t="s">
        <v>10526</v>
      </c>
      <c r="F563" s="6" t="s">
        <v>10530</v>
      </c>
      <c r="G563" s="218" t="s">
        <v>10528</v>
      </c>
      <c r="H563" s="218" t="s">
        <v>11708</v>
      </c>
    </row>
    <row r="564" spans="1:8" ht="25.5">
      <c r="A564" s="34">
        <f t="shared" si="8"/>
        <v>562</v>
      </c>
      <c r="B564" s="218" t="s">
        <v>11709</v>
      </c>
      <c r="C564" s="1" t="s">
        <v>132</v>
      </c>
      <c r="D564" s="34" t="s">
        <v>10521</v>
      </c>
      <c r="E564" s="34" t="s">
        <v>10341</v>
      </c>
      <c r="F564" s="6" t="s">
        <v>11545</v>
      </c>
      <c r="G564" s="218" t="s">
        <v>10563</v>
      </c>
      <c r="H564" s="218" t="s">
        <v>11710</v>
      </c>
    </row>
    <row r="565" spans="1:8" ht="25.5">
      <c r="A565" s="34">
        <f t="shared" si="8"/>
        <v>563</v>
      </c>
      <c r="B565" s="218" t="s">
        <v>10520</v>
      </c>
      <c r="C565" s="1" t="s">
        <v>132</v>
      </c>
      <c r="D565" s="34" t="s">
        <v>10521</v>
      </c>
      <c r="E565" s="34" t="s">
        <v>10526</v>
      </c>
      <c r="F565" s="6" t="s">
        <v>11711</v>
      </c>
      <c r="G565" s="218" t="s">
        <v>10528</v>
      </c>
      <c r="H565" s="218" t="s">
        <v>11712</v>
      </c>
    </row>
    <row r="566" spans="1:8" ht="25.5">
      <c r="A566" s="34">
        <f t="shared" si="8"/>
        <v>564</v>
      </c>
      <c r="B566" s="218" t="s">
        <v>10550</v>
      </c>
      <c r="C566" s="1" t="s">
        <v>132</v>
      </c>
      <c r="D566" s="34" t="s">
        <v>10521</v>
      </c>
      <c r="E566" s="34" t="s">
        <v>9617</v>
      </c>
      <c r="F566" s="6" t="s">
        <v>10543</v>
      </c>
      <c r="G566" s="218" t="s">
        <v>11713</v>
      </c>
      <c r="H566" s="218" t="s">
        <v>11714</v>
      </c>
    </row>
    <row r="567" spans="1:8" ht="25.5">
      <c r="A567" s="34">
        <f t="shared" si="8"/>
        <v>565</v>
      </c>
      <c r="B567" s="218" t="s">
        <v>11715</v>
      </c>
      <c r="C567" s="1" t="s">
        <v>10377</v>
      </c>
      <c r="D567" s="34" t="s">
        <v>10520</v>
      </c>
      <c r="E567" s="34" t="s">
        <v>10705</v>
      </c>
      <c r="F567" s="6" t="s">
        <v>11716</v>
      </c>
      <c r="G567" s="218" t="s">
        <v>11717</v>
      </c>
      <c r="H567" s="218" t="s">
        <v>11718</v>
      </c>
    </row>
    <row r="568" spans="1:8" ht="25.5">
      <c r="A568" s="34">
        <f t="shared" si="8"/>
        <v>566</v>
      </c>
      <c r="B568" s="218" t="s">
        <v>10520</v>
      </c>
      <c r="C568" s="1" t="s">
        <v>212</v>
      </c>
      <c r="D568" s="34" t="s">
        <v>10521</v>
      </c>
      <c r="E568" s="34" t="s">
        <v>10591</v>
      </c>
      <c r="F568" s="6" t="s">
        <v>11719</v>
      </c>
      <c r="G568" s="218" t="s">
        <v>11720</v>
      </c>
      <c r="H568" s="218" t="s">
        <v>11721</v>
      </c>
    </row>
    <row r="569" spans="1:8" ht="25.5">
      <c r="A569" s="34">
        <f t="shared" si="8"/>
        <v>567</v>
      </c>
      <c r="B569" s="218" t="s">
        <v>10532</v>
      </c>
      <c r="C569" s="1" t="s">
        <v>132</v>
      </c>
      <c r="D569" s="34" t="s">
        <v>10521</v>
      </c>
      <c r="E569" s="34" t="s">
        <v>10533</v>
      </c>
      <c r="F569" s="6" t="s">
        <v>10534</v>
      </c>
      <c r="G569" s="218" t="s">
        <v>10535</v>
      </c>
      <c r="H569" s="218" t="s">
        <v>11202</v>
      </c>
    </row>
    <row r="570" spans="1:8" ht="25.5">
      <c r="A570" s="34">
        <f t="shared" si="8"/>
        <v>568</v>
      </c>
      <c r="B570" s="218" t="s">
        <v>10520</v>
      </c>
      <c r="C570" s="1" t="s">
        <v>10377</v>
      </c>
      <c r="D570" s="34" t="s">
        <v>10521</v>
      </c>
      <c r="E570" s="34" t="s">
        <v>10293</v>
      </c>
      <c r="F570" s="6" t="s">
        <v>11722</v>
      </c>
      <c r="G570" s="218" t="s">
        <v>11234</v>
      </c>
      <c r="H570" s="218" t="s">
        <v>11723</v>
      </c>
    </row>
    <row r="571" spans="1:8" ht="25.5">
      <c r="A571" s="34">
        <f t="shared" si="8"/>
        <v>569</v>
      </c>
      <c r="B571" s="218" t="s">
        <v>10520</v>
      </c>
      <c r="C571" s="1" t="s">
        <v>212</v>
      </c>
      <c r="D571" s="34" t="s">
        <v>10521</v>
      </c>
      <c r="E571" s="34" t="s">
        <v>10567</v>
      </c>
      <c r="F571" s="6" t="s">
        <v>11724</v>
      </c>
      <c r="G571" s="218" t="s">
        <v>10569</v>
      </c>
      <c r="H571" s="218" t="s">
        <v>11725</v>
      </c>
    </row>
    <row r="572" spans="1:8" ht="25.5">
      <c r="A572" s="34">
        <f t="shared" si="8"/>
        <v>570</v>
      </c>
      <c r="B572" s="218" t="s">
        <v>10520</v>
      </c>
      <c r="C572" s="1" t="s">
        <v>132</v>
      </c>
      <c r="D572" s="34" t="s">
        <v>10521</v>
      </c>
      <c r="E572" s="34" t="s">
        <v>10526</v>
      </c>
      <c r="F572" s="6" t="s">
        <v>10548</v>
      </c>
      <c r="G572" s="218" t="s">
        <v>11237</v>
      </c>
      <c r="H572" s="218" t="s">
        <v>11726</v>
      </c>
    </row>
    <row r="573" spans="1:8">
      <c r="A573" s="34">
        <f t="shared" si="8"/>
        <v>571</v>
      </c>
      <c r="B573" s="218" t="s">
        <v>10520</v>
      </c>
      <c r="C573" s="1" t="s">
        <v>132</v>
      </c>
      <c r="D573" s="34" t="s">
        <v>10521</v>
      </c>
      <c r="E573" s="34" t="s">
        <v>10300</v>
      </c>
      <c r="F573" s="6" t="s">
        <v>11727</v>
      </c>
      <c r="G573" s="218" t="s">
        <v>10407</v>
      </c>
      <c r="H573" s="218" t="s">
        <v>11728</v>
      </c>
    </row>
    <row r="574" spans="1:8">
      <c r="A574" s="34">
        <f t="shared" si="8"/>
        <v>572</v>
      </c>
      <c r="B574" s="218" t="s">
        <v>10520</v>
      </c>
      <c r="C574" s="1" t="s">
        <v>11729</v>
      </c>
      <c r="D574" s="34" t="s">
        <v>10521</v>
      </c>
      <c r="E574" s="34" t="s">
        <v>10880</v>
      </c>
      <c r="F574" s="6" t="s">
        <v>10631</v>
      </c>
      <c r="G574" s="218" t="s">
        <v>10880</v>
      </c>
      <c r="H574" s="218" t="s">
        <v>11730</v>
      </c>
    </row>
    <row r="575" spans="1:8" ht="25.5">
      <c r="A575" s="34">
        <f t="shared" si="8"/>
        <v>573</v>
      </c>
      <c r="B575" s="218" t="s">
        <v>10520</v>
      </c>
      <c r="C575" s="1" t="s">
        <v>10600</v>
      </c>
      <c r="D575" s="34" t="s">
        <v>10521</v>
      </c>
      <c r="E575" s="34" t="s">
        <v>11055</v>
      </c>
      <c r="F575" s="6" t="s">
        <v>11731</v>
      </c>
      <c r="G575" s="218" t="s">
        <v>11240</v>
      </c>
      <c r="H575" s="218" t="s">
        <v>11732</v>
      </c>
    </row>
    <row r="576" spans="1:8">
      <c r="A576" s="34">
        <f t="shared" si="8"/>
        <v>574</v>
      </c>
      <c r="B576" s="218" t="s">
        <v>10520</v>
      </c>
      <c r="C576" s="1" t="s">
        <v>132</v>
      </c>
      <c r="D576" s="34" t="s">
        <v>10521</v>
      </c>
      <c r="E576" s="34" t="s">
        <v>10440</v>
      </c>
      <c r="F576" s="6" t="s">
        <v>11733</v>
      </c>
      <c r="G576" s="218" t="s">
        <v>10739</v>
      </c>
      <c r="H576" s="218" t="s">
        <v>11734</v>
      </c>
    </row>
    <row r="577" spans="1:8" ht="25.5">
      <c r="A577" s="34">
        <f t="shared" si="8"/>
        <v>575</v>
      </c>
      <c r="B577" s="218" t="s">
        <v>10520</v>
      </c>
      <c r="C577" s="1" t="s">
        <v>212</v>
      </c>
      <c r="D577" s="34" t="s">
        <v>10521</v>
      </c>
      <c r="E577" s="34" t="s">
        <v>10185</v>
      </c>
      <c r="F577" s="6" t="s">
        <v>10555</v>
      </c>
      <c r="G577" s="218" t="s">
        <v>10187</v>
      </c>
      <c r="H577" s="218" t="s">
        <v>11735</v>
      </c>
    </row>
    <row r="578" spans="1:8" ht="25.5">
      <c r="A578" s="34">
        <f t="shared" si="8"/>
        <v>576</v>
      </c>
      <c r="B578" s="218" t="s">
        <v>10520</v>
      </c>
      <c r="C578" s="1" t="s">
        <v>212</v>
      </c>
      <c r="D578" s="34" t="s">
        <v>10521</v>
      </c>
      <c r="E578" s="34" t="s">
        <v>11478</v>
      </c>
      <c r="F578" s="6" t="s">
        <v>11736</v>
      </c>
      <c r="G578" s="218" t="s">
        <v>11737</v>
      </c>
      <c r="H578" s="218" t="s">
        <v>11738</v>
      </c>
    </row>
    <row r="579" spans="1:8" ht="25.5">
      <c r="A579" s="34">
        <f t="shared" si="8"/>
        <v>577</v>
      </c>
      <c r="B579" s="218" t="s">
        <v>10520</v>
      </c>
      <c r="C579" s="1" t="s">
        <v>132</v>
      </c>
      <c r="D579" s="34" t="s">
        <v>10521</v>
      </c>
      <c r="E579" s="34" t="s">
        <v>11246</v>
      </c>
      <c r="F579" s="6" t="s">
        <v>11739</v>
      </c>
      <c r="G579" s="218" t="s">
        <v>11248</v>
      </c>
      <c r="H579" s="218" t="s">
        <v>11740</v>
      </c>
    </row>
    <row r="580" spans="1:8" ht="25.5">
      <c r="A580" s="34">
        <f t="shared" ref="A580:A643" si="9">A579+1</f>
        <v>578</v>
      </c>
      <c r="B580" s="218" t="s">
        <v>10550</v>
      </c>
      <c r="C580" s="1" t="s">
        <v>132</v>
      </c>
      <c r="D580" s="34" t="s">
        <v>10521</v>
      </c>
      <c r="E580" s="34" t="s">
        <v>9617</v>
      </c>
      <c r="F580" s="6" t="s">
        <v>10746</v>
      </c>
      <c r="G580" s="218" t="s">
        <v>11713</v>
      </c>
      <c r="H580" s="218" t="s">
        <v>11741</v>
      </c>
    </row>
    <row r="581" spans="1:8" ht="25.5">
      <c r="A581" s="34">
        <f t="shared" si="9"/>
        <v>579</v>
      </c>
      <c r="B581" s="218" t="s">
        <v>10550</v>
      </c>
      <c r="C581" s="1" t="s">
        <v>132</v>
      </c>
      <c r="D581" s="34" t="s">
        <v>10520</v>
      </c>
      <c r="E581" s="34" t="s">
        <v>9617</v>
      </c>
      <c r="F581" s="6" t="s">
        <v>10657</v>
      </c>
      <c r="G581" s="218" t="s">
        <v>10552</v>
      </c>
      <c r="H581" s="218" t="s">
        <v>11742</v>
      </c>
    </row>
    <row r="582" spans="1:8" ht="25.5">
      <c r="A582" s="34">
        <f t="shared" si="9"/>
        <v>580</v>
      </c>
      <c r="B582" s="218" t="s">
        <v>10520</v>
      </c>
      <c r="C582" s="1" t="s">
        <v>132</v>
      </c>
      <c r="D582" s="34" t="s">
        <v>10520</v>
      </c>
      <c r="E582" s="34" t="s">
        <v>10607</v>
      </c>
      <c r="F582" s="6" t="s">
        <v>10634</v>
      </c>
      <c r="G582" s="218" t="s">
        <v>10609</v>
      </c>
      <c r="H582" s="218" t="s">
        <v>11743</v>
      </c>
    </row>
    <row r="583" spans="1:8" ht="25.5">
      <c r="A583" s="34">
        <f t="shared" si="9"/>
        <v>581</v>
      </c>
      <c r="B583" s="218" t="s">
        <v>10520</v>
      </c>
      <c r="C583" s="1" t="s">
        <v>132</v>
      </c>
      <c r="D583" s="34" t="s">
        <v>10520</v>
      </c>
      <c r="E583" s="34" t="s">
        <v>10607</v>
      </c>
      <c r="F583" s="6" t="s">
        <v>10611</v>
      </c>
      <c r="G583" s="218" t="s">
        <v>10609</v>
      </c>
      <c r="H583" s="218" t="s">
        <v>11744</v>
      </c>
    </row>
    <row r="584" spans="1:8" ht="25.5">
      <c r="A584" s="34">
        <f t="shared" si="9"/>
        <v>582</v>
      </c>
      <c r="B584" s="218" t="s">
        <v>10615</v>
      </c>
      <c r="C584" s="1" t="s">
        <v>122</v>
      </c>
      <c r="D584" s="34" t="s">
        <v>10520</v>
      </c>
      <c r="E584" s="34" t="s">
        <v>10616</v>
      </c>
      <c r="F584" s="6" t="s">
        <v>10617</v>
      </c>
      <c r="G584" s="218" t="s">
        <v>10618</v>
      </c>
      <c r="H584" s="218" t="s">
        <v>11745</v>
      </c>
    </row>
    <row r="585" spans="1:8" ht="25.5">
      <c r="A585" s="34">
        <f t="shared" si="9"/>
        <v>583</v>
      </c>
      <c r="B585" s="218" t="s">
        <v>10615</v>
      </c>
      <c r="C585" s="1" t="s">
        <v>122</v>
      </c>
      <c r="D585" s="34" t="s">
        <v>10520</v>
      </c>
      <c r="E585" s="34" t="s">
        <v>10616</v>
      </c>
      <c r="F585" s="6" t="s">
        <v>10617</v>
      </c>
      <c r="G585" s="218" t="s">
        <v>11746</v>
      </c>
      <c r="H585" s="218" t="s">
        <v>11747</v>
      </c>
    </row>
    <row r="586" spans="1:8" ht="25.5">
      <c r="A586" s="34">
        <f t="shared" si="9"/>
        <v>584</v>
      </c>
      <c r="B586" s="218" t="s">
        <v>11748</v>
      </c>
      <c r="C586" s="1" t="s">
        <v>122</v>
      </c>
      <c r="D586" s="34" t="s">
        <v>10520</v>
      </c>
      <c r="E586" s="34" t="s">
        <v>10616</v>
      </c>
      <c r="F586" s="6" t="s">
        <v>10634</v>
      </c>
      <c r="G586" s="218" t="s">
        <v>10618</v>
      </c>
      <c r="H586" s="218" t="s">
        <v>11749</v>
      </c>
    </row>
    <row r="587" spans="1:8" ht="25.5">
      <c r="A587" s="34">
        <f t="shared" si="9"/>
        <v>585</v>
      </c>
      <c r="B587" s="218" t="s">
        <v>11750</v>
      </c>
      <c r="C587" s="1" t="s">
        <v>122</v>
      </c>
      <c r="D587" s="34" t="s">
        <v>10521</v>
      </c>
      <c r="E587" s="34" t="s">
        <v>10616</v>
      </c>
      <c r="F587" s="6" t="s">
        <v>10617</v>
      </c>
      <c r="G587" s="218" t="s">
        <v>10618</v>
      </c>
      <c r="H587" s="218" t="s">
        <v>11751</v>
      </c>
    </row>
    <row r="588" spans="1:8" ht="25.5">
      <c r="A588" s="34">
        <f t="shared" si="9"/>
        <v>586</v>
      </c>
      <c r="B588" s="218" t="s">
        <v>10520</v>
      </c>
      <c r="C588" s="1" t="s">
        <v>132</v>
      </c>
      <c r="D588" s="34" t="s">
        <v>10521</v>
      </c>
      <c r="E588" s="34" t="s">
        <v>10341</v>
      </c>
      <c r="F588" s="6" t="s">
        <v>11752</v>
      </c>
      <c r="G588" s="218" t="s">
        <v>11217</v>
      </c>
      <c r="H588" s="218" t="s">
        <v>11753</v>
      </c>
    </row>
    <row r="589" spans="1:8" ht="25.5">
      <c r="A589" s="34">
        <f t="shared" si="9"/>
        <v>587</v>
      </c>
      <c r="B589" s="218" t="s">
        <v>11754</v>
      </c>
      <c r="C589" s="1" t="s">
        <v>11260</v>
      </c>
      <c r="D589" s="34" t="s">
        <v>10587</v>
      </c>
      <c r="E589" s="34" t="s">
        <v>11755</v>
      </c>
      <c r="F589" s="6" t="s">
        <v>11756</v>
      </c>
      <c r="G589" s="218" t="s">
        <v>8060</v>
      </c>
      <c r="H589" s="218" t="s">
        <v>11757</v>
      </c>
    </row>
    <row r="590" spans="1:8" ht="38.25">
      <c r="A590" s="34">
        <f t="shared" si="9"/>
        <v>588</v>
      </c>
      <c r="B590" s="218" t="s">
        <v>11758</v>
      </c>
      <c r="C590" s="1" t="s">
        <v>10586</v>
      </c>
      <c r="D590" s="34" t="s">
        <v>10587</v>
      </c>
      <c r="E590" s="34" t="s">
        <v>10347</v>
      </c>
      <c r="F590" s="6" t="s">
        <v>10432</v>
      </c>
      <c r="G590" s="218" t="s">
        <v>8060</v>
      </c>
      <c r="H590" s="218" t="s">
        <v>11759</v>
      </c>
    </row>
    <row r="591" spans="1:8" ht="38.25">
      <c r="A591" s="34">
        <f t="shared" si="9"/>
        <v>589</v>
      </c>
      <c r="B591" s="218" t="s">
        <v>11760</v>
      </c>
      <c r="C591" s="1" t="s">
        <v>122</v>
      </c>
      <c r="D591" s="34" t="s">
        <v>10189</v>
      </c>
      <c r="E591" s="34" t="s">
        <v>11761</v>
      </c>
      <c r="F591" s="6" t="s">
        <v>11762</v>
      </c>
      <c r="G591" s="218" t="s">
        <v>11763</v>
      </c>
      <c r="H591" s="218" t="s">
        <v>11764</v>
      </c>
    </row>
    <row r="592" spans="1:8" ht="25.5">
      <c r="A592" s="34">
        <f t="shared" si="9"/>
        <v>590</v>
      </c>
      <c r="B592" s="218" t="s">
        <v>10520</v>
      </c>
      <c r="C592" s="1" t="s">
        <v>132</v>
      </c>
      <c r="D592" s="34" t="s">
        <v>10521</v>
      </c>
      <c r="E592" s="34" t="s">
        <v>10607</v>
      </c>
      <c r="F592" s="6" t="s">
        <v>11251</v>
      </c>
      <c r="G592" s="218" t="s">
        <v>10609</v>
      </c>
      <c r="H592" s="218" t="s">
        <v>11765</v>
      </c>
    </row>
    <row r="593" spans="1:8" ht="25.5">
      <c r="A593" s="34">
        <f t="shared" si="9"/>
        <v>591</v>
      </c>
      <c r="B593" s="218" t="s">
        <v>11766</v>
      </c>
      <c r="C593" s="1" t="s">
        <v>137</v>
      </c>
      <c r="D593" s="34" t="s">
        <v>10655</v>
      </c>
      <c r="E593" s="34" t="s">
        <v>10607</v>
      </c>
      <c r="F593" s="6" t="s">
        <v>11767</v>
      </c>
      <c r="G593" s="218" t="s">
        <v>10658</v>
      </c>
      <c r="H593" s="218" t="s">
        <v>11768</v>
      </c>
    </row>
    <row r="594" spans="1:8" ht="25.5">
      <c r="A594" s="34">
        <f t="shared" si="9"/>
        <v>592</v>
      </c>
      <c r="B594" s="218" t="s">
        <v>11769</v>
      </c>
      <c r="C594" s="1" t="s">
        <v>10202</v>
      </c>
      <c r="D594" s="34" t="s">
        <v>10371</v>
      </c>
      <c r="E594" s="34" t="s">
        <v>11770</v>
      </c>
      <c r="F594" s="6" t="s">
        <v>11771</v>
      </c>
      <c r="G594" s="218" t="s">
        <v>8060</v>
      </c>
      <c r="H594" s="218" t="s">
        <v>11772</v>
      </c>
    </row>
    <row r="595" spans="1:8" ht="38.25">
      <c r="A595" s="34">
        <f t="shared" si="9"/>
        <v>593</v>
      </c>
      <c r="B595" s="218" t="s">
        <v>11773</v>
      </c>
      <c r="C595" s="1" t="s">
        <v>132</v>
      </c>
      <c r="D595" s="34" t="s">
        <v>10655</v>
      </c>
      <c r="E595" s="34" t="s">
        <v>10656</v>
      </c>
      <c r="F595" s="6" t="s">
        <v>10657</v>
      </c>
      <c r="G595" s="218" t="s">
        <v>10658</v>
      </c>
      <c r="H595" s="218" t="s">
        <v>10659</v>
      </c>
    </row>
    <row r="596" spans="1:8" ht="25.5">
      <c r="A596" s="34">
        <f t="shared" si="9"/>
        <v>594</v>
      </c>
      <c r="B596" s="218" t="s">
        <v>11774</v>
      </c>
      <c r="C596" s="1" t="s">
        <v>132</v>
      </c>
      <c r="D596" s="34" t="s">
        <v>10189</v>
      </c>
      <c r="E596" s="34" t="s">
        <v>10936</v>
      </c>
      <c r="F596" s="6" t="s">
        <v>11523</v>
      </c>
      <c r="G596" s="218" t="s">
        <v>8814</v>
      </c>
      <c r="H596" s="218" t="s">
        <v>11775</v>
      </c>
    </row>
    <row r="597" spans="1:8" ht="25.5">
      <c r="A597" s="34">
        <f t="shared" si="9"/>
        <v>595</v>
      </c>
      <c r="B597" s="218" t="s">
        <v>11776</v>
      </c>
      <c r="C597" s="1" t="s">
        <v>132</v>
      </c>
      <c r="D597" s="34" t="s">
        <v>10189</v>
      </c>
      <c r="E597" s="34" t="s">
        <v>11777</v>
      </c>
      <c r="F597" s="6" t="s">
        <v>10253</v>
      </c>
      <c r="G597" s="218" t="s">
        <v>8814</v>
      </c>
      <c r="H597" s="218" t="s">
        <v>11778</v>
      </c>
    </row>
    <row r="598" spans="1:8" ht="25.5">
      <c r="A598" s="34">
        <f t="shared" si="9"/>
        <v>596</v>
      </c>
      <c r="B598" s="218" t="s">
        <v>10550</v>
      </c>
      <c r="C598" s="1" t="s">
        <v>132</v>
      </c>
      <c r="D598" s="34" t="s">
        <v>10520</v>
      </c>
      <c r="E598" s="34" t="s">
        <v>9617</v>
      </c>
      <c r="F598" s="6" t="s">
        <v>11779</v>
      </c>
      <c r="G598" s="218" t="s">
        <v>10552</v>
      </c>
      <c r="H598" s="218" t="s">
        <v>11780</v>
      </c>
    </row>
    <row r="599" spans="1:8" ht="25.5">
      <c r="A599" s="34">
        <f t="shared" si="9"/>
        <v>597</v>
      </c>
      <c r="B599" s="218" t="s">
        <v>11781</v>
      </c>
      <c r="C599" s="1" t="s">
        <v>10600</v>
      </c>
      <c r="D599" s="34" t="s">
        <v>10520</v>
      </c>
      <c r="E599" s="34" t="s">
        <v>10687</v>
      </c>
      <c r="F599" s="6" t="s">
        <v>10688</v>
      </c>
      <c r="G599" s="218" t="s">
        <v>10689</v>
      </c>
      <c r="H599" s="218" t="s">
        <v>11782</v>
      </c>
    </row>
    <row r="600" spans="1:8" ht="25.5">
      <c r="A600" s="34">
        <f t="shared" si="9"/>
        <v>598</v>
      </c>
      <c r="B600" s="218" t="s">
        <v>11783</v>
      </c>
      <c r="C600" s="1" t="s">
        <v>10600</v>
      </c>
      <c r="D600" s="34" t="s">
        <v>10520</v>
      </c>
      <c r="E600" s="34" t="s">
        <v>10687</v>
      </c>
      <c r="F600" s="6" t="s">
        <v>10688</v>
      </c>
      <c r="G600" s="218" t="s">
        <v>10689</v>
      </c>
      <c r="H600" s="218" t="s">
        <v>11784</v>
      </c>
    </row>
    <row r="601" spans="1:8" ht="25.5">
      <c r="A601" s="34">
        <f t="shared" si="9"/>
        <v>599</v>
      </c>
      <c r="B601" s="218" t="s">
        <v>11785</v>
      </c>
      <c r="C601" s="1" t="s">
        <v>10600</v>
      </c>
      <c r="D601" s="34" t="s">
        <v>10520</v>
      </c>
      <c r="E601" s="34" t="s">
        <v>10567</v>
      </c>
      <c r="F601" s="6" t="s">
        <v>10674</v>
      </c>
      <c r="G601" s="218" t="s">
        <v>10569</v>
      </c>
      <c r="H601" s="218" t="s">
        <v>11786</v>
      </c>
    </row>
    <row r="602" spans="1:8" ht="25.5">
      <c r="A602" s="34">
        <f t="shared" si="9"/>
        <v>600</v>
      </c>
      <c r="B602" s="218" t="s">
        <v>11787</v>
      </c>
      <c r="C602" s="1" t="s">
        <v>212</v>
      </c>
      <c r="D602" s="34" t="s">
        <v>10520</v>
      </c>
      <c r="E602" s="34" t="s">
        <v>10554</v>
      </c>
      <c r="F602" s="6" t="s">
        <v>11788</v>
      </c>
      <c r="G602" s="218" t="s">
        <v>10556</v>
      </c>
      <c r="H602" s="218" t="s">
        <v>11789</v>
      </c>
    </row>
    <row r="603" spans="1:8" ht="25.5">
      <c r="A603" s="34">
        <f t="shared" si="9"/>
        <v>601</v>
      </c>
      <c r="B603" s="218" t="s">
        <v>11790</v>
      </c>
      <c r="C603" s="1" t="s">
        <v>212</v>
      </c>
      <c r="D603" s="34" t="s">
        <v>10520</v>
      </c>
      <c r="E603" s="34" t="s">
        <v>10554</v>
      </c>
      <c r="F603" s="6" t="s">
        <v>10696</v>
      </c>
      <c r="G603" s="218" t="s">
        <v>10556</v>
      </c>
      <c r="H603" s="218" t="s">
        <v>11791</v>
      </c>
    </row>
    <row r="604" spans="1:8" ht="25.5">
      <c r="A604" s="34">
        <f t="shared" si="9"/>
        <v>602</v>
      </c>
      <c r="B604" s="218" t="s">
        <v>11792</v>
      </c>
      <c r="C604" s="1" t="s">
        <v>212</v>
      </c>
      <c r="D604" s="34" t="s">
        <v>10520</v>
      </c>
      <c r="E604" s="34" t="s">
        <v>10554</v>
      </c>
      <c r="F604" s="6" t="s">
        <v>10696</v>
      </c>
      <c r="G604" s="218" t="s">
        <v>10556</v>
      </c>
      <c r="H604" s="218" t="s">
        <v>11793</v>
      </c>
    </row>
    <row r="605" spans="1:8" ht="25.5">
      <c r="A605" s="34">
        <f t="shared" si="9"/>
        <v>603</v>
      </c>
      <c r="B605" s="218" t="s">
        <v>11794</v>
      </c>
      <c r="C605" s="1" t="s">
        <v>212</v>
      </c>
      <c r="D605" s="34" t="s">
        <v>10520</v>
      </c>
      <c r="E605" s="34" t="s">
        <v>10554</v>
      </c>
      <c r="F605" s="6" t="s">
        <v>10696</v>
      </c>
      <c r="G605" s="218" t="s">
        <v>10556</v>
      </c>
      <c r="H605" s="218" t="s">
        <v>11795</v>
      </c>
    </row>
    <row r="606" spans="1:8" ht="25.5">
      <c r="A606" s="34">
        <f t="shared" si="9"/>
        <v>604</v>
      </c>
      <c r="B606" s="218" t="s">
        <v>11796</v>
      </c>
      <c r="C606" s="1" t="s">
        <v>212</v>
      </c>
      <c r="D606" s="34" t="s">
        <v>10520</v>
      </c>
      <c r="E606" s="34" t="s">
        <v>10692</v>
      </c>
      <c r="F606" s="6" t="s">
        <v>10688</v>
      </c>
      <c r="G606" s="218" t="s">
        <v>10693</v>
      </c>
      <c r="H606" s="218" t="s">
        <v>11797</v>
      </c>
    </row>
    <row r="607" spans="1:8" ht="25.5">
      <c r="A607" s="34">
        <f t="shared" si="9"/>
        <v>605</v>
      </c>
      <c r="B607" s="218" t="s">
        <v>11798</v>
      </c>
      <c r="C607" s="1" t="s">
        <v>212</v>
      </c>
      <c r="D607" s="34" t="s">
        <v>10520</v>
      </c>
      <c r="E607" s="34" t="s">
        <v>10692</v>
      </c>
      <c r="F607" s="6" t="s">
        <v>11799</v>
      </c>
      <c r="G607" s="218" t="s">
        <v>10693</v>
      </c>
      <c r="H607" s="218" t="s">
        <v>11800</v>
      </c>
    </row>
    <row r="608" spans="1:8" ht="25.5">
      <c r="A608" s="34">
        <f t="shared" si="9"/>
        <v>606</v>
      </c>
      <c r="B608" s="218" t="s">
        <v>11801</v>
      </c>
      <c r="C608" s="1" t="s">
        <v>212</v>
      </c>
      <c r="D608" s="34" t="s">
        <v>10520</v>
      </c>
      <c r="E608" s="34" t="s">
        <v>10554</v>
      </c>
      <c r="F608" s="6" t="s">
        <v>10696</v>
      </c>
      <c r="G608" s="218" t="s">
        <v>10556</v>
      </c>
      <c r="H608" s="218" t="s">
        <v>11802</v>
      </c>
    </row>
    <row r="609" spans="1:8" ht="25.5">
      <c r="A609" s="34">
        <f t="shared" si="9"/>
        <v>607</v>
      </c>
      <c r="B609" s="218" t="s">
        <v>11803</v>
      </c>
      <c r="C609" s="1" t="s">
        <v>212</v>
      </c>
      <c r="D609" s="34" t="s">
        <v>10520</v>
      </c>
      <c r="E609" s="34" t="s">
        <v>10522</v>
      </c>
      <c r="F609" s="6" t="s">
        <v>11804</v>
      </c>
      <c r="G609" s="218" t="s">
        <v>10684</v>
      </c>
      <c r="H609" s="218" t="s">
        <v>11805</v>
      </c>
    </row>
    <row r="610" spans="1:8" ht="25.5">
      <c r="A610" s="34">
        <f t="shared" si="9"/>
        <v>608</v>
      </c>
      <c r="B610" s="218" t="s">
        <v>10485</v>
      </c>
      <c r="C610" s="1" t="s">
        <v>10435</v>
      </c>
      <c r="D610" s="34" t="s">
        <v>10189</v>
      </c>
      <c r="E610" s="34" t="s">
        <v>10745</v>
      </c>
      <c r="F610" s="6" t="s">
        <v>10487</v>
      </c>
      <c r="G610" s="218" t="s">
        <v>10488</v>
      </c>
      <c r="H610" s="218" t="s">
        <v>10748</v>
      </c>
    </row>
    <row r="611" spans="1:8" ht="25.5">
      <c r="A611" s="34">
        <f t="shared" si="9"/>
        <v>609</v>
      </c>
      <c r="B611" s="218" t="s">
        <v>11806</v>
      </c>
      <c r="C611" s="1" t="s">
        <v>132</v>
      </c>
      <c r="D611" s="34" t="s">
        <v>10189</v>
      </c>
      <c r="E611" s="34" t="s">
        <v>10300</v>
      </c>
      <c r="F611" s="6" t="s">
        <v>10483</v>
      </c>
      <c r="G611" s="218" t="s">
        <v>10513</v>
      </c>
      <c r="H611" s="218" t="s">
        <v>11807</v>
      </c>
    </row>
    <row r="612" spans="1:8" ht="25.5">
      <c r="A612" s="34">
        <f t="shared" si="9"/>
        <v>610</v>
      </c>
      <c r="B612" s="218" t="s">
        <v>11808</v>
      </c>
      <c r="C612" s="1" t="s">
        <v>132</v>
      </c>
      <c r="D612" s="34" t="s">
        <v>10189</v>
      </c>
      <c r="E612" s="34" t="s">
        <v>10300</v>
      </c>
      <c r="F612" s="6" t="s">
        <v>10483</v>
      </c>
      <c r="G612" s="218" t="s">
        <v>10513</v>
      </c>
      <c r="H612" s="218" t="s">
        <v>11560</v>
      </c>
    </row>
    <row r="613" spans="1:8" ht="25.5">
      <c r="A613" s="34">
        <f t="shared" si="9"/>
        <v>611</v>
      </c>
      <c r="B613" s="218" t="s">
        <v>10501</v>
      </c>
      <c r="C613" s="1" t="s">
        <v>1017</v>
      </c>
      <c r="D613" s="34" t="s">
        <v>10189</v>
      </c>
      <c r="E613" s="34" t="s">
        <v>10507</v>
      </c>
      <c r="F613" s="6" t="s">
        <v>11809</v>
      </c>
      <c r="G613" s="218" t="s">
        <v>10712</v>
      </c>
      <c r="H613" s="218" t="s">
        <v>10509</v>
      </c>
    </row>
    <row r="614" spans="1:8" ht="25.5">
      <c r="A614" s="34">
        <f t="shared" si="9"/>
        <v>612</v>
      </c>
      <c r="B614" s="218" t="s">
        <v>11810</v>
      </c>
      <c r="C614" s="1" t="s">
        <v>132</v>
      </c>
      <c r="D614" s="34" t="s">
        <v>10189</v>
      </c>
      <c r="E614" s="34" t="s">
        <v>9617</v>
      </c>
      <c r="F614" s="6" t="s">
        <v>10731</v>
      </c>
      <c r="G614" s="218" t="s">
        <v>10732</v>
      </c>
      <c r="H614" s="218" t="s">
        <v>3059</v>
      </c>
    </row>
    <row r="615" spans="1:8" ht="25.5">
      <c r="A615" s="34">
        <f t="shared" si="9"/>
        <v>613</v>
      </c>
      <c r="B615" s="218" t="s">
        <v>11811</v>
      </c>
      <c r="C615" s="1" t="s">
        <v>132</v>
      </c>
      <c r="D615" s="34" t="s">
        <v>10189</v>
      </c>
      <c r="E615" s="34" t="s">
        <v>9617</v>
      </c>
      <c r="F615" s="6" t="s">
        <v>10731</v>
      </c>
      <c r="G615" s="218" t="s">
        <v>10732</v>
      </c>
      <c r="H615" s="218" t="s">
        <v>11812</v>
      </c>
    </row>
    <row r="616" spans="1:8" ht="25.5">
      <c r="A616" s="34">
        <f t="shared" si="9"/>
        <v>614</v>
      </c>
      <c r="B616" s="218" t="s">
        <v>10520</v>
      </c>
      <c r="C616" s="1" t="s">
        <v>11729</v>
      </c>
      <c r="D616" s="34" t="s">
        <v>10521</v>
      </c>
      <c r="E616" s="34" t="s">
        <v>10341</v>
      </c>
      <c r="F616" s="6" t="s">
        <v>11813</v>
      </c>
      <c r="G616" s="218" t="s">
        <v>10563</v>
      </c>
      <c r="H616" s="218" t="s">
        <v>11814</v>
      </c>
    </row>
    <row r="617" spans="1:8">
      <c r="A617" s="34">
        <f t="shared" si="9"/>
        <v>615</v>
      </c>
      <c r="B617" s="218" t="s">
        <v>11815</v>
      </c>
      <c r="C617" s="1" t="s">
        <v>122</v>
      </c>
      <c r="D617" s="34" t="s">
        <v>10189</v>
      </c>
      <c r="E617" s="34" t="s">
        <v>10219</v>
      </c>
      <c r="F617" s="6" t="s">
        <v>11816</v>
      </c>
      <c r="G617" s="218"/>
      <c r="H617" s="218" t="s">
        <v>11817</v>
      </c>
    </row>
    <row r="618" spans="1:8" ht="38.25">
      <c r="A618" s="34">
        <f t="shared" si="9"/>
        <v>616</v>
      </c>
      <c r="B618" s="218" t="s">
        <v>10735</v>
      </c>
      <c r="C618" s="1" t="s">
        <v>132</v>
      </c>
      <c r="D618" s="34" t="s">
        <v>10189</v>
      </c>
      <c r="E618" s="34" t="s">
        <v>10736</v>
      </c>
      <c r="F618" s="6" t="s">
        <v>10737</v>
      </c>
      <c r="G618" s="218" t="s">
        <v>8839</v>
      </c>
      <c r="H618" s="218" t="s">
        <v>5102</v>
      </c>
    </row>
    <row r="619" spans="1:8" ht="38.25">
      <c r="A619" s="34">
        <f t="shared" si="9"/>
        <v>617</v>
      </c>
      <c r="B619" s="218" t="s">
        <v>10479</v>
      </c>
      <c r="C619" s="1" t="s">
        <v>132</v>
      </c>
      <c r="D619" s="34" t="s">
        <v>10189</v>
      </c>
      <c r="E619" s="34" t="s">
        <v>10300</v>
      </c>
      <c r="F619" s="6" t="s">
        <v>10483</v>
      </c>
      <c r="G619" s="218" t="s">
        <v>10302</v>
      </c>
      <c r="H619" s="218" t="s">
        <v>306</v>
      </c>
    </row>
    <row r="620" spans="1:8" ht="25.5">
      <c r="A620" s="34">
        <f t="shared" si="9"/>
        <v>618</v>
      </c>
      <c r="B620" s="218" t="s">
        <v>11818</v>
      </c>
      <c r="C620" s="1" t="s">
        <v>122</v>
      </c>
      <c r="D620" s="34" t="s">
        <v>11819</v>
      </c>
      <c r="E620" s="34" t="s">
        <v>10238</v>
      </c>
      <c r="F620" s="6" t="s">
        <v>11820</v>
      </c>
      <c r="G620" s="218" t="s">
        <v>10240</v>
      </c>
      <c r="H620" s="218" t="s">
        <v>287</v>
      </c>
    </row>
    <row r="621" spans="1:8" ht="25.5">
      <c r="A621" s="34">
        <f t="shared" si="9"/>
        <v>619</v>
      </c>
      <c r="B621" s="218" t="s">
        <v>11821</v>
      </c>
      <c r="C621" s="1" t="s">
        <v>122</v>
      </c>
      <c r="D621" s="34" t="s">
        <v>10218</v>
      </c>
      <c r="E621" s="34" t="s">
        <v>10238</v>
      </c>
      <c r="F621" s="6" t="s">
        <v>10752</v>
      </c>
      <c r="G621" s="218" t="s">
        <v>10240</v>
      </c>
      <c r="H621" s="218" t="s">
        <v>10241</v>
      </c>
    </row>
    <row r="622" spans="1:8" ht="25.5">
      <c r="A622" s="34">
        <f t="shared" si="9"/>
        <v>620</v>
      </c>
      <c r="B622" s="218" t="s">
        <v>11822</v>
      </c>
      <c r="C622" s="1" t="s">
        <v>1060</v>
      </c>
      <c r="D622" s="34" t="s">
        <v>10184</v>
      </c>
      <c r="E622" s="34" t="s">
        <v>10472</v>
      </c>
      <c r="F622" s="6" t="s">
        <v>11823</v>
      </c>
      <c r="G622" s="218" t="s">
        <v>11331</v>
      </c>
      <c r="H622" s="218" t="s">
        <v>11342</v>
      </c>
    </row>
    <row r="623" spans="1:8" ht="25.5">
      <c r="A623" s="34">
        <f t="shared" si="9"/>
        <v>621</v>
      </c>
      <c r="B623" s="218" t="s">
        <v>10497</v>
      </c>
      <c r="C623" s="1" t="s">
        <v>11824</v>
      </c>
      <c r="D623" s="34" t="s">
        <v>10218</v>
      </c>
      <c r="E623" s="34" t="s">
        <v>11825</v>
      </c>
      <c r="F623" s="6" t="s">
        <v>11826</v>
      </c>
      <c r="G623" s="218" t="s">
        <v>10976</v>
      </c>
      <c r="H623" s="218" t="s">
        <v>317</v>
      </c>
    </row>
    <row r="624" spans="1:8" ht="25.5">
      <c r="A624" s="34">
        <f t="shared" si="9"/>
        <v>622</v>
      </c>
      <c r="B624" s="218" t="s">
        <v>11827</v>
      </c>
      <c r="C624" s="1" t="s">
        <v>10409</v>
      </c>
      <c r="D624" s="34" t="s">
        <v>10189</v>
      </c>
      <c r="E624" s="34" t="s">
        <v>11828</v>
      </c>
      <c r="F624" s="6" t="s">
        <v>11829</v>
      </c>
      <c r="G624" s="218" t="s">
        <v>11830</v>
      </c>
      <c r="H624" s="218" t="s">
        <v>11831</v>
      </c>
    </row>
    <row r="625" spans="1:8">
      <c r="A625" s="34">
        <f t="shared" si="9"/>
        <v>623</v>
      </c>
      <c r="B625" s="218" t="s">
        <v>11358</v>
      </c>
      <c r="C625" s="1" t="s">
        <v>122</v>
      </c>
      <c r="D625" s="34" t="s">
        <v>11358</v>
      </c>
      <c r="E625" s="34" t="s">
        <v>10779</v>
      </c>
      <c r="F625" s="6" t="s">
        <v>11352</v>
      </c>
      <c r="G625" s="218" t="s">
        <v>11832</v>
      </c>
      <c r="H625" s="218" t="s">
        <v>10276</v>
      </c>
    </row>
    <row r="626" spans="1:8" ht="38.25">
      <c r="A626" s="34">
        <f t="shared" si="9"/>
        <v>624</v>
      </c>
      <c r="B626" s="218" t="s">
        <v>11833</v>
      </c>
      <c r="C626" s="1" t="s">
        <v>10202</v>
      </c>
      <c r="D626" s="34" t="s">
        <v>10189</v>
      </c>
      <c r="E626" s="34" t="s">
        <v>11351</v>
      </c>
      <c r="F626" s="6" t="s">
        <v>11834</v>
      </c>
      <c r="G626" s="218" t="s">
        <v>11353</v>
      </c>
      <c r="H626" s="218" t="s">
        <v>11835</v>
      </c>
    </row>
    <row r="627" spans="1:8" ht="25.5">
      <c r="A627" s="34">
        <f t="shared" si="9"/>
        <v>625</v>
      </c>
      <c r="B627" s="218" t="s">
        <v>11345</v>
      </c>
      <c r="C627" s="1" t="s">
        <v>10482</v>
      </c>
      <c r="D627" s="34" t="s">
        <v>10521</v>
      </c>
      <c r="E627" s="34" t="s">
        <v>11346</v>
      </c>
      <c r="F627" s="6" t="s">
        <v>11347</v>
      </c>
      <c r="G627" s="218" t="s">
        <v>11348</v>
      </c>
      <c r="H627" s="218" t="s">
        <v>11836</v>
      </c>
    </row>
    <row r="628" spans="1:8">
      <c r="A628" s="34">
        <f t="shared" si="9"/>
        <v>626</v>
      </c>
      <c r="B628" s="218" t="s">
        <v>10782</v>
      </c>
      <c r="C628" s="1" t="s">
        <v>1027</v>
      </c>
      <c r="D628" s="34" t="s">
        <v>10189</v>
      </c>
      <c r="E628" s="34" t="s">
        <v>10616</v>
      </c>
      <c r="F628" s="6" t="s">
        <v>11837</v>
      </c>
      <c r="G628" s="218" t="s">
        <v>11838</v>
      </c>
      <c r="H628" s="218" t="s">
        <v>11839</v>
      </c>
    </row>
    <row r="629" spans="1:8" ht="25.5">
      <c r="A629" s="34">
        <f t="shared" si="9"/>
        <v>627</v>
      </c>
      <c r="B629" s="218" t="s">
        <v>10501</v>
      </c>
      <c r="C629" s="1" t="s">
        <v>1939</v>
      </c>
      <c r="D629" s="34" t="s">
        <v>10189</v>
      </c>
      <c r="E629" s="34" t="s">
        <v>10362</v>
      </c>
      <c r="F629" s="6" t="s">
        <v>10794</v>
      </c>
      <c r="G629" s="218" t="s">
        <v>11840</v>
      </c>
      <c r="H629" s="218" t="s">
        <v>11841</v>
      </c>
    </row>
    <row r="630" spans="1:8" ht="25.5">
      <c r="A630" s="34">
        <f t="shared" si="9"/>
        <v>628</v>
      </c>
      <c r="B630" s="218" t="s">
        <v>11842</v>
      </c>
      <c r="C630" s="1" t="s">
        <v>147</v>
      </c>
      <c r="D630" s="34" t="s">
        <v>10189</v>
      </c>
      <c r="E630" s="34" t="s">
        <v>10472</v>
      </c>
      <c r="F630" s="6" t="s">
        <v>11843</v>
      </c>
      <c r="G630" s="218" t="s">
        <v>10831</v>
      </c>
      <c r="H630" s="218" t="s">
        <v>10904</v>
      </c>
    </row>
    <row r="631" spans="1:8">
      <c r="A631" s="34">
        <f t="shared" si="9"/>
        <v>629</v>
      </c>
      <c r="B631" s="218" t="s">
        <v>11844</v>
      </c>
      <c r="C631" s="1" t="s">
        <v>147</v>
      </c>
      <c r="D631" s="34" t="s">
        <v>10189</v>
      </c>
      <c r="E631" s="34" t="s">
        <v>10472</v>
      </c>
      <c r="F631" s="6" t="s">
        <v>11387</v>
      </c>
      <c r="G631" s="218" t="s">
        <v>8833</v>
      </c>
      <c r="H631" s="218" t="s">
        <v>10854</v>
      </c>
    </row>
    <row r="632" spans="1:8" ht="63.75">
      <c r="A632" s="34">
        <f t="shared" si="9"/>
        <v>630</v>
      </c>
      <c r="B632" s="218" t="s">
        <v>11845</v>
      </c>
      <c r="C632" s="1" t="s">
        <v>132</v>
      </c>
      <c r="D632" s="34" t="s">
        <v>10805</v>
      </c>
      <c r="E632" s="34" t="s">
        <v>10300</v>
      </c>
      <c r="F632" s="6" t="s">
        <v>11846</v>
      </c>
      <c r="G632" s="218" t="s">
        <v>11847</v>
      </c>
      <c r="H632" s="218" t="s">
        <v>11848</v>
      </c>
    </row>
    <row r="633" spans="1:8" ht="25.5">
      <c r="A633" s="34">
        <f t="shared" si="9"/>
        <v>631</v>
      </c>
      <c r="B633" s="218" t="s">
        <v>11849</v>
      </c>
      <c r="C633" s="1" t="s">
        <v>132</v>
      </c>
      <c r="D633" s="34" t="s">
        <v>10189</v>
      </c>
      <c r="E633" s="34" t="s">
        <v>10607</v>
      </c>
      <c r="F633" s="6" t="s">
        <v>11366</v>
      </c>
      <c r="G633" s="218" t="s">
        <v>11367</v>
      </c>
      <c r="H633" s="218" t="s">
        <v>11850</v>
      </c>
    </row>
    <row r="634" spans="1:8" ht="25.5">
      <c r="A634" s="34">
        <f t="shared" si="9"/>
        <v>632</v>
      </c>
      <c r="B634" s="218" t="s">
        <v>11851</v>
      </c>
      <c r="C634" s="1" t="s">
        <v>132</v>
      </c>
      <c r="D634" s="34" t="s">
        <v>10805</v>
      </c>
      <c r="E634" s="34" t="s">
        <v>10341</v>
      </c>
      <c r="F634" s="6" t="s">
        <v>10801</v>
      </c>
      <c r="G634" s="218" t="s">
        <v>11852</v>
      </c>
      <c r="H634" s="218" t="s">
        <v>11853</v>
      </c>
    </row>
    <row r="635" spans="1:8" ht="25.5">
      <c r="A635" s="34">
        <f t="shared" si="9"/>
        <v>633</v>
      </c>
      <c r="B635" s="218" t="s">
        <v>11854</v>
      </c>
      <c r="C635" s="1" t="s">
        <v>132</v>
      </c>
      <c r="D635" s="34" t="s">
        <v>10805</v>
      </c>
      <c r="E635" s="34" t="s">
        <v>11855</v>
      </c>
      <c r="F635" s="6" t="s">
        <v>11856</v>
      </c>
      <c r="G635" s="218" t="s">
        <v>11852</v>
      </c>
      <c r="H635" s="218" t="s">
        <v>11857</v>
      </c>
    </row>
    <row r="636" spans="1:8" ht="38.25">
      <c r="A636" s="34">
        <f t="shared" si="9"/>
        <v>634</v>
      </c>
      <c r="B636" s="218" t="s">
        <v>11858</v>
      </c>
      <c r="C636" s="1" t="s">
        <v>11729</v>
      </c>
      <c r="D636" s="34" t="s">
        <v>10805</v>
      </c>
      <c r="E636" s="34" t="s">
        <v>9617</v>
      </c>
      <c r="F636" s="6" t="s">
        <v>10720</v>
      </c>
      <c r="G636" s="218" t="s">
        <v>11379</v>
      </c>
      <c r="H636" s="218" t="s">
        <v>11380</v>
      </c>
    </row>
    <row r="637" spans="1:8" ht="38.25">
      <c r="A637" s="34">
        <f t="shared" si="9"/>
        <v>635</v>
      </c>
      <c r="B637" s="218" t="s">
        <v>11859</v>
      </c>
      <c r="C637" s="1" t="s">
        <v>132</v>
      </c>
      <c r="D637" s="34" t="s">
        <v>10805</v>
      </c>
      <c r="E637" s="34" t="s">
        <v>10300</v>
      </c>
      <c r="F637" s="6" t="s">
        <v>10720</v>
      </c>
      <c r="G637" s="218" t="s">
        <v>11860</v>
      </c>
      <c r="H637" s="218" t="s">
        <v>11380</v>
      </c>
    </row>
    <row r="638" spans="1:8" ht="38.25">
      <c r="A638" s="34">
        <f t="shared" si="9"/>
        <v>636</v>
      </c>
      <c r="B638" s="218" t="s">
        <v>11861</v>
      </c>
      <c r="C638" s="1" t="s">
        <v>122</v>
      </c>
      <c r="D638" s="34" t="s">
        <v>10820</v>
      </c>
      <c r="E638" s="34" t="s">
        <v>11862</v>
      </c>
      <c r="F638" s="6" t="s">
        <v>11863</v>
      </c>
      <c r="G638" s="218" t="s">
        <v>11864</v>
      </c>
      <c r="H638" s="218" t="s">
        <v>11865</v>
      </c>
    </row>
    <row r="639" spans="1:8" ht="25.5">
      <c r="A639" s="34">
        <f t="shared" si="9"/>
        <v>637</v>
      </c>
      <c r="B639" s="218" t="s">
        <v>10782</v>
      </c>
      <c r="C639" s="1" t="s">
        <v>10833</v>
      </c>
      <c r="D639" s="34" t="s">
        <v>10189</v>
      </c>
      <c r="E639" s="34" t="s">
        <v>11866</v>
      </c>
      <c r="F639" s="6" t="s">
        <v>11867</v>
      </c>
      <c r="G639" s="218" t="s">
        <v>11868</v>
      </c>
      <c r="H639" s="218" t="s">
        <v>11869</v>
      </c>
    </row>
    <row r="640" spans="1:8" ht="38.25">
      <c r="A640" s="34">
        <f t="shared" si="9"/>
        <v>638</v>
      </c>
      <c r="B640" s="218" t="s">
        <v>11870</v>
      </c>
      <c r="C640" s="1" t="s">
        <v>132</v>
      </c>
      <c r="D640" s="34" t="s">
        <v>10189</v>
      </c>
      <c r="E640" s="34" t="s">
        <v>10650</v>
      </c>
      <c r="F640" s="6" t="s">
        <v>11871</v>
      </c>
      <c r="G640" s="218" t="s">
        <v>11399</v>
      </c>
      <c r="H640" s="218" t="s">
        <v>11872</v>
      </c>
    </row>
    <row r="641" spans="1:8" ht="25.5">
      <c r="A641" s="34">
        <f t="shared" si="9"/>
        <v>639</v>
      </c>
      <c r="B641" s="218" t="s">
        <v>10782</v>
      </c>
      <c r="C641" s="1" t="s">
        <v>10754</v>
      </c>
      <c r="D641" s="34" t="s">
        <v>10189</v>
      </c>
      <c r="E641" s="34" t="s">
        <v>10834</v>
      </c>
      <c r="F641" s="6" t="s">
        <v>10835</v>
      </c>
      <c r="G641" s="218" t="s">
        <v>11868</v>
      </c>
      <c r="H641" s="218" t="s">
        <v>5438</v>
      </c>
    </row>
    <row r="642" spans="1:8" ht="25.5">
      <c r="A642" s="34">
        <f t="shared" si="9"/>
        <v>640</v>
      </c>
      <c r="B642" s="218" t="s">
        <v>11873</v>
      </c>
      <c r="C642" s="1" t="s">
        <v>147</v>
      </c>
      <c r="D642" s="34" t="s">
        <v>10218</v>
      </c>
      <c r="E642" s="34" t="s">
        <v>10472</v>
      </c>
      <c r="F642" s="6" t="s">
        <v>11874</v>
      </c>
      <c r="G642" s="218" t="s">
        <v>11875</v>
      </c>
      <c r="H642" s="218" t="s">
        <v>10854</v>
      </c>
    </row>
    <row r="643" spans="1:8" ht="25.5">
      <c r="A643" s="34">
        <f t="shared" si="9"/>
        <v>641</v>
      </c>
      <c r="B643" s="218" t="s">
        <v>10836</v>
      </c>
      <c r="C643" s="1" t="s">
        <v>10502</v>
      </c>
      <c r="D643" s="34" t="s">
        <v>10189</v>
      </c>
      <c r="E643" s="34" t="s">
        <v>10230</v>
      </c>
      <c r="F643" s="6" t="s">
        <v>10837</v>
      </c>
      <c r="G643" s="218" t="s">
        <v>10728</v>
      </c>
      <c r="H643" s="218" t="s">
        <v>11876</v>
      </c>
    </row>
    <row r="644" spans="1:8" ht="25.5">
      <c r="A644" s="34">
        <f t="shared" ref="A644:A707" si="10">A643+1</f>
        <v>642</v>
      </c>
      <c r="B644" s="218" t="s">
        <v>11877</v>
      </c>
      <c r="C644" s="1" t="s">
        <v>122</v>
      </c>
      <c r="D644" s="34" t="s">
        <v>10902</v>
      </c>
      <c r="E644" s="34" t="s">
        <v>10347</v>
      </c>
      <c r="F644" s="6" t="s">
        <v>11878</v>
      </c>
      <c r="G644" s="218" t="s">
        <v>8501</v>
      </c>
      <c r="H644" s="218" t="s">
        <v>10845</v>
      </c>
    </row>
    <row r="645" spans="1:8" ht="25.5">
      <c r="A645" s="34">
        <f t="shared" si="10"/>
        <v>643</v>
      </c>
      <c r="B645" s="218" t="s">
        <v>11879</v>
      </c>
      <c r="C645" s="1" t="s">
        <v>147</v>
      </c>
      <c r="D645" s="34" t="s">
        <v>10218</v>
      </c>
      <c r="E645" s="34" t="s">
        <v>10472</v>
      </c>
      <c r="F645" s="6" t="s">
        <v>10946</v>
      </c>
      <c r="G645" s="218" t="s">
        <v>11875</v>
      </c>
      <c r="H645" s="218" t="s">
        <v>10854</v>
      </c>
    </row>
    <row r="646" spans="1:8" ht="25.5">
      <c r="A646" s="34">
        <f t="shared" si="10"/>
        <v>644</v>
      </c>
      <c r="B646" s="218" t="s">
        <v>11880</v>
      </c>
      <c r="C646" s="1" t="s">
        <v>10377</v>
      </c>
      <c r="D646" s="34" t="s">
        <v>10189</v>
      </c>
      <c r="E646" s="34" t="s">
        <v>10424</v>
      </c>
      <c r="F646" s="6" t="s">
        <v>11396</v>
      </c>
      <c r="G646" s="218" t="s">
        <v>11385</v>
      </c>
      <c r="H646" s="218" t="s">
        <v>292</v>
      </c>
    </row>
    <row r="647" spans="1:8" ht="25.5">
      <c r="A647" s="34">
        <f t="shared" si="10"/>
        <v>645</v>
      </c>
      <c r="B647" s="218" t="s">
        <v>11881</v>
      </c>
      <c r="C647" s="1" t="s">
        <v>10435</v>
      </c>
      <c r="D647" s="34" t="s">
        <v>10189</v>
      </c>
      <c r="E647" s="34" t="s">
        <v>10230</v>
      </c>
      <c r="F647" s="6" t="s">
        <v>11396</v>
      </c>
      <c r="G647" s="218" t="s">
        <v>10728</v>
      </c>
      <c r="H647" s="218" t="s">
        <v>11188</v>
      </c>
    </row>
    <row r="648" spans="1:8" ht="25.5">
      <c r="A648" s="34">
        <f t="shared" si="10"/>
        <v>646</v>
      </c>
      <c r="B648" s="218" t="s">
        <v>11882</v>
      </c>
      <c r="C648" s="1" t="s">
        <v>10502</v>
      </c>
      <c r="D648" s="34" t="s">
        <v>10189</v>
      </c>
      <c r="E648" s="34" t="s">
        <v>10856</v>
      </c>
      <c r="F648" s="6" t="s">
        <v>11883</v>
      </c>
      <c r="G648" s="218" t="s">
        <v>10858</v>
      </c>
      <c r="H648" s="218" t="s">
        <v>11884</v>
      </c>
    </row>
    <row r="649" spans="1:8" ht="51">
      <c r="A649" s="34">
        <f t="shared" si="10"/>
        <v>647</v>
      </c>
      <c r="B649" s="218" t="s">
        <v>10865</v>
      </c>
      <c r="C649" s="1" t="s">
        <v>200</v>
      </c>
      <c r="D649" s="34" t="s">
        <v>10866</v>
      </c>
      <c r="E649" s="34" t="s">
        <v>10209</v>
      </c>
      <c r="F649" s="6" t="s">
        <v>10867</v>
      </c>
      <c r="G649" s="218" t="s">
        <v>8605</v>
      </c>
      <c r="H649" s="218" t="s">
        <v>11885</v>
      </c>
    </row>
    <row r="650" spans="1:8" ht="51">
      <c r="A650" s="34">
        <f t="shared" si="10"/>
        <v>648</v>
      </c>
      <c r="B650" s="218" t="s">
        <v>10865</v>
      </c>
      <c r="C650" s="1" t="s">
        <v>122</v>
      </c>
      <c r="D650" s="34" t="s">
        <v>10866</v>
      </c>
      <c r="E650" s="34" t="s">
        <v>10724</v>
      </c>
      <c r="F650" s="6" t="s">
        <v>11886</v>
      </c>
      <c r="G650" s="218" t="s">
        <v>11887</v>
      </c>
      <c r="H650" s="218" t="s">
        <v>11888</v>
      </c>
    </row>
    <row r="651" spans="1:8" ht="51">
      <c r="A651" s="34">
        <f t="shared" si="10"/>
        <v>649</v>
      </c>
      <c r="B651" s="218" t="s">
        <v>10865</v>
      </c>
      <c r="C651" s="1" t="s">
        <v>10435</v>
      </c>
      <c r="D651" s="34" t="s">
        <v>10866</v>
      </c>
      <c r="E651" s="34" t="s">
        <v>10705</v>
      </c>
      <c r="F651" s="6" t="s">
        <v>10867</v>
      </c>
      <c r="G651" s="218" t="s">
        <v>11889</v>
      </c>
      <c r="H651" s="218" t="s">
        <v>10979</v>
      </c>
    </row>
    <row r="652" spans="1:8" ht="25.5">
      <c r="A652" s="34">
        <f t="shared" si="10"/>
        <v>650</v>
      </c>
      <c r="B652" s="218" t="s">
        <v>11890</v>
      </c>
      <c r="C652" s="1" t="s">
        <v>10502</v>
      </c>
      <c r="D652" s="34" t="s">
        <v>10189</v>
      </c>
      <c r="E652" s="34" t="s">
        <v>10238</v>
      </c>
      <c r="F652" s="6" t="s">
        <v>11891</v>
      </c>
      <c r="G652" s="218" t="s">
        <v>10240</v>
      </c>
      <c r="H652" s="218" t="s">
        <v>11892</v>
      </c>
    </row>
    <row r="653" spans="1:8" ht="25.5">
      <c r="A653" s="34">
        <f t="shared" si="10"/>
        <v>651</v>
      </c>
      <c r="B653" s="218" t="s">
        <v>11893</v>
      </c>
      <c r="C653" s="1" t="s">
        <v>10202</v>
      </c>
      <c r="D653" s="34" t="s">
        <v>10189</v>
      </c>
      <c r="E653" s="34" t="s">
        <v>11894</v>
      </c>
      <c r="F653" s="6" t="s">
        <v>11895</v>
      </c>
      <c r="G653" s="218" t="s">
        <v>11896</v>
      </c>
      <c r="H653" s="218" t="s">
        <v>11897</v>
      </c>
    </row>
    <row r="654" spans="1:8">
      <c r="A654" s="34">
        <f t="shared" si="10"/>
        <v>652</v>
      </c>
      <c r="B654" s="218" t="s">
        <v>10782</v>
      </c>
      <c r="C654" s="1" t="s">
        <v>132</v>
      </c>
      <c r="D654" s="34" t="s">
        <v>10189</v>
      </c>
      <c r="E654" s="34" t="s">
        <v>10880</v>
      </c>
      <c r="F654" s="6" t="s">
        <v>11898</v>
      </c>
      <c r="G654" s="218" t="s">
        <v>10882</v>
      </c>
      <c r="H654" s="218" t="s">
        <v>11581</v>
      </c>
    </row>
    <row r="655" spans="1:8" ht="25.5">
      <c r="A655" s="34">
        <f t="shared" si="10"/>
        <v>653</v>
      </c>
      <c r="B655" s="218" t="s">
        <v>11899</v>
      </c>
      <c r="C655" s="1" t="s">
        <v>132</v>
      </c>
      <c r="D655" s="34" t="s">
        <v>10189</v>
      </c>
      <c r="E655" s="34" t="s">
        <v>11417</v>
      </c>
      <c r="F655" s="6" t="s">
        <v>11900</v>
      </c>
      <c r="G655" s="218" t="s">
        <v>11419</v>
      </c>
      <c r="H655" s="218" t="s">
        <v>11901</v>
      </c>
    </row>
    <row r="656" spans="1:8" ht="25.5">
      <c r="A656" s="34">
        <f t="shared" si="10"/>
        <v>654</v>
      </c>
      <c r="B656" s="218" t="s">
        <v>10884</v>
      </c>
      <c r="C656" s="1" t="s">
        <v>1060</v>
      </c>
      <c r="D656" s="34" t="s">
        <v>10218</v>
      </c>
      <c r="E656" s="34" t="s">
        <v>10204</v>
      </c>
      <c r="F656" s="6" t="s">
        <v>11902</v>
      </c>
      <c r="G656" s="218" t="s">
        <v>11903</v>
      </c>
      <c r="H656" s="218" t="s">
        <v>11904</v>
      </c>
    </row>
    <row r="657" spans="1:8" ht="25.5">
      <c r="A657" s="34">
        <f t="shared" si="10"/>
        <v>655</v>
      </c>
      <c r="B657" s="218" t="s">
        <v>10497</v>
      </c>
      <c r="C657" s="1" t="s">
        <v>132</v>
      </c>
      <c r="D657" s="34" t="s">
        <v>10218</v>
      </c>
      <c r="E657" s="34" t="s">
        <v>10516</v>
      </c>
      <c r="F657" s="6" t="s">
        <v>11905</v>
      </c>
      <c r="G657" s="218" t="s">
        <v>11486</v>
      </c>
      <c r="H657" s="218" t="s">
        <v>315</v>
      </c>
    </row>
    <row r="658" spans="1:8" ht="25.5">
      <c r="A658" s="34">
        <f t="shared" si="10"/>
        <v>656</v>
      </c>
      <c r="B658" s="218" t="s">
        <v>10890</v>
      </c>
      <c r="C658" s="1" t="s">
        <v>132</v>
      </c>
      <c r="D658" s="34" t="s">
        <v>10189</v>
      </c>
      <c r="E658" s="34" t="s">
        <v>10891</v>
      </c>
      <c r="F658" s="6" t="s">
        <v>11906</v>
      </c>
      <c r="G658" s="218" t="s">
        <v>10893</v>
      </c>
      <c r="H658" s="218" t="s">
        <v>11907</v>
      </c>
    </row>
    <row r="659" spans="1:8" ht="25.5">
      <c r="A659" s="34">
        <f t="shared" si="10"/>
        <v>657</v>
      </c>
      <c r="B659" s="218" t="s">
        <v>11908</v>
      </c>
      <c r="C659" s="1" t="s">
        <v>122</v>
      </c>
      <c r="D659" s="34" t="s">
        <v>10189</v>
      </c>
      <c r="E659" s="34" t="s">
        <v>10891</v>
      </c>
      <c r="F659" s="6" t="s">
        <v>11909</v>
      </c>
      <c r="G659" s="218" t="s">
        <v>10896</v>
      </c>
      <c r="H659" s="218" t="s">
        <v>11910</v>
      </c>
    </row>
    <row r="660" spans="1:8">
      <c r="A660" s="34">
        <f t="shared" si="10"/>
        <v>658</v>
      </c>
      <c r="B660" s="218" t="s">
        <v>10890</v>
      </c>
      <c r="C660" s="1" t="s">
        <v>132</v>
      </c>
      <c r="D660" s="34" t="s">
        <v>10521</v>
      </c>
      <c r="E660" s="34" t="s">
        <v>10891</v>
      </c>
      <c r="F660" s="6" t="s">
        <v>10892</v>
      </c>
      <c r="G660" s="218" t="s">
        <v>11911</v>
      </c>
      <c r="H660" s="218" t="s">
        <v>11912</v>
      </c>
    </row>
    <row r="661" spans="1:8">
      <c r="A661" s="34">
        <f t="shared" si="10"/>
        <v>659</v>
      </c>
      <c r="B661" s="218" t="s">
        <v>11913</v>
      </c>
      <c r="C661" s="1" t="s">
        <v>122</v>
      </c>
      <c r="D661" s="34" t="s">
        <v>10189</v>
      </c>
      <c r="E661" s="34" t="s">
        <v>10230</v>
      </c>
      <c r="F661" s="6" t="s">
        <v>10857</v>
      </c>
      <c r="G661" s="218" t="s">
        <v>10232</v>
      </c>
      <c r="H661" s="218" t="s">
        <v>11914</v>
      </c>
    </row>
    <row r="662" spans="1:8" ht="25.5">
      <c r="A662" s="34">
        <f t="shared" si="10"/>
        <v>660</v>
      </c>
      <c r="B662" s="218" t="s">
        <v>11915</v>
      </c>
      <c r="C662" s="1" t="s">
        <v>147</v>
      </c>
      <c r="D662" s="34" t="s">
        <v>10189</v>
      </c>
      <c r="E662" s="34" t="s">
        <v>10472</v>
      </c>
      <c r="F662" s="6" t="s">
        <v>11433</v>
      </c>
      <c r="G662" s="218" t="s">
        <v>10831</v>
      </c>
      <c r="H662" s="218" t="s">
        <v>11434</v>
      </c>
    </row>
    <row r="663" spans="1:8" ht="25.5">
      <c r="A663" s="34">
        <f t="shared" si="10"/>
        <v>661</v>
      </c>
      <c r="B663" s="218" t="s">
        <v>10532</v>
      </c>
      <c r="C663" s="1" t="s">
        <v>10482</v>
      </c>
      <c r="D663" s="34" t="s">
        <v>10521</v>
      </c>
      <c r="E663" s="34" t="s">
        <v>11916</v>
      </c>
      <c r="F663" s="6" t="s">
        <v>11917</v>
      </c>
      <c r="G663" s="218" t="s">
        <v>10906</v>
      </c>
      <c r="H663" s="218" t="s">
        <v>11918</v>
      </c>
    </row>
    <row r="664" spans="1:8" ht="25.5">
      <c r="A664" s="34">
        <f t="shared" si="10"/>
        <v>662</v>
      </c>
      <c r="B664" s="218" t="s">
        <v>10532</v>
      </c>
      <c r="C664" s="1" t="s">
        <v>132</v>
      </c>
      <c r="D664" s="34" t="s">
        <v>10521</v>
      </c>
      <c r="E664" s="34" t="s">
        <v>10350</v>
      </c>
      <c r="F664" s="6" t="s">
        <v>10905</v>
      </c>
      <c r="G664" s="218" t="s">
        <v>10906</v>
      </c>
      <c r="H664" s="218" t="s">
        <v>11919</v>
      </c>
    </row>
    <row r="665" spans="1:8" ht="25.5">
      <c r="A665" s="34">
        <f t="shared" si="10"/>
        <v>663</v>
      </c>
      <c r="B665" s="218" t="s">
        <v>10532</v>
      </c>
      <c r="C665" s="1" t="s">
        <v>132</v>
      </c>
      <c r="D665" s="34" t="s">
        <v>10521</v>
      </c>
      <c r="E665" s="34" t="s">
        <v>10350</v>
      </c>
      <c r="F665" s="6" t="s">
        <v>10905</v>
      </c>
      <c r="G665" s="218" t="s">
        <v>10906</v>
      </c>
      <c r="H665" s="218" t="s">
        <v>11920</v>
      </c>
    </row>
    <row r="666" spans="1:8" ht="25.5">
      <c r="A666" s="34">
        <f t="shared" si="10"/>
        <v>664</v>
      </c>
      <c r="B666" s="218" t="s">
        <v>10532</v>
      </c>
      <c r="C666" s="1" t="s">
        <v>132</v>
      </c>
      <c r="D666" s="34" t="s">
        <v>10521</v>
      </c>
      <c r="E666" s="34" t="s">
        <v>10350</v>
      </c>
      <c r="F666" s="6" t="s">
        <v>10905</v>
      </c>
      <c r="G666" s="218" t="s">
        <v>10906</v>
      </c>
      <c r="H666" s="218" t="s">
        <v>11921</v>
      </c>
    </row>
    <row r="667" spans="1:8" ht="25.5">
      <c r="A667" s="34">
        <f t="shared" si="10"/>
        <v>665</v>
      </c>
      <c r="B667" s="218" t="s">
        <v>10532</v>
      </c>
      <c r="C667" s="1" t="s">
        <v>132</v>
      </c>
      <c r="D667" s="34" t="s">
        <v>10521</v>
      </c>
      <c r="E667" s="34" t="s">
        <v>11346</v>
      </c>
      <c r="F667" s="6" t="s">
        <v>11922</v>
      </c>
      <c r="G667" s="218" t="s">
        <v>10906</v>
      </c>
      <c r="H667" s="218" t="s">
        <v>11836</v>
      </c>
    </row>
    <row r="668" spans="1:8" ht="25.5">
      <c r="A668" s="34">
        <f t="shared" si="10"/>
        <v>666</v>
      </c>
      <c r="B668" s="218" t="s">
        <v>10532</v>
      </c>
      <c r="C668" s="1" t="s">
        <v>132</v>
      </c>
      <c r="D668" s="34" t="s">
        <v>10521</v>
      </c>
      <c r="E668" s="34" t="s">
        <v>10341</v>
      </c>
      <c r="F668" s="6" t="s">
        <v>11923</v>
      </c>
      <c r="G668" s="218" t="s">
        <v>10906</v>
      </c>
      <c r="H668" s="218" t="s">
        <v>11924</v>
      </c>
    </row>
    <row r="669" spans="1:8" ht="25.5">
      <c r="A669" s="34">
        <f t="shared" si="10"/>
        <v>667</v>
      </c>
      <c r="B669" s="218" t="s">
        <v>10532</v>
      </c>
      <c r="C669" s="1" t="s">
        <v>132</v>
      </c>
      <c r="D669" s="34" t="s">
        <v>10520</v>
      </c>
      <c r="E669" s="34" t="s">
        <v>10300</v>
      </c>
      <c r="F669" s="6" t="s">
        <v>11925</v>
      </c>
      <c r="G669" s="218" t="s">
        <v>10906</v>
      </c>
      <c r="H669" s="218" t="s">
        <v>11926</v>
      </c>
    </row>
    <row r="670" spans="1:8" ht="25.5">
      <c r="A670" s="34">
        <f t="shared" si="10"/>
        <v>668</v>
      </c>
      <c r="B670" s="218" t="s">
        <v>10532</v>
      </c>
      <c r="C670" s="1" t="s">
        <v>132</v>
      </c>
      <c r="D670" s="34" t="s">
        <v>10520</v>
      </c>
      <c r="E670" s="34" t="s">
        <v>11777</v>
      </c>
      <c r="F670" s="6" t="s">
        <v>11927</v>
      </c>
      <c r="G670" s="218" t="s">
        <v>10906</v>
      </c>
      <c r="H670" s="218" t="s">
        <v>11928</v>
      </c>
    </row>
    <row r="671" spans="1:8" ht="25.5">
      <c r="A671" s="34">
        <f t="shared" si="10"/>
        <v>669</v>
      </c>
      <c r="B671" s="218" t="s">
        <v>10532</v>
      </c>
      <c r="C671" s="1" t="s">
        <v>132</v>
      </c>
      <c r="D671" s="34" t="s">
        <v>10521</v>
      </c>
      <c r="E671" s="34" t="s">
        <v>10542</v>
      </c>
      <c r="F671" s="6" t="s">
        <v>11929</v>
      </c>
      <c r="G671" s="218" t="s">
        <v>10906</v>
      </c>
      <c r="H671" s="218" t="s">
        <v>4555</v>
      </c>
    </row>
    <row r="672" spans="1:8" ht="25.5">
      <c r="A672" s="34">
        <f t="shared" si="10"/>
        <v>670</v>
      </c>
      <c r="B672" s="218" t="s">
        <v>10532</v>
      </c>
      <c r="C672" s="1" t="s">
        <v>132</v>
      </c>
      <c r="D672" s="34" t="s">
        <v>10521</v>
      </c>
      <c r="E672" s="34" t="s">
        <v>10916</v>
      </c>
      <c r="F672" s="6" t="s">
        <v>11930</v>
      </c>
      <c r="G672" s="218" t="s">
        <v>10906</v>
      </c>
      <c r="H672" s="218" t="s">
        <v>11931</v>
      </c>
    </row>
    <row r="673" spans="1:8" ht="25.5">
      <c r="A673" s="34">
        <f t="shared" si="10"/>
        <v>671</v>
      </c>
      <c r="B673" s="218" t="s">
        <v>10532</v>
      </c>
      <c r="C673" s="1" t="s">
        <v>132</v>
      </c>
      <c r="D673" s="34" t="s">
        <v>10521</v>
      </c>
      <c r="E673" s="34" t="s">
        <v>10526</v>
      </c>
      <c r="F673" s="6" t="s">
        <v>10877</v>
      </c>
      <c r="G673" s="218" t="s">
        <v>10906</v>
      </c>
      <c r="H673" s="218" t="s">
        <v>11932</v>
      </c>
    </row>
    <row r="674" spans="1:8" ht="25.5">
      <c r="A674" s="34">
        <f t="shared" si="10"/>
        <v>672</v>
      </c>
      <c r="B674" s="218" t="s">
        <v>10532</v>
      </c>
      <c r="C674" s="1" t="s">
        <v>132</v>
      </c>
      <c r="D674" s="34" t="s">
        <v>10521</v>
      </c>
      <c r="E674" s="34" t="s">
        <v>10526</v>
      </c>
      <c r="F674" s="6" t="s">
        <v>11933</v>
      </c>
      <c r="G674" s="218" t="s">
        <v>10906</v>
      </c>
      <c r="H674" s="218" t="s">
        <v>11934</v>
      </c>
    </row>
    <row r="675" spans="1:8" ht="25.5">
      <c r="A675" s="34">
        <f t="shared" si="10"/>
        <v>673</v>
      </c>
      <c r="B675" s="218" t="s">
        <v>10532</v>
      </c>
      <c r="C675" s="1" t="s">
        <v>132</v>
      </c>
      <c r="D675" s="34" t="s">
        <v>10521</v>
      </c>
      <c r="E675" s="34" t="s">
        <v>10925</v>
      </c>
      <c r="F675" s="6" t="s">
        <v>11935</v>
      </c>
      <c r="G675" s="218" t="s">
        <v>10906</v>
      </c>
      <c r="H675" s="218" t="s">
        <v>11936</v>
      </c>
    </row>
    <row r="676" spans="1:8" ht="25.5">
      <c r="A676" s="34">
        <f t="shared" si="10"/>
        <v>674</v>
      </c>
      <c r="B676" s="218" t="s">
        <v>10532</v>
      </c>
      <c r="C676" s="1" t="s">
        <v>132</v>
      </c>
      <c r="D676" s="34" t="s">
        <v>10521</v>
      </c>
      <c r="E676" s="34" t="s">
        <v>10891</v>
      </c>
      <c r="F676" s="6" t="s">
        <v>10928</v>
      </c>
      <c r="G676" s="218" t="s">
        <v>10906</v>
      </c>
      <c r="H676" s="218" t="s">
        <v>11937</v>
      </c>
    </row>
    <row r="677" spans="1:8" ht="25.5">
      <c r="A677" s="34">
        <f t="shared" si="10"/>
        <v>675</v>
      </c>
      <c r="B677" s="218" t="s">
        <v>10532</v>
      </c>
      <c r="C677" s="1" t="s">
        <v>132</v>
      </c>
      <c r="D677" s="34" t="s">
        <v>10521</v>
      </c>
      <c r="E677" s="34" t="s">
        <v>10891</v>
      </c>
      <c r="F677" s="6" t="s">
        <v>10928</v>
      </c>
      <c r="G677" s="218" t="s">
        <v>10906</v>
      </c>
      <c r="H677" s="218" t="s">
        <v>11938</v>
      </c>
    </row>
    <row r="678" spans="1:8" ht="25.5">
      <c r="A678" s="34">
        <f t="shared" si="10"/>
        <v>676</v>
      </c>
      <c r="B678" s="218" t="s">
        <v>10532</v>
      </c>
      <c r="C678" s="1" t="s">
        <v>132</v>
      </c>
      <c r="D678" s="34" t="s">
        <v>10521</v>
      </c>
      <c r="E678" s="34" t="s">
        <v>10891</v>
      </c>
      <c r="F678" s="6" t="s">
        <v>10928</v>
      </c>
      <c r="G678" s="218" t="s">
        <v>10906</v>
      </c>
      <c r="H678" s="218" t="s">
        <v>11939</v>
      </c>
    </row>
    <row r="679" spans="1:8" ht="25.5">
      <c r="A679" s="34">
        <f t="shared" si="10"/>
        <v>677</v>
      </c>
      <c r="B679" s="218" t="s">
        <v>10532</v>
      </c>
      <c r="C679" s="1" t="s">
        <v>132</v>
      </c>
      <c r="D679" s="34" t="s">
        <v>10521</v>
      </c>
      <c r="E679" s="34" t="s">
        <v>10891</v>
      </c>
      <c r="F679" s="6" t="s">
        <v>10928</v>
      </c>
      <c r="G679" s="218" t="s">
        <v>10906</v>
      </c>
      <c r="H679" s="218" t="s">
        <v>11940</v>
      </c>
    </row>
    <row r="680" spans="1:8" ht="25.5">
      <c r="A680" s="34">
        <f t="shared" si="10"/>
        <v>678</v>
      </c>
      <c r="B680" s="218" t="s">
        <v>10532</v>
      </c>
      <c r="C680" s="1" t="s">
        <v>132</v>
      </c>
      <c r="D680" s="34" t="s">
        <v>10521</v>
      </c>
      <c r="E680" s="34" t="s">
        <v>10891</v>
      </c>
      <c r="F680" s="6" t="s">
        <v>10933</v>
      </c>
      <c r="G680" s="218" t="s">
        <v>10906</v>
      </c>
      <c r="H680" s="218" t="s">
        <v>10930</v>
      </c>
    </row>
    <row r="681" spans="1:8" ht="25.5">
      <c r="A681" s="34">
        <f t="shared" si="10"/>
        <v>679</v>
      </c>
      <c r="B681" s="218" t="s">
        <v>10532</v>
      </c>
      <c r="C681" s="1" t="s">
        <v>132</v>
      </c>
      <c r="D681" s="34" t="s">
        <v>10521</v>
      </c>
      <c r="E681" s="34" t="s">
        <v>10891</v>
      </c>
      <c r="F681" s="6" t="s">
        <v>10933</v>
      </c>
      <c r="G681" s="218" t="s">
        <v>10906</v>
      </c>
      <c r="H681" s="218" t="s">
        <v>11461</v>
      </c>
    </row>
    <row r="682" spans="1:8" ht="25.5">
      <c r="A682" s="34">
        <f t="shared" si="10"/>
        <v>680</v>
      </c>
      <c r="B682" s="218" t="s">
        <v>10532</v>
      </c>
      <c r="C682" s="1" t="s">
        <v>132</v>
      </c>
      <c r="D682" s="34" t="s">
        <v>10520</v>
      </c>
      <c r="E682" s="34" t="s">
        <v>10936</v>
      </c>
      <c r="F682" s="6" t="s">
        <v>10937</v>
      </c>
      <c r="G682" s="218" t="s">
        <v>10906</v>
      </c>
      <c r="H682" s="218" t="s">
        <v>3235</v>
      </c>
    </row>
    <row r="683" spans="1:8" ht="25.5">
      <c r="A683" s="34">
        <f t="shared" si="10"/>
        <v>681</v>
      </c>
      <c r="B683" s="218" t="s">
        <v>10532</v>
      </c>
      <c r="C683" s="1" t="s">
        <v>132</v>
      </c>
      <c r="D683" s="34" t="s">
        <v>10521</v>
      </c>
      <c r="E683" s="34" t="s">
        <v>10936</v>
      </c>
      <c r="F683" s="6" t="s">
        <v>10937</v>
      </c>
      <c r="G683" s="218" t="s">
        <v>10906</v>
      </c>
      <c r="H683" s="218" t="s">
        <v>11941</v>
      </c>
    </row>
    <row r="684" spans="1:8" ht="25.5">
      <c r="A684" s="34">
        <f t="shared" si="10"/>
        <v>682</v>
      </c>
      <c r="B684" s="218" t="s">
        <v>10532</v>
      </c>
      <c r="C684" s="1" t="s">
        <v>132</v>
      </c>
      <c r="D684" s="34" t="s">
        <v>10521</v>
      </c>
      <c r="E684" s="34" t="s">
        <v>10936</v>
      </c>
      <c r="F684" s="6" t="s">
        <v>10937</v>
      </c>
      <c r="G684" s="218" t="s">
        <v>10906</v>
      </c>
      <c r="H684" s="218" t="s">
        <v>2786</v>
      </c>
    </row>
    <row r="685" spans="1:8" ht="25.5">
      <c r="A685" s="34">
        <f t="shared" si="10"/>
        <v>683</v>
      </c>
      <c r="B685" s="218" t="s">
        <v>10532</v>
      </c>
      <c r="C685" s="1" t="s">
        <v>10377</v>
      </c>
      <c r="D685" s="34" t="s">
        <v>10521</v>
      </c>
      <c r="E685" s="34" t="s">
        <v>10692</v>
      </c>
      <c r="F685" s="6" t="s">
        <v>11396</v>
      </c>
      <c r="G685" s="218" t="s">
        <v>10906</v>
      </c>
      <c r="H685" s="218" t="s">
        <v>11942</v>
      </c>
    </row>
    <row r="686" spans="1:8" ht="25.5">
      <c r="A686" s="34">
        <f t="shared" si="10"/>
        <v>684</v>
      </c>
      <c r="B686" s="218" t="s">
        <v>10532</v>
      </c>
      <c r="C686" s="1" t="s">
        <v>132</v>
      </c>
      <c r="D686" s="34" t="s">
        <v>10521</v>
      </c>
      <c r="E686" s="34" t="s">
        <v>10936</v>
      </c>
      <c r="F686" s="6" t="s">
        <v>10937</v>
      </c>
      <c r="G686" s="218" t="s">
        <v>10906</v>
      </c>
      <c r="H686" s="218" t="s">
        <v>11943</v>
      </c>
    </row>
    <row r="687" spans="1:8" ht="25.5">
      <c r="A687" s="34">
        <f t="shared" si="10"/>
        <v>685</v>
      </c>
      <c r="B687" s="218" t="s">
        <v>10532</v>
      </c>
      <c r="C687" s="1" t="s">
        <v>10377</v>
      </c>
      <c r="D687" s="34" t="s">
        <v>10521</v>
      </c>
      <c r="E687" s="34" t="s">
        <v>10692</v>
      </c>
      <c r="F687" s="6" t="s">
        <v>10857</v>
      </c>
      <c r="G687" s="218" t="s">
        <v>10906</v>
      </c>
      <c r="H687" s="218" t="s">
        <v>11944</v>
      </c>
    </row>
    <row r="688" spans="1:8" ht="25.5">
      <c r="A688" s="34">
        <f t="shared" si="10"/>
        <v>686</v>
      </c>
      <c r="B688" s="218" t="s">
        <v>10532</v>
      </c>
      <c r="C688" s="1" t="s">
        <v>10377</v>
      </c>
      <c r="D688" s="34" t="s">
        <v>10521</v>
      </c>
      <c r="E688" s="34" t="s">
        <v>10945</v>
      </c>
      <c r="F688" s="6" t="s">
        <v>11945</v>
      </c>
      <c r="G688" s="218" t="s">
        <v>10906</v>
      </c>
      <c r="H688" s="218" t="s">
        <v>11946</v>
      </c>
    </row>
    <row r="689" spans="1:8" ht="25.5">
      <c r="A689" s="34">
        <f t="shared" si="10"/>
        <v>687</v>
      </c>
      <c r="B689" s="218" t="s">
        <v>11947</v>
      </c>
      <c r="C689" s="1" t="s">
        <v>212</v>
      </c>
      <c r="D689" s="34" t="s">
        <v>10189</v>
      </c>
      <c r="E689" s="34" t="s">
        <v>10394</v>
      </c>
      <c r="F689" s="6" t="s">
        <v>11948</v>
      </c>
      <c r="G689" s="218" t="s">
        <v>11949</v>
      </c>
      <c r="H689" s="218" t="s">
        <v>11950</v>
      </c>
    </row>
    <row r="690" spans="1:8" ht="25.5">
      <c r="A690" s="34">
        <f t="shared" si="10"/>
        <v>688</v>
      </c>
      <c r="B690" s="218" t="s">
        <v>11951</v>
      </c>
      <c r="C690" s="1" t="s">
        <v>132</v>
      </c>
      <c r="D690" s="34" t="s">
        <v>10189</v>
      </c>
      <c r="E690" s="34" t="s">
        <v>9617</v>
      </c>
      <c r="F690" s="6" t="s">
        <v>10190</v>
      </c>
      <c r="G690" s="218" t="s">
        <v>10492</v>
      </c>
      <c r="H690" s="218" t="s">
        <v>11952</v>
      </c>
    </row>
    <row r="691" spans="1:8" ht="25.5">
      <c r="A691" s="34">
        <f t="shared" si="10"/>
        <v>689</v>
      </c>
      <c r="B691" s="218" t="s">
        <v>11953</v>
      </c>
      <c r="C691" s="1" t="s">
        <v>132</v>
      </c>
      <c r="D691" s="34" t="s">
        <v>10189</v>
      </c>
      <c r="E691" s="34" t="s">
        <v>9617</v>
      </c>
      <c r="F691" s="6" t="s">
        <v>10190</v>
      </c>
      <c r="G691" s="218" t="s">
        <v>10492</v>
      </c>
      <c r="H691" s="218" t="s">
        <v>1687</v>
      </c>
    </row>
    <row r="692" spans="1:8" ht="25.5">
      <c r="A692" s="34">
        <f t="shared" si="10"/>
        <v>690</v>
      </c>
      <c r="B692" s="218" t="s">
        <v>11954</v>
      </c>
      <c r="C692" s="1" t="s">
        <v>10193</v>
      </c>
      <c r="D692" s="34" t="s">
        <v>10189</v>
      </c>
      <c r="E692" s="34" t="s">
        <v>10198</v>
      </c>
      <c r="F692" s="6" t="s">
        <v>11955</v>
      </c>
      <c r="G692" s="218" t="s">
        <v>10200</v>
      </c>
      <c r="H692" s="218" t="s">
        <v>10197</v>
      </c>
    </row>
    <row r="693" spans="1:8">
      <c r="A693" s="34">
        <f t="shared" si="10"/>
        <v>691</v>
      </c>
      <c r="B693" s="218" t="s">
        <v>11956</v>
      </c>
      <c r="C693" s="1" t="s">
        <v>122</v>
      </c>
      <c r="D693" s="34" t="s">
        <v>10189</v>
      </c>
      <c r="E693" s="34" t="s">
        <v>10273</v>
      </c>
      <c r="F693" s="6" t="s">
        <v>11957</v>
      </c>
      <c r="G693" s="218" t="s">
        <v>11958</v>
      </c>
      <c r="H693" s="218" t="s">
        <v>11959</v>
      </c>
    </row>
    <row r="694" spans="1:8" ht="25.5">
      <c r="A694" s="34">
        <f t="shared" si="10"/>
        <v>692</v>
      </c>
      <c r="B694" s="218" t="s">
        <v>11960</v>
      </c>
      <c r="C694" s="1" t="s">
        <v>10202</v>
      </c>
      <c r="D694" s="34" t="s">
        <v>10189</v>
      </c>
      <c r="E694" s="34" t="s">
        <v>10486</v>
      </c>
      <c r="F694" s="6" t="s">
        <v>11961</v>
      </c>
      <c r="G694" s="218" t="s">
        <v>11497</v>
      </c>
      <c r="H694" s="218" t="s">
        <v>11962</v>
      </c>
    </row>
    <row r="695" spans="1:8" ht="25.5">
      <c r="A695" s="34">
        <f t="shared" si="10"/>
        <v>693</v>
      </c>
      <c r="B695" s="218" t="s">
        <v>11963</v>
      </c>
      <c r="C695" s="1" t="s">
        <v>212</v>
      </c>
      <c r="D695" s="34" t="s">
        <v>10189</v>
      </c>
      <c r="E695" s="34" t="s">
        <v>10209</v>
      </c>
      <c r="F695" s="6" t="s">
        <v>11630</v>
      </c>
      <c r="G695" s="218" t="s">
        <v>8605</v>
      </c>
      <c r="H695" s="218" t="s">
        <v>11964</v>
      </c>
    </row>
    <row r="696" spans="1:8" ht="25.5">
      <c r="A696" s="34">
        <f t="shared" si="10"/>
        <v>694</v>
      </c>
      <c r="B696" s="218" t="s">
        <v>11965</v>
      </c>
      <c r="C696" s="1" t="s">
        <v>10202</v>
      </c>
      <c r="D696" s="34" t="s">
        <v>10218</v>
      </c>
      <c r="E696" s="34" t="s">
        <v>8596</v>
      </c>
      <c r="F696" s="6" t="s">
        <v>11653</v>
      </c>
      <c r="G696" s="218" t="s">
        <v>10221</v>
      </c>
      <c r="H696" s="218" t="s">
        <v>11817</v>
      </c>
    </row>
    <row r="697" spans="1:8" ht="25.5">
      <c r="A697" s="34">
        <f t="shared" si="10"/>
        <v>695</v>
      </c>
      <c r="B697" s="218" t="s">
        <v>11966</v>
      </c>
      <c r="C697" s="1" t="s">
        <v>843</v>
      </c>
      <c r="D697" s="34" t="s">
        <v>10218</v>
      </c>
      <c r="E697" s="34" t="s">
        <v>11967</v>
      </c>
      <c r="F697" s="6" t="s">
        <v>11968</v>
      </c>
      <c r="G697" s="218"/>
      <c r="H697" s="218" t="s">
        <v>10412</v>
      </c>
    </row>
    <row r="698" spans="1:8" ht="25.5">
      <c r="A698" s="34">
        <f t="shared" si="10"/>
        <v>696</v>
      </c>
      <c r="B698" s="218" t="s">
        <v>11969</v>
      </c>
      <c r="C698" s="1" t="s">
        <v>10202</v>
      </c>
      <c r="D698" s="34" t="s">
        <v>10218</v>
      </c>
      <c r="E698" s="34" t="s">
        <v>11970</v>
      </c>
      <c r="F698" s="6" t="s">
        <v>11955</v>
      </c>
      <c r="G698" s="218" t="s">
        <v>11971</v>
      </c>
      <c r="H698" s="218" t="s">
        <v>11972</v>
      </c>
    </row>
    <row r="699" spans="1:8" ht="25.5">
      <c r="A699" s="34">
        <f t="shared" si="10"/>
        <v>697</v>
      </c>
      <c r="B699" s="218" t="s">
        <v>11973</v>
      </c>
      <c r="C699" s="1" t="s">
        <v>122</v>
      </c>
      <c r="D699" s="34" t="s">
        <v>10189</v>
      </c>
      <c r="E699" s="34" t="s">
        <v>10347</v>
      </c>
      <c r="F699" s="6" t="s">
        <v>11816</v>
      </c>
      <c r="G699" s="218" t="s">
        <v>8827</v>
      </c>
      <c r="H699" s="218" t="s">
        <v>11817</v>
      </c>
    </row>
    <row r="700" spans="1:8" ht="25.5">
      <c r="A700" s="34">
        <f t="shared" si="10"/>
        <v>698</v>
      </c>
      <c r="B700" s="218" t="s">
        <v>11974</v>
      </c>
      <c r="C700" s="1" t="s">
        <v>132</v>
      </c>
      <c r="D700" s="34" t="s">
        <v>10189</v>
      </c>
      <c r="E700" s="34" t="s">
        <v>10224</v>
      </c>
      <c r="F700" s="6" t="s">
        <v>11975</v>
      </c>
      <c r="G700" s="218" t="s">
        <v>10226</v>
      </c>
      <c r="H700" s="218" t="s">
        <v>11175</v>
      </c>
    </row>
    <row r="701" spans="1:8" ht="25.5">
      <c r="A701" s="34">
        <f t="shared" si="10"/>
        <v>699</v>
      </c>
      <c r="B701" s="218" t="s">
        <v>11976</v>
      </c>
      <c r="C701" s="1" t="s">
        <v>132</v>
      </c>
      <c r="D701" s="34" t="s">
        <v>10189</v>
      </c>
      <c r="E701" s="34" t="s">
        <v>9617</v>
      </c>
      <c r="F701" s="6" t="s">
        <v>10235</v>
      </c>
      <c r="G701" s="218" t="s">
        <v>8839</v>
      </c>
      <c r="H701" s="218" t="s">
        <v>11977</v>
      </c>
    </row>
    <row r="702" spans="1:8" ht="38.25">
      <c r="A702" s="34">
        <f t="shared" si="10"/>
        <v>700</v>
      </c>
      <c r="B702" s="218" t="s">
        <v>11978</v>
      </c>
      <c r="C702" s="1" t="s">
        <v>10202</v>
      </c>
      <c r="D702" s="34" t="s">
        <v>10189</v>
      </c>
      <c r="E702" s="34" t="s">
        <v>10526</v>
      </c>
      <c r="F702" s="6" t="s">
        <v>11979</v>
      </c>
      <c r="G702" s="218" t="s">
        <v>11237</v>
      </c>
      <c r="H702" s="218" t="s">
        <v>11980</v>
      </c>
    </row>
    <row r="703" spans="1:8" ht="25.5">
      <c r="A703" s="34">
        <f t="shared" si="10"/>
        <v>701</v>
      </c>
      <c r="B703" s="218" t="s">
        <v>11981</v>
      </c>
      <c r="C703" s="1" t="s">
        <v>132</v>
      </c>
      <c r="D703" s="34" t="s">
        <v>10218</v>
      </c>
      <c r="E703" s="34" t="s">
        <v>11515</v>
      </c>
      <c r="F703" s="6" t="s">
        <v>10265</v>
      </c>
      <c r="G703" s="218" t="s">
        <v>10518</v>
      </c>
      <c r="H703" s="218" t="s">
        <v>11517</v>
      </c>
    </row>
    <row r="704" spans="1:8" ht="25.5">
      <c r="A704" s="34">
        <f t="shared" si="10"/>
        <v>702</v>
      </c>
      <c r="B704" s="218" t="s">
        <v>11982</v>
      </c>
      <c r="C704" s="1" t="s">
        <v>122</v>
      </c>
      <c r="D704" s="34" t="s">
        <v>10218</v>
      </c>
      <c r="E704" s="34" t="s">
        <v>10219</v>
      </c>
      <c r="F704" s="6" t="s">
        <v>11983</v>
      </c>
      <c r="G704" s="218" t="s">
        <v>11984</v>
      </c>
      <c r="H704" s="218" t="s">
        <v>11985</v>
      </c>
    </row>
    <row r="705" spans="1:8" ht="25.5">
      <c r="A705" s="34">
        <f t="shared" si="10"/>
        <v>703</v>
      </c>
      <c r="B705" s="218" t="s">
        <v>11986</v>
      </c>
      <c r="C705" s="1" t="s">
        <v>122</v>
      </c>
      <c r="D705" s="34" t="s">
        <v>10218</v>
      </c>
      <c r="E705" s="34" t="s">
        <v>10219</v>
      </c>
      <c r="F705" s="6" t="s">
        <v>11987</v>
      </c>
      <c r="G705" s="218" t="s">
        <v>11988</v>
      </c>
      <c r="H705" s="218" t="s">
        <v>11989</v>
      </c>
    </row>
    <row r="706" spans="1:8" ht="38.25">
      <c r="A706" s="34">
        <f t="shared" si="10"/>
        <v>704</v>
      </c>
      <c r="B706" s="218" t="s">
        <v>11990</v>
      </c>
      <c r="C706" s="1" t="s">
        <v>132</v>
      </c>
      <c r="D706" s="34" t="s">
        <v>10218</v>
      </c>
      <c r="E706" s="34" t="s">
        <v>10321</v>
      </c>
      <c r="F706" s="6" t="s">
        <v>11638</v>
      </c>
      <c r="G706" s="218" t="s">
        <v>11991</v>
      </c>
      <c r="H706" s="218" t="s">
        <v>10324</v>
      </c>
    </row>
    <row r="707" spans="1:8" ht="25.5">
      <c r="A707" s="34">
        <f t="shared" si="10"/>
        <v>705</v>
      </c>
      <c r="B707" s="218" t="s">
        <v>11992</v>
      </c>
      <c r="C707" s="1" t="s">
        <v>132</v>
      </c>
      <c r="D707" s="34" t="s">
        <v>10218</v>
      </c>
      <c r="E707" s="34" t="s">
        <v>10257</v>
      </c>
      <c r="F707" s="6" t="s">
        <v>11993</v>
      </c>
      <c r="G707" s="218" t="s">
        <v>10259</v>
      </c>
      <c r="H707" s="218" t="s">
        <v>11994</v>
      </c>
    </row>
    <row r="708" spans="1:8" ht="25.5">
      <c r="A708" s="34">
        <f t="shared" ref="A708:A771" si="11">A707+1</f>
        <v>706</v>
      </c>
      <c r="B708" s="218" t="s">
        <v>11995</v>
      </c>
      <c r="C708" s="1" t="s">
        <v>132</v>
      </c>
      <c r="D708" s="34" t="s">
        <v>10218</v>
      </c>
      <c r="E708" s="34" t="s">
        <v>10257</v>
      </c>
      <c r="F708" s="6" t="s">
        <v>10265</v>
      </c>
      <c r="G708" s="218" t="s">
        <v>10259</v>
      </c>
      <c r="H708" s="218" t="s">
        <v>11996</v>
      </c>
    </row>
    <row r="709" spans="1:8" ht="25.5">
      <c r="A709" s="34">
        <f t="shared" si="11"/>
        <v>707</v>
      </c>
      <c r="B709" s="218" t="s">
        <v>11997</v>
      </c>
      <c r="C709" s="1" t="s">
        <v>132</v>
      </c>
      <c r="D709" s="34" t="s">
        <v>10218</v>
      </c>
      <c r="E709" s="34" t="s">
        <v>10257</v>
      </c>
      <c r="F709" s="6" t="s">
        <v>11998</v>
      </c>
      <c r="G709" s="218" t="s">
        <v>10259</v>
      </c>
      <c r="H709" s="218" t="s">
        <v>11999</v>
      </c>
    </row>
    <row r="710" spans="1:8" ht="25.5">
      <c r="A710" s="34">
        <f t="shared" si="11"/>
        <v>708</v>
      </c>
      <c r="B710" s="218" t="s">
        <v>12000</v>
      </c>
      <c r="C710" s="1" t="s">
        <v>137</v>
      </c>
      <c r="D710" s="34" t="s">
        <v>10184</v>
      </c>
      <c r="E710" s="34" t="s">
        <v>10278</v>
      </c>
      <c r="F710" s="6" t="s">
        <v>11009</v>
      </c>
      <c r="G710" s="218" t="s">
        <v>10286</v>
      </c>
      <c r="H710" s="218" t="s">
        <v>10281</v>
      </c>
    </row>
    <row r="711" spans="1:8" ht="38.25">
      <c r="A711" s="34">
        <f t="shared" si="11"/>
        <v>709</v>
      </c>
      <c r="B711" s="218" t="s">
        <v>12001</v>
      </c>
      <c r="C711" s="1" t="s">
        <v>12002</v>
      </c>
      <c r="D711" s="34" t="s">
        <v>10184</v>
      </c>
      <c r="E711" s="34" t="s">
        <v>8590</v>
      </c>
      <c r="F711" s="6" t="s">
        <v>11552</v>
      </c>
      <c r="G711" s="218" t="s">
        <v>10457</v>
      </c>
      <c r="H711" s="218" t="s">
        <v>11130</v>
      </c>
    </row>
    <row r="712" spans="1:8" ht="25.5">
      <c r="A712" s="34">
        <f t="shared" si="11"/>
        <v>710</v>
      </c>
      <c r="B712" s="218" t="s">
        <v>12003</v>
      </c>
      <c r="C712" s="1" t="s">
        <v>137</v>
      </c>
      <c r="D712" s="34" t="s">
        <v>10184</v>
      </c>
      <c r="E712" s="34" t="s">
        <v>10278</v>
      </c>
      <c r="F712" s="6" t="s">
        <v>10283</v>
      </c>
      <c r="G712" s="218" t="s">
        <v>10280</v>
      </c>
      <c r="H712" s="218" t="s">
        <v>10281</v>
      </c>
    </row>
    <row r="713" spans="1:8" ht="25.5">
      <c r="A713" s="34">
        <f t="shared" si="11"/>
        <v>711</v>
      </c>
      <c r="B713" s="218" t="s">
        <v>12004</v>
      </c>
      <c r="C713" s="1" t="s">
        <v>212</v>
      </c>
      <c r="D713" s="34" t="s">
        <v>10184</v>
      </c>
      <c r="E713" s="34" t="s">
        <v>10288</v>
      </c>
      <c r="F713" s="6" t="s">
        <v>12005</v>
      </c>
      <c r="G713" s="218" t="s">
        <v>10290</v>
      </c>
      <c r="H713" s="218" t="s">
        <v>12006</v>
      </c>
    </row>
    <row r="714" spans="1:8" ht="25.5">
      <c r="A714" s="34">
        <f t="shared" si="11"/>
        <v>712</v>
      </c>
      <c r="B714" s="218" t="s">
        <v>12007</v>
      </c>
      <c r="C714" s="1" t="s">
        <v>200</v>
      </c>
      <c r="D714" s="34" t="s">
        <v>10184</v>
      </c>
      <c r="E714" s="34" t="s">
        <v>8590</v>
      </c>
      <c r="F714" s="6" t="s">
        <v>12008</v>
      </c>
      <c r="G714" s="218" t="s">
        <v>11013</v>
      </c>
      <c r="H714" s="218" t="s">
        <v>12009</v>
      </c>
    </row>
    <row r="715" spans="1:8" ht="38.25">
      <c r="A715" s="34">
        <f t="shared" si="11"/>
        <v>713</v>
      </c>
      <c r="B715" s="218" t="s">
        <v>12010</v>
      </c>
      <c r="C715" s="1" t="s">
        <v>12011</v>
      </c>
      <c r="D715" s="34" t="s">
        <v>10184</v>
      </c>
      <c r="E715" s="34" t="s">
        <v>10288</v>
      </c>
      <c r="F715" s="6" t="s">
        <v>12012</v>
      </c>
      <c r="G715" s="218" t="s">
        <v>10290</v>
      </c>
      <c r="H715" s="218" t="s">
        <v>11130</v>
      </c>
    </row>
    <row r="716" spans="1:8" ht="25.5">
      <c r="A716" s="34">
        <f t="shared" si="11"/>
        <v>714</v>
      </c>
      <c r="B716" s="218" t="s">
        <v>12013</v>
      </c>
      <c r="C716" s="1" t="s">
        <v>132</v>
      </c>
      <c r="D716" s="34" t="s">
        <v>10184</v>
      </c>
      <c r="E716" s="34" t="s">
        <v>11086</v>
      </c>
      <c r="F716" s="6" t="s">
        <v>12014</v>
      </c>
      <c r="G716" s="218" t="s">
        <v>11549</v>
      </c>
      <c r="H716" s="218" t="s">
        <v>11088</v>
      </c>
    </row>
    <row r="717" spans="1:8" ht="25.5">
      <c r="A717" s="34">
        <f t="shared" si="11"/>
        <v>715</v>
      </c>
      <c r="B717" s="218" t="s">
        <v>12015</v>
      </c>
      <c r="C717" s="1" t="s">
        <v>212</v>
      </c>
      <c r="D717" s="34" t="s">
        <v>10184</v>
      </c>
      <c r="E717" s="34" t="s">
        <v>10293</v>
      </c>
      <c r="F717" s="6" t="s">
        <v>12016</v>
      </c>
      <c r="G717" s="218" t="s">
        <v>10295</v>
      </c>
      <c r="H717" s="218" t="s">
        <v>317</v>
      </c>
    </row>
    <row r="718" spans="1:8" ht="25.5">
      <c r="A718" s="34">
        <f t="shared" si="11"/>
        <v>716</v>
      </c>
      <c r="B718" s="218" t="s">
        <v>12017</v>
      </c>
      <c r="C718" s="1" t="s">
        <v>132</v>
      </c>
      <c r="D718" s="34" t="s">
        <v>10184</v>
      </c>
      <c r="E718" s="34" t="s">
        <v>10300</v>
      </c>
      <c r="F718" s="6" t="s">
        <v>10301</v>
      </c>
      <c r="G718" s="218" t="s">
        <v>10302</v>
      </c>
      <c r="H718" s="218" t="s">
        <v>10303</v>
      </c>
    </row>
    <row r="719" spans="1:8" ht="25.5">
      <c r="A719" s="34">
        <f t="shared" si="11"/>
        <v>717</v>
      </c>
      <c r="B719" s="218" t="s">
        <v>12018</v>
      </c>
      <c r="C719" s="1" t="s">
        <v>132</v>
      </c>
      <c r="D719" s="34" t="s">
        <v>10184</v>
      </c>
      <c r="E719" s="34" t="s">
        <v>10300</v>
      </c>
      <c r="F719" s="6" t="s">
        <v>10301</v>
      </c>
      <c r="G719" s="218" t="s">
        <v>10302</v>
      </c>
      <c r="H719" s="218" t="s">
        <v>10303</v>
      </c>
    </row>
    <row r="720" spans="1:8" ht="25.5">
      <c r="A720" s="34">
        <f t="shared" si="11"/>
        <v>718</v>
      </c>
      <c r="B720" s="218" t="s">
        <v>12019</v>
      </c>
      <c r="C720" s="1" t="s">
        <v>132</v>
      </c>
      <c r="D720" s="34" t="s">
        <v>10184</v>
      </c>
      <c r="E720" s="34" t="s">
        <v>10300</v>
      </c>
      <c r="F720" s="6" t="s">
        <v>10311</v>
      </c>
      <c r="G720" s="218" t="s">
        <v>10302</v>
      </c>
      <c r="H720" s="218" t="s">
        <v>11807</v>
      </c>
    </row>
    <row r="721" spans="1:8" ht="25.5">
      <c r="A721" s="34">
        <f t="shared" si="11"/>
        <v>719</v>
      </c>
      <c r="B721" s="218" t="s">
        <v>12020</v>
      </c>
      <c r="C721" s="1" t="s">
        <v>132</v>
      </c>
      <c r="D721" s="34" t="s">
        <v>10184</v>
      </c>
      <c r="E721" s="34" t="s">
        <v>10300</v>
      </c>
      <c r="F721" s="6" t="s">
        <v>10311</v>
      </c>
      <c r="G721" s="218" t="s">
        <v>10302</v>
      </c>
      <c r="H721" s="218" t="s">
        <v>12021</v>
      </c>
    </row>
    <row r="722" spans="1:8" ht="25.5">
      <c r="A722" s="34">
        <f t="shared" si="11"/>
        <v>720</v>
      </c>
      <c r="B722" s="218" t="s">
        <v>12022</v>
      </c>
      <c r="C722" s="1" t="s">
        <v>132</v>
      </c>
      <c r="D722" s="34" t="s">
        <v>10184</v>
      </c>
      <c r="E722" s="34" t="s">
        <v>10300</v>
      </c>
      <c r="F722" s="6" t="s">
        <v>10311</v>
      </c>
      <c r="G722" s="218" t="s">
        <v>10302</v>
      </c>
      <c r="H722" s="218" t="s">
        <v>12023</v>
      </c>
    </row>
    <row r="723" spans="1:8" ht="25.5">
      <c r="A723" s="34">
        <f t="shared" si="11"/>
        <v>721</v>
      </c>
      <c r="B723" s="218" t="s">
        <v>12024</v>
      </c>
      <c r="C723" s="1" t="s">
        <v>10202</v>
      </c>
      <c r="D723" s="34" t="s">
        <v>10184</v>
      </c>
      <c r="E723" s="34" t="s">
        <v>10300</v>
      </c>
      <c r="F723" s="6" t="s">
        <v>10308</v>
      </c>
      <c r="G723" s="218" t="s">
        <v>10302</v>
      </c>
      <c r="H723" s="218" t="s">
        <v>12025</v>
      </c>
    </row>
    <row r="724" spans="1:8" ht="25.5">
      <c r="A724" s="34">
        <f t="shared" si="11"/>
        <v>722</v>
      </c>
      <c r="B724" s="218" t="s">
        <v>12026</v>
      </c>
      <c r="C724" s="1" t="s">
        <v>132</v>
      </c>
      <c r="D724" s="34" t="s">
        <v>10184</v>
      </c>
      <c r="E724" s="34" t="s">
        <v>10300</v>
      </c>
      <c r="F724" s="6" t="s">
        <v>10301</v>
      </c>
      <c r="G724" s="218"/>
      <c r="H724" s="218" t="s">
        <v>10316</v>
      </c>
    </row>
    <row r="725" spans="1:8" ht="25.5">
      <c r="A725" s="34">
        <f t="shared" si="11"/>
        <v>723</v>
      </c>
      <c r="B725" s="218" t="s">
        <v>12027</v>
      </c>
      <c r="C725" s="1" t="s">
        <v>132</v>
      </c>
      <c r="D725" s="34" t="s">
        <v>10184</v>
      </c>
      <c r="E725" s="34" t="s">
        <v>10300</v>
      </c>
      <c r="F725" s="6" t="s">
        <v>10301</v>
      </c>
      <c r="G725" s="218" t="s">
        <v>10302</v>
      </c>
      <c r="H725" s="218" t="s">
        <v>10316</v>
      </c>
    </row>
    <row r="726" spans="1:8" ht="25.5">
      <c r="A726" s="34">
        <f t="shared" si="11"/>
        <v>724</v>
      </c>
      <c r="B726" s="218" t="s">
        <v>12028</v>
      </c>
      <c r="C726" s="1" t="s">
        <v>132</v>
      </c>
      <c r="D726" s="34" t="s">
        <v>10184</v>
      </c>
      <c r="E726" s="34" t="s">
        <v>10300</v>
      </c>
      <c r="F726" s="6" t="s">
        <v>10301</v>
      </c>
      <c r="G726" s="218" t="s">
        <v>10302</v>
      </c>
      <c r="H726" s="218" t="s">
        <v>10316</v>
      </c>
    </row>
    <row r="727" spans="1:8" ht="25.5">
      <c r="A727" s="34">
        <f t="shared" si="11"/>
        <v>725</v>
      </c>
      <c r="B727" s="218" t="s">
        <v>12029</v>
      </c>
      <c r="C727" s="1" t="s">
        <v>132</v>
      </c>
      <c r="D727" s="34" t="s">
        <v>10184</v>
      </c>
      <c r="E727" s="34" t="s">
        <v>10300</v>
      </c>
      <c r="F727" s="6" t="s">
        <v>10308</v>
      </c>
      <c r="G727" s="218" t="s">
        <v>10302</v>
      </c>
      <c r="H727" s="218" t="s">
        <v>12030</v>
      </c>
    </row>
    <row r="728" spans="1:8" ht="25.5">
      <c r="A728" s="34">
        <f t="shared" si="11"/>
        <v>726</v>
      </c>
      <c r="B728" s="218" t="s">
        <v>12031</v>
      </c>
      <c r="C728" s="1" t="s">
        <v>132</v>
      </c>
      <c r="D728" s="34" t="s">
        <v>10184</v>
      </c>
      <c r="E728" s="34" t="s">
        <v>10224</v>
      </c>
      <c r="F728" s="6" t="s">
        <v>12032</v>
      </c>
      <c r="G728" s="218" t="s">
        <v>10226</v>
      </c>
      <c r="H728" s="218" t="s">
        <v>11175</v>
      </c>
    </row>
    <row r="729" spans="1:8" ht="25.5">
      <c r="A729" s="34">
        <f t="shared" si="11"/>
        <v>727</v>
      </c>
      <c r="B729" s="218" t="s">
        <v>12033</v>
      </c>
      <c r="C729" s="1" t="s">
        <v>132</v>
      </c>
      <c r="D729" s="34" t="s">
        <v>10184</v>
      </c>
      <c r="E729" s="34" t="s">
        <v>10300</v>
      </c>
      <c r="F729" s="6" t="s">
        <v>10301</v>
      </c>
      <c r="G729" s="218" t="s">
        <v>10302</v>
      </c>
      <c r="H729" s="218" t="s">
        <v>10316</v>
      </c>
    </row>
    <row r="730" spans="1:8" ht="25.5">
      <c r="A730" s="34">
        <f t="shared" si="11"/>
        <v>728</v>
      </c>
      <c r="B730" s="218" t="s">
        <v>12034</v>
      </c>
      <c r="C730" s="1" t="s">
        <v>132</v>
      </c>
      <c r="D730" s="34" t="s">
        <v>10184</v>
      </c>
      <c r="E730" s="34" t="s">
        <v>10446</v>
      </c>
      <c r="F730" s="6" t="s">
        <v>11574</v>
      </c>
      <c r="G730" s="218" t="s">
        <v>11046</v>
      </c>
      <c r="H730" s="218" t="s">
        <v>11575</v>
      </c>
    </row>
    <row r="731" spans="1:8" ht="25.5">
      <c r="A731" s="34">
        <f t="shared" si="11"/>
        <v>729</v>
      </c>
      <c r="B731" s="218" t="s">
        <v>12035</v>
      </c>
      <c r="C731" s="1" t="s">
        <v>122</v>
      </c>
      <c r="D731" s="34" t="s">
        <v>10184</v>
      </c>
      <c r="E731" s="34" t="s">
        <v>10273</v>
      </c>
      <c r="F731" s="6" t="s">
        <v>11059</v>
      </c>
      <c r="G731" s="218" t="s">
        <v>12036</v>
      </c>
      <c r="H731" s="218" t="s">
        <v>10276</v>
      </c>
    </row>
    <row r="732" spans="1:8" ht="38.25">
      <c r="A732" s="34">
        <f t="shared" si="11"/>
        <v>730</v>
      </c>
      <c r="B732" s="218" t="s">
        <v>12037</v>
      </c>
      <c r="C732" s="1" t="s">
        <v>132</v>
      </c>
      <c r="D732" s="34" t="s">
        <v>10336</v>
      </c>
      <c r="E732" s="34" t="s">
        <v>10300</v>
      </c>
      <c r="F732" s="6" t="s">
        <v>12038</v>
      </c>
      <c r="G732" s="218" t="s">
        <v>10338</v>
      </c>
      <c r="H732" s="218" t="s">
        <v>12039</v>
      </c>
    </row>
    <row r="733" spans="1:8" ht="25.5">
      <c r="A733" s="34">
        <f t="shared" si="11"/>
        <v>731</v>
      </c>
      <c r="B733" s="218" t="s">
        <v>12040</v>
      </c>
      <c r="C733" s="1" t="s">
        <v>132</v>
      </c>
      <c r="D733" s="34" t="s">
        <v>10336</v>
      </c>
      <c r="E733" s="34" t="s">
        <v>10656</v>
      </c>
      <c r="F733" s="6" t="s">
        <v>10647</v>
      </c>
      <c r="G733" s="218" t="s">
        <v>10338</v>
      </c>
      <c r="H733" s="218" t="s">
        <v>10663</v>
      </c>
    </row>
    <row r="734" spans="1:8" ht="25.5">
      <c r="A734" s="34">
        <f t="shared" si="11"/>
        <v>732</v>
      </c>
      <c r="B734" s="218" t="s">
        <v>12041</v>
      </c>
      <c r="C734" s="1" t="s">
        <v>137</v>
      </c>
      <c r="D734" s="34" t="s">
        <v>10336</v>
      </c>
      <c r="E734" s="34" t="s">
        <v>10811</v>
      </c>
      <c r="F734" s="6" t="s">
        <v>12042</v>
      </c>
      <c r="G734" s="218" t="s">
        <v>10658</v>
      </c>
      <c r="H734" s="218" t="s">
        <v>12043</v>
      </c>
    </row>
    <row r="735" spans="1:8" ht="25.5">
      <c r="A735" s="34">
        <f t="shared" si="11"/>
        <v>733</v>
      </c>
      <c r="B735" s="218" t="s">
        <v>12044</v>
      </c>
      <c r="C735" s="1" t="s">
        <v>122</v>
      </c>
      <c r="D735" s="34" t="s">
        <v>10189</v>
      </c>
      <c r="E735" s="34" t="s">
        <v>11637</v>
      </c>
      <c r="F735" s="6" t="s">
        <v>12045</v>
      </c>
      <c r="G735" s="218" t="s">
        <v>12046</v>
      </c>
      <c r="H735" s="218" t="s">
        <v>12047</v>
      </c>
    </row>
    <row r="736" spans="1:8" ht="25.5">
      <c r="A736" s="34">
        <f t="shared" si="11"/>
        <v>734</v>
      </c>
      <c r="B736" s="218" t="s">
        <v>12048</v>
      </c>
      <c r="C736" s="1" t="s">
        <v>132</v>
      </c>
      <c r="D736" s="34" t="s">
        <v>10336</v>
      </c>
      <c r="E736" s="34" t="s">
        <v>11351</v>
      </c>
      <c r="F736" s="6" t="s">
        <v>12049</v>
      </c>
      <c r="G736" s="218" t="s">
        <v>10658</v>
      </c>
      <c r="H736" s="218" t="s">
        <v>11354</v>
      </c>
    </row>
    <row r="737" spans="1:8" ht="38.25">
      <c r="A737" s="34">
        <f t="shared" si="11"/>
        <v>735</v>
      </c>
      <c r="B737" s="218" t="s">
        <v>12050</v>
      </c>
      <c r="C737" s="1" t="s">
        <v>10345</v>
      </c>
      <c r="D737" s="34" t="s">
        <v>10346</v>
      </c>
      <c r="E737" s="34" t="s">
        <v>11123</v>
      </c>
      <c r="F737" s="6" t="s">
        <v>12051</v>
      </c>
      <c r="G737" s="218" t="s">
        <v>10352</v>
      </c>
      <c r="H737" s="218" t="s">
        <v>12052</v>
      </c>
    </row>
    <row r="738" spans="1:8" ht="38.25">
      <c r="A738" s="34">
        <f t="shared" si="11"/>
        <v>736</v>
      </c>
      <c r="B738" s="218" t="s">
        <v>12053</v>
      </c>
      <c r="C738" s="1" t="s">
        <v>10345</v>
      </c>
      <c r="D738" s="34" t="s">
        <v>10346</v>
      </c>
      <c r="E738" s="34" t="s">
        <v>10952</v>
      </c>
      <c r="F738" s="6" t="s">
        <v>12054</v>
      </c>
      <c r="G738" s="218" t="s">
        <v>10352</v>
      </c>
      <c r="H738" s="218" t="s">
        <v>11076</v>
      </c>
    </row>
    <row r="739" spans="1:8" ht="38.25">
      <c r="A739" s="34">
        <f t="shared" si="11"/>
        <v>737</v>
      </c>
      <c r="B739" s="218" t="s">
        <v>12055</v>
      </c>
      <c r="C739" s="1" t="s">
        <v>10345</v>
      </c>
      <c r="D739" s="34" t="s">
        <v>10346</v>
      </c>
      <c r="E739" s="34" t="s">
        <v>12056</v>
      </c>
      <c r="F739" s="6" t="s">
        <v>11075</v>
      </c>
      <c r="G739" s="218" t="s">
        <v>10352</v>
      </c>
      <c r="H739" s="218" t="s">
        <v>11076</v>
      </c>
    </row>
    <row r="740" spans="1:8" ht="38.25">
      <c r="A740" s="34">
        <f t="shared" si="11"/>
        <v>738</v>
      </c>
      <c r="B740" s="218" t="s">
        <v>12057</v>
      </c>
      <c r="C740" s="1" t="s">
        <v>10345</v>
      </c>
      <c r="D740" s="34" t="s">
        <v>10346</v>
      </c>
      <c r="E740" s="34" t="s">
        <v>12058</v>
      </c>
      <c r="F740" s="6" t="s">
        <v>12059</v>
      </c>
      <c r="G740" s="218" t="s">
        <v>10352</v>
      </c>
      <c r="H740" s="218" t="s">
        <v>12060</v>
      </c>
    </row>
    <row r="741" spans="1:8" ht="38.25">
      <c r="A741" s="34">
        <f t="shared" si="11"/>
        <v>739</v>
      </c>
      <c r="B741" s="218" t="s">
        <v>12061</v>
      </c>
      <c r="C741" s="1" t="s">
        <v>11079</v>
      </c>
      <c r="D741" s="34" t="s">
        <v>10361</v>
      </c>
      <c r="E741" s="34" t="s">
        <v>10793</v>
      </c>
      <c r="F741" s="6" t="s">
        <v>12062</v>
      </c>
      <c r="G741" s="218" t="s">
        <v>10364</v>
      </c>
      <c r="H741" s="218" t="s">
        <v>12063</v>
      </c>
    </row>
    <row r="742" spans="1:8" ht="25.5">
      <c r="A742" s="34">
        <f t="shared" si="11"/>
        <v>740</v>
      </c>
      <c r="B742" s="218" t="s">
        <v>12064</v>
      </c>
      <c r="C742" s="1" t="s">
        <v>132</v>
      </c>
      <c r="D742" s="34" t="s">
        <v>10371</v>
      </c>
      <c r="E742" s="34" t="s">
        <v>12065</v>
      </c>
      <c r="F742" s="6" t="s">
        <v>12066</v>
      </c>
      <c r="G742" s="218" t="s">
        <v>10374</v>
      </c>
      <c r="H742" s="218" t="s">
        <v>12067</v>
      </c>
    </row>
    <row r="743" spans="1:8" ht="63.75">
      <c r="A743" s="34">
        <f t="shared" si="11"/>
        <v>741</v>
      </c>
      <c r="B743" s="218" t="s">
        <v>12068</v>
      </c>
      <c r="C743" s="1" t="s">
        <v>302</v>
      </c>
      <c r="D743" s="34" t="s">
        <v>10367</v>
      </c>
      <c r="E743" s="34" t="s">
        <v>10230</v>
      </c>
      <c r="F743" s="6" t="s">
        <v>12069</v>
      </c>
      <c r="G743" s="218" t="s">
        <v>10364</v>
      </c>
      <c r="H743" s="218" t="s">
        <v>11590</v>
      </c>
    </row>
    <row r="744" spans="1:8" ht="51">
      <c r="A744" s="34">
        <f t="shared" si="11"/>
        <v>742</v>
      </c>
      <c r="B744" s="218" t="s">
        <v>12070</v>
      </c>
      <c r="C744" s="1" t="s">
        <v>132</v>
      </c>
      <c r="D744" s="34" t="s">
        <v>10367</v>
      </c>
      <c r="E744" s="34" t="s">
        <v>10526</v>
      </c>
      <c r="F744" s="6" t="s">
        <v>12071</v>
      </c>
      <c r="G744" s="218" t="s">
        <v>10364</v>
      </c>
      <c r="H744" s="218" t="s">
        <v>12072</v>
      </c>
    </row>
    <row r="745" spans="1:8">
      <c r="A745" s="34">
        <f t="shared" si="11"/>
        <v>743</v>
      </c>
      <c r="B745" s="218" t="s">
        <v>12073</v>
      </c>
      <c r="C745" s="1" t="s">
        <v>132</v>
      </c>
      <c r="D745" s="34" t="s">
        <v>10371</v>
      </c>
      <c r="E745" s="34" t="s">
        <v>11117</v>
      </c>
      <c r="F745" s="6" t="s">
        <v>12074</v>
      </c>
      <c r="G745" s="218" t="s">
        <v>10374</v>
      </c>
      <c r="H745" s="218" t="s">
        <v>11118</v>
      </c>
    </row>
    <row r="746" spans="1:8" ht="25.5">
      <c r="A746" s="34">
        <f t="shared" si="11"/>
        <v>744</v>
      </c>
      <c r="B746" s="218" t="s">
        <v>11597</v>
      </c>
      <c r="C746" s="1" t="s">
        <v>132</v>
      </c>
      <c r="D746" s="34" t="s">
        <v>10371</v>
      </c>
      <c r="E746" s="34" t="s">
        <v>11478</v>
      </c>
      <c r="F746" s="6" t="s">
        <v>11598</v>
      </c>
      <c r="G746" s="218" t="s">
        <v>12075</v>
      </c>
      <c r="H746" s="218" t="s">
        <v>11599</v>
      </c>
    </row>
    <row r="747" spans="1:8" ht="25.5">
      <c r="A747" s="34">
        <f t="shared" si="11"/>
        <v>745</v>
      </c>
      <c r="B747" s="218" t="s">
        <v>12076</v>
      </c>
      <c r="C747" s="1" t="s">
        <v>12077</v>
      </c>
      <c r="D747" s="34" t="s">
        <v>10371</v>
      </c>
      <c r="E747" s="34" t="s">
        <v>11894</v>
      </c>
      <c r="F747" s="6" t="s">
        <v>12078</v>
      </c>
      <c r="G747" s="218" t="s">
        <v>10374</v>
      </c>
      <c r="H747" s="218" t="s">
        <v>12079</v>
      </c>
    </row>
    <row r="748" spans="1:8" ht="25.5">
      <c r="A748" s="34">
        <f t="shared" si="11"/>
        <v>746</v>
      </c>
      <c r="B748" s="218" t="s">
        <v>12080</v>
      </c>
      <c r="C748" s="1" t="s">
        <v>10435</v>
      </c>
      <c r="D748" s="34" t="s">
        <v>10371</v>
      </c>
      <c r="E748" s="34" t="s">
        <v>10793</v>
      </c>
      <c r="F748" s="6" t="s">
        <v>12081</v>
      </c>
      <c r="G748" s="218" t="s">
        <v>10374</v>
      </c>
      <c r="H748" s="218" t="s">
        <v>12082</v>
      </c>
    </row>
    <row r="749" spans="1:8" ht="25.5">
      <c r="A749" s="34">
        <f t="shared" si="11"/>
        <v>747</v>
      </c>
      <c r="B749" s="218" t="s">
        <v>10389</v>
      </c>
      <c r="C749" s="1" t="s">
        <v>132</v>
      </c>
      <c r="D749" s="34" t="s">
        <v>10371</v>
      </c>
      <c r="E749" s="34" t="s">
        <v>10390</v>
      </c>
      <c r="F749" s="6" t="s">
        <v>10391</v>
      </c>
      <c r="G749" s="218" t="s">
        <v>10374</v>
      </c>
      <c r="H749" s="218" t="s">
        <v>10392</v>
      </c>
    </row>
    <row r="750" spans="1:8">
      <c r="A750" s="34">
        <f t="shared" si="11"/>
        <v>748</v>
      </c>
      <c r="B750" s="218" t="s">
        <v>11769</v>
      </c>
      <c r="C750" s="1" t="s">
        <v>147</v>
      </c>
      <c r="D750" s="34" t="s">
        <v>10371</v>
      </c>
      <c r="E750" s="34" t="s">
        <v>12083</v>
      </c>
      <c r="F750" s="6" t="s">
        <v>12084</v>
      </c>
      <c r="G750" s="218" t="s">
        <v>10374</v>
      </c>
      <c r="H750" s="218" t="s">
        <v>11772</v>
      </c>
    </row>
    <row r="751" spans="1:8" ht="25.5">
      <c r="A751" s="34">
        <f t="shared" si="11"/>
        <v>749</v>
      </c>
      <c r="B751" s="218" t="s">
        <v>12085</v>
      </c>
      <c r="C751" s="1" t="s">
        <v>132</v>
      </c>
      <c r="D751" s="34" t="s">
        <v>10371</v>
      </c>
      <c r="E751" s="34" t="s">
        <v>10621</v>
      </c>
      <c r="F751" s="6" t="s">
        <v>12086</v>
      </c>
      <c r="G751" s="218" t="s">
        <v>10374</v>
      </c>
      <c r="H751" s="218" t="s">
        <v>12087</v>
      </c>
    </row>
    <row r="752" spans="1:8">
      <c r="A752" s="34">
        <f t="shared" si="11"/>
        <v>750</v>
      </c>
      <c r="B752" s="218" t="s">
        <v>12088</v>
      </c>
      <c r="C752" s="1" t="s">
        <v>122</v>
      </c>
      <c r="D752" s="34" t="s">
        <v>10189</v>
      </c>
      <c r="E752" s="34" t="s">
        <v>10616</v>
      </c>
      <c r="F752" s="6" t="s">
        <v>12089</v>
      </c>
      <c r="G752" s="218"/>
      <c r="H752" s="218" t="s">
        <v>12090</v>
      </c>
    </row>
    <row r="753" spans="1:8" ht="25.5">
      <c r="A753" s="34">
        <f t="shared" si="11"/>
        <v>751</v>
      </c>
      <c r="B753" s="218" t="s">
        <v>12091</v>
      </c>
      <c r="C753" s="1" t="s">
        <v>132</v>
      </c>
      <c r="D753" s="34" t="s">
        <v>10414</v>
      </c>
      <c r="E753" s="34" t="s">
        <v>10321</v>
      </c>
      <c r="F753" s="6" t="s">
        <v>12092</v>
      </c>
      <c r="G753" s="218" t="s">
        <v>10374</v>
      </c>
      <c r="H753" s="218" t="s">
        <v>12093</v>
      </c>
    </row>
    <row r="754" spans="1:8" ht="25.5">
      <c r="A754" s="34">
        <f t="shared" si="11"/>
        <v>752</v>
      </c>
      <c r="B754" s="218" t="s">
        <v>12094</v>
      </c>
      <c r="C754" s="1" t="s">
        <v>1027</v>
      </c>
      <c r="D754" s="34" t="s">
        <v>10414</v>
      </c>
      <c r="E754" s="34" t="s">
        <v>10616</v>
      </c>
      <c r="F754" s="6" t="s">
        <v>12095</v>
      </c>
      <c r="G754" s="218" t="s">
        <v>10374</v>
      </c>
      <c r="H754" s="218" t="s">
        <v>11357</v>
      </c>
    </row>
    <row r="755" spans="1:8" ht="51">
      <c r="A755" s="34">
        <f t="shared" si="11"/>
        <v>753</v>
      </c>
      <c r="B755" s="218" t="s">
        <v>12096</v>
      </c>
      <c r="C755" s="1" t="s">
        <v>916</v>
      </c>
      <c r="D755" s="34" t="s">
        <v>10414</v>
      </c>
      <c r="E755" s="34" t="s">
        <v>10288</v>
      </c>
      <c r="F755" s="6" t="s">
        <v>11129</v>
      </c>
      <c r="G755" s="218" t="s">
        <v>10429</v>
      </c>
      <c r="H755" s="218" t="s">
        <v>11130</v>
      </c>
    </row>
    <row r="756" spans="1:8" ht="51">
      <c r="A756" s="34">
        <f t="shared" si="11"/>
        <v>754</v>
      </c>
      <c r="B756" s="218" t="s">
        <v>12097</v>
      </c>
      <c r="C756" s="1" t="s">
        <v>10398</v>
      </c>
      <c r="D756" s="34" t="s">
        <v>10414</v>
      </c>
      <c r="E756" s="34" t="s">
        <v>11103</v>
      </c>
      <c r="F756" s="6" t="s">
        <v>12098</v>
      </c>
      <c r="G756" s="218" t="s">
        <v>10429</v>
      </c>
      <c r="H756" s="218" t="s">
        <v>12099</v>
      </c>
    </row>
    <row r="757" spans="1:8" ht="51">
      <c r="A757" s="34">
        <f t="shared" si="11"/>
        <v>755</v>
      </c>
      <c r="B757" s="218" t="s">
        <v>12100</v>
      </c>
      <c r="C757" s="1" t="s">
        <v>12101</v>
      </c>
      <c r="D757" s="34" t="s">
        <v>10414</v>
      </c>
      <c r="E757" s="34" t="s">
        <v>11141</v>
      </c>
      <c r="F757" s="6" t="s">
        <v>12102</v>
      </c>
      <c r="G757" s="218" t="s">
        <v>10429</v>
      </c>
      <c r="H757" s="218" t="s">
        <v>12103</v>
      </c>
    </row>
    <row r="758" spans="1:8" ht="51">
      <c r="A758" s="34">
        <f t="shared" si="11"/>
        <v>756</v>
      </c>
      <c r="B758" s="218" t="s">
        <v>12104</v>
      </c>
      <c r="C758" s="1" t="s">
        <v>132</v>
      </c>
      <c r="D758" s="34" t="s">
        <v>10414</v>
      </c>
      <c r="E758" s="34" t="s">
        <v>10300</v>
      </c>
      <c r="F758" s="6" t="s">
        <v>10428</v>
      </c>
      <c r="G758" s="218" t="s">
        <v>10429</v>
      </c>
      <c r="H758" s="218" t="s">
        <v>10260</v>
      </c>
    </row>
    <row r="759" spans="1:8" ht="51">
      <c r="A759" s="34">
        <f t="shared" si="11"/>
        <v>757</v>
      </c>
      <c r="B759" s="218" t="s">
        <v>12105</v>
      </c>
      <c r="C759" s="1" t="s">
        <v>10377</v>
      </c>
      <c r="D759" s="34" t="s">
        <v>10414</v>
      </c>
      <c r="E759" s="34" t="s">
        <v>10793</v>
      </c>
      <c r="F759" s="6" t="s">
        <v>10447</v>
      </c>
      <c r="G759" s="218" t="s">
        <v>10429</v>
      </c>
      <c r="H759" s="218" t="s">
        <v>12106</v>
      </c>
    </row>
    <row r="760" spans="1:8" ht="51">
      <c r="A760" s="34">
        <f t="shared" si="11"/>
        <v>758</v>
      </c>
      <c r="B760" s="218" t="s">
        <v>12107</v>
      </c>
      <c r="C760" s="1" t="s">
        <v>132</v>
      </c>
      <c r="D760" s="34" t="s">
        <v>10414</v>
      </c>
      <c r="E760" s="34" t="s">
        <v>9617</v>
      </c>
      <c r="F760" s="6" t="s">
        <v>12108</v>
      </c>
      <c r="G760" s="218" t="s">
        <v>10429</v>
      </c>
      <c r="H760" s="218" t="s">
        <v>12109</v>
      </c>
    </row>
    <row r="761" spans="1:8" ht="51">
      <c r="A761" s="34">
        <f t="shared" si="11"/>
        <v>759</v>
      </c>
      <c r="B761" s="218" t="s">
        <v>12110</v>
      </c>
      <c r="C761" s="1" t="s">
        <v>132</v>
      </c>
      <c r="D761" s="34" t="s">
        <v>10414</v>
      </c>
      <c r="E761" s="34" t="s">
        <v>10300</v>
      </c>
      <c r="F761" s="6" t="s">
        <v>11614</v>
      </c>
      <c r="G761" s="218" t="s">
        <v>10429</v>
      </c>
      <c r="H761" s="218" t="s">
        <v>11616</v>
      </c>
    </row>
    <row r="762" spans="1:8" ht="51">
      <c r="A762" s="34">
        <f t="shared" si="11"/>
        <v>760</v>
      </c>
      <c r="B762" s="218" t="s">
        <v>12111</v>
      </c>
      <c r="C762" s="1" t="s">
        <v>132</v>
      </c>
      <c r="D762" s="34" t="s">
        <v>10414</v>
      </c>
      <c r="E762" s="34" t="s">
        <v>10341</v>
      </c>
      <c r="F762" s="6" t="s">
        <v>10972</v>
      </c>
      <c r="G762" s="218" t="s">
        <v>10429</v>
      </c>
      <c r="H762" s="218" t="s">
        <v>12112</v>
      </c>
    </row>
    <row r="763" spans="1:8" ht="51">
      <c r="A763" s="34">
        <f t="shared" si="11"/>
        <v>761</v>
      </c>
      <c r="B763" s="218" t="s">
        <v>12113</v>
      </c>
      <c r="C763" s="1" t="s">
        <v>132</v>
      </c>
      <c r="D763" s="34" t="s">
        <v>10414</v>
      </c>
      <c r="E763" s="34" t="s">
        <v>12114</v>
      </c>
      <c r="F763" s="6" t="s">
        <v>10644</v>
      </c>
      <c r="G763" s="218" t="s">
        <v>10429</v>
      </c>
      <c r="H763" s="218" t="s">
        <v>11354</v>
      </c>
    </row>
    <row r="764" spans="1:8" ht="51">
      <c r="A764" s="34">
        <f t="shared" si="11"/>
        <v>762</v>
      </c>
      <c r="B764" s="218" t="s">
        <v>12115</v>
      </c>
      <c r="C764" s="1" t="s">
        <v>10409</v>
      </c>
      <c r="D764" s="34" t="s">
        <v>10414</v>
      </c>
      <c r="E764" s="34" t="s">
        <v>11103</v>
      </c>
      <c r="F764" s="6" t="s">
        <v>12116</v>
      </c>
      <c r="G764" s="218" t="s">
        <v>10429</v>
      </c>
      <c r="H764" s="218" t="s">
        <v>12117</v>
      </c>
    </row>
    <row r="765" spans="1:8" ht="25.5">
      <c r="A765" s="34">
        <f t="shared" si="11"/>
        <v>763</v>
      </c>
      <c r="B765" s="218" t="s">
        <v>12118</v>
      </c>
      <c r="C765" s="1" t="s">
        <v>12119</v>
      </c>
      <c r="D765" s="34" t="s">
        <v>10189</v>
      </c>
      <c r="E765" s="34" t="s">
        <v>10209</v>
      </c>
      <c r="F765" s="6" t="s">
        <v>11630</v>
      </c>
      <c r="G765" s="218" t="s">
        <v>8605</v>
      </c>
      <c r="H765" s="218" t="s">
        <v>12120</v>
      </c>
    </row>
    <row r="766" spans="1:8" ht="25.5">
      <c r="A766" s="34">
        <f t="shared" si="11"/>
        <v>764</v>
      </c>
      <c r="B766" s="218" t="s">
        <v>12121</v>
      </c>
      <c r="C766" s="1" t="s">
        <v>1035</v>
      </c>
      <c r="D766" s="34" t="s">
        <v>10184</v>
      </c>
      <c r="E766" s="34" t="s">
        <v>11652</v>
      </c>
      <c r="F766" s="6" t="s">
        <v>10311</v>
      </c>
      <c r="G766" s="218" t="s">
        <v>12122</v>
      </c>
      <c r="H766" s="218" t="s">
        <v>11152</v>
      </c>
    </row>
    <row r="767" spans="1:8">
      <c r="A767" s="34">
        <f t="shared" si="11"/>
        <v>765</v>
      </c>
      <c r="B767" s="218" t="s">
        <v>12123</v>
      </c>
      <c r="C767" s="1" t="s">
        <v>10345</v>
      </c>
      <c r="D767" s="34" t="s">
        <v>10346</v>
      </c>
      <c r="E767" s="34" t="s">
        <v>8596</v>
      </c>
      <c r="F767" s="6" t="s">
        <v>12124</v>
      </c>
      <c r="G767" s="218" t="s">
        <v>12125</v>
      </c>
      <c r="H767" s="218" t="s">
        <v>12126</v>
      </c>
    </row>
    <row r="768" spans="1:8" ht="76.5">
      <c r="A768" s="34">
        <f t="shared" si="11"/>
        <v>766</v>
      </c>
      <c r="B768" s="218" t="s">
        <v>12127</v>
      </c>
      <c r="C768" s="1" t="s">
        <v>12128</v>
      </c>
      <c r="D768" s="34" t="s">
        <v>10184</v>
      </c>
      <c r="E768" s="34" t="s">
        <v>8590</v>
      </c>
      <c r="F768" s="6" t="s">
        <v>12129</v>
      </c>
      <c r="G768" s="218" t="s">
        <v>12130</v>
      </c>
      <c r="H768" s="218" t="s">
        <v>12131</v>
      </c>
    </row>
    <row r="769" spans="1:8" ht="38.25">
      <c r="A769" s="34">
        <f t="shared" si="11"/>
        <v>767</v>
      </c>
      <c r="B769" s="218" t="s">
        <v>10479</v>
      </c>
      <c r="C769" s="1" t="s">
        <v>132</v>
      </c>
      <c r="D769" s="34" t="s">
        <v>10189</v>
      </c>
      <c r="E769" s="34" t="s">
        <v>10300</v>
      </c>
      <c r="F769" s="6" t="s">
        <v>12132</v>
      </c>
      <c r="G769" s="218" t="s">
        <v>10302</v>
      </c>
      <c r="H769" s="218" t="s">
        <v>10314</v>
      </c>
    </row>
    <row r="770" spans="1:8" ht="38.25">
      <c r="A770" s="34">
        <f t="shared" si="11"/>
        <v>768</v>
      </c>
      <c r="B770" s="218" t="s">
        <v>10479</v>
      </c>
      <c r="C770" s="1" t="s">
        <v>132</v>
      </c>
      <c r="D770" s="34" t="s">
        <v>10189</v>
      </c>
      <c r="E770" s="34" t="s">
        <v>10300</v>
      </c>
      <c r="F770" s="6" t="s">
        <v>10480</v>
      </c>
      <c r="G770" s="218" t="s">
        <v>10302</v>
      </c>
      <c r="H770" s="218" t="s">
        <v>11994</v>
      </c>
    </row>
    <row r="771" spans="1:8" ht="25.5">
      <c r="A771" s="34">
        <f t="shared" si="11"/>
        <v>769</v>
      </c>
      <c r="B771" s="218" t="s">
        <v>10485</v>
      </c>
      <c r="C771" s="1" t="s">
        <v>10502</v>
      </c>
      <c r="D771" s="34" t="s">
        <v>10189</v>
      </c>
      <c r="E771" s="34" t="s">
        <v>8572</v>
      </c>
      <c r="F771" s="6" t="s">
        <v>10487</v>
      </c>
      <c r="G771" s="218" t="s">
        <v>10488</v>
      </c>
      <c r="H771" s="218" t="s">
        <v>11962</v>
      </c>
    </row>
    <row r="772" spans="1:8" ht="25.5">
      <c r="A772" s="34">
        <f t="shared" ref="A772:A835" si="12">A771+1</f>
        <v>770</v>
      </c>
      <c r="B772" s="218" t="s">
        <v>10501</v>
      </c>
      <c r="C772" s="1" t="s">
        <v>122</v>
      </c>
      <c r="D772" s="34" t="s">
        <v>10189</v>
      </c>
      <c r="E772" s="34" t="s">
        <v>10238</v>
      </c>
      <c r="F772" s="6" t="s">
        <v>10752</v>
      </c>
      <c r="G772" s="218" t="s">
        <v>10240</v>
      </c>
      <c r="H772" s="218" t="s">
        <v>287</v>
      </c>
    </row>
    <row r="773" spans="1:8" ht="25.5">
      <c r="A773" s="34">
        <f t="shared" si="12"/>
        <v>771</v>
      </c>
      <c r="B773" s="218" t="s">
        <v>12133</v>
      </c>
      <c r="C773" s="1" t="s">
        <v>10482</v>
      </c>
      <c r="D773" s="34" t="s">
        <v>10189</v>
      </c>
      <c r="E773" s="34" t="s">
        <v>9617</v>
      </c>
      <c r="F773" s="6" t="s">
        <v>10491</v>
      </c>
      <c r="G773" s="218" t="s">
        <v>10492</v>
      </c>
      <c r="H773" s="218" t="s">
        <v>12134</v>
      </c>
    </row>
    <row r="774" spans="1:8" ht="25.5">
      <c r="A774" s="34">
        <f t="shared" si="12"/>
        <v>772</v>
      </c>
      <c r="B774" s="218" t="s">
        <v>10497</v>
      </c>
      <c r="C774" s="1" t="s">
        <v>132</v>
      </c>
      <c r="D774" s="34" t="s">
        <v>10218</v>
      </c>
      <c r="E774" s="34" t="s">
        <v>10224</v>
      </c>
      <c r="F774" s="6" t="s">
        <v>12135</v>
      </c>
      <c r="G774" s="218" t="s">
        <v>10499</v>
      </c>
      <c r="H774" s="218" t="s">
        <v>11175</v>
      </c>
    </row>
    <row r="775" spans="1:8" ht="25.5">
      <c r="A775" s="34">
        <f t="shared" si="12"/>
        <v>773</v>
      </c>
      <c r="B775" s="218" t="s">
        <v>10501</v>
      </c>
      <c r="C775" s="1" t="s">
        <v>10377</v>
      </c>
      <c r="D775" s="34" t="s">
        <v>10189</v>
      </c>
      <c r="E775" s="34" t="s">
        <v>10230</v>
      </c>
      <c r="F775" s="6" t="s">
        <v>10727</v>
      </c>
      <c r="G775" s="218" t="s">
        <v>10728</v>
      </c>
      <c r="H775" s="218" t="s">
        <v>12136</v>
      </c>
    </row>
    <row r="776" spans="1:8" ht="25.5">
      <c r="A776" s="34">
        <f t="shared" si="12"/>
        <v>774</v>
      </c>
      <c r="B776" s="218" t="s">
        <v>12137</v>
      </c>
      <c r="C776" s="1" t="s">
        <v>132</v>
      </c>
      <c r="D776" s="34" t="s">
        <v>10189</v>
      </c>
      <c r="E776" s="34" t="s">
        <v>10224</v>
      </c>
      <c r="F776" s="6" t="s">
        <v>12138</v>
      </c>
      <c r="G776" s="218" t="s">
        <v>10226</v>
      </c>
      <c r="H776" s="218" t="s">
        <v>11175</v>
      </c>
    </row>
    <row r="777" spans="1:8" ht="25.5">
      <c r="A777" s="34">
        <f t="shared" si="12"/>
        <v>775</v>
      </c>
      <c r="B777" s="218" t="s">
        <v>12139</v>
      </c>
      <c r="C777" s="1" t="s">
        <v>10482</v>
      </c>
      <c r="D777" s="34" t="s">
        <v>10189</v>
      </c>
      <c r="E777" s="34" t="s">
        <v>10300</v>
      </c>
      <c r="F777" s="6" t="s">
        <v>10480</v>
      </c>
      <c r="G777" s="218" t="s">
        <v>10513</v>
      </c>
      <c r="H777" s="218" t="s">
        <v>131</v>
      </c>
    </row>
    <row r="778" spans="1:8" ht="25.5">
      <c r="A778" s="34">
        <f t="shared" si="12"/>
        <v>776</v>
      </c>
      <c r="B778" s="218" t="s">
        <v>10501</v>
      </c>
      <c r="C778" s="1" t="s">
        <v>11082</v>
      </c>
      <c r="D778" s="34" t="s">
        <v>10189</v>
      </c>
      <c r="E778" s="34" t="s">
        <v>10424</v>
      </c>
      <c r="F778" s="6" t="s">
        <v>10727</v>
      </c>
      <c r="G778" s="218" t="s">
        <v>11385</v>
      </c>
      <c r="H778" s="218" t="s">
        <v>12140</v>
      </c>
    </row>
    <row r="779" spans="1:8" ht="25.5">
      <c r="A779" s="34">
        <f t="shared" si="12"/>
        <v>777</v>
      </c>
      <c r="B779" s="218" t="s">
        <v>10501</v>
      </c>
      <c r="C779" s="1" t="s">
        <v>10377</v>
      </c>
      <c r="D779" s="34" t="s">
        <v>10189</v>
      </c>
      <c r="E779" s="34" t="s">
        <v>10424</v>
      </c>
      <c r="F779" s="6" t="s">
        <v>10727</v>
      </c>
      <c r="G779" s="218" t="s">
        <v>11385</v>
      </c>
      <c r="H779" s="218" t="s">
        <v>292</v>
      </c>
    </row>
    <row r="780" spans="1:8">
      <c r="A780" s="34">
        <f t="shared" si="12"/>
        <v>778</v>
      </c>
      <c r="B780" s="218" t="s">
        <v>10501</v>
      </c>
      <c r="C780" s="1" t="s">
        <v>302</v>
      </c>
      <c r="D780" s="34" t="s">
        <v>10189</v>
      </c>
      <c r="E780" s="34" t="s">
        <v>10230</v>
      </c>
      <c r="F780" s="6" t="s">
        <v>10231</v>
      </c>
      <c r="G780" s="218" t="s">
        <v>10232</v>
      </c>
      <c r="H780" s="218" t="s">
        <v>10233</v>
      </c>
    </row>
    <row r="781" spans="1:8" ht="25.5">
      <c r="A781" s="34">
        <f t="shared" si="12"/>
        <v>779</v>
      </c>
      <c r="B781" s="218" t="s">
        <v>12141</v>
      </c>
      <c r="C781" s="1" t="s">
        <v>10482</v>
      </c>
      <c r="D781" s="34" t="s">
        <v>10189</v>
      </c>
      <c r="E781" s="34" t="s">
        <v>10300</v>
      </c>
      <c r="F781" s="6" t="s">
        <v>10480</v>
      </c>
      <c r="G781" s="218" t="s">
        <v>10513</v>
      </c>
      <c r="H781" s="218" t="s">
        <v>12142</v>
      </c>
    </row>
    <row r="782" spans="1:8" ht="25.5">
      <c r="A782" s="34">
        <f t="shared" si="12"/>
        <v>780</v>
      </c>
      <c r="B782" s="218" t="s">
        <v>12143</v>
      </c>
      <c r="C782" s="1" t="s">
        <v>132</v>
      </c>
      <c r="D782" s="34" t="s">
        <v>10520</v>
      </c>
      <c r="E782" s="34" t="s">
        <v>11246</v>
      </c>
      <c r="F782" s="6" t="s">
        <v>11739</v>
      </c>
      <c r="G782" s="218" t="s">
        <v>11248</v>
      </c>
      <c r="H782" s="218" t="s">
        <v>12144</v>
      </c>
    </row>
    <row r="783" spans="1:8" ht="25.5">
      <c r="A783" s="34">
        <f t="shared" si="12"/>
        <v>781</v>
      </c>
      <c r="B783" s="218" t="s">
        <v>12145</v>
      </c>
      <c r="C783" s="1" t="s">
        <v>132</v>
      </c>
      <c r="D783" s="34" t="s">
        <v>10521</v>
      </c>
      <c r="E783" s="34" t="s">
        <v>9617</v>
      </c>
      <c r="F783" s="6" t="s">
        <v>10746</v>
      </c>
      <c r="G783" s="218" t="s">
        <v>11713</v>
      </c>
      <c r="H783" s="218" t="s">
        <v>12146</v>
      </c>
    </row>
    <row r="784" spans="1:8" ht="25.5">
      <c r="A784" s="34">
        <f t="shared" si="12"/>
        <v>782</v>
      </c>
      <c r="B784" s="218" t="s">
        <v>10501</v>
      </c>
      <c r="C784" s="1" t="s">
        <v>200</v>
      </c>
      <c r="D784" s="34" t="s">
        <v>10189</v>
      </c>
      <c r="E784" s="34" t="s">
        <v>10870</v>
      </c>
      <c r="F784" s="6" t="s">
        <v>10715</v>
      </c>
      <c r="G784" s="218" t="s">
        <v>11190</v>
      </c>
      <c r="H784" s="218" t="s">
        <v>12147</v>
      </c>
    </row>
    <row r="785" spans="1:8">
      <c r="A785" s="34">
        <f t="shared" si="12"/>
        <v>783</v>
      </c>
      <c r="B785" s="218" t="s">
        <v>10501</v>
      </c>
      <c r="C785" s="1" t="s">
        <v>137</v>
      </c>
      <c r="D785" s="34" t="s">
        <v>10189</v>
      </c>
      <c r="E785" s="34" t="s">
        <v>10714</v>
      </c>
      <c r="F785" s="6" t="s">
        <v>12148</v>
      </c>
      <c r="G785" s="218" t="s">
        <v>8605</v>
      </c>
      <c r="H785" s="218" t="s">
        <v>12149</v>
      </c>
    </row>
    <row r="786" spans="1:8" ht="38.25">
      <c r="A786" s="34">
        <f t="shared" si="12"/>
        <v>784</v>
      </c>
      <c r="B786" s="218" t="s">
        <v>12150</v>
      </c>
      <c r="C786" s="1" t="s">
        <v>10345</v>
      </c>
      <c r="D786" s="34"/>
      <c r="E786" s="34" t="s">
        <v>12058</v>
      </c>
      <c r="F786" s="6" t="s">
        <v>10588</v>
      </c>
      <c r="G786" s="218" t="s">
        <v>12151</v>
      </c>
      <c r="H786" s="218" t="s">
        <v>12152</v>
      </c>
    </row>
    <row r="787" spans="1:8" ht="25.5">
      <c r="A787" s="34">
        <f t="shared" si="12"/>
        <v>785</v>
      </c>
      <c r="B787" s="218" t="s">
        <v>12153</v>
      </c>
      <c r="C787" s="1" t="s">
        <v>132</v>
      </c>
      <c r="D787" s="34" t="s">
        <v>10189</v>
      </c>
      <c r="E787" s="34" t="s">
        <v>10300</v>
      </c>
      <c r="F787" s="6" t="s">
        <v>10480</v>
      </c>
      <c r="G787" s="218" t="s">
        <v>10513</v>
      </c>
      <c r="H787" s="218" t="s">
        <v>12154</v>
      </c>
    </row>
    <row r="788" spans="1:8" ht="25.5">
      <c r="A788" s="34">
        <f t="shared" si="12"/>
        <v>786</v>
      </c>
      <c r="B788" s="218" t="s">
        <v>10532</v>
      </c>
      <c r="C788" s="1" t="s">
        <v>132</v>
      </c>
      <c r="D788" s="34" t="s">
        <v>10521</v>
      </c>
      <c r="E788" s="34" t="s">
        <v>10533</v>
      </c>
      <c r="F788" s="6" t="s">
        <v>10534</v>
      </c>
      <c r="G788" s="218" t="s">
        <v>10535</v>
      </c>
      <c r="H788" s="218" t="s">
        <v>11718</v>
      </c>
    </row>
    <row r="789" spans="1:8" ht="25.5">
      <c r="A789" s="34">
        <f t="shared" si="12"/>
        <v>787</v>
      </c>
      <c r="B789" s="218" t="s">
        <v>10550</v>
      </c>
      <c r="C789" s="1" t="s">
        <v>132</v>
      </c>
      <c r="D789" s="34" t="s">
        <v>10521</v>
      </c>
      <c r="E789" s="34" t="s">
        <v>9617</v>
      </c>
      <c r="F789" s="6" t="s">
        <v>11614</v>
      </c>
      <c r="G789" s="218" t="s">
        <v>10665</v>
      </c>
      <c r="H789" s="218" t="s">
        <v>12155</v>
      </c>
    </row>
    <row r="790" spans="1:8" ht="25.5">
      <c r="A790" s="34">
        <f t="shared" si="12"/>
        <v>788</v>
      </c>
      <c r="B790" s="218" t="s">
        <v>10550</v>
      </c>
      <c r="C790" s="1" t="s">
        <v>132</v>
      </c>
      <c r="D790" s="34" t="s">
        <v>10521</v>
      </c>
      <c r="E790" s="34" t="s">
        <v>9617</v>
      </c>
      <c r="F790" s="6" t="s">
        <v>11525</v>
      </c>
      <c r="G790" s="218" t="s">
        <v>10665</v>
      </c>
      <c r="H790" s="218" t="s">
        <v>12156</v>
      </c>
    </row>
    <row r="791" spans="1:8" ht="25.5">
      <c r="A791" s="34">
        <f t="shared" si="12"/>
        <v>789</v>
      </c>
      <c r="B791" s="218" t="s">
        <v>10520</v>
      </c>
      <c r="C791" s="1" t="s">
        <v>212</v>
      </c>
      <c r="D791" s="34" t="s">
        <v>10521</v>
      </c>
      <c r="E791" s="34" t="s">
        <v>10554</v>
      </c>
      <c r="F791" s="6" t="s">
        <v>12157</v>
      </c>
      <c r="G791" s="218" t="s">
        <v>10556</v>
      </c>
      <c r="H791" s="218" t="s">
        <v>12158</v>
      </c>
    </row>
    <row r="792" spans="1:8" ht="25.5">
      <c r="A792" s="34">
        <f t="shared" si="12"/>
        <v>790</v>
      </c>
      <c r="B792" s="218" t="s">
        <v>10532</v>
      </c>
      <c r="C792" s="1" t="s">
        <v>212</v>
      </c>
      <c r="D792" s="34" t="s">
        <v>10521</v>
      </c>
      <c r="E792" s="34" t="s">
        <v>10243</v>
      </c>
      <c r="F792" s="6" t="s">
        <v>10537</v>
      </c>
      <c r="G792" s="218" t="s">
        <v>10538</v>
      </c>
      <c r="H792" s="218" t="s">
        <v>12159</v>
      </c>
    </row>
    <row r="793" spans="1:8" ht="25.5">
      <c r="A793" s="34">
        <f t="shared" si="12"/>
        <v>791</v>
      </c>
      <c r="B793" s="218" t="s">
        <v>10550</v>
      </c>
      <c r="C793" s="1" t="s">
        <v>132</v>
      </c>
      <c r="D793" s="34" t="s">
        <v>10521</v>
      </c>
      <c r="E793" s="34" t="s">
        <v>9617</v>
      </c>
      <c r="F793" s="6" t="s">
        <v>11779</v>
      </c>
      <c r="G793" s="218" t="s">
        <v>10552</v>
      </c>
      <c r="H793" s="218" t="s">
        <v>12160</v>
      </c>
    </row>
    <row r="794" spans="1:8" ht="25.5">
      <c r="A794" s="34">
        <f t="shared" si="12"/>
        <v>792</v>
      </c>
      <c r="B794" s="218" t="s">
        <v>10520</v>
      </c>
      <c r="C794" s="1" t="s">
        <v>132</v>
      </c>
      <c r="D794" s="34" t="s">
        <v>10521</v>
      </c>
      <c r="E794" s="34" t="s">
        <v>10542</v>
      </c>
      <c r="F794" s="6" t="s">
        <v>12161</v>
      </c>
      <c r="G794" s="218" t="s">
        <v>10544</v>
      </c>
      <c r="H794" s="218" t="s">
        <v>10547</v>
      </c>
    </row>
    <row r="795" spans="1:8" ht="25.5">
      <c r="A795" s="34">
        <f t="shared" si="12"/>
        <v>793</v>
      </c>
      <c r="B795" s="218" t="s">
        <v>10550</v>
      </c>
      <c r="C795" s="1" t="s">
        <v>132</v>
      </c>
      <c r="D795" s="34" t="s">
        <v>10521</v>
      </c>
      <c r="E795" s="34" t="s">
        <v>9617</v>
      </c>
      <c r="F795" s="6" t="s">
        <v>11614</v>
      </c>
      <c r="G795" s="218" t="s">
        <v>10552</v>
      </c>
      <c r="H795" s="218" t="s">
        <v>12162</v>
      </c>
    </row>
    <row r="796" spans="1:8" ht="25.5">
      <c r="A796" s="34">
        <f t="shared" si="12"/>
        <v>794</v>
      </c>
      <c r="B796" s="218" t="s">
        <v>10520</v>
      </c>
      <c r="C796" s="1" t="s">
        <v>132</v>
      </c>
      <c r="D796" s="34" t="s">
        <v>10521</v>
      </c>
      <c r="E796" s="34" t="s">
        <v>10526</v>
      </c>
      <c r="F796" s="6" t="s">
        <v>12163</v>
      </c>
      <c r="G796" s="218" t="s">
        <v>10528</v>
      </c>
      <c r="H796" s="218" t="s">
        <v>12164</v>
      </c>
    </row>
    <row r="797" spans="1:8" ht="25.5">
      <c r="A797" s="34">
        <f t="shared" si="12"/>
        <v>795</v>
      </c>
      <c r="B797" s="218" t="s">
        <v>10532</v>
      </c>
      <c r="C797" s="1" t="s">
        <v>132</v>
      </c>
      <c r="D797" s="34" t="s">
        <v>10521</v>
      </c>
      <c r="E797" s="34" t="s">
        <v>10533</v>
      </c>
      <c r="F797" s="6" t="s">
        <v>10534</v>
      </c>
      <c r="G797" s="218" t="s">
        <v>10535</v>
      </c>
      <c r="H797" s="218" t="s">
        <v>12165</v>
      </c>
    </row>
    <row r="798" spans="1:8" ht="25.5">
      <c r="A798" s="34">
        <f t="shared" si="12"/>
        <v>796</v>
      </c>
      <c r="B798" s="218" t="s">
        <v>10532</v>
      </c>
      <c r="C798" s="1" t="s">
        <v>132</v>
      </c>
      <c r="D798" s="34" t="s">
        <v>10521</v>
      </c>
      <c r="E798" s="34" t="s">
        <v>10533</v>
      </c>
      <c r="F798" s="6" t="s">
        <v>10534</v>
      </c>
      <c r="G798" s="218" t="s">
        <v>10535</v>
      </c>
      <c r="H798" s="218" t="s">
        <v>12166</v>
      </c>
    </row>
    <row r="799" spans="1:8" ht="25.5">
      <c r="A799" s="34">
        <f t="shared" si="12"/>
        <v>797</v>
      </c>
      <c r="B799" s="218" t="s">
        <v>12167</v>
      </c>
      <c r="C799" s="1" t="s">
        <v>132</v>
      </c>
      <c r="D799" s="34" t="s">
        <v>10521</v>
      </c>
      <c r="E799" s="34" t="s">
        <v>12168</v>
      </c>
      <c r="F799" s="6" t="s">
        <v>12169</v>
      </c>
      <c r="G799" s="218" t="s">
        <v>12170</v>
      </c>
      <c r="H799" s="218" t="s">
        <v>12171</v>
      </c>
    </row>
    <row r="800" spans="1:8" ht="25.5">
      <c r="A800" s="34">
        <f t="shared" si="12"/>
        <v>798</v>
      </c>
      <c r="B800" s="218" t="s">
        <v>10541</v>
      </c>
      <c r="C800" s="1" t="s">
        <v>132</v>
      </c>
      <c r="D800" s="34" t="s">
        <v>10520</v>
      </c>
      <c r="E800" s="34" t="s">
        <v>10341</v>
      </c>
      <c r="F800" s="6" t="s">
        <v>10562</v>
      </c>
      <c r="G800" s="218" t="s">
        <v>10563</v>
      </c>
      <c r="H800" s="218" t="s">
        <v>12172</v>
      </c>
    </row>
    <row r="801" spans="1:8" ht="25.5">
      <c r="A801" s="34">
        <f t="shared" si="12"/>
        <v>799</v>
      </c>
      <c r="B801" s="218" t="s">
        <v>10520</v>
      </c>
      <c r="C801" s="1" t="s">
        <v>212</v>
      </c>
      <c r="D801" s="34" t="s">
        <v>10521</v>
      </c>
      <c r="E801" s="34" t="s">
        <v>10591</v>
      </c>
      <c r="F801" s="6" t="s">
        <v>12173</v>
      </c>
      <c r="G801" s="218" t="s">
        <v>11720</v>
      </c>
      <c r="H801" s="218" t="s">
        <v>12174</v>
      </c>
    </row>
    <row r="802" spans="1:8" ht="25.5">
      <c r="A802" s="34">
        <f t="shared" si="12"/>
        <v>800</v>
      </c>
      <c r="B802" s="218" t="s">
        <v>10550</v>
      </c>
      <c r="C802" s="1" t="s">
        <v>132</v>
      </c>
      <c r="D802" s="34" t="s">
        <v>10521</v>
      </c>
      <c r="E802" s="34" t="s">
        <v>9617</v>
      </c>
      <c r="F802" s="6" t="s">
        <v>10543</v>
      </c>
      <c r="G802" s="218" t="s">
        <v>11713</v>
      </c>
      <c r="H802" s="218" t="s">
        <v>12175</v>
      </c>
    </row>
    <row r="803" spans="1:8" ht="25.5">
      <c r="A803" s="34">
        <f t="shared" si="12"/>
        <v>801</v>
      </c>
      <c r="B803" s="218" t="s">
        <v>10541</v>
      </c>
      <c r="C803" s="1" t="s">
        <v>212</v>
      </c>
      <c r="D803" s="34" t="s">
        <v>10520</v>
      </c>
      <c r="E803" s="34" t="s">
        <v>10705</v>
      </c>
      <c r="F803" s="6" t="s">
        <v>12176</v>
      </c>
      <c r="G803" s="218" t="s">
        <v>11231</v>
      </c>
      <c r="H803" s="218" t="s">
        <v>12177</v>
      </c>
    </row>
    <row r="804" spans="1:8" ht="25.5">
      <c r="A804" s="34">
        <f t="shared" si="12"/>
        <v>802</v>
      </c>
      <c r="B804" s="218" t="s">
        <v>10520</v>
      </c>
      <c r="C804" s="1" t="s">
        <v>212</v>
      </c>
      <c r="D804" s="34" t="s">
        <v>10521</v>
      </c>
      <c r="E804" s="34" t="s">
        <v>10705</v>
      </c>
      <c r="F804" s="6" t="s">
        <v>12178</v>
      </c>
      <c r="G804" s="218" t="s">
        <v>11231</v>
      </c>
      <c r="H804" s="218" t="s">
        <v>12179</v>
      </c>
    </row>
    <row r="805" spans="1:8" ht="25.5">
      <c r="A805" s="34">
        <f t="shared" si="12"/>
        <v>803</v>
      </c>
      <c r="B805" s="218" t="s">
        <v>10532</v>
      </c>
      <c r="C805" s="1" t="s">
        <v>212</v>
      </c>
      <c r="D805" s="34" t="s">
        <v>10521</v>
      </c>
      <c r="E805" s="34" t="s">
        <v>10705</v>
      </c>
      <c r="F805" s="6" t="s">
        <v>10738</v>
      </c>
      <c r="G805" s="218" t="s">
        <v>12180</v>
      </c>
      <c r="H805" s="218" t="s">
        <v>12181</v>
      </c>
    </row>
    <row r="806" spans="1:8" ht="25.5">
      <c r="A806" s="34">
        <f t="shared" si="12"/>
        <v>804</v>
      </c>
      <c r="B806" s="218" t="s">
        <v>10520</v>
      </c>
      <c r="C806" s="1" t="s">
        <v>10600</v>
      </c>
      <c r="D806" s="34" t="s">
        <v>10521</v>
      </c>
      <c r="E806" s="34" t="s">
        <v>10705</v>
      </c>
      <c r="F806" s="6" t="s">
        <v>12182</v>
      </c>
      <c r="G806" s="218" t="s">
        <v>11231</v>
      </c>
      <c r="H806" s="218" t="s">
        <v>12183</v>
      </c>
    </row>
    <row r="807" spans="1:8" ht="25.5">
      <c r="A807" s="34">
        <f t="shared" si="12"/>
        <v>805</v>
      </c>
      <c r="B807" s="218" t="s">
        <v>10520</v>
      </c>
      <c r="C807" s="1" t="s">
        <v>10482</v>
      </c>
      <c r="D807" s="34" t="s">
        <v>10521</v>
      </c>
      <c r="E807" s="34" t="s">
        <v>10341</v>
      </c>
      <c r="F807" s="6" t="s">
        <v>11813</v>
      </c>
      <c r="G807" s="218" t="s">
        <v>10605</v>
      </c>
      <c r="H807" s="218" t="s">
        <v>12184</v>
      </c>
    </row>
    <row r="808" spans="1:8" ht="25.5">
      <c r="A808" s="34">
        <f t="shared" si="12"/>
        <v>806</v>
      </c>
      <c r="B808" s="218" t="s">
        <v>10520</v>
      </c>
      <c r="C808" s="1" t="s">
        <v>132</v>
      </c>
      <c r="D808" s="34" t="s">
        <v>10521</v>
      </c>
      <c r="E808" s="34" t="s">
        <v>11114</v>
      </c>
      <c r="F808" s="6" t="s">
        <v>12185</v>
      </c>
      <c r="G808" s="218" t="s">
        <v>12186</v>
      </c>
      <c r="H808" s="218" t="s">
        <v>12187</v>
      </c>
    </row>
    <row r="809" spans="1:8" ht="25.5">
      <c r="A809" s="34">
        <f t="shared" si="12"/>
        <v>807</v>
      </c>
      <c r="B809" s="218" t="s">
        <v>10520</v>
      </c>
      <c r="C809" s="1" t="s">
        <v>10377</v>
      </c>
      <c r="D809" s="34" t="s">
        <v>10521</v>
      </c>
      <c r="E809" s="34" t="s">
        <v>10293</v>
      </c>
      <c r="F809" s="6" t="s">
        <v>12188</v>
      </c>
      <c r="G809" s="218" t="s">
        <v>11234</v>
      </c>
      <c r="H809" s="218" t="s">
        <v>10912</v>
      </c>
    </row>
    <row r="810" spans="1:8" ht="25.5">
      <c r="A810" s="34">
        <f t="shared" si="12"/>
        <v>808</v>
      </c>
      <c r="B810" s="218" t="s">
        <v>10520</v>
      </c>
      <c r="C810" s="1" t="s">
        <v>132</v>
      </c>
      <c r="D810" s="34" t="s">
        <v>10521</v>
      </c>
      <c r="E810" s="34" t="s">
        <v>10607</v>
      </c>
      <c r="F810" s="6" t="s">
        <v>12189</v>
      </c>
      <c r="G810" s="218" t="s">
        <v>10609</v>
      </c>
      <c r="H810" s="218" t="s">
        <v>12190</v>
      </c>
    </row>
    <row r="811" spans="1:8" ht="25.5">
      <c r="A811" s="34">
        <f t="shared" si="12"/>
        <v>809</v>
      </c>
      <c r="B811" s="218" t="s">
        <v>10550</v>
      </c>
      <c r="C811" s="1" t="s">
        <v>132</v>
      </c>
      <c r="D811" s="34" t="s">
        <v>10520</v>
      </c>
      <c r="E811" s="34" t="s">
        <v>9617</v>
      </c>
      <c r="F811" s="6" t="s">
        <v>12191</v>
      </c>
      <c r="G811" s="218" t="s">
        <v>11713</v>
      </c>
      <c r="H811" s="218" t="s">
        <v>12192</v>
      </c>
    </row>
    <row r="812" spans="1:8" ht="25.5">
      <c r="A812" s="34">
        <f t="shared" si="12"/>
        <v>810</v>
      </c>
      <c r="B812" s="218" t="s">
        <v>10520</v>
      </c>
      <c r="C812" s="1" t="s">
        <v>132</v>
      </c>
      <c r="D812" s="34" t="s">
        <v>10520</v>
      </c>
      <c r="E812" s="34" t="s">
        <v>10607</v>
      </c>
      <c r="F812" s="6" t="s">
        <v>10608</v>
      </c>
      <c r="G812" s="218" t="s">
        <v>10609</v>
      </c>
      <c r="H812" s="218" t="s">
        <v>12193</v>
      </c>
    </row>
    <row r="813" spans="1:8" ht="25.5">
      <c r="A813" s="34">
        <f t="shared" si="12"/>
        <v>811</v>
      </c>
      <c r="B813" s="218" t="s">
        <v>10520</v>
      </c>
      <c r="C813" s="1" t="s">
        <v>132</v>
      </c>
      <c r="D813" s="34" t="s">
        <v>10520</v>
      </c>
      <c r="E813" s="34" t="s">
        <v>10607</v>
      </c>
      <c r="F813" s="6" t="s">
        <v>10634</v>
      </c>
      <c r="G813" s="218" t="s">
        <v>10609</v>
      </c>
      <c r="H813" s="218" t="s">
        <v>12194</v>
      </c>
    </row>
    <row r="814" spans="1:8" ht="25.5">
      <c r="A814" s="34">
        <f t="shared" si="12"/>
        <v>812</v>
      </c>
      <c r="B814" s="218" t="s">
        <v>10520</v>
      </c>
      <c r="C814" s="1" t="s">
        <v>132</v>
      </c>
      <c r="D814" s="34" t="s">
        <v>10520</v>
      </c>
      <c r="E814" s="34" t="s">
        <v>10607</v>
      </c>
      <c r="F814" s="6" t="s">
        <v>10613</v>
      </c>
      <c r="G814" s="218" t="s">
        <v>10609</v>
      </c>
      <c r="H814" s="218" t="s">
        <v>12195</v>
      </c>
    </row>
    <row r="815" spans="1:8" ht="25.5">
      <c r="A815" s="34">
        <f t="shared" si="12"/>
        <v>813</v>
      </c>
      <c r="B815" s="218" t="s">
        <v>10615</v>
      </c>
      <c r="C815" s="1" t="s">
        <v>122</v>
      </c>
      <c r="D815" s="34" t="s">
        <v>10520</v>
      </c>
      <c r="E815" s="34" t="s">
        <v>10616</v>
      </c>
      <c r="F815" s="6" t="s">
        <v>12196</v>
      </c>
      <c r="G815" s="218" t="s">
        <v>10618</v>
      </c>
      <c r="H815" s="218" t="s">
        <v>12197</v>
      </c>
    </row>
    <row r="816" spans="1:8" ht="25.5">
      <c r="A816" s="34">
        <f t="shared" si="12"/>
        <v>814</v>
      </c>
      <c r="B816" s="218" t="s">
        <v>12198</v>
      </c>
      <c r="C816" s="1" t="s">
        <v>122</v>
      </c>
      <c r="D816" s="34" t="s">
        <v>10520</v>
      </c>
      <c r="E816" s="34" t="s">
        <v>10616</v>
      </c>
      <c r="F816" s="6" t="s">
        <v>10617</v>
      </c>
      <c r="G816" s="218" t="s">
        <v>10618</v>
      </c>
      <c r="H816" s="218" t="s">
        <v>12199</v>
      </c>
    </row>
    <row r="817" spans="1:8" ht="25.5">
      <c r="A817" s="34">
        <f t="shared" si="12"/>
        <v>815</v>
      </c>
      <c r="B817" s="218" t="s">
        <v>10520</v>
      </c>
      <c r="C817" s="1" t="s">
        <v>132</v>
      </c>
      <c r="D817" s="34" t="s">
        <v>10520</v>
      </c>
      <c r="E817" s="34" t="s">
        <v>11246</v>
      </c>
      <c r="F817" s="6" t="s">
        <v>11752</v>
      </c>
      <c r="G817" s="218" t="s">
        <v>11217</v>
      </c>
      <c r="H817" s="218" t="s">
        <v>12200</v>
      </c>
    </row>
    <row r="818" spans="1:8" ht="25.5">
      <c r="A818" s="34">
        <f t="shared" si="12"/>
        <v>816</v>
      </c>
      <c r="B818" s="218" t="s">
        <v>10615</v>
      </c>
      <c r="C818" s="1" t="s">
        <v>122</v>
      </c>
      <c r="D818" s="34" t="s">
        <v>10520</v>
      </c>
      <c r="E818" s="34" t="s">
        <v>10616</v>
      </c>
      <c r="F818" s="6" t="s">
        <v>10617</v>
      </c>
      <c r="G818" s="218" t="s">
        <v>10618</v>
      </c>
      <c r="H818" s="218" t="s">
        <v>12201</v>
      </c>
    </row>
    <row r="819" spans="1:8" ht="25.5">
      <c r="A819" s="34">
        <f t="shared" si="12"/>
        <v>817</v>
      </c>
      <c r="B819" s="218" t="s">
        <v>12202</v>
      </c>
      <c r="C819" s="1" t="s">
        <v>12203</v>
      </c>
      <c r="D819" s="34" t="s">
        <v>10587</v>
      </c>
      <c r="E819" s="34" t="s">
        <v>12204</v>
      </c>
      <c r="F819" s="6" t="s">
        <v>12205</v>
      </c>
      <c r="G819" s="218" t="s">
        <v>8060</v>
      </c>
      <c r="H819" s="218" t="s">
        <v>12206</v>
      </c>
    </row>
    <row r="820" spans="1:8" ht="38.25">
      <c r="A820" s="34">
        <f t="shared" si="12"/>
        <v>818</v>
      </c>
      <c r="B820" s="218" t="s">
        <v>12207</v>
      </c>
      <c r="C820" s="1" t="s">
        <v>10629</v>
      </c>
      <c r="D820" s="34" t="s">
        <v>10587</v>
      </c>
      <c r="E820" s="34" t="s">
        <v>12208</v>
      </c>
      <c r="F820" s="6" t="s">
        <v>12209</v>
      </c>
      <c r="G820" s="218" t="s">
        <v>8060</v>
      </c>
      <c r="H820" s="218" t="s">
        <v>12210</v>
      </c>
    </row>
    <row r="821" spans="1:8" ht="25.5">
      <c r="A821" s="34">
        <f t="shared" si="12"/>
        <v>819</v>
      </c>
      <c r="B821" s="218" t="s">
        <v>12211</v>
      </c>
      <c r="C821" s="1" t="s">
        <v>11260</v>
      </c>
      <c r="D821" s="34" t="s">
        <v>10587</v>
      </c>
      <c r="E821" s="34" t="s">
        <v>12212</v>
      </c>
      <c r="F821" s="6" t="s">
        <v>12213</v>
      </c>
      <c r="G821" s="218" t="s">
        <v>8060</v>
      </c>
      <c r="H821" s="218" t="s">
        <v>12214</v>
      </c>
    </row>
    <row r="822" spans="1:8" ht="25.5">
      <c r="A822" s="34">
        <f t="shared" si="12"/>
        <v>820</v>
      </c>
      <c r="B822" s="218" t="s">
        <v>10836</v>
      </c>
      <c r="C822" s="1" t="s">
        <v>147</v>
      </c>
      <c r="D822" s="34" t="s">
        <v>10189</v>
      </c>
      <c r="E822" s="34" t="s">
        <v>10472</v>
      </c>
      <c r="F822" s="6" t="s">
        <v>11120</v>
      </c>
      <c r="G822" s="218" t="s">
        <v>12215</v>
      </c>
      <c r="H822" s="218" t="s">
        <v>146</v>
      </c>
    </row>
    <row r="823" spans="1:8" ht="25.5">
      <c r="A823" s="34">
        <f t="shared" si="12"/>
        <v>821</v>
      </c>
      <c r="B823" s="218" t="s">
        <v>11701</v>
      </c>
      <c r="C823" s="1" t="s">
        <v>132</v>
      </c>
      <c r="D823" s="34" t="s">
        <v>10520</v>
      </c>
      <c r="E823" s="34" t="s">
        <v>10526</v>
      </c>
      <c r="F823" s="6" t="s">
        <v>12216</v>
      </c>
      <c r="G823" s="218" t="s">
        <v>10528</v>
      </c>
      <c r="H823" s="218" t="s">
        <v>12217</v>
      </c>
    </row>
    <row r="824" spans="1:8" ht="25.5">
      <c r="A824" s="34">
        <f t="shared" si="12"/>
        <v>822</v>
      </c>
      <c r="B824" s="218" t="s">
        <v>10836</v>
      </c>
      <c r="C824" s="1" t="s">
        <v>11082</v>
      </c>
      <c r="D824" s="34" t="s">
        <v>10189</v>
      </c>
      <c r="E824" s="34" t="s">
        <v>10650</v>
      </c>
      <c r="F824" s="6" t="s">
        <v>12218</v>
      </c>
      <c r="G824" s="218" t="s">
        <v>12219</v>
      </c>
      <c r="H824" s="218" t="s">
        <v>1037</v>
      </c>
    </row>
    <row r="825" spans="1:8" ht="25.5">
      <c r="A825" s="34">
        <f t="shared" si="12"/>
        <v>823</v>
      </c>
      <c r="B825" s="218" t="s">
        <v>12220</v>
      </c>
      <c r="C825" s="1" t="s">
        <v>132</v>
      </c>
      <c r="D825" s="34" t="s">
        <v>10371</v>
      </c>
      <c r="E825" s="34" t="s">
        <v>12221</v>
      </c>
      <c r="F825" s="6" t="s">
        <v>12222</v>
      </c>
      <c r="G825" s="218" t="s">
        <v>10374</v>
      </c>
      <c r="H825" s="218" t="s">
        <v>12223</v>
      </c>
    </row>
    <row r="826" spans="1:8" ht="25.5">
      <c r="A826" s="34">
        <f t="shared" si="12"/>
        <v>824</v>
      </c>
      <c r="B826" s="218" t="s">
        <v>12224</v>
      </c>
      <c r="C826" s="1" t="s">
        <v>132</v>
      </c>
      <c r="D826" s="34" t="s">
        <v>10414</v>
      </c>
      <c r="E826" s="34" t="s">
        <v>10806</v>
      </c>
      <c r="F826" s="6" t="s">
        <v>12225</v>
      </c>
      <c r="G826" s="218" t="s">
        <v>10374</v>
      </c>
      <c r="H826" s="218" t="s">
        <v>12226</v>
      </c>
    </row>
    <row r="827" spans="1:8">
      <c r="A827" s="34">
        <f t="shared" si="12"/>
        <v>825</v>
      </c>
      <c r="B827" s="218" t="s">
        <v>12227</v>
      </c>
      <c r="C827" s="1" t="s">
        <v>147</v>
      </c>
      <c r="D827" s="34" t="s">
        <v>10371</v>
      </c>
      <c r="E827" s="34" t="s">
        <v>12228</v>
      </c>
      <c r="F827" s="6" t="s">
        <v>12229</v>
      </c>
      <c r="G827" s="218" t="s">
        <v>10374</v>
      </c>
      <c r="H827" s="218" t="s">
        <v>12230</v>
      </c>
    </row>
    <row r="828" spans="1:8" ht="25.5">
      <c r="A828" s="34">
        <f t="shared" si="12"/>
        <v>826</v>
      </c>
      <c r="B828" s="218" t="s">
        <v>12231</v>
      </c>
      <c r="C828" s="1" t="s">
        <v>132</v>
      </c>
      <c r="D828" s="34" t="s">
        <v>10189</v>
      </c>
      <c r="E828" s="34" t="s">
        <v>12232</v>
      </c>
      <c r="F828" s="6" t="s">
        <v>11752</v>
      </c>
      <c r="G828" s="218" t="s">
        <v>8814</v>
      </c>
      <c r="H828" s="218" t="s">
        <v>12233</v>
      </c>
    </row>
    <row r="829" spans="1:8" ht="25.5">
      <c r="A829" s="34">
        <f t="shared" si="12"/>
        <v>827</v>
      </c>
      <c r="B829" s="218" t="s">
        <v>10550</v>
      </c>
      <c r="C829" s="1" t="s">
        <v>132</v>
      </c>
      <c r="D829" s="34" t="s">
        <v>10521</v>
      </c>
      <c r="E829" s="34" t="s">
        <v>9617</v>
      </c>
      <c r="F829" s="6" t="s">
        <v>10571</v>
      </c>
      <c r="G829" s="218" t="s">
        <v>10665</v>
      </c>
      <c r="H829" s="218" t="s">
        <v>12234</v>
      </c>
    </row>
    <row r="830" spans="1:8" ht="25.5">
      <c r="A830" s="34">
        <f t="shared" si="12"/>
        <v>828</v>
      </c>
      <c r="B830" s="218" t="s">
        <v>10550</v>
      </c>
      <c r="C830" s="1" t="s">
        <v>132</v>
      </c>
      <c r="D830" s="34" t="s">
        <v>10521</v>
      </c>
      <c r="E830" s="34" t="s">
        <v>9617</v>
      </c>
      <c r="F830" s="6" t="s">
        <v>11856</v>
      </c>
      <c r="G830" s="218" t="s">
        <v>10191</v>
      </c>
      <c r="H830" s="218" t="s">
        <v>12235</v>
      </c>
    </row>
    <row r="831" spans="1:8" ht="25.5">
      <c r="A831" s="34">
        <f t="shared" si="12"/>
        <v>829</v>
      </c>
      <c r="B831" s="218" t="s">
        <v>10550</v>
      </c>
      <c r="C831" s="1" t="s">
        <v>10482</v>
      </c>
      <c r="D831" s="34" t="s">
        <v>10521</v>
      </c>
      <c r="E831" s="34" t="s">
        <v>9617</v>
      </c>
      <c r="F831" s="6" t="s">
        <v>12236</v>
      </c>
      <c r="G831" s="218" t="s">
        <v>10191</v>
      </c>
      <c r="H831" s="218" t="s">
        <v>12237</v>
      </c>
    </row>
    <row r="832" spans="1:8" ht="25.5">
      <c r="A832" s="34">
        <f t="shared" si="12"/>
        <v>830</v>
      </c>
      <c r="B832" s="218" t="s">
        <v>10550</v>
      </c>
      <c r="C832" s="1" t="s">
        <v>132</v>
      </c>
      <c r="D832" s="34" t="s">
        <v>10520</v>
      </c>
      <c r="E832" s="34" t="s">
        <v>9617</v>
      </c>
      <c r="F832" s="6" t="s">
        <v>10530</v>
      </c>
      <c r="G832" s="218" t="s">
        <v>10665</v>
      </c>
      <c r="H832" s="218" t="s">
        <v>12238</v>
      </c>
    </row>
    <row r="833" spans="1:8" ht="25.5">
      <c r="A833" s="34">
        <f t="shared" si="12"/>
        <v>831</v>
      </c>
      <c r="B833" s="218" t="s">
        <v>10550</v>
      </c>
      <c r="C833" s="1" t="s">
        <v>132</v>
      </c>
      <c r="D833" s="34" t="s">
        <v>10521</v>
      </c>
      <c r="E833" s="34" t="s">
        <v>9617</v>
      </c>
      <c r="F833" s="6" t="s">
        <v>10671</v>
      </c>
      <c r="G833" s="218" t="s">
        <v>10191</v>
      </c>
      <c r="H833" s="218" t="s">
        <v>12239</v>
      </c>
    </row>
    <row r="834" spans="1:8" ht="25.5">
      <c r="A834" s="34">
        <f t="shared" si="12"/>
        <v>832</v>
      </c>
      <c r="B834" s="218" t="s">
        <v>10550</v>
      </c>
      <c r="C834" s="1" t="s">
        <v>132</v>
      </c>
      <c r="D834" s="34" t="s">
        <v>10520</v>
      </c>
      <c r="E834" s="34" t="s">
        <v>9617</v>
      </c>
      <c r="F834" s="6" t="s">
        <v>11275</v>
      </c>
      <c r="G834" s="218" t="s">
        <v>10665</v>
      </c>
      <c r="H834" s="218" t="s">
        <v>12240</v>
      </c>
    </row>
    <row r="835" spans="1:8" ht="25.5">
      <c r="A835" s="34">
        <f t="shared" si="12"/>
        <v>833</v>
      </c>
      <c r="B835" s="218" t="s">
        <v>12241</v>
      </c>
      <c r="C835" s="1" t="s">
        <v>10600</v>
      </c>
      <c r="D835" s="34" t="s">
        <v>10520</v>
      </c>
      <c r="E835" s="34" t="s">
        <v>10554</v>
      </c>
      <c r="F835" s="6" t="s">
        <v>10688</v>
      </c>
      <c r="G835" s="218" t="s">
        <v>10556</v>
      </c>
      <c r="H835" s="218" t="s">
        <v>12242</v>
      </c>
    </row>
    <row r="836" spans="1:8" ht="25.5">
      <c r="A836" s="34">
        <f t="shared" ref="A836:A899" si="13">A835+1</f>
        <v>834</v>
      </c>
      <c r="B836" s="218" t="s">
        <v>12243</v>
      </c>
      <c r="C836" s="1" t="s">
        <v>10600</v>
      </c>
      <c r="D836" s="34" t="s">
        <v>10520</v>
      </c>
      <c r="E836" s="34" t="s">
        <v>10567</v>
      </c>
      <c r="F836" s="6" t="s">
        <v>12244</v>
      </c>
      <c r="G836" s="218" t="s">
        <v>10569</v>
      </c>
      <c r="H836" s="218" t="s">
        <v>12245</v>
      </c>
    </row>
    <row r="837" spans="1:8" ht="25.5">
      <c r="A837" s="34">
        <f t="shared" si="13"/>
        <v>835</v>
      </c>
      <c r="B837" s="218" t="s">
        <v>12246</v>
      </c>
      <c r="C837" s="1" t="s">
        <v>212</v>
      </c>
      <c r="D837" s="34" t="s">
        <v>10520</v>
      </c>
      <c r="E837" s="34" t="s">
        <v>10522</v>
      </c>
      <c r="F837" s="6" t="s">
        <v>12247</v>
      </c>
      <c r="G837" s="218" t="s">
        <v>10524</v>
      </c>
      <c r="H837" s="218" t="s">
        <v>12248</v>
      </c>
    </row>
    <row r="838" spans="1:8" ht="25.5">
      <c r="A838" s="34">
        <f t="shared" si="13"/>
        <v>836</v>
      </c>
      <c r="B838" s="218" t="s">
        <v>12249</v>
      </c>
      <c r="C838" s="1" t="s">
        <v>212</v>
      </c>
      <c r="D838" s="34" t="s">
        <v>10520</v>
      </c>
      <c r="E838" s="34" t="s">
        <v>10692</v>
      </c>
      <c r="F838" s="6" t="s">
        <v>11799</v>
      </c>
      <c r="G838" s="218" t="s">
        <v>10693</v>
      </c>
      <c r="H838" s="218" t="s">
        <v>12250</v>
      </c>
    </row>
    <row r="839" spans="1:8" ht="25.5">
      <c r="A839" s="34">
        <f t="shared" si="13"/>
        <v>837</v>
      </c>
      <c r="B839" s="218" t="s">
        <v>12251</v>
      </c>
      <c r="C839" s="1" t="s">
        <v>212</v>
      </c>
      <c r="D839" s="34" t="s">
        <v>10520</v>
      </c>
      <c r="E839" s="34" t="s">
        <v>10554</v>
      </c>
      <c r="F839" s="6" t="s">
        <v>12252</v>
      </c>
      <c r="G839" s="218" t="s">
        <v>10556</v>
      </c>
      <c r="H839" s="218" t="s">
        <v>12253</v>
      </c>
    </row>
    <row r="840" spans="1:8" ht="25.5">
      <c r="A840" s="34">
        <f t="shared" si="13"/>
        <v>838</v>
      </c>
      <c r="B840" s="218" t="s">
        <v>12254</v>
      </c>
      <c r="C840" s="1" t="s">
        <v>212</v>
      </c>
      <c r="D840" s="34" t="s">
        <v>10520</v>
      </c>
      <c r="E840" s="34" t="s">
        <v>10692</v>
      </c>
      <c r="F840" s="6" t="s">
        <v>10683</v>
      </c>
      <c r="G840" s="218" t="s">
        <v>10693</v>
      </c>
      <c r="H840" s="218" t="s">
        <v>12255</v>
      </c>
    </row>
    <row r="841" spans="1:8" ht="25.5">
      <c r="A841" s="34">
        <f t="shared" si="13"/>
        <v>839</v>
      </c>
      <c r="B841" s="218" t="s">
        <v>12256</v>
      </c>
      <c r="C841" s="1" t="s">
        <v>212</v>
      </c>
      <c r="D841" s="34" t="s">
        <v>10520</v>
      </c>
      <c r="E841" s="34" t="s">
        <v>10554</v>
      </c>
      <c r="F841" s="6" t="s">
        <v>10696</v>
      </c>
      <c r="G841" s="218" t="s">
        <v>10556</v>
      </c>
      <c r="H841" s="218" t="s">
        <v>12257</v>
      </c>
    </row>
    <row r="842" spans="1:8" ht="25.5">
      <c r="A842" s="34">
        <f t="shared" si="13"/>
        <v>840</v>
      </c>
      <c r="B842" s="218" t="s">
        <v>12258</v>
      </c>
      <c r="C842" s="1" t="s">
        <v>212</v>
      </c>
      <c r="D842" s="34" t="s">
        <v>10520</v>
      </c>
      <c r="E842" s="34" t="s">
        <v>10554</v>
      </c>
      <c r="F842" s="6" t="s">
        <v>12259</v>
      </c>
      <c r="G842" s="218" t="s">
        <v>10556</v>
      </c>
      <c r="H842" s="218" t="s">
        <v>12260</v>
      </c>
    </row>
    <row r="843" spans="1:8" ht="25.5">
      <c r="A843" s="34">
        <f t="shared" si="13"/>
        <v>841</v>
      </c>
      <c r="B843" s="218" t="s">
        <v>10485</v>
      </c>
      <c r="C843" s="1" t="s">
        <v>132</v>
      </c>
      <c r="D843" s="34" t="s">
        <v>10189</v>
      </c>
      <c r="E843" s="34" t="s">
        <v>11055</v>
      </c>
      <c r="F843" s="6" t="s">
        <v>10487</v>
      </c>
      <c r="G843" s="218" t="s">
        <v>10488</v>
      </c>
      <c r="H843" s="218" t="s">
        <v>12261</v>
      </c>
    </row>
    <row r="844" spans="1:8" ht="25.5">
      <c r="A844" s="34">
        <f t="shared" si="13"/>
        <v>842</v>
      </c>
      <c r="B844" s="218" t="s">
        <v>12262</v>
      </c>
      <c r="C844" s="1" t="s">
        <v>132</v>
      </c>
      <c r="D844" s="34" t="s">
        <v>10189</v>
      </c>
      <c r="E844" s="34" t="s">
        <v>10300</v>
      </c>
      <c r="F844" s="6" t="s">
        <v>10480</v>
      </c>
      <c r="G844" s="218" t="s">
        <v>10513</v>
      </c>
      <c r="H844" s="218" t="s">
        <v>10306</v>
      </c>
    </row>
    <row r="845" spans="1:8" ht="25.5">
      <c r="A845" s="34">
        <f t="shared" si="13"/>
        <v>843</v>
      </c>
      <c r="B845" s="218" t="s">
        <v>10501</v>
      </c>
      <c r="C845" s="1" t="s">
        <v>1889</v>
      </c>
      <c r="D845" s="34" t="s">
        <v>10189</v>
      </c>
      <c r="E845" s="34" t="s">
        <v>12263</v>
      </c>
      <c r="F845" s="6" t="s">
        <v>12264</v>
      </c>
      <c r="G845" s="218" t="s">
        <v>12265</v>
      </c>
      <c r="H845" s="218" t="s">
        <v>12266</v>
      </c>
    </row>
    <row r="846" spans="1:8" ht="25.5">
      <c r="A846" s="34">
        <f t="shared" si="13"/>
        <v>844</v>
      </c>
      <c r="B846" s="218" t="s">
        <v>10501</v>
      </c>
      <c r="C846" s="1" t="s">
        <v>10377</v>
      </c>
      <c r="D846" s="34" t="s">
        <v>10189</v>
      </c>
      <c r="E846" s="34" t="s">
        <v>10838</v>
      </c>
      <c r="F846" s="6" t="s">
        <v>10504</v>
      </c>
      <c r="G846" s="218" t="s">
        <v>10840</v>
      </c>
      <c r="H846" s="218" t="s">
        <v>12267</v>
      </c>
    </row>
    <row r="847" spans="1:8" ht="25.5">
      <c r="A847" s="34">
        <f t="shared" si="13"/>
        <v>845</v>
      </c>
      <c r="B847" s="218" t="s">
        <v>10501</v>
      </c>
      <c r="C847" s="1" t="s">
        <v>10502</v>
      </c>
      <c r="D847" s="34" t="s">
        <v>10189</v>
      </c>
      <c r="E847" s="34" t="s">
        <v>12268</v>
      </c>
      <c r="F847" s="6" t="s">
        <v>11167</v>
      </c>
      <c r="G847" s="218" t="s">
        <v>12269</v>
      </c>
      <c r="H847" s="218" t="s">
        <v>12270</v>
      </c>
    </row>
    <row r="848" spans="1:8" ht="25.5">
      <c r="A848" s="34">
        <f t="shared" si="13"/>
        <v>846</v>
      </c>
      <c r="B848" s="218" t="s">
        <v>10497</v>
      </c>
      <c r="C848" s="1" t="s">
        <v>132</v>
      </c>
      <c r="D848" s="34" t="s">
        <v>10218</v>
      </c>
      <c r="E848" s="34" t="s">
        <v>10516</v>
      </c>
      <c r="F848" s="6" t="s">
        <v>12271</v>
      </c>
      <c r="G848" s="218" t="s">
        <v>10518</v>
      </c>
      <c r="H848" s="218" t="s">
        <v>315</v>
      </c>
    </row>
    <row r="849" spans="1:8" ht="38.25">
      <c r="A849" s="34">
        <f t="shared" si="13"/>
        <v>847</v>
      </c>
      <c r="B849" s="218" t="s">
        <v>10479</v>
      </c>
      <c r="C849" s="1" t="s">
        <v>132</v>
      </c>
      <c r="D849" s="34" t="s">
        <v>10189</v>
      </c>
      <c r="E849" s="34" t="s">
        <v>10300</v>
      </c>
      <c r="F849" s="6" t="s">
        <v>10512</v>
      </c>
      <c r="G849" s="218" t="s">
        <v>10302</v>
      </c>
      <c r="H849" s="218" t="s">
        <v>11563</v>
      </c>
    </row>
    <row r="850" spans="1:8" ht="25.5">
      <c r="A850" s="34">
        <f t="shared" si="13"/>
        <v>848</v>
      </c>
      <c r="B850" s="218" t="s">
        <v>12133</v>
      </c>
      <c r="C850" s="1" t="s">
        <v>132</v>
      </c>
      <c r="D850" s="34" t="s">
        <v>10189</v>
      </c>
      <c r="E850" s="34" t="s">
        <v>9617</v>
      </c>
      <c r="F850" s="6" t="s">
        <v>10731</v>
      </c>
      <c r="G850" s="218" t="s">
        <v>10732</v>
      </c>
      <c r="H850" s="218" t="s">
        <v>8237</v>
      </c>
    </row>
    <row r="851" spans="1:8" ht="25.5">
      <c r="A851" s="34">
        <f t="shared" si="13"/>
        <v>849</v>
      </c>
      <c r="B851" s="218" t="s">
        <v>12272</v>
      </c>
      <c r="C851" s="1" t="s">
        <v>132</v>
      </c>
      <c r="D851" s="34" t="s">
        <v>10189</v>
      </c>
      <c r="E851" s="34" t="s">
        <v>10446</v>
      </c>
      <c r="F851" s="6" t="s">
        <v>10598</v>
      </c>
      <c r="G851" s="218" t="s">
        <v>12273</v>
      </c>
      <c r="H851" s="218" t="s">
        <v>11590</v>
      </c>
    </row>
    <row r="852" spans="1:8" ht="25.5">
      <c r="A852" s="34">
        <f t="shared" si="13"/>
        <v>850</v>
      </c>
      <c r="B852" s="218" t="s">
        <v>11165</v>
      </c>
      <c r="C852" s="1" t="s">
        <v>132</v>
      </c>
      <c r="D852" s="34" t="s">
        <v>10189</v>
      </c>
      <c r="E852" s="34" t="s">
        <v>9617</v>
      </c>
      <c r="F852" s="6" t="s">
        <v>10731</v>
      </c>
      <c r="G852" s="218" t="s">
        <v>10732</v>
      </c>
      <c r="H852" s="218" t="s">
        <v>219</v>
      </c>
    </row>
    <row r="853" spans="1:8" ht="38.25">
      <c r="A853" s="34">
        <f t="shared" si="13"/>
        <v>851</v>
      </c>
      <c r="B853" s="218" t="s">
        <v>10479</v>
      </c>
      <c r="C853" s="1" t="s">
        <v>132</v>
      </c>
      <c r="D853" s="34" t="s">
        <v>10189</v>
      </c>
      <c r="E853" s="34" t="s">
        <v>10300</v>
      </c>
      <c r="F853" s="6" t="s">
        <v>10512</v>
      </c>
      <c r="G853" s="218" t="s">
        <v>10302</v>
      </c>
      <c r="H853" s="218" t="s">
        <v>10514</v>
      </c>
    </row>
    <row r="854" spans="1:8" ht="25.5">
      <c r="A854" s="34">
        <f t="shared" si="13"/>
        <v>852</v>
      </c>
      <c r="B854" s="218" t="s">
        <v>10782</v>
      </c>
      <c r="C854" s="1" t="s">
        <v>132</v>
      </c>
      <c r="D854" s="34" t="s">
        <v>10189</v>
      </c>
      <c r="E854" s="34" t="s">
        <v>10650</v>
      </c>
      <c r="F854" s="6" t="s">
        <v>12274</v>
      </c>
      <c r="G854" s="218" t="s">
        <v>12275</v>
      </c>
      <c r="H854" s="218" t="s">
        <v>11872</v>
      </c>
    </row>
    <row r="855" spans="1:8" ht="25.5">
      <c r="A855" s="34">
        <f t="shared" si="13"/>
        <v>853</v>
      </c>
      <c r="B855" s="218" t="s">
        <v>12276</v>
      </c>
      <c r="C855" s="1" t="s">
        <v>122</v>
      </c>
      <c r="D855" s="34" t="s">
        <v>10189</v>
      </c>
      <c r="E855" s="34" t="s">
        <v>10238</v>
      </c>
      <c r="F855" s="6" t="s">
        <v>10752</v>
      </c>
      <c r="G855" s="218" t="s">
        <v>10240</v>
      </c>
      <c r="H855" s="218" t="s">
        <v>287</v>
      </c>
    </row>
    <row r="856" spans="1:8" ht="25.5">
      <c r="A856" s="34">
        <f t="shared" si="13"/>
        <v>854</v>
      </c>
      <c r="B856" s="218" t="s">
        <v>12277</v>
      </c>
      <c r="C856" s="1" t="s">
        <v>1027</v>
      </c>
      <c r="D856" s="34" t="s">
        <v>10189</v>
      </c>
      <c r="E856" s="34" t="s">
        <v>10876</v>
      </c>
      <c r="F856" s="6" t="s">
        <v>12278</v>
      </c>
      <c r="G856" s="218" t="s">
        <v>10878</v>
      </c>
      <c r="H856" s="218" t="s">
        <v>12279</v>
      </c>
    </row>
    <row r="857" spans="1:8" ht="25.5">
      <c r="A857" s="34">
        <f t="shared" si="13"/>
        <v>855</v>
      </c>
      <c r="B857" s="218" t="s">
        <v>12280</v>
      </c>
      <c r="C857" s="1" t="s">
        <v>147</v>
      </c>
      <c r="D857" s="34" t="s">
        <v>10218</v>
      </c>
      <c r="E857" s="34" t="s">
        <v>10472</v>
      </c>
      <c r="F857" s="6" t="s">
        <v>12281</v>
      </c>
      <c r="G857" s="218" t="s">
        <v>11875</v>
      </c>
      <c r="H857" s="218" t="s">
        <v>327</v>
      </c>
    </row>
    <row r="858" spans="1:8" ht="25.5">
      <c r="A858" s="34">
        <f t="shared" si="13"/>
        <v>856</v>
      </c>
      <c r="B858" s="218" t="s">
        <v>10762</v>
      </c>
      <c r="C858" s="1" t="s">
        <v>122</v>
      </c>
      <c r="D858" s="34" t="s">
        <v>10189</v>
      </c>
      <c r="E858" s="34" t="s">
        <v>10341</v>
      </c>
      <c r="F858" s="6" t="s">
        <v>12282</v>
      </c>
      <c r="G858" s="218" t="s">
        <v>10605</v>
      </c>
      <c r="H858" s="218" t="s">
        <v>8173</v>
      </c>
    </row>
    <row r="859" spans="1:8" ht="25.5">
      <c r="A859" s="34">
        <f t="shared" si="13"/>
        <v>857</v>
      </c>
      <c r="B859" s="218" t="s">
        <v>12283</v>
      </c>
      <c r="C859" s="1" t="s">
        <v>11082</v>
      </c>
      <c r="D859" s="34" t="s">
        <v>10184</v>
      </c>
      <c r="E859" s="34" t="s">
        <v>11346</v>
      </c>
      <c r="F859" s="6" t="s">
        <v>12284</v>
      </c>
      <c r="G859" s="218" t="s">
        <v>11348</v>
      </c>
      <c r="H859" s="218" t="s">
        <v>254</v>
      </c>
    </row>
    <row r="860" spans="1:8" ht="25.5">
      <c r="A860" s="34">
        <f t="shared" si="13"/>
        <v>858</v>
      </c>
      <c r="B860" s="218" t="s">
        <v>11827</v>
      </c>
      <c r="C860" s="1" t="s">
        <v>10409</v>
      </c>
      <c r="D860" s="34" t="s">
        <v>10189</v>
      </c>
      <c r="E860" s="34" t="s">
        <v>11828</v>
      </c>
      <c r="F860" s="6" t="s">
        <v>12285</v>
      </c>
      <c r="G860" s="218" t="s">
        <v>11830</v>
      </c>
      <c r="H860" s="218" t="s">
        <v>12286</v>
      </c>
    </row>
    <row r="861" spans="1:8" ht="25.5">
      <c r="A861" s="34">
        <f t="shared" si="13"/>
        <v>859</v>
      </c>
      <c r="B861" s="218" t="s">
        <v>10782</v>
      </c>
      <c r="C861" s="1" t="s">
        <v>10409</v>
      </c>
      <c r="D861" s="34" t="s">
        <v>10189</v>
      </c>
      <c r="E861" s="34" t="s">
        <v>10616</v>
      </c>
      <c r="F861" s="6" t="s">
        <v>12287</v>
      </c>
      <c r="G861" s="218" t="s">
        <v>12288</v>
      </c>
      <c r="H861" s="218" t="s">
        <v>12289</v>
      </c>
    </row>
    <row r="862" spans="1:8">
      <c r="A862" s="34">
        <f t="shared" si="13"/>
        <v>860</v>
      </c>
      <c r="B862" s="218" t="s">
        <v>10782</v>
      </c>
      <c r="C862" s="1" t="s">
        <v>10409</v>
      </c>
      <c r="D862" s="34" t="s">
        <v>10189</v>
      </c>
      <c r="E862" s="34" t="s">
        <v>10616</v>
      </c>
      <c r="F862" s="6" t="s">
        <v>12290</v>
      </c>
      <c r="G862" s="218" t="s">
        <v>11838</v>
      </c>
      <c r="H862" s="218" t="s">
        <v>11631</v>
      </c>
    </row>
    <row r="863" spans="1:8" ht="25.5">
      <c r="A863" s="34">
        <f t="shared" si="13"/>
        <v>861</v>
      </c>
      <c r="B863" s="218" t="s">
        <v>12291</v>
      </c>
      <c r="C863" s="1" t="s">
        <v>122</v>
      </c>
      <c r="D863" s="34" t="s">
        <v>10184</v>
      </c>
      <c r="E863" s="34" t="s">
        <v>10238</v>
      </c>
      <c r="F863" s="6" t="s">
        <v>12292</v>
      </c>
      <c r="G863" s="218" t="s">
        <v>10240</v>
      </c>
      <c r="H863" s="218" t="s">
        <v>10241</v>
      </c>
    </row>
    <row r="864" spans="1:8">
      <c r="A864" s="34">
        <f t="shared" si="13"/>
        <v>862</v>
      </c>
      <c r="B864" s="218" t="s">
        <v>10520</v>
      </c>
      <c r="C864" s="1" t="s">
        <v>132</v>
      </c>
      <c r="D864" s="34" t="s">
        <v>10521</v>
      </c>
      <c r="E864" s="34" t="s">
        <v>10440</v>
      </c>
      <c r="F864" s="6" t="s">
        <v>11733</v>
      </c>
      <c r="G864" s="218" t="s">
        <v>10739</v>
      </c>
      <c r="H864" s="218" t="s">
        <v>12293</v>
      </c>
    </row>
    <row r="865" spans="1:8" ht="25.5">
      <c r="A865" s="34">
        <f t="shared" si="13"/>
        <v>863</v>
      </c>
      <c r="B865" s="218" t="s">
        <v>10501</v>
      </c>
      <c r="C865" s="1" t="s">
        <v>10345</v>
      </c>
      <c r="D865" s="34" t="s">
        <v>10189</v>
      </c>
      <c r="E865" s="34" t="s">
        <v>8596</v>
      </c>
      <c r="F865" s="6" t="s">
        <v>12294</v>
      </c>
      <c r="G865" s="218" t="s">
        <v>12295</v>
      </c>
      <c r="H865" s="218" t="s">
        <v>12296</v>
      </c>
    </row>
    <row r="866" spans="1:8" ht="25.5">
      <c r="A866" s="34">
        <f t="shared" si="13"/>
        <v>864</v>
      </c>
      <c r="B866" s="218" t="s">
        <v>12297</v>
      </c>
      <c r="C866" s="1" t="s">
        <v>147</v>
      </c>
      <c r="D866" s="34" t="s">
        <v>10189</v>
      </c>
      <c r="E866" s="34" t="s">
        <v>10472</v>
      </c>
      <c r="F866" s="6" t="s">
        <v>12298</v>
      </c>
      <c r="G866" s="218" t="s">
        <v>10831</v>
      </c>
      <c r="H866" s="218" t="s">
        <v>10832</v>
      </c>
    </row>
    <row r="867" spans="1:8" ht="25.5">
      <c r="A867" s="34">
        <f t="shared" si="13"/>
        <v>865</v>
      </c>
      <c r="B867" s="218" t="s">
        <v>10769</v>
      </c>
      <c r="C867" s="1" t="s">
        <v>1017</v>
      </c>
      <c r="D867" s="34" t="s">
        <v>10189</v>
      </c>
      <c r="E867" s="34" t="s">
        <v>10770</v>
      </c>
      <c r="F867" s="6" t="s">
        <v>10776</v>
      </c>
      <c r="G867" s="218" t="s">
        <v>10772</v>
      </c>
      <c r="H867" s="218" t="s">
        <v>12299</v>
      </c>
    </row>
    <row r="868" spans="1:8" ht="25.5">
      <c r="A868" s="34">
        <f t="shared" si="13"/>
        <v>866</v>
      </c>
      <c r="B868" s="218" t="s">
        <v>12300</v>
      </c>
      <c r="C868" s="1" t="s">
        <v>132</v>
      </c>
      <c r="D868" s="34" t="s">
        <v>10189</v>
      </c>
      <c r="E868" s="34" t="s">
        <v>10198</v>
      </c>
      <c r="F868" s="6" t="s">
        <v>12301</v>
      </c>
      <c r="G868" s="218" t="s">
        <v>12302</v>
      </c>
      <c r="H868" s="218" t="s">
        <v>10197</v>
      </c>
    </row>
    <row r="869" spans="1:8" ht="25.5">
      <c r="A869" s="34">
        <f t="shared" si="13"/>
        <v>867</v>
      </c>
      <c r="B869" s="218" t="s">
        <v>12303</v>
      </c>
      <c r="C869" s="1" t="s">
        <v>132</v>
      </c>
      <c r="D869" s="34" t="s">
        <v>10189</v>
      </c>
      <c r="E869" s="34" t="s">
        <v>10446</v>
      </c>
      <c r="F869" s="6" t="s">
        <v>12304</v>
      </c>
      <c r="G869" s="218" t="s">
        <v>11046</v>
      </c>
      <c r="H869" s="218" t="s">
        <v>12305</v>
      </c>
    </row>
    <row r="870" spans="1:8" ht="51">
      <c r="A870" s="34">
        <f t="shared" si="13"/>
        <v>868</v>
      </c>
      <c r="B870" s="218" t="s">
        <v>12306</v>
      </c>
      <c r="C870" s="1" t="s">
        <v>132</v>
      </c>
      <c r="D870" s="34" t="s">
        <v>10805</v>
      </c>
      <c r="E870" s="34" t="s">
        <v>10300</v>
      </c>
      <c r="F870" s="6" t="s">
        <v>12307</v>
      </c>
      <c r="G870" s="218" t="s">
        <v>12308</v>
      </c>
      <c r="H870" s="218" t="s">
        <v>10306</v>
      </c>
    </row>
    <row r="871" spans="1:8" ht="25.5">
      <c r="A871" s="34">
        <f t="shared" si="13"/>
        <v>869</v>
      </c>
      <c r="B871" s="218" t="s">
        <v>12309</v>
      </c>
      <c r="C871" s="1" t="s">
        <v>132</v>
      </c>
      <c r="D871" s="34" t="s">
        <v>10805</v>
      </c>
      <c r="E871" s="34" t="s">
        <v>10607</v>
      </c>
      <c r="F871" s="6" t="s">
        <v>10604</v>
      </c>
      <c r="G871" s="218" t="s">
        <v>10813</v>
      </c>
      <c r="H871" s="218" t="s">
        <v>12310</v>
      </c>
    </row>
    <row r="872" spans="1:8" ht="38.25">
      <c r="A872" s="34">
        <f t="shared" si="13"/>
        <v>870</v>
      </c>
      <c r="B872" s="218" t="s">
        <v>12311</v>
      </c>
      <c r="C872" s="1" t="s">
        <v>132</v>
      </c>
      <c r="D872" s="34" t="s">
        <v>10805</v>
      </c>
      <c r="E872" s="34" t="s">
        <v>10300</v>
      </c>
      <c r="F872" s="6" t="s">
        <v>10720</v>
      </c>
      <c r="G872" s="218" t="s">
        <v>11860</v>
      </c>
      <c r="H872" s="218" t="s">
        <v>11380</v>
      </c>
    </row>
    <row r="873" spans="1:8" ht="25.5">
      <c r="A873" s="34">
        <f t="shared" si="13"/>
        <v>871</v>
      </c>
      <c r="B873" s="218" t="s">
        <v>12312</v>
      </c>
      <c r="C873" s="1" t="s">
        <v>132</v>
      </c>
      <c r="D873" s="34" t="s">
        <v>10805</v>
      </c>
      <c r="E873" s="34" t="s">
        <v>10607</v>
      </c>
      <c r="F873" s="6" t="s">
        <v>12313</v>
      </c>
      <c r="G873" s="218" t="s">
        <v>10813</v>
      </c>
      <c r="H873" s="218" t="s">
        <v>11415</v>
      </c>
    </row>
    <row r="874" spans="1:8" ht="38.25">
      <c r="A874" s="34">
        <f t="shared" si="13"/>
        <v>872</v>
      </c>
      <c r="B874" s="218" t="s">
        <v>12314</v>
      </c>
      <c r="C874" s="1" t="s">
        <v>132</v>
      </c>
      <c r="D874" s="34" t="s">
        <v>10820</v>
      </c>
      <c r="E874" s="34" t="s">
        <v>10300</v>
      </c>
      <c r="F874" s="6" t="s">
        <v>12315</v>
      </c>
      <c r="G874" s="218" t="s">
        <v>12316</v>
      </c>
      <c r="H874" s="218" t="s">
        <v>219</v>
      </c>
    </row>
    <row r="875" spans="1:8" ht="38.25">
      <c r="A875" s="34">
        <f t="shared" si="13"/>
        <v>873</v>
      </c>
      <c r="B875" s="218" t="s">
        <v>12317</v>
      </c>
      <c r="C875" s="1" t="s">
        <v>132</v>
      </c>
      <c r="D875" s="34" t="s">
        <v>10805</v>
      </c>
      <c r="E875" s="34" t="s">
        <v>10643</v>
      </c>
      <c r="F875" s="6" t="s">
        <v>12318</v>
      </c>
      <c r="G875" s="218" t="s">
        <v>10822</v>
      </c>
      <c r="H875" s="218" t="s">
        <v>12319</v>
      </c>
    </row>
    <row r="876" spans="1:8" ht="25.5">
      <c r="A876" s="34">
        <f t="shared" si="13"/>
        <v>874</v>
      </c>
      <c r="B876" s="218" t="s">
        <v>12320</v>
      </c>
      <c r="C876" s="1" t="s">
        <v>132</v>
      </c>
      <c r="D876" s="34" t="s">
        <v>10218</v>
      </c>
      <c r="E876" s="34" t="s">
        <v>10650</v>
      </c>
      <c r="F876" s="6" t="s">
        <v>12321</v>
      </c>
      <c r="G876" s="218" t="s">
        <v>12322</v>
      </c>
      <c r="H876" s="218" t="s">
        <v>11872</v>
      </c>
    </row>
    <row r="877" spans="1:8" ht="25.5">
      <c r="A877" s="34">
        <f t="shared" si="13"/>
        <v>875</v>
      </c>
      <c r="B877" s="218" t="s">
        <v>10836</v>
      </c>
      <c r="C877" s="1" t="s">
        <v>302</v>
      </c>
      <c r="D877" s="34" t="s">
        <v>10189</v>
      </c>
      <c r="E877" s="34" t="s">
        <v>10230</v>
      </c>
      <c r="F877" s="6" t="s">
        <v>12323</v>
      </c>
      <c r="G877" s="218" t="s">
        <v>10728</v>
      </c>
      <c r="H877" s="218" t="s">
        <v>10233</v>
      </c>
    </row>
    <row r="878" spans="1:8" ht="25.5">
      <c r="A878" s="34">
        <f t="shared" si="13"/>
        <v>876</v>
      </c>
      <c r="B878" s="218" t="s">
        <v>10836</v>
      </c>
      <c r="C878" s="1" t="s">
        <v>10435</v>
      </c>
      <c r="D878" s="34" t="s">
        <v>10189</v>
      </c>
      <c r="E878" s="34" t="s">
        <v>10230</v>
      </c>
      <c r="F878" s="6" t="s">
        <v>10837</v>
      </c>
      <c r="G878" s="218" t="s">
        <v>10728</v>
      </c>
      <c r="H878" s="218" t="s">
        <v>11188</v>
      </c>
    </row>
    <row r="879" spans="1:8" ht="25.5">
      <c r="A879" s="34">
        <f t="shared" si="13"/>
        <v>877</v>
      </c>
      <c r="B879" s="218" t="s">
        <v>10782</v>
      </c>
      <c r="C879" s="1" t="s">
        <v>10833</v>
      </c>
      <c r="D879" s="34" t="s">
        <v>10189</v>
      </c>
      <c r="E879" s="34" t="s">
        <v>11478</v>
      </c>
      <c r="F879" s="6" t="s">
        <v>12324</v>
      </c>
      <c r="G879" s="218" t="s">
        <v>11868</v>
      </c>
      <c r="H879" s="218" t="s">
        <v>10276</v>
      </c>
    </row>
    <row r="880" spans="1:8" ht="38.25">
      <c r="A880" s="34">
        <f t="shared" si="13"/>
        <v>878</v>
      </c>
      <c r="B880" s="218" t="s">
        <v>12325</v>
      </c>
      <c r="C880" s="1" t="s">
        <v>122</v>
      </c>
      <c r="D880" s="34" t="s">
        <v>10848</v>
      </c>
      <c r="E880" s="34" t="s">
        <v>10213</v>
      </c>
      <c r="F880" s="6" t="s">
        <v>10849</v>
      </c>
      <c r="G880" s="218" t="s">
        <v>10850</v>
      </c>
      <c r="H880" s="218" t="s">
        <v>12326</v>
      </c>
    </row>
    <row r="881" spans="1:8" ht="38.25">
      <c r="A881" s="34">
        <f t="shared" si="13"/>
        <v>879</v>
      </c>
      <c r="B881" s="218" t="s">
        <v>12327</v>
      </c>
      <c r="C881" s="1" t="s">
        <v>122</v>
      </c>
      <c r="D881" s="34" t="s">
        <v>10902</v>
      </c>
      <c r="E881" s="34" t="s">
        <v>10213</v>
      </c>
      <c r="F881" s="6" t="s">
        <v>10844</v>
      </c>
      <c r="G881" s="218" t="s">
        <v>10850</v>
      </c>
      <c r="H881" s="218" t="s">
        <v>12328</v>
      </c>
    </row>
    <row r="882" spans="1:8" ht="25.5">
      <c r="A882" s="34">
        <f t="shared" si="13"/>
        <v>880</v>
      </c>
      <c r="B882" s="218" t="s">
        <v>12329</v>
      </c>
      <c r="C882" s="1" t="s">
        <v>147</v>
      </c>
      <c r="D882" s="34" t="s">
        <v>12330</v>
      </c>
      <c r="E882" s="34" t="s">
        <v>10472</v>
      </c>
      <c r="F882" s="6" t="s">
        <v>10937</v>
      </c>
      <c r="G882" s="218" t="s">
        <v>10831</v>
      </c>
      <c r="H882" s="218" t="s">
        <v>10832</v>
      </c>
    </row>
    <row r="883" spans="1:8" ht="25.5">
      <c r="A883" s="34">
        <f t="shared" si="13"/>
        <v>881</v>
      </c>
      <c r="B883" s="218" t="s">
        <v>12331</v>
      </c>
      <c r="C883" s="1" t="s">
        <v>10502</v>
      </c>
      <c r="D883" s="34" t="s">
        <v>10189</v>
      </c>
      <c r="E883" s="34" t="s">
        <v>10230</v>
      </c>
      <c r="F883" s="6" t="s">
        <v>11396</v>
      </c>
      <c r="G883" s="218" t="s">
        <v>10728</v>
      </c>
      <c r="H883" s="218" t="s">
        <v>12332</v>
      </c>
    </row>
    <row r="884" spans="1:8" ht="25.5">
      <c r="A884" s="34">
        <f t="shared" si="13"/>
        <v>882</v>
      </c>
      <c r="B884" s="218" t="s">
        <v>12333</v>
      </c>
      <c r="C884" s="1" t="s">
        <v>10435</v>
      </c>
      <c r="D884" s="34" t="s">
        <v>10189</v>
      </c>
      <c r="E884" s="34" t="s">
        <v>10719</v>
      </c>
      <c r="F884" s="6" t="s">
        <v>11469</v>
      </c>
      <c r="G884" s="218" t="s">
        <v>10721</v>
      </c>
      <c r="H884" s="218" t="s">
        <v>11677</v>
      </c>
    </row>
    <row r="885" spans="1:8" ht="51">
      <c r="A885" s="34">
        <f t="shared" si="13"/>
        <v>883</v>
      </c>
      <c r="B885" s="218" t="s">
        <v>10865</v>
      </c>
      <c r="C885" s="1" t="s">
        <v>200</v>
      </c>
      <c r="D885" s="34" t="s">
        <v>10866</v>
      </c>
      <c r="E885" s="34" t="s">
        <v>10870</v>
      </c>
      <c r="F885" s="6" t="s">
        <v>10867</v>
      </c>
      <c r="G885" s="218" t="s">
        <v>10872</v>
      </c>
      <c r="H885" s="218" t="s">
        <v>12334</v>
      </c>
    </row>
    <row r="886" spans="1:8" ht="51">
      <c r="A886" s="34">
        <f t="shared" si="13"/>
        <v>884</v>
      </c>
      <c r="B886" s="218" t="s">
        <v>10865</v>
      </c>
      <c r="C886" s="1" t="s">
        <v>10377</v>
      </c>
      <c r="D886" s="34" t="s">
        <v>10866</v>
      </c>
      <c r="E886" s="34" t="s">
        <v>12056</v>
      </c>
      <c r="F886" s="6" t="s">
        <v>10867</v>
      </c>
      <c r="G886" s="218" t="s">
        <v>12335</v>
      </c>
      <c r="H886" s="218" t="s">
        <v>12336</v>
      </c>
    </row>
    <row r="887" spans="1:8" ht="51">
      <c r="A887" s="34">
        <f t="shared" si="13"/>
        <v>885</v>
      </c>
      <c r="B887" s="218" t="s">
        <v>10865</v>
      </c>
      <c r="C887" s="1" t="s">
        <v>1017</v>
      </c>
      <c r="D887" s="34" t="s">
        <v>10866</v>
      </c>
      <c r="E887" s="34" t="s">
        <v>10507</v>
      </c>
      <c r="F887" s="6" t="s">
        <v>10867</v>
      </c>
      <c r="G887" s="218" t="s">
        <v>12337</v>
      </c>
      <c r="H887" s="218" t="s">
        <v>10509</v>
      </c>
    </row>
    <row r="888" spans="1:8" ht="25.5">
      <c r="A888" s="34">
        <f t="shared" si="13"/>
        <v>886</v>
      </c>
      <c r="B888" s="218" t="s">
        <v>12338</v>
      </c>
      <c r="C888" s="1" t="s">
        <v>10409</v>
      </c>
      <c r="D888" s="34" t="s">
        <v>10189</v>
      </c>
      <c r="E888" s="34" t="s">
        <v>10876</v>
      </c>
      <c r="F888" s="6" t="s">
        <v>10877</v>
      </c>
      <c r="G888" s="218" t="s">
        <v>10878</v>
      </c>
      <c r="H888" s="218" t="s">
        <v>12339</v>
      </c>
    </row>
    <row r="889" spans="1:8" ht="25.5">
      <c r="A889" s="34">
        <f t="shared" si="13"/>
        <v>887</v>
      </c>
      <c r="B889" s="218" t="s">
        <v>12340</v>
      </c>
      <c r="C889" s="1" t="s">
        <v>132</v>
      </c>
      <c r="D889" s="34" t="s">
        <v>10189</v>
      </c>
      <c r="E889" s="34" t="s">
        <v>10786</v>
      </c>
      <c r="F889" s="6" t="s">
        <v>12341</v>
      </c>
      <c r="G889" s="218" t="s">
        <v>12342</v>
      </c>
      <c r="H889" s="218" t="s">
        <v>12343</v>
      </c>
    </row>
    <row r="890" spans="1:8">
      <c r="A890" s="34">
        <f t="shared" si="13"/>
        <v>888</v>
      </c>
      <c r="B890" s="218" t="s">
        <v>10782</v>
      </c>
      <c r="C890" s="1" t="s">
        <v>132</v>
      </c>
      <c r="D890" s="34" t="s">
        <v>10189</v>
      </c>
      <c r="E890" s="34" t="s">
        <v>10880</v>
      </c>
      <c r="F890" s="6" t="s">
        <v>12344</v>
      </c>
      <c r="G890" s="218" t="s">
        <v>12345</v>
      </c>
      <c r="H890" s="218" t="s">
        <v>12346</v>
      </c>
    </row>
    <row r="891" spans="1:8" ht="38.25">
      <c r="A891" s="34">
        <f t="shared" si="13"/>
        <v>889</v>
      </c>
      <c r="B891" s="218" t="s">
        <v>12347</v>
      </c>
      <c r="C891" s="1" t="s">
        <v>10502</v>
      </c>
      <c r="D891" s="34" t="s">
        <v>10189</v>
      </c>
      <c r="E891" s="34" t="s">
        <v>12348</v>
      </c>
      <c r="F891" s="6" t="s">
        <v>10864</v>
      </c>
      <c r="G891" s="218" t="s">
        <v>12349</v>
      </c>
      <c r="H891" s="218" t="s">
        <v>11409</v>
      </c>
    </row>
    <row r="892" spans="1:8" ht="25.5">
      <c r="A892" s="34">
        <f t="shared" si="13"/>
        <v>890</v>
      </c>
      <c r="B892" s="218" t="s">
        <v>12350</v>
      </c>
      <c r="C892" s="1" t="s">
        <v>11079</v>
      </c>
      <c r="D892" s="34" t="s">
        <v>10189</v>
      </c>
      <c r="E892" s="34" t="s">
        <v>11417</v>
      </c>
      <c r="F892" s="6" t="s">
        <v>11925</v>
      </c>
      <c r="G892" s="218" t="s">
        <v>11419</v>
      </c>
      <c r="H892" s="218" t="s">
        <v>12351</v>
      </c>
    </row>
    <row r="893" spans="1:8">
      <c r="A893" s="34">
        <f t="shared" si="13"/>
        <v>891</v>
      </c>
      <c r="B893" s="218" t="s">
        <v>10890</v>
      </c>
      <c r="C893" s="1" t="s">
        <v>132</v>
      </c>
      <c r="D893" s="34" t="s">
        <v>10189</v>
      </c>
      <c r="E893" s="34" t="s">
        <v>12352</v>
      </c>
      <c r="F893" s="6" t="s">
        <v>10892</v>
      </c>
      <c r="G893" s="218" t="s">
        <v>11911</v>
      </c>
      <c r="H893" s="218" t="s">
        <v>12353</v>
      </c>
    </row>
    <row r="894" spans="1:8" ht="25.5">
      <c r="A894" s="34">
        <f t="shared" si="13"/>
        <v>892</v>
      </c>
      <c r="B894" s="218" t="s">
        <v>10497</v>
      </c>
      <c r="C894" s="1" t="s">
        <v>132</v>
      </c>
      <c r="D894" s="34" t="s">
        <v>10218</v>
      </c>
      <c r="E894" s="34" t="s">
        <v>10198</v>
      </c>
      <c r="F894" s="6" t="s">
        <v>12354</v>
      </c>
      <c r="G894" s="218" t="s">
        <v>11486</v>
      </c>
      <c r="H894" s="218" t="s">
        <v>11519</v>
      </c>
    </row>
    <row r="895" spans="1:8" ht="25.5">
      <c r="A895" s="34">
        <f t="shared" si="13"/>
        <v>893</v>
      </c>
      <c r="B895" s="218" t="s">
        <v>10890</v>
      </c>
      <c r="C895" s="1" t="s">
        <v>132</v>
      </c>
      <c r="D895" s="34" t="s">
        <v>10521</v>
      </c>
      <c r="E895" s="34" t="s">
        <v>10891</v>
      </c>
      <c r="F895" s="6" t="s">
        <v>11427</v>
      </c>
      <c r="G895" s="218" t="s">
        <v>10896</v>
      </c>
      <c r="H895" s="218" t="s">
        <v>12355</v>
      </c>
    </row>
    <row r="896" spans="1:8" ht="25.5">
      <c r="A896" s="34">
        <f t="shared" si="13"/>
        <v>894</v>
      </c>
      <c r="B896" s="218" t="s">
        <v>10890</v>
      </c>
      <c r="C896" s="1" t="s">
        <v>132</v>
      </c>
      <c r="D896" s="34" t="s">
        <v>10521</v>
      </c>
      <c r="E896" s="34" t="s">
        <v>10891</v>
      </c>
      <c r="F896" s="6" t="s">
        <v>10892</v>
      </c>
      <c r="G896" s="218" t="s">
        <v>10893</v>
      </c>
      <c r="H896" s="218" t="s">
        <v>12356</v>
      </c>
    </row>
    <row r="897" spans="1:8" ht="25.5">
      <c r="A897" s="34">
        <f t="shared" si="13"/>
        <v>895</v>
      </c>
      <c r="B897" s="218" t="s">
        <v>12357</v>
      </c>
      <c r="C897" s="1" t="s">
        <v>10502</v>
      </c>
      <c r="D897" s="34" t="s">
        <v>10189</v>
      </c>
      <c r="E897" s="34" t="s">
        <v>10503</v>
      </c>
      <c r="F897" s="6" t="s">
        <v>11935</v>
      </c>
      <c r="G897" s="218" t="s">
        <v>10728</v>
      </c>
      <c r="H897" s="218" t="s">
        <v>10506</v>
      </c>
    </row>
    <row r="898" spans="1:8" ht="25.5">
      <c r="A898" s="34">
        <f t="shared" si="13"/>
        <v>896</v>
      </c>
      <c r="B898" s="218" t="s">
        <v>12358</v>
      </c>
      <c r="C898" s="1" t="s">
        <v>147</v>
      </c>
      <c r="D898" s="34" t="s">
        <v>11819</v>
      </c>
      <c r="E898" s="34" t="s">
        <v>10472</v>
      </c>
      <c r="F898" s="6" t="s">
        <v>11917</v>
      </c>
      <c r="G898" s="218" t="s">
        <v>10831</v>
      </c>
      <c r="H898" s="218" t="s">
        <v>10854</v>
      </c>
    </row>
    <row r="899" spans="1:8" ht="25.5">
      <c r="A899" s="34">
        <f t="shared" si="13"/>
        <v>897</v>
      </c>
      <c r="B899" s="218" t="s">
        <v>10532</v>
      </c>
      <c r="C899" s="1" t="s">
        <v>10482</v>
      </c>
      <c r="D899" s="34" t="s">
        <v>10521</v>
      </c>
      <c r="E899" s="34" t="s">
        <v>10350</v>
      </c>
      <c r="F899" s="6" t="s">
        <v>10905</v>
      </c>
      <c r="G899" s="218" t="s">
        <v>10906</v>
      </c>
      <c r="H899" s="218" t="s">
        <v>12359</v>
      </c>
    </row>
    <row r="900" spans="1:8" ht="25.5">
      <c r="A900" s="34">
        <f t="shared" ref="A900:A963" si="14">A899+1</f>
        <v>898</v>
      </c>
      <c r="B900" s="218" t="s">
        <v>10532</v>
      </c>
      <c r="C900" s="1" t="s">
        <v>132</v>
      </c>
      <c r="D900" s="34" t="s">
        <v>10521</v>
      </c>
      <c r="E900" s="34" t="s">
        <v>10350</v>
      </c>
      <c r="F900" s="6" t="s">
        <v>10905</v>
      </c>
      <c r="G900" s="218" t="s">
        <v>10906</v>
      </c>
      <c r="H900" s="218" t="s">
        <v>12360</v>
      </c>
    </row>
    <row r="901" spans="1:8" ht="25.5">
      <c r="A901" s="34">
        <f t="shared" si="14"/>
        <v>899</v>
      </c>
      <c r="B901" s="218" t="s">
        <v>10532</v>
      </c>
      <c r="C901" s="1" t="s">
        <v>10482</v>
      </c>
      <c r="D901" s="34" t="s">
        <v>10521</v>
      </c>
      <c r="E901" s="34" t="s">
        <v>10350</v>
      </c>
      <c r="F901" s="6" t="s">
        <v>10905</v>
      </c>
      <c r="G901" s="218" t="s">
        <v>10906</v>
      </c>
      <c r="H901" s="218" t="s">
        <v>12361</v>
      </c>
    </row>
    <row r="902" spans="1:8" ht="25.5">
      <c r="A902" s="34">
        <f t="shared" si="14"/>
        <v>900</v>
      </c>
      <c r="B902" s="218" t="s">
        <v>10532</v>
      </c>
      <c r="C902" s="1" t="s">
        <v>132</v>
      </c>
      <c r="D902" s="34" t="s">
        <v>10521</v>
      </c>
      <c r="E902" s="34" t="s">
        <v>12362</v>
      </c>
      <c r="F902" s="6" t="s">
        <v>12363</v>
      </c>
      <c r="G902" s="218" t="s">
        <v>10906</v>
      </c>
      <c r="H902" s="218" t="s">
        <v>12364</v>
      </c>
    </row>
    <row r="903" spans="1:8" ht="25.5">
      <c r="A903" s="34">
        <f t="shared" si="14"/>
        <v>901</v>
      </c>
      <c r="B903" s="218" t="s">
        <v>10532</v>
      </c>
      <c r="C903" s="1" t="s">
        <v>132</v>
      </c>
      <c r="D903" s="34" t="s">
        <v>10521</v>
      </c>
      <c r="E903" s="34" t="s">
        <v>10350</v>
      </c>
      <c r="F903" s="6" t="s">
        <v>10905</v>
      </c>
      <c r="G903" s="218" t="s">
        <v>10906</v>
      </c>
      <c r="H903" s="218" t="s">
        <v>12365</v>
      </c>
    </row>
    <row r="904" spans="1:8" ht="25.5">
      <c r="A904" s="34">
        <f t="shared" si="14"/>
        <v>902</v>
      </c>
      <c r="B904" s="218" t="s">
        <v>10532</v>
      </c>
      <c r="C904" s="1" t="s">
        <v>132</v>
      </c>
      <c r="D904" s="34" t="s">
        <v>10521</v>
      </c>
      <c r="E904" s="34" t="s">
        <v>10341</v>
      </c>
      <c r="F904" s="6" t="s">
        <v>11883</v>
      </c>
      <c r="G904" s="218" t="s">
        <v>10906</v>
      </c>
      <c r="H904" s="218" t="s">
        <v>12366</v>
      </c>
    </row>
    <row r="905" spans="1:8" ht="25.5">
      <c r="A905" s="34">
        <f t="shared" si="14"/>
        <v>903</v>
      </c>
      <c r="B905" s="218" t="s">
        <v>10532</v>
      </c>
      <c r="C905" s="1" t="s">
        <v>132</v>
      </c>
      <c r="D905" s="34" t="s">
        <v>10521</v>
      </c>
      <c r="E905" s="34" t="s">
        <v>10341</v>
      </c>
      <c r="F905" s="6" t="s">
        <v>11923</v>
      </c>
      <c r="G905" s="218" t="s">
        <v>10906</v>
      </c>
      <c r="H905" s="218" t="s">
        <v>12367</v>
      </c>
    </row>
    <row r="906" spans="1:8" ht="25.5">
      <c r="A906" s="34">
        <f t="shared" si="14"/>
        <v>904</v>
      </c>
      <c r="B906" s="218" t="s">
        <v>10532</v>
      </c>
      <c r="C906" s="1" t="s">
        <v>132</v>
      </c>
      <c r="D906" s="34" t="s">
        <v>10520</v>
      </c>
      <c r="E906" s="34" t="s">
        <v>10542</v>
      </c>
      <c r="F906" s="6" t="s">
        <v>11448</v>
      </c>
      <c r="G906" s="218" t="s">
        <v>10906</v>
      </c>
      <c r="H906" s="218" t="s">
        <v>12368</v>
      </c>
    </row>
    <row r="907" spans="1:8" ht="25.5">
      <c r="A907" s="34">
        <f t="shared" si="14"/>
        <v>905</v>
      </c>
      <c r="B907" s="218" t="s">
        <v>10532</v>
      </c>
      <c r="C907" s="1" t="s">
        <v>132</v>
      </c>
      <c r="D907" s="34" t="s">
        <v>10521</v>
      </c>
      <c r="E907" s="34" t="s">
        <v>12369</v>
      </c>
      <c r="F907" s="6" t="s">
        <v>12370</v>
      </c>
      <c r="G907" s="218" t="s">
        <v>10906</v>
      </c>
      <c r="H907" s="218" t="s">
        <v>12371</v>
      </c>
    </row>
    <row r="908" spans="1:8" ht="25.5">
      <c r="A908" s="34">
        <f t="shared" si="14"/>
        <v>906</v>
      </c>
      <c r="B908" s="218" t="s">
        <v>10532</v>
      </c>
      <c r="C908" s="1" t="s">
        <v>132</v>
      </c>
      <c r="D908" s="34" t="s">
        <v>10521</v>
      </c>
      <c r="E908" s="34" t="s">
        <v>10542</v>
      </c>
      <c r="F908" s="6" t="s">
        <v>11469</v>
      </c>
      <c r="G908" s="218" t="s">
        <v>10906</v>
      </c>
      <c r="H908" s="218" t="s">
        <v>12372</v>
      </c>
    </row>
    <row r="909" spans="1:8" ht="25.5">
      <c r="A909" s="34">
        <f t="shared" si="14"/>
        <v>907</v>
      </c>
      <c r="B909" s="218" t="s">
        <v>10532</v>
      </c>
      <c r="C909" s="1" t="s">
        <v>132</v>
      </c>
      <c r="D909" s="34" t="s">
        <v>10521</v>
      </c>
      <c r="E909" s="34" t="s">
        <v>10656</v>
      </c>
      <c r="F909" s="6" t="s">
        <v>12373</v>
      </c>
      <c r="G909" s="218" t="s">
        <v>10906</v>
      </c>
      <c r="H909" s="218" t="s">
        <v>12374</v>
      </c>
    </row>
    <row r="910" spans="1:8" ht="25.5">
      <c r="A910" s="34">
        <f t="shared" si="14"/>
        <v>908</v>
      </c>
      <c r="B910" s="218" t="s">
        <v>10532</v>
      </c>
      <c r="C910" s="1" t="s">
        <v>132</v>
      </c>
      <c r="D910" s="34" t="s">
        <v>10521</v>
      </c>
      <c r="E910" s="34" t="s">
        <v>10526</v>
      </c>
      <c r="F910" s="6" t="s">
        <v>11454</v>
      </c>
      <c r="G910" s="218" t="s">
        <v>10906</v>
      </c>
      <c r="H910" s="218" t="s">
        <v>12375</v>
      </c>
    </row>
    <row r="911" spans="1:8" ht="25.5">
      <c r="A911" s="34">
        <f t="shared" si="14"/>
        <v>909</v>
      </c>
      <c r="B911" s="218" t="s">
        <v>10532</v>
      </c>
      <c r="C911" s="1" t="s">
        <v>132</v>
      </c>
      <c r="D911" s="34" t="s">
        <v>10521</v>
      </c>
      <c r="E911" s="34" t="s">
        <v>10526</v>
      </c>
      <c r="F911" s="6" t="s">
        <v>12376</v>
      </c>
      <c r="G911" s="218" t="s">
        <v>10906</v>
      </c>
      <c r="H911" s="218" t="s">
        <v>12377</v>
      </c>
    </row>
    <row r="912" spans="1:8" ht="25.5">
      <c r="A912" s="34">
        <f t="shared" si="14"/>
        <v>910</v>
      </c>
      <c r="B912" s="218" t="s">
        <v>10532</v>
      </c>
      <c r="C912" s="1" t="s">
        <v>10377</v>
      </c>
      <c r="D912" s="34" t="s">
        <v>10521</v>
      </c>
      <c r="E912" s="34" t="s">
        <v>10925</v>
      </c>
      <c r="F912" s="6" t="s">
        <v>11457</v>
      </c>
      <c r="G912" s="218" t="s">
        <v>10906</v>
      </c>
      <c r="H912" s="218" t="s">
        <v>12378</v>
      </c>
    </row>
    <row r="913" spans="1:8" ht="25.5">
      <c r="A913" s="34">
        <f t="shared" si="14"/>
        <v>911</v>
      </c>
      <c r="B913" s="218" t="s">
        <v>10532</v>
      </c>
      <c r="C913" s="1" t="s">
        <v>132</v>
      </c>
      <c r="D913" s="34" t="s">
        <v>10521</v>
      </c>
      <c r="E913" s="34" t="s">
        <v>10891</v>
      </c>
      <c r="F913" s="6" t="s">
        <v>10928</v>
      </c>
      <c r="G913" s="218" t="s">
        <v>10906</v>
      </c>
      <c r="H913" s="218" t="s">
        <v>12379</v>
      </c>
    </row>
    <row r="914" spans="1:8" ht="25.5">
      <c r="A914" s="34">
        <f t="shared" si="14"/>
        <v>912</v>
      </c>
      <c r="B914" s="218" t="s">
        <v>10532</v>
      </c>
      <c r="C914" s="1" t="s">
        <v>132</v>
      </c>
      <c r="D914" s="34" t="s">
        <v>10521</v>
      </c>
      <c r="E914" s="34" t="s">
        <v>10891</v>
      </c>
      <c r="F914" s="6" t="s">
        <v>10928</v>
      </c>
      <c r="G914" s="218" t="s">
        <v>10906</v>
      </c>
      <c r="H914" s="218" t="s">
        <v>12380</v>
      </c>
    </row>
    <row r="915" spans="1:8" ht="25.5">
      <c r="A915" s="34">
        <f t="shared" si="14"/>
        <v>913</v>
      </c>
      <c r="B915" s="218" t="s">
        <v>10532</v>
      </c>
      <c r="C915" s="1" t="s">
        <v>132</v>
      </c>
      <c r="D915" s="34" t="s">
        <v>10521</v>
      </c>
      <c r="E915" s="34" t="s">
        <v>10891</v>
      </c>
      <c r="F915" s="6" t="s">
        <v>10928</v>
      </c>
      <c r="G915" s="218" t="s">
        <v>10906</v>
      </c>
      <c r="H915" s="218" t="s">
        <v>12381</v>
      </c>
    </row>
    <row r="916" spans="1:8" ht="25.5">
      <c r="A916" s="34">
        <f t="shared" si="14"/>
        <v>914</v>
      </c>
      <c r="B916" s="218" t="s">
        <v>10532</v>
      </c>
      <c r="C916" s="1" t="s">
        <v>132</v>
      </c>
      <c r="D916" s="34" t="s">
        <v>10521</v>
      </c>
      <c r="E916" s="34" t="s">
        <v>10891</v>
      </c>
      <c r="F916" s="6" t="s">
        <v>10933</v>
      </c>
      <c r="G916" s="218" t="s">
        <v>10906</v>
      </c>
      <c r="H916" s="218" t="s">
        <v>11463</v>
      </c>
    </row>
    <row r="917" spans="1:8" ht="25.5">
      <c r="A917" s="34">
        <f t="shared" si="14"/>
        <v>915</v>
      </c>
      <c r="B917" s="218" t="s">
        <v>10532</v>
      </c>
      <c r="C917" s="1" t="s">
        <v>132</v>
      </c>
      <c r="D917" s="34" t="s">
        <v>10521</v>
      </c>
      <c r="E917" s="34" t="s">
        <v>10891</v>
      </c>
      <c r="F917" s="6" t="s">
        <v>10928</v>
      </c>
      <c r="G917" s="218" t="s">
        <v>10906</v>
      </c>
      <c r="H917" s="218" t="s">
        <v>12382</v>
      </c>
    </row>
    <row r="918" spans="1:8" ht="25.5">
      <c r="A918" s="34">
        <f t="shared" si="14"/>
        <v>916</v>
      </c>
      <c r="B918" s="218" t="s">
        <v>10532</v>
      </c>
      <c r="C918" s="1" t="s">
        <v>132</v>
      </c>
      <c r="D918" s="34" t="s">
        <v>10521</v>
      </c>
      <c r="E918" s="34" t="s">
        <v>10891</v>
      </c>
      <c r="F918" s="6" t="s">
        <v>10933</v>
      </c>
      <c r="G918" s="218" t="s">
        <v>10906</v>
      </c>
      <c r="H918" s="218" t="s">
        <v>10932</v>
      </c>
    </row>
    <row r="919" spans="1:8" ht="25.5">
      <c r="A919" s="34">
        <f t="shared" si="14"/>
        <v>917</v>
      </c>
      <c r="B919" s="218" t="s">
        <v>10532</v>
      </c>
      <c r="C919" s="1" t="s">
        <v>11438</v>
      </c>
      <c r="D919" s="34" t="s">
        <v>10521</v>
      </c>
      <c r="E919" s="34" t="s">
        <v>11439</v>
      </c>
      <c r="F919" s="6" t="s">
        <v>12383</v>
      </c>
      <c r="G919" s="218" t="s">
        <v>10906</v>
      </c>
      <c r="H919" s="218" t="s">
        <v>12384</v>
      </c>
    </row>
    <row r="920" spans="1:8" ht="25.5">
      <c r="A920" s="34">
        <f t="shared" si="14"/>
        <v>918</v>
      </c>
      <c r="B920" s="218" t="s">
        <v>10532</v>
      </c>
      <c r="C920" s="1" t="s">
        <v>132</v>
      </c>
      <c r="D920" s="34" t="s">
        <v>10520</v>
      </c>
      <c r="E920" s="34" t="s">
        <v>10936</v>
      </c>
      <c r="F920" s="6" t="s">
        <v>10937</v>
      </c>
      <c r="G920" s="218" t="s">
        <v>10906</v>
      </c>
      <c r="H920" s="218" t="s">
        <v>12385</v>
      </c>
    </row>
    <row r="921" spans="1:8" ht="25.5">
      <c r="A921" s="34">
        <f t="shared" si="14"/>
        <v>919</v>
      </c>
      <c r="B921" s="218" t="s">
        <v>10532</v>
      </c>
      <c r="C921" s="1" t="s">
        <v>132</v>
      </c>
      <c r="D921" s="34" t="s">
        <v>10521</v>
      </c>
      <c r="E921" s="34" t="s">
        <v>10936</v>
      </c>
      <c r="F921" s="6" t="s">
        <v>10937</v>
      </c>
      <c r="G921" s="218" t="s">
        <v>10906</v>
      </c>
      <c r="H921" s="218" t="s">
        <v>4692</v>
      </c>
    </row>
    <row r="922" spans="1:8" ht="25.5">
      <c r="A922" s="34">
        <f t="shared" si="14"/>
        <v>920</v>
      </c>
      <c r="B922" s="218" t="s">
        <v>10532</v>
      </c>
      <c r="C922" s="1" t="s">
        <v>10377</v>
      </c>
      <c r="D922" s="34" t="s">
        <v>10521</v>
      </c>
      <c r="E922" s="34" t="s">
        <v>10692</v>
      </c>
      <c r="F922" s="6" t="s">
        <v>11418</v>
      </c>
      <c r="G922" s="218" t="s">
        <v>10906</v>
      </c>
      <c r="H922" s="218" t="s">
        <v>12386</v>
      </c>
    </row>
    <row r="923" spans="1:8" ht="25.5">
      <c r="A923" s="34">
        <f t="shared" si="14"/>
        <v>921</v>
      </c>
      <c r="B923" s="218" t="s">
        <v>10532</v>
      </c>
      <c r="C923" s="1" t="s">
        <v>10377</v>
      </c>
      <c r="D923" s="34" t="s">
        <v>10521</v>
      </c>
      <c r="E923" s="34" t="s">
        <v>10554</v>
      </c>
      <c r="F923" s="6" t="s">
        <v>12387</v>
      </c>
      <c r="G923" s="218" t="s">
        <v>10906</v>
      </c>
      <c r="H923" s="218" t="s">
        <v>11284</v>
      </c>
    </row>
    <row r="924" spans="1:8" ht="25.5">
      <c r="A924" s="34">
        <f t="shared" si="14"/>
        <v>922</v>
      </c>
      <c r="B924" s="218" t="s">
        <v>10532</v>
      </c>
      <c r="C924" s="1" t="s">
        <v>10377</v>
      </c>
      <c r="D924" s="34" t="s">
        <v>10521</v>
      </c>
      <c r="E924" s="34" t="s">
        <v>10554</v>
      </c>
      <c r="F924" s="6" t="s">
        <v>11883</v>
      </c>
      <c r="G924" s="218" t="s">
        <v>10906</v>
      </c>
      <c r="H924" s="218" t="s">
        <v>12388</v>
      </c>
    </row>
    <row r="925" spans="1:8" ht="25.5">
      <c r="A925" s="34">
        <f t="shared" si="14"/>
        <v>923</v>
      </c>
      <c r="B925" s="218" t="s">
        <v>10532</v>
      </c>
      <c r="C925" s="1" t="s">
        <v>10377</v>
      </c>
      <c r="D925" s="34" t="s">
        <v>10521</v>
      </c>
      <c r="E925" s="34" t="s">
        <v>10554</v>
      </c>
      <c r="F925" s="6" t="s">
        <v>12389</v>
      </c>
      <c r="G925" s="218" t="s">
        <v>10906</v>
      </c>
      <c r="H925" s="218" t="s">
        <v>12390</v>
      </c>
    </row>
    <row r="926" spans="1:8" ht="38.25">
      <c r="A926" s="34">
        <f t="shared" si="14"/>
        <v>924</v>
      </c>
      <c r="B926" s="218" t="s">
        <v>12391</v>
      </c>
      <c r="C926" s="1" t="s">
        <v>10435</v>
      </c>
      <c r="D926" s="34" t="s">
        <v>10189</v>
      </c>
      <c r="E926" s="34" t="s">
        <v>10209</v>
      </c>
      <c r="F926" s="6" t="s">
        <v>12392</v>
      </c>
      <c r="G926" s="218" t="s">
        <v>8605</v>
      </c>
      <c r="H926" s="218" t="s">
        <v>12393</v>
      </c>
    </row>
    <row r="927" spans="1:8" ht="25.5">
      <c r="A927" s="34">
        <f t="shared" si="14"/>
        <v>925</v>
      </c>
      <c r="B927" s="218" t="s">
        <v>12394</v>
      </c>
      <c r="C927" s="1" t="s">
        <v>12395</v>
      </c>
      <c r="D927" s="34" t="s">
        <v>10189</v>
      </c>
      <c r="E927" s="34" t="s">
        <v>9617</v>
      </c>
      <c r="F927" s="6" t="s">
        <v>10190</v>
      </c>
      <c r="G927" s="218" t="s">
        <v>10492</v>
      </c>
      <c r="H927" s="218" t="s">
        <v>4036</v>
      </c>
    </row>
    <row r="928" spans="1:8" ht="25.5">
      <c r="A928" s="34">
        <f t="shared" si="14"/>
        <v>926</v>
      </c>
      <c r="B928" s="218" t="s">
        <v>12396</v>
      </c>
      <c r="C928" s="1" t="s">
        <v>212</v>
      </c>
      <c r="D928" s="34" t="s">
        <v>10189</v>
      </c>
      <c r="E928" s="34" t="s">
        <v>12397</v>
      </c>
      <c r="F928" s="6" t="s">
        <v>12398</v>
      </c>
      <c r="G928" s="218" t="s">
        <v>11283</v>
      </c>
      <c r="H928" s="218" t="s">
        <v>1259</v>
      </c>
    </row>
    <row r="929" spans="1:8" ht="25.5">
      <c r="A929" s="34">
        <f t="shared" si="14"/>
        <v>927</v>
      </c>
      <c r="B929" s="218" t="s">
        <v>10192</v>
      </c>
      <c r="C929" s="1" t="s">
        <v>10193</v>
      </c>
      <c r="D929" s="34" t="s">
        <v>10184</v>
      </c>
      <c r="E929" s="34" t="s">
        <v>10198</v>
      </c>
      <c r="F929" s="6" t="s">
        <v>12399</v>
      </c>
      <c r="G929" s="218" t="s">
        <v>12400</v>
      </c>
      <c r="H929" s="218" t="s">
        <v>10197</v>
      </c>
    </row>
    <row r="930" spans="1:8" ht="25.5">
      <c r="A930" s="34">
        <f t="shared" si="14"/>
        <v>928</v>
      </c>
      <c r="B930" s="218" t="s">
        <v>10192</v>
      </c>
      <c r="C930" s="1" t="s">
        <v>10193</v>
      </c>
      <c r="D930" s="34" t="s">
        <v>10184</v>
      </c>
      <c r="E930" s="34" t="s">
        <v>10198</v>
      </c>
      <c r="F930" s="6" t="s">
        <v>12401</v>
      </c>
      <c r="G930" s="218" t="s">
        <v>10200</v>
      </c>
      <c r="H930" s="218" t="s">
        <v>10197</v>
      </c>
    </row>
    <row r="931" spans="1:8" ht="25.5">
      <c r="A931" s="34">
        <f t="shared" si="14"/>
        <v>929</v>
      </c>
      <c r="B931" s="218" t="s">
        <v>12402</v>
      </c>
      <c r="C931" s="1" t="s">
        <v>10193</v>
      </c>
      <c r="D931" s="34" t="s">
        <v>10189</v>
      </c>
      <c r="E931" s="34" t="s">
        <v>10209</v>
      </c>
      <c r="F931" s="6" t="s">
        <v>12403</v>
      </c>
      <c r="G931" s="218" t="s">
        <v>8605</v>
      </c>
      <c r="H931" s="218" t="s">
        <v>12404</v>
      </c>
    </row>
    <row r="932" spans="1:8" ht="25.5">
      <c r="A932" s="34">
        <f t="shared" si="14"/>
        <v>930</v>
      </c>
      <c r="B932" s="218" t="s">
        <v>12405</v>
      </c>
      <c r="C932" s="1" t="s">
        <v>122</v>
      </c>
      <c r="D932" s="34" t="s">
        <v>10218</v>
      </c>
      <c r="E932" s="34" t="s">
        <v>8596</v>
      </c>
      <c r="F932" s="6" t="s">
        <v>12406</v>
      </c>
      <c r="G932" s="218" t="s">
        <v>12407</v>
      </c>
      <c r="H932" s="218" t="s">
        <v>11817</v>
      </c>
    </row>
    <row r="933" spans="1:8" ht="25.5">
      <c r="A933" s="34">
        <f t="shared" si="14"/>
        <v>931</v>
      </c>
      <c r="B933" s="218" t="s">
        <v>12408</v>
      </c>
      <c r="C933" s="1" t="s">
        <v>122</v>
      </c>
      <c r="D933" s="34" t="s">
        <v>10218</v>
      </c>
      <c r="E933" s="34" t="s">
        <v>8596</v>
      </c>
      <c r="F933" s="6" t="s">
        <v>12409</v>
      </c>
      <c r="G933" s="218" t="s">
        <v>12410</v>
      </c>
      <c r="H933" s="218" t="s">
        <v>12411</v>
      </c>
    </row>
    <row r="934" spans="1:8" ht="25.5">
      <c r="A934" s="34">
        <f t="shared" si="14"/>
        <v>932</v>
      </c>
      <c r="B934" s="218" t="s">
        <v>12412</v>
      </c>
      <c r="C934" s="1" t="s">
        <v>132</v>
      </c>
      <c r="D934" s="34" t="s">
        <v>10189</v>
      </c>
      <c r="E934" s="34" t="s">
        <v>10224</v>
      </c>
      <c r="F934" s="6" t="s">
        <v>11975</v>
      </c>
      <c r="G934" s="218" t="s">
        <v>10226</v>
      </c>
      <c r="H934" s="218" t="s">
        <v>10339</v>
      </c>
    </row>
    <row r="935" spans="1:8" ht="25.5">
      <c r="A935" s="34">
        <f t="shared" si="14"/>
        <v>933</v>
      </c>
      <c r="B935" s="218" t="s">
        <v>12413</v>
      </c>
      <c r="C935" s="1" t="s">
        <v>10202</v>
      </c>
      <c r="D935" s="34" t="s">
        <v>10189</v>
      </c>
      <c r="E935" s="34" t="s">
        <v>11055</v>
      </c>
      <c r="F935" s="6" t="s">
        <v>10348</v>
      </c>
      <c r="G935" s="218" t="s">
        <v>11240</v>
      </c>
      <c r="H935" s="218" t="s">
        <v>12414</v>
      </c>
    </row>
    <row r="936" spans="1:8" ht="25.5">
      <c r="A936" s="34">
        <f t="shared" si="14"/>
        <v>934</v>
      </c>
      <c r="B936" s="218" t="s">
        <v>12415</v>
      </c>
      <c r="C936" s="1" t="s">
        <v>122</v>
      </c>
      <c r="D936" s="34" t="s">
        <v>10189</v>
      </c>
      <c r="E936" s="34" t="s">
        <v>10856</v>
      </c>
      <c r="F936" s="6" t="s">
        <v>12416</v>
      </c>
      <c r="G936" s="218" t="s">
        <v>10232</v>
      </c>
      <c r="H936" s="218" t="s">
        <v>12417</v>
      </c>
    </row>
    <row r="937" spans="1:8" ht="25.5">
      <c r="A937" s="34">
        <f t="shared" si="14"/>
        <v>935</v>
      </c>
      <c r="B937" s="218" t="s">
        <v>12418</v>
      </c>
      <c r="C937" s="1" t="s">
        <v>132</v>
      </c>
      <c r="D937" s="34" t="s">
        <v>10189</v>
      </c>
      <c r="E937" s="34" t="s">
        <v>9617</v>
      </c>
      <c r="F937" s="6" t="s">
        <v>12416</v>
      </c>
      <c r="G937" s="218" t="s">
        <v>8839</v>
      </c>
      <c r="H937" s="218" t="s">
        <v>11999</v>
      </c>
    </row>
    <row r="938" spans="1:8" ht="25.5">
      <c r="A938" s="34">
        <f t="shared" si="14"/>
        <v>936</v>
      </c>
      <c r="B938" s="218" t="s">
        <v>12419</v>
      </c>
      <c r="C938" s="1" t="s">
        <v>132</v>
      </c>
      <c r="D938" s="34" t="s">
        <v>10189</v>
      </c>
      <c r="E938" s="34" t="s">
        <v>12114</v>
      </c>
      <c r="F938" s="6" t="s">
        <v>10235</v>
      </c>
      <c r="G938" s="218" t="s">
        <v>8839</v>
      </c>
      <c r="H938" s="218" t="s">
        <v>11354</v>
      </c>
    </row>
    <row r="939" spans="1:8" ht="25.5">
      <c r="A939" s="34">
        <f t="shared" si="14"/>
        <v>937</v>
      </c>
      <c r="B939" s="218" t="s">
        <v>12420</v>
      </c>
      <c r="C939" s="1" t="s">
        <v>122</v>
      </c>
      <c r="D939" s="34" t="s">
        <v>10218</v>
      </c>
      <c r="E939" s="34" t="s">
        <v>10219</v>
      </c>
      <c r="F939" s="6" t="s">
        <v>11983</v>
      </c>
      <c r="G939" s="218" t="s">
        <v>11988</v>
      </c>
      <c r="H939" s="218" t="s">
        <v>12421</v>
      </c>
    </row>
    <row r="940" spans="1:8" ht="25.5">
      <c r="A940" s="34">
        <f t="shared" si="14"/>
        <v>938</v>
      </c>
      <c r="B940" s="218" t="s">
        <v>12422</v>
      </c>
      <c r="C940" s="1" t="s">
        <v>122</v>
      </c>
      <c r="D940" s="34" t="s">
        <v>10218</v>
      </c>
      <c r="E940" s="34" t="s">
        <v>10219</v>
      </c>
      <c r="F940" s="6" t="s">
        <v>12423</v>
      </c>
      <c r="G940" s="218" t="s">
        <v>11988</v>
      </c>
      <c r="H940" s="218" t="s">
        <v>12424</v>
      </c>
    </row>
    <row r="941" spans="1:8" ht="25.5">
      <c r="A941" s="34">
        <f t="shared" si="14"/>
        <v>939</v>
      </c>
      <c r="B941" s="218" t="s">
        <v>12425</v>
      </c>
      <c r="C941" s="1" t="s">
        <v>132</v>
      </c>
      <c r="D941" s="34" t="s">
        <v>10218</v>
      </c>
      <c r="E941" s="34" t="s">
        <v>10257</v>
      </c>
      <c r="F941" s="6" t="s">
        <v>12426</v>
      </c>
      <c r="G941" s="218" t="s">
        <v>10259</v>
      </c>
      <c r="H941" s="218" t="s">
        <v>11807</v>
      </c>
    </row>
    <row r="942" spans="1:8" ht="25.5">
      <c r="A942" s="34">
        <f t="shared" si="14"/>
        <v>940</v>
      </c>
      <c r="B942" s="218" t="s">
        <v>12427</v>
      </c>
      <c r="C942" s="1" t="s">
        <v>132</v>
      </c>
      <c r="D942" s="34" t="s">
        <v>10218</v>
      </c>
      <c r="E942" s="34" t="s">
        <v>10257</v>
      </c>
      <c r="F942" s="6" t="s">
        <v>11479</v>
      </c>
      <c r="G942" s="218" t="s">
        <v>10259</v>
      </c>
      <c r="H942" s="218" t="s">
        <v>10306</v>
      </c>
    </row>
    <row r="943" spans="1:8" ht="25.5">
      <c r="A943" s="34">
        <f t="shared" si="14"/>
        <v>941</v>
      </c>
      <c r="B943" s="218" t="s">
        <v>12428</v>
      </c>
      <c r="C943" s="1" t="s">
        <v>10999</v>
      </c>
      <c r="D943" s="34" t="s">
        <v>10218</v>
      </c>
      <c r="E943" s="34" t="s">
        <v>10257</v>
      </c>
      <c r="F943" s="6" t="s">
        <v>11653</v>
      </c>
      <c r="G943" s="218" t="s">
        <v>10259</v>
      </c>
      <c r="H943" s="218" t="s">
        <v>11560</v>
      </c>
    </row>
    <row r="944" spans="1:8" ht="25.5">
      <c r="A944" s="34">
        <f t="shared" si="14"/>
        <v>942</v>
      </c>
      <c r="B944" s="218" t="s">
        <v>12429</v>
      </c>
      <c r="C944" s="1" t="s">
        <v>132</v>
      </c>
      <c r="D944" s="34" t="s">
        <v>10218</v>
      </c>
      <c r="E944" s="34" t="s">
        <v>10257</v>
      </c>
      <c r="F944" s="6" t="s">
        <v>10265</v>
      </c>
      <c r="G944" s="218" t="s">
        <v>10259</v>
      </c>
      <c r="H944" s="218" t="s">
        <v>11996</v>
      </c>
    </row>
    <row r="945" spans="1:8" ht="25.5">
      <c r="A945" s="34">
        <f t="shared" si="14"/>
        <v>943</v>
      </c>
      <c r="B945" s="218" t="s">
        <v>12430</v>
      </c>
      <c r="C945" s="1" t="s">
        <v>12395</v>
      </c>
      <c r="D945" s="34" t="s">
        <v>10218</v>
      </c>
      <c r="E945" s="34" t="s">
        <v>10257</v>
      </c>
      <c r="F945" s="6" t="s">
        <v>12431</v>
      </c>
      <c r="G945" s="218" t="s">
        <v>10259</v>
      </c>
      <c r="H945" s="218" t="s">
        <v>12432</v>
      </c>
    </row>
    <row r="946" spans="1:8" ht="25.5">
      <c r="A946" s="34">
        <f t="shared" si="14"/>
        <v>944</v>
      </c>
      <c r="B946" s="218" t="s">
        <v>12433</v>
      </c>
      <c r="C946" s="1" t="s">
        <v>137</v>
      </c>
      <c r="D946" s="34" t="s">
        <v>10184</v>
      </c>
      <c r="E946" s="34" t="s">
        <v>10278</v>
      </c>
      <c r="F946" s="6" t="s">
        <v>10283</v>
      </c>
      <c r="G946" s="218"/>
      <c r="H946" s="218" t="s">
        <v>10281</v>
      </c>
    </row>
    <row r="947" spans="1:8" ht="25.5">
      <c r="A947" s="34">
        <f t="shared" si="14"/>
        <v>945</v>
      </c>
      <c r="B947" s="218" t="s">
        <v>12434</v>
      </c>
      <c r="C947" s="1" t="s">
        <v>137</v>
      </c>
      <c r="D947" s="34" t="s">
        <v>10184</v>
      </c>
      <c r="E947" s="34" t="s">
        <v>10278</v>
      </c>
      <c r="F947" s="6" t="s">
        <v>10283</v>
      </c>
      <c r="G947" s="218" t="s">
        <v>10286</v>
      </c>
      <c r="H947" s="218" t="s">
        <v>10281</v>
      </c>
    </row>
    <row r="948" spans="1:8" ht="25.5">
      <c r="A948" s="34">
        <f t="shared" si="14"/>
        <v>946</v>
      </c>
      <c r="B948" s="218" t="s">
        <v>12435</v>
      </c>
      <c r="C948" s="1" t="s">
        <v>137</v>
      </c>
      <c r="D948" s="34" t="s">
        <v>10184</v>
      </c>
      <c r="E948" s="34" t="s">
        <v>10278</v>
      </c>
      <c r="F948" s="6" t="s">
        <v>10283</v>
      </c>
      <c r="G948" s="218" t="s">
        <v>10280</v>
      </c>
      <c r="H948" s="218" t="s">
        <v>10281</v>
      </c>
    </row>
    <row r="949" spans="1:8" ht="25.5">
      <c r="A949" s="34">
        <f t="shared" si="14"/>
        <v>947</v>
      </c>
      <c r="B949" s="218" t="s">
        <v>12436</v>
      </c>
      <c r="C949" s="1" t="s">
        <v>10754</v>
      </c>
      <c r="D949" s="34" t="s">
        <v>10184</v>
      </c>
      <c r="E949" s="34" t="s">
        <v>10288</v>
      </c>
      <c r="F949" s="6" t="s">
        <v>10342</v>
      </c>
      <c r="G949" s="218" t="s">
        <v>10290</v>
      </c>
      <c r="H949" s="218" t="s">
        <v>220</v>
      </c>
    </row>
    <row r="950" spans="1:8" ht="25.5">
      <c r="A950" s="34">
        <f t="shared" si="14"/>
        <v>948</v>
      </c>
      <c r="B950" s="218" t="s">
        <v>12437</v>
      </c>
      <c r="C950" s="1" t="s">
        <v>10754</v>
      </c>
      <c r="D950" s="34" t="s">
        <v>10184</v>
      </c>
      <c r="E950" s="34" t="s">
        <v>10288</v>
      </c>
      <c r="F950" s="6" t="s">
        <v>12438</v>
      </c>
      <c r="G950" s="218" t="s">
        <v>11013</v>
      </c>
      <c r="H950" s="218" t="s">
        <v>12439</v>
      </c>
    </row>
    <row r="951" spans="1:8" ht="25.5">
      <c r="A951" s="34">
        <f t="shared" si="14"/>
        <v>949</v>
      </c>
      <c r="B951" s="218" t="s">
        <v>12440</v>
      </c>
      <c r="C951" s="1" t="s">
        <v>10370</v>
      </c>
      <c r="D951" s="34" t="s">
        <v>10184</v>
      </c>
      <c r="E951" s="34" t="s">
        <v>11086</v>
      </c>
      <c r="F951" s="6" t="s">
        <v>12441</v>
      </c>
      <c r="G951" s="218" t="s">
        <v>11549</v>
      </c>
      <c r="H951" s="218" t="s">
        <v>12442</v>
      </c>
    </row>
    <row r="952" spans="1:8" ht="38.25">
      <c r="A952" s="34">
        <f t="shared" si="14"/>
        <v>950</v>
      </c>
      <c r="B952" s="218" t="s">
        <v>12443</v>
      </c>
      <c r="C952" s="1" t="s">
        <v>12002</v>
      </c>
      <c r="D952" s="34" t="s">
        <v>10184</v>
      </c>
      <c r="E952" s="34" t="s">
        <v>10288</v>
      </c>
      <c r="F952" s="6" t="s">
        <v>12012</v>
      </c>
      <c r="G952" s="218" t="s">
        <v>10290</v>
      </c>
      <c r="H952" s="218" t="s">
        <v>11130</v>
      </c>
    </row>
    <row r="953" spans="1:8" ht="25.5">
      <c r="A953" s="34">
        <f t="shared" si="14"/>
        <v>951</v>
      </c>
      <c r="B953" s="218" t="s">
        <v>12444</v>
      </c>
      <c r="C953" s="1" t="s">
        <v>132</v>
      </c>
      <c r="D953" s="34" t="s">
        <v>10184</v>
      </c>
      <c r="E953" s="34" t="s">
        <v>10194</v>
      </c>
      <c r="F953" s="6" t="s">
        <v>10195</v>
      </c>
      <c r="G953" s="218" t="s">
        <v>12445</v>
      </c>
      <c r="H953" s="218" t="s">
        <v>11519</v>
      </c>
    </row>
    <row r="954" spans="1:8" ht="25.5">
      <c r="A954" s="34">
        <f t="shared" si="14"/>
        <v>952</v>
      </c>
      <c r="B954" s="218" t="s">
        <v>12446</v>
      </c>
      <c r="C954" s="1" t="s">
        <v>10754</v>
      </c>
      <c r="D954" s="34" t="s">
        <v>10184</v>
      </c>
      <c r="E954" s="34" t="s">
        <v>10300</v>
      </c>
      <c r="F954" s="6" t="s">
        <v>10311</v>
      </c>
      <c r="G954" s="218" t="s">
        <v>10302</v>
      </c>
      <c r="H954" s="218" t="s">
        <v>12447</v>
      </c>
    </row>
    <row r="955" spans="1:8" ht="25.5">
      <c r="A955" s="34">
        <f t="shared" si="14"/>
        <v>953</v>
      </c>
      <c r="B955" s="218" t="s">
        <v>12448</v>
      </c>
      <c r="C955" s="1" t="s">
        <v>132</v>
      </c>
      <c r="D955" s="34" t="s">
        <v>10184</v>
      </c>
      <c r="E955" s="34" t="s">
        <v>10300</v>
      </c>
      <c r="F955" s="6" t="s">
        <v>10301</v>
      </c>
      <c r="G955" s="218" t="s">
        <v>10302</v>
      </c>
      <c r="H955" s="218" t="s">
        <v>10303</v>
      </c>
    </row>
    <row r="956" spans="1:8" ht="25.5">
      <c r="A956" s="34">
        <f t="shared" si="14"/>
        <v>954</v>
      </c>
      <c r="B956" s="218" t="s">
        <v>12449</v>
      </c>
      <c r="C956" s="1" t="s">
        <v>132</v>
      </c>
      <c r="D956" s="34" t="s">
        <v>10184</v>
      </c>
      <c r="E956" s="34" t="s">
        <v>10300</v>
      </c>
      <c r="F956" s="6" t="s">
        <v>10311</v>
      </c>
      <c r="G956" s="218" t="s">
        <v>10302</v>
      </c>
      <c r="H956" s="218" t="s">
        <v>10451</v>
      </c>
    </row>
    <row r="957" spans="1:8" ht="25.5">
      <c r="A957" s="34">
        <f t="shared" si="14"/>
        <v>955</v>
      </c>
      <c r="B957" s="218" t="s">
        <v>12450</v>
      </c>
      <c r="C957" s="1" t="s">
        <v>132</v>
      </c>
      <c r="D957" s="34" t="s">
        <v>10184</v>
      </c>
      <c r="E957" s="34" t="s">
        <v>10300</v>
      </c>
      <c r="F957" s="6" t="s">
        <v>10311</v>
      </c>
      <c r="G957" s="218" t="s">
        <v>10302</v>
      </c>
      <c r="H957" s="218" t="s">
        <v>11616</v>
      </c>
    </row>
    <row r="958" spans="1:8" ht="25.5">
      <c r="A958" s="34">
        <f t="shared" si="14"/>
        <v>956</v>
      </c>
      <c r="B958" s="218" t="s">
        <v>12451</v>
      </c>
      <c r="C958" s="1" t="s">
        <v>132</v>
      </c>
      <c r="D958" s="34" t="s">
        <v>10184</v>
      </c>
      <c r="E958" s="34" t="s">
        <v>10300</v>
      </c>
      <c r="F958" s="6" t="s">
        <v>10308</v>
      </c>
      <c r="G958" s="218" t="s">
        <v>10302</v>
      </c>
      <c r="H958" s="218" t="s">
        <v>11132</v>
      </c>
    </row>
    <row r="959" spans="1:8" ht="25.5">
      <c r="A959" s="34">
        <f t="shared" si="14"/>
        <v>957</v>
      </c>
      <c r="B959" s="218" t="s">
        <v>12452</v>
      </c>
      <c r="C959" s="1" t="s">
        <v>132</v>
      </c>
      <c r="D959" s="34" t="s">
        <v>10184</v>
      </c>
      <c r="E959" s="34" t="s">
        <v>10300</v>
      </c>
      <c r="F959" s="6" t="s">
        <v>10308</v>
      </c>
      <c r="G959" s="218" t="s">
        <v>10302</v>
      </c>
      <c r="H959" s="218" t="s">
        <v>12453</v>
      </c>
    </row>
    <row r="960" spans="1:8" ht="25.5">
      <c r="A960" s="34">
        <f t="shared" si="14"/>
        <v>958</v>
      </c>
      <c r="B960" s="218" t="s">
        <v>12454</v>
      </c>
      <c r="C960" s="1" t="s">
        <v>132</v>
      </c>
      <c r="D960" s="34" t="s">
        <v>10184</v>
      </c>
      <c r="E960" s="34" t="s">
        <v>10300</v>
      </c>
      <c r="F960" s="6" t="s">
        <v>10301</v>
      </c>
      <c r="G960" s="218" t="s">
        <v>10302</v>
      </c>
      <c r="H960" s="218" t="s">
        <v>10316</v>
      </c>
    </row>
    <row r="961" spans="1:8" ht="25.5">
      <c r="A961" s="34">
        <f t="shared" si="14"/>
        <v>959</v>
      </c>
      <c r="B961" s="218" t="s">
        <v>12455</v>
      </c>
      <c r="C961" s="1" t="s">
        <v>132</v>
      </c>
      <c r="D961" s="34" t="s">
        <v>10184</v>
      </c>
      <c r="E961" s="34" t="s">
        <v>10300</v>
      </c>
      <c r="F961" s="6" t="s">
        <v>11150</v>
      </c>
      <c r="G961" s="218" t="s">
        <v>10302</v>
      </c>
      <c r="H961" s="218" t="s">
        <v>10316</v>
      </c>
    </row>
    <row r="962" spans="1:8" ht="25.5">
      <c r="A962" s="34">
        <f t="shared" si="14"/>
        <v>960</v>
      </c>
      <c r="B962" s="218" t="s">
        <v>12456</v>
      </c>
      <c r="C962" s="1" t="s">
        <v>132</v>
      </c>
      <c r="D962" s="34" t="s">
        <v>10184</v>
      </c>
      <c r="E962" s="34" t="s">
        <v>10300</v>
      </c>
      <c r="F962" s="6" t="s">
        <v>12457</v>
      </c>
      <c r="G962" s="218" t="s">
        <v>10302</v>
      </c>
      <c r="H962" s="218" t="s">
        <v>12458</v>
      </c>
    </row>
    <row r="963" spans="1:8" ht="25.5">
      <c r="A963" s="34">
        <f t="shared" si="14"/>
        <v>961</v>
      </c>
      <c r="B963" s="218" t="s">
        <v>12459</v>
      </c>
      <c r="C963" s="1" t="s">
        <v>132</v>
      </c>
      <c r="D963" s="34" t="s">
        <v>10184</v>
      </c>
      <c r="E963" s="34" t="s">
        <v>10300</v>
      </c>
      <c r="F963" s="6" t="s">
        <v>10301</v>
      </c>
      <c r="G963" s="218" t="s">
        <v>10302</v>
      </c>
      <c r="H963" s="218" t="s">
        <v>10316</v>
      </c>
    </row>
    <row r="964" spans="1:8" ht="25.5">
      <c r="A964" s="34">
        <f t="shared" ref="A964:A1027" si="15">A963+1</f>
        <v>962</v>
      </c>
      <c r="B964" s="218" t="s">
        <v>12460</v>
      </c>
      <c r="C964" s="1" t="s">
        <v>132</v>
      </c>
      <c r="D964" s="34" t="s">
        <v>10184</v>
      </c>
      <c r="E964" s="34" t="s">
        <v>10224</v>
      </c>
      <c r="F964" s="6" t="s">
        <v>12461</v>
      </c>
      <c r="G964" s="218" t="s">
        <v>10226</v>
      </c>
      <c r="H964" s="218" t="s">
        <v>12462</v>
      </c>
    </row>
    <row r="965" spans="1:8" ht="25.5">
      <c r="A965" s="34">
        <f t="shared" si="15"/>
        <v>963</v>
      </c>
      <c r="B965" s="218" t="s">
        <v>12463</v>
      </c>
      <c r="C965" s="1" t="s">
        <v>132</v>
      </c>
      <c r="D965" s="34" t="s">
        <v>10184</v>
      </c>
      <c r="E965" s="34" t="s">
        <v>12464</v>
      </c>
      <c r="F965" s="6" t="s">
        <v>11126</v>
      </c>
      <c r="G965" s="218" t="s">
        <v>12465</v>
      </c>
      <c r="H965" s="218" t="s">
        <v>270</v>
      </c>
    </row>
    <row r="966" spans="1:8" ht="25.5">
      <c r="A966" s="34">
        <f t="shared" si="15"/>
        <v>964</v>
      </c>
      <c r="B966" s="218" t="s">
        <v>12466</v>
      </c>
      <c r="C966" s="1" t="s">
        <v>132</v>
      </c>
      <c r="D966" s="34" t="s">
        <v>10184</v>
      </c>
      <c r="E966" s="34" t="s">
        <v>10692</v>
      </c>
      <c r="F966" s="6" t="s">
        <v>12467</v>
      </c>
      <c r="G966" s="218" t="s">
        <v>12468</v>
      </c>
      <c r="H966" s="218" t="s">
        <v>10246</v>
      </c>
    </row>
    <row r="967" spans="1:8" ht="25.5">
      <c r="A967" s="34">
        <f t="shared" si="15"/>
        <v>965</v>
      </c>
      <c r="B967" s="218" t="s">
        <v>12469</v>
      </c>
      <c r="C967" s="1" t="s">
        <v>132</v>
      </c>
      <c r="D967" s="34" t="s">
        <v>10184</v>
      </c>
      <c r="E967" s="34" t="s">
        <v>10446</v>
      </c>
      <c r="F967" s="6" t="s">
        <v>12470</v>
      </c>
      <c r="G967" s="218" t="s">
        <v>11046</v>
      </c>
      <c r="H967" s="218" t="s">
        <v>10448</v>
      </c>
    </row>
    <row r="968" spans="1:8" ht="25.5">
      <c r="A968" s="34">
        <f t="shared" si="15"/>
        <v>966</v>
      </c>
      <c r="B968" s="218" t="s">
        <v>12471</v>
      </c>
      <c r="C968" s="1" t="s">
        <v>122</v>
      </c>
      <c r="D968" s="34" t="s">
        <v>10184</v>
      </c>
      <c r="E968" s="34" t="s">
        <v>10273</v>
      </c>
      <c r="F968" s="6" t="s">
        <v>11059</v>
      </c>
      <c r="G968" s="218" t="s">
        <v>10334</v>
      </c>
      <c r="H968" s="218" t="s">
        <v>10276</v>
      </c>
    </row>
    <row r="969" spans="1:8" ht="25.5">
      <c r="A969" s="34">
        <f t="shared" si="15"/>
        <v>967</v>
      </c>
      <c r="B969" s="218" t="s">
        <v>12472</v>
      </c>
      <c r="C969" s="1" t="s">
        <v>10202</v>
      </c>
      <c r="D969" s="34" t="s">
        <v>10336</v>
      </c>
      <c r="E969" s="34" t="s">
        <v>10811</v>
      </c>
      <c r="F969" s="6" t="s">
        <v>12473</v>
      </c>
      <c r="G969" s="218" t="s">
        <v>10338</v>
      </c>
      <c r="H969" s="218" t="s">
        <v>12474</v>
      </c>
    </row>
    <row r="970" spans="1:8" ht="25.5">
      <c r="A970" s="34">
        <f t="shared" si="15"/>
        <v>968</v>
      </c>
      <c r="B970" s="218" t="s">
        <v>12475</v>
      </c>
      <c r="C970" s="1" t="s">
        <v>132</v>
      </c>
      <c r="D970" s="34" t="s">
        <v>10336</v>
      </c>
      <c r="E970" s="34" t="s">
        <v>10440</v>
      </c>
      <c r="F970" s="6" t="s">
        <v>12476</v>
      </c>
      <c r="G970" s="218" t="s">
        <v>10338</v>
      </c>
      <c r="H970" s="218" t="s">
        <v>12477</v>
      </c>
    </row>
    <row r="971" spans="1:8" ht="25.5">
      <c r="A971" s="34">
        <f t="shared" si="15"/>
        <v>969</v>
      </c>
      <c r="B971" s="218" t="s">
        <v>12478</v>
      </c>
      <c r="C971" s="1" t="s">
        <v>132</v>
      </c>
      <c r="D971" s="34" t="s">
        <v>10336</v>
      </c>
      <c r="E971" s="34" t="s">
        <v>10300</v>
      </c>
      <c r="F971" s="6" t="s">
        <v>11704</v>
      </c>
      <c r="G971" s="218" t="s">
        <v>10338</v>
      </c>
      <c r="H971" s="218" t="s">
        <v>12109</v>
      </c>
    </row>
    <row r="972" spans="1:8" ht="25.5">
      <c r="A972" s="34">
        <f t="shared" si="15"/>
        <v>970</v>
      </c>
      <c r="B972" s="218" t="s">
        <v>12479</v>
      </c>
      <c r="C972" s="1" t="s">
        <v>132</v>
      </c>
      <c r="D972" s="34" t="s">
        <v>10336</v>
      </c>
      <c r="E972" s="34" t="s">
        <v>10440</v>
      </c>
      <c r="F972" s="6" t="s">
        <v>12049</v>
      </c>
      <c r="G972" s="218" t="s">
        <v>10658</v>
      </c>
      <c r="H972" s="218" t="s">
        <v>12480</v>
      </c>
    </row>
    <row r="973" spans="1:8" ht="25.5">
      <c r="A973" s="34">
        <f t="shared" si="15"/>
        <v>971</v>
      </c>
      <c r="B973" s="218" t="s">
        <v>12481</v>
      </c>
      <c r="C973" s="1" t="s">
        <v>10202</v>
      </c>
      <c r="D973" s="34" t="s">
        <v>10189</v>
      </c>
      <c r="E973" s="34" t="s">
        <v>10372</v>
      </c>
      <c r="F973" s="6" t="s">
        <v>12482</v>
      </c>
      <c r="G973" s="218" t="s">
        <v>8827</v>
      </c>
      <c r="H973" s="218" t="s">
        <v>12483</v>
      </c>
    </row>
    <row r="974" spans="1:8" ht="51">
      <c r="A974" s="34">
        <f t="shared" si="15"/>
        <v>972</v>
      </c>
      <c r="B974" s="218" t="s">
        <v>12484</v>
      </c>
      <c r="C974" s="1" t="s">
        <v>10345</v>
      </c>
      <c r="D974" s="34" t="s">
        <v>10346</v>
      </c>
      <c r="E974" s="34" t="s">
        <v>10372</v>
      </c>
      <c r="F974" s="6" t="s">
        <v>10348</v>
      </c>
      <c r="G974" s="218" t="s">
        <v>8060</v>
      </c>
      <c r="H974" s="218" t="s">
        <v>12485</v>
      </c>
    </row>
    <row r="975" spans="1:8" ht="38.25">
      <c r="A975" s="34">
        <f t="shared" si="15"/>
        <v>973</v>
      </c>
      <c r="B975" s="218" t="s">
        <v>12486</v>
      </c>
      <c r="C975" s="1" t="s">
        <v>10345</v>
      </c>
      <c r="D975" s="34" t="s">
        <v>10346</v>
      </c>
      <c r="E975" s="34" t="s">
        <v>8572</v>
      </c>
      <c r="F975" s="6" t="s">
        <v>12487</v>
      </c>
      <c r="G975" s="218" t="s">
        <v>10352</v>
      </c>
      <c r="H975" s="218" t="s">
        <v>12488</v>
      </c>
    </row>
    <row r="976" spans="1:8" ht="38.25">
      <c r="A976" s="34">
        <f t="shared" si="15"/>
        <v>974</v>
      </c>
      <c r="B976" s="218" t="s">
        <v>12489</v>
      </c>
      <c r="C976" s="1" t="s">
        <v>10345</v>
      </c>
      <c r="D976" s="34" t="s">
        <v>10346</v>
      </c>
      <c r="E976" s="34" t="s">
        <v>10185</v>
      </c>
      <c r="F976" s="6" t="s">
        <v>12490</v>
      </c>
      <c r="G976" s="218" t="s">
        <v>8060</v>
      </c>
      <c r="H976" s="218" t="s">
        <v>12491</v>
      </c>
    </row>
    <row r="977" spans="1:8" ht="38.25">
      <c r="A977" s="34">
        <f t="shared" si="15"/>
        <v>975</v>
      </c>
      <c r="B977" s="218" t="s">
        <v>12492</v>
      </c>
      <c r="C977" s="1" t="s">
        <v>10345</v>
      </c>
      <c r="D977" s="34" t="s">
        <v>10346</v>
      </c>
      <c r="E977" s="34" t="s">
        <v>12493</v>
      </c>
      <c r="F977" s="6" t="s">
        <v>12494</v>
      </c>
      <c r="G977" s="218" t="s">
        <v>10352</v>
      </c>
      <c r="H977" s="218" t="s">
        <v>12495</v>
      </c>
    </row>
    <row r="978" spans="1:8" ht="51">
      <c r="A978" s="34">
        <f t="shared" si="15"/>
        <v>976</v>
      </c>
      <c r="B978" s="218" t="s">
        <v>12496</v>
      </c>
      <c r="C978" s="1" t="s">
        <v>10345</v>
      </c>
      <c r="D978" s="34" t="s">
        <v>10346</v>
      </c>
      <c r="E978" s="34" t="s">
        <v>8572</v>
      </c>
      <c r="F978" s="6" t="s">
        <v>12497</v>
      </c>
      <c r="G978" s="218"/>
      <c r="H978" s="218" t="s">
        <v>12498</v>
      </c>
    </row>
    <row r="979" spans="1:8" ht="38.25">
      <c r="A979" s="34">
        <f t="shared" si="15"/>
        <v>977</v>
      </c>
      <c r="B979" s="218" t="s">
        <v>12499</v>
      </c>
      <c r="C979" s="1" t="s">
        <v>11079</v>
      </c>
      <c r="D979" s="34" t="s">
        <v>10361</v>
      </c>
      <c r="E979" s="34" t="s">
        <v>10288</v>
      </c>
      <c r="F979" s="6" t="s">
        <v>12500</v>
      </c>
      <c r="G979" s="218" t="s">
        <v>10364</v>
      </c>
      <c r="H979" s="218" t="s">
        <v>12501</v>
      </c>
    </row>
    <row r="980" spans="1:8">
      <c r="A980" s="34">
        <f t="shared" si="15"/>
        <v>978</v>
      </c>
      <c r="B980" s="218" t="s">
        <v>12502</v>
      </c>
      <c r="C980" s="1" t="s">
        <v>132</v>
      </c>
      <c r="D980" s="34" t="s">
        <v>10367</v>
      </c>
      <c r="E980" s="34" t="s">
        <v>10300</v>
      </c>
      <c r="F980" s="6" t="s">
        <v>12503</v>
      </c>
      <c r="G980" s="218" t="s">
        <v>10364</v>
      </c>
      <c r="H980" s="218" t="s">
        <v>10303</v>
      </c>
    </row>
    <row r="981" spans="1:8" ht="25.5">
      <c r="A981" s="34">
        <f t="shared" si="15"/>
        <v>979</v>
      </c>
      <c r="B981" s="218" t="s">
        <v>12064</v>
      </c>
      <c r="C981" s="1" t="s">
        <v>10370</v>
      </c>
      <c r="D981" s="34" t="s">
        <v>10371</v>
      </c>
      <c r="E981" s="34" t="s">
        <v>12504</v>
      </c>
      <c r="F981" s="6" t="s">
        <v>10395</v>
      </c>
      <c r="G981" s="218" t="s">
        <v>10374</v>
      </c>
      <c r="H981" s="218" t="s">
        <v>12505</v>
      </c>
    </row>
    <row r="982" spans="1:8" ht="25.5">
      <c r="A982" s="34">
        <f t="shared" si="15"/>
        <v>980</v>
      </c>
      <c r="B982" s="218" t="s">
        <v>12506</v>
      </c>
      <c r="C982" s="1" t="s">
        <v>122</v>
      </c>
      <c r="D982" s="34" t="s">
        <v>10367</v>
      </c>
      <c r="E982" s="34" t="s">
        <v>10402</v>
      </c>
      <c r="F982" s="6" t="s">
        <v>12507</v>
      </c>
      <c r="G982" s="218" t="s">
        <v>10364</v>
      </c>
      <c r="H982" s="218" t="s">
        <v>12508</v>
      </c>
    </row>
    <row r="983" spans="1:8" ht="25.5">
      <c r="A983" s="34">
        <f t="shared" si="15"/>
        <v>981</v>
      </c>
      <c r="B983" s="218" t="s">
        <v>12509</v>
      </c>
      <c r="C983" s="1" t="s">
        <v>10435</v>
      </c>
      <c r="D983" s="34" t="s">
        <v>10371</v>
      </c>
      <c r="E983" s="34" t="s">
        <v>9617</v>
      </c>
      <c r="F983" s="6" t="s">
        <v>12510</v>
      </c>
      <c r="G983" s="218" t="s">
        <v>10374</v>
      </c>
      <c r="H983" s="218" t="s">
        <v>12511</v>
      </c>
    </row>
    <row r="984" spans="1:8">
      <c r="A984" s="34">
        <f t="shared" si="15"/>
        <v>982</v>
      </c>
      <c r="B984" s="218" t="s">
        <v>10393</v>
      </c>
      <c r="C984" s="1" t="s">
        <v>10377</v>
      </c>
      <c r="D984" s="34" t="s">
        <v>10371</v>
      </c>
      <c r="E984" s="34" t="s">
        <v>10394</v>
      </c>
      <c r="F984" s="6" t="s">
        <v>10395</v>
      </c>
      <c r="G984" s="218"/>
      <c r="H984" s="218" t="s">
        <v>10396</v>
      </c>
    </row>
    <row r="985" spans="1:8" ht="25.5">
      <c r="A985" s="34">
        <f t="shared" si="15"/>
        <v>983</v>
      </c>
      <c r="B985" s="218" t="s">
        <v>12512</v>
      </c>
      <c r="C985" s="1" t="s">
        <v>10718</v>
      </c>
      <c r="D985" s="34" t="s">
        <v>10371</v>
      </c>
      <c r="E985" s="34" t="s">
        <v>12513</v>
      </c>
      <c r="F985" s="6" t="s">
        <v>12514</v>
      </c>
      <c r="G985" s="218" t="s">
        <v>10374</v>
      </c>
      <c r="H985" s="218" t="s">
        <v>12515</v>
      </c>
    </row>
    <row r="986" spans="1:8" ht="25.5">
      <c r="A986" s="34">
        <f t="shared" si="15"/>
        <v>984</v>
      </c>
      <c r="B986" s="218" t="s">
        <v>10389</v>
      </c>
      <c r="C986" s="1" t="s">
        <v>132</v>
      </c>
      <c r="D986" s="34" t="s">
        <v>10371</v>
      </c>
      <c r="E986" s="34" t="s">
        <v>10390</v>
      </c>
      <c r="F986" s="6" t="s">
        <v>10373</v>
      </c>
      <c r="G986" s="218" t="s">
        <v>10374</v>
      </c>
      <c r="H986" s="218" t="s">
        <v>10392</v>
      </c>
    </row>
    <row r="987" spans="1:8">
      <c r="A987" s="34">
        <f t="shared" si="15"/>
        <v>985</v>
      </c>
      <c r="B987" s="218" t="s">
        <v>12516</v>
      </c>
      <c r="C987" s="1" t="s">
        <v>132</v>
      </c>
      <c r="D987" s="34" t="s">
        <v>10371</v>
      </c>
      <c r="E987" s="34" t="s">
        <v>10891</v>
      </c>
      <c r="F987" s="6" t="s">
        <v>12517</v>
      </c>
      <c r="G987" s="218" t="s">
        <v>10374</v>
      </c>
      <c r="H987" s="218" t="s">
        <v>12518</v>
      </c>
    </row>
    <row r="988" spans="1:8">
      <c r="A988" s="34">
        <f t="shared" si="15"/>
        <v>986</v>
      </c>
      <c r="B988" s="218" t="s">
        <v>12519</v>
      </c>
      <c r="C988" s="1" t="s">
        <v>1889</v>
      </c>
      <c r="D988" s="34" t="s">
        <v>10371</v>
      </c>
      <c r="E988" s="34" t="s">
        <v>11114</v>
      </c>
      <c r="F988" s="6" t="s">
        <v>12520</v>
      </c>
      <c r="G988" s="218" t="s">
        <v>10374</v>
      </c>
      <c r="H988" s="218" t="s">
        <v>12521</v>
      </c>
    </row>
    <row r="989" spans="1:8" ht="25.5">
      <c r="A989" s="34">
        <f t="shared" si="15"/>
        <v>987</v>
      </c>
      <c r="B989" s="218" t="s">
        <v>10408</v>
      </c>
      <c r="C989" s="1" t="s">
        <v>1027</v>
      </c>
      <c r="D989" s="34" t="s">
        <v>10371</v>
      </c>
      <c r="E989" s="34" t="s">
        <v>11100</v>
      </c>
      <c r="F989" s="6" t="s">
        <v>12522</v>
      </c>
      <c r="G989" s="218" t="s">
        <v>10374</v>
      </c>
      <c r="H989" s="218" t="s">
        <v>10412</v>
      </c>
    </row>
    <row r="990" spans="1:8" ht="25.5">
      <c r="A990" s="34">
        <f t="shared" si="15"/>
        <v>988</v>
      </c>
      <c r="B990" s="218" t="s">
        <v>12523</v>
      </c>
      <c r="C990" s="1" t="s">
        <v>12524</v>
      </c>
      <c r="D990" s="34" t="s">
        <v>10414</v>
      </c>
      <c r="E990" s="34" t="s">
        <v>10705</v>
      </c>
      <c r="F990" s="6" t="s">
        <v>12525</v>
      </c>
      <c r="G990" s="218" t="s">
        <v>10374</v>
      </c>
      <c r="H990" s="218" t="s">
        <v>3057</v>
      </c>
    </row>
    <row r="991" spans="1:8" ht="25.5">
      <c r="A991" s="34">
        <f t="shared" si="15"/>
        <v>989</v>
      </c>
      <c r="B991" s="218" t="s">
        <v>12526</v>
      </c>
      <c r="C991" s="1" t="s">
        <v>10409</v>
      </c>
      <c r="D991" s="34" t="s">
        <v>10414</v>
      </c>
      <c r="E991" s="34" t="s">
        <v>11103</v>
      </c>
      <c r="F991" s="6" t="s">
        <v>11104</v>
      </c>
      <c r="G991" s="218" t="s">
        <v>10374</v>
      </c>
      <c r="H991" s="218" t="s">
        <v>12527</v>
      </c>
    </row>
    <row r="992" spans="1:8" ht="25.5">
      <c r="A992" s="34">
        <f t="shared" si="15"/>
        <v>990</v>
      </c>
      <c r="B992" s="218" t="s">
        <v>12528</v>
      </c>
      <c r="C992" s="1" t="s">
        <v>132</v>
      </c>
      <c r="D992" s="34" t="s">
        <v>10414</v>
      </c>
      <c r="E992" s="34" t="s">
        <v>10300</v>
      </c>
      <c r="F992" s="6" t="s">
        <v>12529</v>
      </c>
      <c r="G992" s="218" t="s">
        <v>10374</v>
      </c>
      <c r="H992" s="218" t="s">
        <v>12530</v>
      </c>
    </row>
    <row r="993" spans="1:8" ht="51">
      <c r="A993" s="34">
        <f t="shared" si="15"/>
        <v>991</v>
      </c>
      <c r="B993" s="218" t="s">
        <v>12531</v>
      </c>
      <c r="C993" s="1" t="s">
        <v>132</v>
      </c>
      <c r="D993" s="34" t="s">
        <v>10414</v>
      </c>
      <c r="E993" s="34" t="s">
        <v>10300</v>
      </c>
      <c r="F993" s="6" t="s">
        <v>12532</v>
      </c>
      <c r="G993" s="218" t="s">
        <v>10429</v>
      </c>
      <c r="H993" s="218" t="s">
        <v>10306</v>
      </c>
    </row>
    <row r="994" spans="1:8" ht="51">
      <c r="A994" s="34">
        <f t="shared" si="15"/>
        <v>992</v>
      </c>
      <c r="B994" s="218" t="s">
        <v>12533</v>
      </c>
      <c r="C994" s="1" t="s">
        <v>12534</v>
      </c>
      <c r="D994" s="34" t="s">
        <v>10414</v>
      </c>
      <c r="E994" s="34" t="s">
        <v>8590</v>
      </c>
      <c r="F994" s="6" t="s">
        <v>11614</v>
      </c>
      <c r="G994" s="218" t="s">
        <v>10429</v>
      </c>
      <c r="H994" s="218" t="s">
        <v>12535</v>
      </c>
    </row>
    <row r="995" spans="1:8" ht="51">
      <c r="A995" s="34">
        <f t="shared" si="15"/>
        <v>993</v>
      </c>
      <c r="B995" s="218" t="s">
        <v>12536</v>
      </c>
      <c r="C995" s="1" t="s">
        <v>12537</v>
      </c>
      <c r="D995" s="34" t="s">
        <v>10414</v>
      </c>
      <c r="E995" s="34" t="s">
        <v>10838</v>
      </c>
      <c r="F995" s="6" t="s">
        <v>12538</v>
      </c>
      <c r="G995" s="218" t="s">
        <v>12539</v>
      </c>
      <c r="H995" s="218" t="s">
        <v>12267</v>
      </c>
    </row>
    <row r="996" spans="1:8" ht="38.25">
      <c r="A996" s="34">
        <f t="shared" si="15"/>
        <v>994</v>
      </c>
      <c r="B996" s="218" t="s">
        <v>12540</v>
      </c>
      <c r="C996" s="1" t="s">
        <v>11082</v>
      </c>
      <c r="D996" s="34" t="s">
        <v>10414</v>
      </c>
      <c r="E996" s="34" t="s">
        <v>9617</v>
      </c>
      <c r="F996" s="6" t="s">
        <v>12541</v>
      </c>
      <c r="G996" s="218" t="s">
        <v>12542</v>
      </c>
      <c r="H996" s="218" t="s">
        <v>12543</v>
      </c>
    </row>
    <row r="997" spans="1:8" ht="51">
      <c r="A997" s="34">
        <f t="shared" si="15"/>
        <v>995</v>
      </c>
      <c r="B997" s="218" t="s">
        <v>12544</v>
      </c>
      <c r="C997" s="1" t="s">
        <v>10409</v>
      </c>
      <c r="D997" s="34" t="s">
        <v>10414</v>
      </c>
      <c r="E997" s="34" t="s">
        <v>11103</v>
      </c>
      <c r="F997" s="6" t="s">
        <v>12545</v>
      </c>
      <c r="G997" s="218" t="s">
        <v>10429</v>
      </c>
      <c r="H997" s="218" t="s">
        <v>12546</v>
      </c>
    </row>
    <row r="998" spans="1:8" ht="51">
      <c r="A998" s="34">
        <f t="shared" si="15"/>
        <v>996</v>
      </c>
      <c r="B998" s="218" t="s">
        <v>12547</v>
      </c>
      <c r="C998" s="1" t="s">
        <v>11079</v>
      </c>
      <c r="D998" s="34" t="s">
        <v>10414</v>
      </c>
      <c r="E998" s="34" t="s">
        <v>10288</v>
      </c>
      <c r="F998" s="6" t="s">
        <v>12548</v>
      </c>
      <c r="G998" s="218" t="s">
        <v>10429</v>
      </c>
      <c r="H998" s="218" t="s">
        <v>12549</v>
      </c>
    </row>
    <row r="999" spans="1:8" ht="51">
      <c r="A999" s="34">
        <f t="shared" si="15"/>
        <v>997</v>
      </c>
      <c r="B999" s="218" t="s">
        <v>12550</v>
      </c>
      <c r="C999" s="1" t="s">
        <v>1027</v>
      </c>
      <c r="D999" s="34" t="s">
        <v>10414</v>
      </c>
      <c r="E999" s="34" t="s">
        <v>10204</v>
      </c>
      <c r="F999" s="6" t="s">
        <v>12551</v>
      </c>
      <c r="G999" s="218" t="s">
        <v>10429</v>
      </c>
      <c r="H999" s="218" t="s">
        <v>12552</v>
      </c>
    </row>
    <row r="1000" spans="1:8" ht="51">
      <c r="A1000" s="34">
        <f t="shared" si="15"/>
        <v>998</v>
      </c>
      <c r="B1000" s="218" t="s">
        <v>12553</v>
      </c>
      <c r="C1000" s="1" t="s">
        <v>132</v>
      </c>
      <c r="D1000" s="34" t="s">
        <v>10414</v>
      </c>
      <c r="E1000" s="34" t="s">
        <v>9617</v>
      </c>
      <c r="F1000" s="6" t="s">
        <v>11211</v>
      </c>
      <c r="G1000" s="218" t="s">
        <v>10429</v>
      </c>
      <c r="H1000" s="218" t="s">
        <v>11999</v>
      </c>
    </row>
    <row r="1001" spans="1:8" ht="51">
      <c r="A1001" s="34">
        <f t="shared" si="15"/>
        <v>999</v>
      </c>
      <c r="B1001" s="218" t="s">
        <v>12554</v>
      </c>
      <c r="C1001" s="1" t="s">
        <v>132</v>
      </c>
      <c r="D1001" s="34" t="s">
        <v>10414</v>
      </c>
      <c r="E1001" s="34" t="s">
        <v>10300</v>
      </c>
      <c r="F1001" s="6" t="s">
        <v>12555</v>
      </c>
      <c r="G1001" s="218" t="s">
        <v>10429</v>
      </c>
      <c r="H1001" s="218" t="s">
        <v>12556</v>
      </c>
    </row>
    <row r="1002" spans="1:8" ht="38.25">
      <c r="A1002" s="34">
        <f t="shared" si="15"/>
        <v>1000</v>
      </c>
      <c r="B1002" s="218" t="s">
        <v>12557</v>
      </c>
      <c r="C1002" s="1" t="s">
        <v>10460</v>
      </c>
      <c r="D1002" s="34" t="s">
        <v>10189</v>
      </c>
      <c r="E1002" s="34" t="s">
        <v>10461</v>
      </c>
      <c r="F1002" s="6" t="s">
        <v>10462</v>
      </c>
      <c r="G1002" s="218" t="s">
        <v>10463</v>
      </c>
      <c r="H1002" s="218" t="s">
        <v>12558</v>
      </c>
    </row>
    <row r="1003" spans="1:8" ht="51">
      <c r="A1003" s="34">
        <f t="shared" si="15"/>
        <v>1001</v>
      </c>
      <c r="B1003" s="218" t="s">
        <v>12559</v>
      </c>
      <c r="C1003" s="1" t="s">
        <v>10370</v>
      </c>
      <c r="D1003" s="34" t="s">
        <v>12560</v>
      </c>
      <c r="E1003" s="34" t="s">
        <v>10952</v>
      </c>
      <c r="F1003" s="6" t="s">
        <v>12561</v>
      </c>
      <c r="G1003" s="218" t="s">
        <v>12562</v>
      </c>
      <c r="H1003" s="218" t="s">
        <v>12563</v>
      </c>
    </row>
    <row r="1004" spans="1:8" ht="25.5">
      <c r="A1004" s="34">
        <f t="shared" si="15"/>
        <v>1002</v>
      </c>
      <c r="B1004" s="218" t="s">
        <v>12564</v>
      </c>
      <c r="C1004" s="1" t="s">
        <v>158</v>
      </c>
      <c r="D1004" s="34" t="s">
        <v>10184</v>
      </c>
      <c r="E1004" s="34" t="s">
        <v>8590</v>
      </c>
      <c r="F1004" s="6" t="s">
        <v>12565</v>
      </c>
      <c r="G1004" s="218" t="s">
        <v>12566</v>
      </c>
      <c r="H1004" s="218" t="s">
        <v>11658</v>
      </c>
    </row>
    <row r="1005" spans="1:8" ht="38.25">
      <c r="A1005" s="34">
        <f t="shared" si="15"/>
        <v>1003</v>
      </c>
      <c r="B1005" s="218" t="s">
        <v>10479</v>
      </c>
      <c r="C1005" s="1" t="s">
        <v>132</v>
      </c>
      <c r="D1005" s="34" t="s">
        <v>10189</v>
      </c>
      <c r="E1005" s="34" t="s">
        <v>10300</v>
      </c>
      <c r="F1005" s="6" t="s">
        <v>10480</v>
      </c>
      <c r="G1005" s="218" t="s">
        <v>10302</v>
      </c>
      <c r="H1005" s="218" t="s">
        <v>12567</v>
      </c>
    </row>
    <row r="1006" spans="1:8" ht="25.5">
      <c r="A1006" s="34">
        <f t="shared" si="15"/>
        <v>1004</v>
      </c>
      <c r="B1006" s="218" t="s">
        <v>10485</v>
      </c>
      <c r="C1006" s="1" t="s">
        <v>10502</v>
      </c>
      <c r="D1006" s="34" t="s">
        <v>10189</v>
      </c>
      <c r="E1006" s="34" t="s">
        <v>8572</v>
      </c>
      <c r="F1006" s="6" t="s">
        <v>10487</v>
      </c>
      <c r="G1006" s="218" t="s">
        <v>12568</v>
      </c>
      <c r="H1006" s="218" t="s">
        <v>10726</v>
      </c>
    </row>
    <row r="1007" spans="1:8" ht="25.5">
      <c r="A1007" s="34">
        <f t="shared" si="15"/>
        <v>1005</v>
      </c>
      <c r="B1007" s="218" t="s">
        <v>10501</v>
      </c>
      <c r="C1007" s="1" t="s">
        <v>122</v>
      </c>
      <c r="D1007" s="34" t="s">
        <v>10189</v>
      </c>
      <c r="E1007" s="34" t="s">
        <v>10891</v>
      </c>
      <c r="F1007" s="6" t="s">
        <v>10622</v>
      </c>
      <c r="G1007" s="218" t="s">
        <v>10896</v>
      </c>
      <c r="H1007" s="218" t="s">
        <v>11910</v>
      </c>
    </row>
    <row r="1008" spans="1:8">
      <c r="A1008" s="34">
        <f t="shared" si="15"/>
        <v>1006</v>
      </c>
      <c r="B1008" s="218" t="s">
        <v>10501</v>
      </c>
      <c r="C1008" s="1" t="s">
        <v>132</v>
      </c>
      <c r="D1008" s="34" t="s">
        <v>10189</v>
      </c>
      <c r="E1008" s="34" t="s">
        <v>10891</v>
      </c>
      <c r="F1008" s="6" t="s">
        <v>12569</v>
      </c>
      <c r="G1008" s="218" t="s">
        <v>12570</v>
      </c>
      <c r="H1008" s="218" t="s">
        <v>11413</v>
      </c>
    </row>
    <row r="1009" spans="1:8" ht="25.5">
      <c r="A1009" s="34">
        <f t="shared" si="15"/>
        <v>1007</v>
      </c>
      <c r="B1009" s="218" t="s">
        <v>12571</v>
      </c>
      <c r="C1009" s="1" t="s">
        <v>132</v>
      </c>
      <c r="D1009" s="34" t="s">
        <v>10189</v>
      </c>
      <c r="E1009" s="34" t="s">
        <v>9617</v>
      </c>
      <c r="F1009" s="6" t="s">
        <v>10491</v>
      </c>
      <c r="G1009" s="218" t="s">
        <v>10492</v>
      </c>
      <c r="H1009" s="218" t="s">
        <v>12572</v>
      </c>
    </row>
    <row r="1010" spans="1:8" ht="25.5">
      <c r="A1010" s="34">
        <f t="shared" si="15"/>
        <v>1008</v>
      </c>
      <c r="B1010" s="218" t="s">
        <v>12573</v>
      </c>
      <c r="C1010" s="1" t="s">
        <v>10482</v>
      </c>
      <c r="D1010" s="34" t="s">
        <v>10189</v>
      </c>
      <c r="E1010" s="34" t="s">
        <v>9617</v>
      </c>
      <c r="F1010" s="6" t="s">
        <v>10491</v>
      </c>
      <c r="G1010" s="218" t="s">
        <v>10492</v>
      </c>
      <c r="H1010" s="218" t="s">
        <v>12574</v>
      </c>
    </row>
    <row r="1011" spans="1:8" ht="25.5">
      <c r="A1011" s="34">
        <f t="shared" si="15"/>
        <v>1009</v>
      </c>
      <c r="B1011" s="218" t="s">
        <v>12575</v>
      </c>
      <c r="C1011" s="1" t="s">
        <v>132</v>
      </c>
      <c r="D1011" s="34" t="s">
        <v>10189</v>
      </c>
      <c r="E1011" s="34" t="s">
        <v>10300</v>
      </c>
      <c r="F1011" s="6" t="s">
        <v>10512</v>
      </c>
      <c r="G1011" s="218" t="s">
        <v>10513</v>
      </c>
      <c r="H1011" s="218" t="s">
        <v>11563</v>
      </c>
    </row>
    <row r="1012" spans="1:8" ht="25.5">
      <c r="A1012" s="34">
        <f t="shared" si="15"/>
        <v>1010</v>
      </c>
      <c r="B1012" s="218" t="s">
        <v>10497</v>
      </c>
      <c r="C1012" s="1" t="s">
        <v>132</v>
      </c>
      <c r="D1012" s="34" t="s">
        <v>10218</v>
      </c>
      <c r="E1012" s="34" t="s">
        <v>10224</v>
      </c>
      <c r="F1012" s="6" t="s">
        <v>12576</v>
      </c>
      <c r="G1012" s="218" t="s">
        <v>10499</v>
      </c>
      <c r="H1012" s="218" t="s">
        <v>12462</v>
      </c>
    </row>
    <row r="1013" spans="1:8">
      <c r="A1013" s="34">
        <f t="shared" si="15"/>
        <v>1011</v>
      </c>
      <c r="B1013" s="218" t="s">
        <v>10501</v>
      </c>
      <c r="C1013" s="1" t="s">
        <v>132</v>
      </c>
      <c r="D1013" s="34" t="s">
        <v>10189</v>
      </c>
      <c r="E1013" s="34" t="s">
        <v>10224</v>
      </c>
      <c r="F1013" s="6" t="s">
        <v>12577</v>
      </c>
      <c r="G1013" s="218" t="s">
        <v>12578</v>
      </c>
      <c r="H1013" s="218" t="s">
        <v>10500</v>
      </c>
    </row>
    <row r="1014" spans="1:8" ht="25.5">
      <c r="A1014" s="34">
        <f t="shared" si="15"/>
        <v>1012</v>
      </c>
      <c r="B1014" s="218" t="s">
        <v>10501</v>
      </c>
      <c r="C1014" s="1" t="s">
        <v>10502</v>
      </c>
      <c r="D1014" s="34" t="s">
        <v>10189</v>
      </c>
      <c r="E1014" s="34" t="s">
        <v>10230</v>
      </c>
      <c r="F1014" s="6" t="s">
        <v>10491</v>
      </c>
      <c r="G1014" s="218" t="s">
        <v>10728</v>
      </c>
      <c r="H1014" s="218" t="s">
        <v>11876</v>
      </c>
    </row>
    <row r="1015" spans="1:8" ht="25.5">
      <c r="A1015" s="34">
        <f t="shared" si="15"/>
        <v>1013</v>
      </c>
      <c r="B1015" s="218" t="s">
        <v>10501</v>
      </c>
      <c r="C1015" s="1" t="s">
        <v>10377</v>
      </c>
      <c r="D1015" s="34" t="s">
        <v>10189</v>
      </c>
      <c r="E1015" s="34" t="s">
        <v>10856</v>
      </c>
      <c r="F1015" s="6" t="s">
        <v>12579</v>
      </c>
      <c r="G1015" s="218" t="s">
        <v>10858</v>
      </c>
      <c r="H1015" s="218" t="s">
        <v>12580</v>
      </c>
    </row>
    <row r="1016" spans="1:8" ht="25.5">
      <c r="A1016" s="34">
        <f t="shared" si="15"/>
        <v>1014</v>
      </c>
      <c r="B1016" s="218" t="s">
        <v>12581</v>
      </c>
      <c r="C1016" s="1" t="s">
        <v>10482</v>
      </c>
      <c r="D1016" s="34" t="s">
        <v>10189</v>
      </c>
      <c r="E1016" s="34" t="s">
        <v>10300</v>
      </c>
      <c r="F1016" s="6" t="s">
        <v>10483</v>
      </c>
      <c r="G1016" s="218" t="s">
        <v>10513</v>
      </c>
      <c r="H1016" s="218" t="s">
        <v>11164</v>
      </c>
    </row>
    <row r="1017" spans="1:8">
      <c r="A1017" s="34">
        <f t="shared" si="15"/>
        <v>1015</v>
      </c>
      <c r="B1017" s="218" t="s">
        <v>10501</v>
      </c>
      <c r="C1017" s="1" t="s">
        <v>132</v>
      </c>
      <c r="D1017" s="34" t="s">
        <v>10189</v>
      </c>
      <c r="E1017" s="34" t="s">
        <v>10390</v>
      </c>
      <c r="F1017" s="6" t="s">
        <v>12582</v>
      </c>
      <c r="G1017" s="218" t="s">
        <v>8605</v>
      </c>
      <c r="H1017" s="218" t="s">
        <v>12583</v>
      </c>
    </row>
    <row r="1018" spans="1:8" ht="25.5">
      <c r="A1018" s="34">
        <f t="shared" si="15"/>
        <v>1016</v>
      </c>
      <c r="B1018" s="218" t="s">
        <v>10501</v>
      </c>
      <c r="C1018" s="1" t="s">
        <v>10377</v>
      </c>
      <c r="D1018" s="34" t="s">
        <v>10189</v>
      </c>
      <c r="E1018" s="34" t="s">
        <v>10705</v>
      </c>
      <c r="F1018" s="6" t="s">
        <v>10715</v>
      </c>
      <c r="G1018" s="218" t="s">
        <v>10707</v>
      </c>
      <c r="H1018" s="218" t="s">
        <v>11964</v>
      </c>
    </row>
    <row r="1019" spans="1:8" ht="25.5">
      <c r="A1019" s="34">
        <f t="shared" si="15"/>
        <v>1017</v>
      </c>
      <c r="B1019" s="218" t="s">
        <v>12584</v>
      </c>
      <c r="C1019" s="1" t="s">
        <v>132</v>
      </c>
      <c r="D1019" s="34" t="s">
        <v>10189</v>
      </c>
      <c r="E1019" s="34" t="s">
        <v>10300</v>
      </c>
      <c r="F1019" s="6" t="s">
        <v>10512</v>
      </c>
      <c r="G1019" s="218" t="s">
        <v>10513</v>
      </c>
      <c r="H1019" s="218" t="s">
        <v>10314</v>
      </c>
    </row>
    <row r="1020" spans="1:8" ht="25.5">
      <c r="A1020" s="34">
        <f t="shared" si="15"/>
        <v>1018</v>
      </c>
      <c r="B1020" s="218" t="s">
        <v>12585</v>
      </c>
      <c r="C1020" s="1" t="s">
        <v>132</v>
      </c>
      <c r="D1020" s="34" t="s">
        <v>10189</v>
      </c>
      <c r="E1020" s="34" t="s">
        <v>10300</v>
      </c>
      <c r="F1020" s="6" t="s">
        <v>10483</v>
      </c>
      <c r="G1020" s="218" t="s">
        <v>10513</v>
      </c>
      <c r="H1020" s="218" t="s">
        <v>10260</v>
      </c>
    </row>
    <row r="1021" spans="1:8" ht="25.5">
      <c r="A1021" s="34">
        <f t="shared" si="15"/>
        <v>1019</v>
      </c>
      <c r="B1021" s="218" t="s">
        <v>10485</v>
      </c>
      <c r="C1021" s="1" t="s">
        <v>122</v>
      </c>
      <c r="D1021" s="34" t="s">
        <v>10189</v>
      </c>
      <c r="E1021" s="34" t="s">
        <v>10621</v>
      </c>
      <c r="F1021" s="6" t="s">
        <v>10487</v>
      </c>
      <c r="G1021" s="218" t="s">
        <v>10488</v>
      </c>
      <c r="H1021" s="218" t="s">
        <v>12586</v>
      </c>
    </row>
    <row r="1022" spans="1:8" ht="25.5">
      <c r="A1022" s="34">
        <f t="shared" si="15"/>
        <v>1020</v>
      </c>
      <c r="B1022" s="218" t="s">
        <v>12587</v>
      </c>
      <c r="C1022" s="1" t="s">
        <v>10345</v>
      </c>
      <c r="D1022" s="34" t="s">
        <v>10902</v>
      </c>
      <c r="E1022" s="34" t="s">
        <v>12058</v>
      </c>
      <c r="F1022" s="6" t="s">
        <v>10588</v>
      </c>
      <c r="G1022" s="218" t="s">
        <v>12588</v>
      </c>
      <c r="H1022" s="218" t="s">
        <v>11492</v>
      </c>
    </row>
    <row r="1023" spans="1:8" ht="25.5">
      <c r="A1023" s="34">
        <f t="shared" si="15"/>
        <v>1021</v>
      </c>
      <c r="B1023" s="218" t="s">
        <v>12589</v>
      </c>
      <c r="C1023" s="1" t="s">
        <v>122</v>
      </c>
      <c r="D1023" s="34" t="s">
        <v>10189</v>
      </c>
      <c r="E1023" s="34" t="s">
        <v>10273</v>
      </c>
      <c r="F1023" s="6" t="s">
        <v>12590</v>
      </c>
      <c r="G1023" s="218" t="s">
        <v>12591</v>
      </c>
      <c r="H1023" s="218" t="s">
        <v>10276</v>
      </c>
    </row>
    <row r="1024" spans="1:8" ht="25.5">
      <c r="A1024" s="34">
        <f t="shared" si="15"/>
        <v>1022</v>
      </c>
      <c r="B1024" s="218" t="s">
        <v>10532</v>
      </c>
      <c r="C1024" s="1" t="s">
        <v>212</v>
      </c>
      <c r="D1024" s="34" t="s">
        <v>10521</v>
      </c>
      <c r="E1024" s="34" t="s">
        <v>10554</v>
      </c>
      <c r="F1024" s="6" t="s">
        <v>10562</v>
      </c>
      <c r="G1024" s="218" t="s">
        <v>10556</v>
      </c>
      <c r="H1024" s="218" t="s">
        <v>12592</v>
      </c>
    </row>
    <row r="1025" spans="1:8" ht="25.5">
      <c r="A1025" s="34">
        <f t="shared" si="15"/>
        <v>1023</v>
      </c>
      <c r="B1025" s="218" t="s">
        <v>10550</v>
      </c>
      <c r="C1025" s="1" t="s">
        <v>132</v>
      </c>
      <c r="D1025" s="34" t="s">
        <v>10521</v>
      </c>
      <c r="E1025" s="34" t="s">
        <v>9617</v>
      </c>
      <c r="F1025" s="6" t="s">
        <v>10611</v>
      </c>
      <c r="G1025" s="218" t="s">
        <v>10665</v>
      </c>
      <c r="H1025" s="218" t="s">
        <v>12593</v>
      </c>
    </row>
    <row r="1026" spans="1:8" ht="25.5">
      <c r="A1026" s="34">
        <f t="shared" si="15"/>
        <v>1024</v>
      </c>
      <c r="B1026" s="218" t="s">
        <v>10520</v>
      </c>
      <c r="C1026" s="1" t="s">
        <v>132</v>
      </c>
      <c r="D1026" s="34" t="s">
        <v>10521</v>
      </c>
      <c r="E1026" s="34" t="s">
        <v>10341</v>
      </c>
      <c r="F1026" s="6" t="s">
        <v>10562</v>
      </c>
      <c r="G1026" s="218" t="s">
        <v>10563</v>
      </c>
      <c r="H1026" s="218" t="s">
        <v>12594</v>
      </c>
    </row>
    <row r="1027" spans="1:8" ht="25.5">
      <c r="A1027" s="34">
        <f t="shared" si="15"/>
        <v>1025</v>
      </c>
      <c r="B1027" s="218" t="s">
        <v>10532</v>
      </c>
      <c r="C1027" s="1" t="s">
        <v>132</v>
      </c>
      <c r="D1027" s="34" t="s">
        <v>10521</v>
      </c>
      <c r="E1027" s="34" t="s">
        <v>12595</v>
      </c>
      <c r="F1027" s="6" t="s">
        <v>10534</v>
      </c>
      <c r="G1027" s="218" t="s">
        <v>10535</v>
      </c>
      <c r="H1027" s="218" t="s">
        <v>12596</v>
      </c>
    </row>
    <row r="1028" spans="1:8" ht="25.5">
      <c r="A1028" s="34">
        <f t="shared" ref="A1028:A1091" si="16">A1027+1</f>
        <v>1026</v>
      </c>
      <c r="B1028" s="218" t="s">
        <v>10520</v>
      </c>
      <c r="C1028" s="1" t="s">
        <v>132</v>
      </c>
      <c r="D1028" s="34" t="s">
        <v>10521</v>
      </c>
      <c r="E1028" s="34" t="s">
        <v>10341</v>
      </c>
      <c r="F1028" s="6" t="s">
        <v>10562</v>
      </c>
      <c r="G1028" s="218" t="s">
        <v>10563</v>
      </c>
      <c r="H1028" s="218" t="s">
        <v>12597</v>
      </c>
    </row>
    <row r="1029" spans="1:8" ht="25.5">
      <c r="A1029" s="34">
        <f t="shared" si="16"/>
        <v>1027</v>
      </c>
      <c r="B1029" s="218" t="s">
        <v>12598</v>
      </c>
      <c r="C1029" s="1" t="s">
        <v>132</v>
      </c>
      <c r="D1029" s="34" t="s">
        <v>10521</v>
      </c>
      <c r="E1029" s="34" t="s">
        <v>9617</v>
      </c>
      <c r="F1029" s="6" t="s">
        <v>12599</v>
      </c>
      <c r="G1029" s="218" t="s">
        <v>10572</v>
      </c>
      <c r="H1029" s="218" t="s">
        <v>12600</v>
      </c>
    </row>
    <row r="1030" spans="1:8" ht="25.5">
      <c r="A1030" s="34">
        <f t="shared" si="16"/>
        <v>1028</v>
      </c>
      <c r="B1030" s="218" t="s">
        <v>10520</v>
      </c>
      <c r="C1030" s="1" t="s">
        <v>132</v>
      </c>
      <c r="D1030" s="34" t="s">
        <v>10521</v>
      </c>
      <c r="E1030" s="34" t="s">
        <v>10341</v>
      </c>
      <c r="F1030" s="6" t="s">
        <v>12601</v>
      </c>
      <c r="G1030" s="218" t="s">
        <v>10563</v>
      </c>
      <c r="H1030" s="218" t="s">
        <v>12602</v>
      </c>
    </row>
    <row r="1031" spans="1:8" ht="25.5">
      <c r="A1031" s="34">
        <f t="shared" si="16"/>
        <v>1029</v>
      </c>
      <c r="B1031" s="218" t="s">
        <v>10520</v>
      </c>
      <c r="C1031" s="1" t="s">
        <v>132</v>
      </c>
      <c r="D1031" s="34" t="s">
        <v>10521</v>
      </c>
      <c r="E1031" s="34" t="s">
        <v>10542</v>
      </c>
      <c r="F1031" s="6" t="s">
        <v>11197</v>
      </c>
      <c r="G1031" s="218" t="s">
        <v>10544</v>
      </c>
      <c r="H1031" s="218" t="s">
        <v>11208</v>
      </c>
    </row>
    <row r="1032" spans="1:8" ht="25.5">
      <c r="A1032" s="34">
        <f t="shared" si="16"/>
        <v>1030</v>
      </c>
      <c r="B1032" s="218" t="s">
        <v>10532</v>
      </c>
      <c r="C1032" s="1" t="s">
        <v>132</v>
      </c>
      <c r="D1032" s="34" t="s">
        <v>10521</v>
      </c>
      <c r="E1032" s="34" t="s">
        <v>10533</v>
      </c>
      <c r="F1032" s="6" t="s">
        <v>10534</v>
      </c>
      <c r="G1032" s="218" t="s">
        <v>10535</v>
      </c>
      <c r="H1032" s="218" t="s">
        <v>12603</v>
      </c>
    </row>
    <row r="1033" spans="1:8" ht="25.5">
      <c r="A1033" s="34">
        <f t="shared" si="16"/>
        <v>1031</v>
      </c>
      <c r="B1033" s="218" t="s">
        <v>12598</v>
      </c>
      <c r="C1033" s="1" t="s">
        <v>132</v>
      </c>
      <c r="D1033" s="34" t="s">
        <v>10521</v>
      </c>
      <c r="E1033" s="34" t="s">
        <v>9617</v>
      </c>
      <c r="F1033" s="6" t="s">
        <v>11211</v>
      </c>
      <c r="G1033" s="218" t="s">
        <v>10552</v>
      </c>
      <c r="H1033" s="218" t="s">
        <v>12604</v>
      </c>
    </row>
    <row r="1034" spans="1:8" ht="25.5">
      <c r="A1034" s="34">
        <f t="shared" si="16"/>
        <v>1032</v>
      </c>
      <c r="B1034" s="218" t="s">
        <v>10550</v>
      </c>
      <c r="C1034" s="1" t="s">
        <v>132</v>
      </c>
      <c r="D1034" s="34" t="s">
        <v>10521</v>
      </c>
      <c r="E1034" s="34" t="s">
        <v>9617</v>
      </c>
      <c r="F1034" s="6" t="s">
        <v>10669</v>
      </c>
      <c r="G1034" s="218" t="s">
        <v>10552</v>
      </c>
      <c r="H1034" s="218" t="s">
        <v>12605</v>
      </c>
    </row>
    <row r="1035" spans="1:8" ht="25.5">
      <c r="A1035" s="34">
        <f t="shared" si="16"/>
        <v>1033</v>
      </c>
      <c r="B1035" s="218" t="s">
        <v>10550</v>
      </c>
      <c r="C1035" s="1" t="s">
        <v>132</v>
      </c>
      <c r="D1035" s="34" t="s">
        <v>10521</v>
      </c>
      <c r="E1035" s="34" t="s">
        <v>9617</v>
      </c>
      <c r="F1035" s="6" t="s">
        <v>11197</v>
      </c>
      <c r="G1035" s="218" t="s">
        <v>10552</v>
      </c>
      <c r="H1035" s="218" t="s">
        <v>12606</v>
      </c>
    </row>
    <row r="1036" spans="1:8">
      <c r="A1036" s="34">
        <f t="shared" si="16"/>
        <v>1034</v>
      </c>
      <c r="B1036" s="218" t="s">
        <v>10501</v>
      </c>
      <c r="C1036" s="1" t="s">
        <v>10377</v>
      </c>
      <c r="D1036" s="34" t="s">
        <v>10189</v>
      </c>
      <c r="E1036" s="34" t="s">
        <v>10705</v>
      </c>
      <c r="F1036" s="6" t="s">
        <v>12607</v>
      </c>
      <c r="G1036" s="218" t="s">
        <v>8680</v>
      </c>
      <c r="H1036" s="218" t="s">
        <v>11964</v>
      </c>
    </row>
    <row r="1037" spans="1:8" ht="25.5">
      <c r="A1037" s="34">
        <f t="shared" si="16"/>
        <v>1035</v>
      </c>
      <c r="B1037" s="218" t="s">
        <v>10520</v>
      </c>
      <c r="C1037" s="1" t="s">
        <v>132</v>
      </c>
      <c r="D1037" s="34" t="s">
        <v>10521</v>
      </c>
      <c r="E1037" s="34" t="s">
        <v>10542</v>
      </c>
      <c r="F1037" s="6" t="s">
        <v>12608</v>
      </c>
      <c r="G1037" s="218" t="s">
        <v>11200</v>
      </c>
      <c r="H1037" s="218" t="s">
        <v>12609</v>
      </c>
    </row>
    <row r="1038" spans="1:8" ht="25.5">
      <c r="A1038" s="34">
        <f t="shared" si="16"/>
        <v>1036</v>
      </c>
      <c r="B1038" s="218" t="s">
        <v>10520</v>
      </c>
      <c r="C1038" s="1" t="s">
        <v>132</v>
      </c>
      <c r="D1038" s="34" t="s">
        <v>10521</v>
      </c>
      <c r="E1038" s="34" t="s">
        <v>10542</v>
      </c>
      <c r="F1038" s="6" t="s">
        <v>10342</v>
      </c>
      <c r="G1038" s="218" t="s">
        <v>11200</v>
      </c>
      <c r="H1038" s="218" t="s">
        <v>12610</v>
      </c>
    </row>
    <row r="1039" spans="1:8" ht="25.5">
      <c r="A1039" s="34">
        <f t="shared" si="16"/>
        <v>1037</v>
      </c>
      <c r="B1039" s="218" t="s">
        <v>10615</v>
      </c>
      <c r="C1039" s="1" t="s">
        <v>132</v>
      </c>
      <c r="D1039" s="34" t="s">
        <v>10521</v>
      </c>
      <c r="E1039" s="34" t="s">
        <v>10341</v>
      </c>
      <c r="F1039" s="6" t="s">
        <v>12611</v>
      </c>
      <c r="G1039" s="218" t="s">
        <v>10563</v>
      </c>
      <c r="H1039" s="218" t="s">
        <v>12612</v>
      </c>
    </row>
    <row r="1040" spans="1:8" ht="25.5">
      <c r="A1040" s="34">
        <f t="shared" si="16"/>
        <v>1038</v>
      </c>
      <c r="B1040" s="218" t="s">
        <v>12613</v>
      </c>
      <c r="C1040" s="1" t="s">
        <v>212</v>
      </c>
      <c r="D1040" s="34" t="s">
        <v>10520</v>
      </c>
      <c r="E1040" s="34" t="s">
        <v>10567</v>
      </c>
      <c r="F1040" s="6" t="s">
        <v>11702</v>
      </c>
      <c r="G1040" s="218" t="s">
        <v>12614</v>
      </c>
      <c r="H1040" s="218" t="s">
        <v>12615</v>
      </c>
    </row>
    <row r="1041" spans="1:8" ht="25.5">
      <c r="A1041" s="34">
        <f t="shared" si="16"/>
        <v>1039</v>
      </c>
      <c r="B1041" s="218" t="s">
        <v>10520</v>
      </c>
      <c r="C1041" s="1" t="s">
        <v>212</v>
      </c>
      <c r="D1041" s="34" t="s">
        <v>10521</v>
      </c>
      <c r="E1041" s="34" t="s">
        <v>10591</v>
      </c>
      <c r="F1041" s="6" t="s">
        <v>11219</v>
      </c>
      <c r="G1041" s="218" t="s">
        <v>11220</v>
      </c>
      <c r="H1041" s="218" t="s">
        <v>12616</v>
      </c>
    </row>
    <row r="1042" spans="1:8" ht="25.5">
      <c r="A1042" s="34">
        <f t="shared" si="16"/>
        <v>1040</v>
      </c>
      <c r="B1042" s="218" t="s">
        <v>10520</v>
      </c>
      <c r="C1042" s="1" t="s">
        <v>132</v>
      </c>
      <c r="D1042" s="34" t="s">
        <v>10521</v>
      </c>
      <c r="E1042" s="34" t="s">
        <v>10300</v>
      </c>
      <c r="F1042" s="6" t="s">
        <v>12617</v>
      </c>
      <c r="G1042" s="218" t="s">
        <v>12618</v>
      </c>
      <c r="H1042" s="218" t="s">
        <v>12619</v>
      </c>
    </row>
    <row r="1043" spans="1:8" ht="25.5">
      <c r="A1043" s="34">
        <f t="shared" si="16"/>
        <v>1041</v>
      </c>
      <c r="B1043" s="218" t="s">
        <v>10550</v>
      </c>
      <c r="C1043" s="1" t="s">
        <v>132</v>
      </c>
      <c r="D1043" s="34" t="s">
        <v>10521</v>
      </c>
      <c r="E1043" s="34" t="s">
        <v>9617</v>
      </c>
      <c r="F1043" s="6" t="s">
        <v>12620</v>
      </c>
      <c r="G1043" s="218" t="s">
        <v>11713</v>
      </c>
      <c r="H1043" s="218" t="s">
        <v>12621</v>
      </c>
    </row>
    <row r="1044" spans="1:8" ht="25.5">
      <c r="A1044" s="34">
        <f t="shared" si="16"/>
        <v>1042</v>
      </c>
      <c r="B1044" s="218" t="s">
        <v>10520</v>
      </c>
      <c r="C1044" s="1" t="s">
        <v>212</v>
      </c>
      <c r="D1044" s="34" t="s">
        <v>10521</v>
      </c>
      <c r="E1044" s="34" t="s">
        <v>10591</v>
      </c>
      <c r="F1044" s="6" t="s">
        <v>12622</v>
      </c>
      <c r="G1044" s="218" t="s">
        <v>10602</v>
      </c>
      <c r="H1044" s="218" t="s">
        <v>12623</v>
      </c>
    </row>
    <row r="1045" spans="1:8" ht="25.5">
      <c r="A1045" s="34">
        <f t="shared" si="16"/>
        <v>1043</v>
      </c>
      <c r="B1045" s="218" t="s">
        <v>10520</v>
      </c>
      <c r="C1045" s="1" t="s">
        <v>132</v>
      </c>
      <c r="D1045" s="34" t="s">
        <v>10521</v>
      </c>
      <c r="E1045" s="34" t="s">
        <v>11478</v>
      </c>
      <c r="F1045" s="6" t="s">
        <v>12624</v>
      </c>
      <c r="G1045" s="218" t="s">
        <v>11737</v>
      </c>
      <c r="H1045" s="218" t="s">
        <v>12625</v>
      </c>
    </row>
    <row r="1046" spans="1:8" ht="25.5">
      <c r="A1046" s="34">
        <f t="shared" si="16"/>
        <v>1044</v>
      </c>
      <c r="B1046" s="218" t="s">
        <v>10532</v>
      </c>
      <c r="C1046" s="1" t="s">
        <v>132</v>
      </c>
      <c r="D1046" s="34" t="s">
        <v>10521</v>
      </c>
      <c r="E1046" s="34" t="s">
        <v>11114</v>
      </c>
      <c r="F1046" s="6" t="s">
        <v>12185</v>
      </c>
      <c r="G1046" s="218" t="s">
        <v>12186</v>
      </c>
      <c r="H1046" s="218" t="s">
        <v>12626</v>
      </c>
    </row>
    <row r="1047" spans="1:8" ht="25.5">
      <c r="A1047" s="34">
        <f t="shared" si="16"/>
        <v>1045</v>
      </c>
      <c r="B1047" s="218" t="s">
        <v>10520</v>
      </c>
      <c r="C1047" s="1" t="s">
        <v>10600</v>
      </c>
      <c r="D1047" s="34" t="s">
        <v>10521</v>
      </c>
      <c r="E1047" s="34" t="s">
        <v>10591</v>
      </c>
      <c r="F1047" s="6" t="s">
        <v>10592</v>
      </c>
      <c r="G1047" s="218" t="s">
        <v>10602</v>
      </c>
      <c r="H1047" s="218" t="s">
        <v>12627</v>
      </c>
    </row>
    <row r="1048" spans="1:8" ht="25.5">
      <c r="A1048" s="34">
        <f t="shared" si="16"/>
        <v>1046</v>
      </c>
      <c r="B1048" s="218" t="s">
        <v>10520</v>
      </c>
      <c r="C1048" s="1" t="s">
        <v>132</v>
      </c>
      <c r="D1048" s="34" t="s">
        <v>10521</v>
      </c>
      <c r="E1048" s="34" t="s">
        <v>10526</v>
      </c>
      <c r="F1048" s="6" t="s">
        <v>12628</v>
      </c>
      <c r="G1048" s="218" t="s">
        <v>11237</v>
      </c>
      <c r="H1048" s="218" t="s">
        <v>12629</v>
      </c>
    </row>
    <row r="1049" spans="1:8" ht="25.5">
      <c r="A1049" s="34">
        <f t="shared" si="16"/>
        <v>1047</v>
      </c>
      <c r="B1049" s="218" t="s">
        <v>10520</v>
      </c>
      <c r="C1049" s="1" t="s">
        <v>212</v>
      </c>
      <c r="D1049" s="34" t="s">
        <v>10521</v>
      </c>
      <c r="E1049" s="34" t="s">
        <v>10591</v>
      </c>
      <c r="F1049" s="6" t="s">
        <v>10571</v>
      </c>
      <c r="G1049" s="218" t="s">
        <v>10602</v>
      </c>
      <c r="H1049" s="218" t="s">
        <v>12630</v>
      </c>
    </row>
    <row r="1050" spans="1:8" ht="25.5">
      <c r="A1050" s="34">
        <f t="shared" si="16"/>
        <v>1048</v>
      </c>
      <c r="B1050" s="218" t="s">
        <v>10520</v>
      </c>
      <c r="C1050" s="1" t="s">
        <v>132</v>
      </c>
      <c r="D1050" s="34" t="s">
        <v>10521</v>
      </c>
      <c r="E1050" s="34" t="s">
        <v>9617</v>
      </c>
      <c r="F1050" s="6" t="s">
        <v>10294</v>
      </c>
      <c r="G1050" s="218" t="s">
        <v>11713</v>
      </c>
      <c r="H1050" s="218" t="s">
        <v>12631</v>
      </c>
    </row>
    <row r="1051" spans="1:8" ht="25.5">
      <c r="A1051" s="34">
        <f t="shared" si="16"/>
        <v>1049</v>
      </c>
      <c r="B1051" s="218" t="s">
        <v>10520</v>
      </c>
      <c r="C1051" s="1" t="s">
        <v>132</v>
      </c>
      <c r="D1051" s="34" t="s">
        <v>10521</v>
      </c>
      <c r="E1051" s="34" t="s">
        <v>10607</v>
      </c>
      <c r="F1051" s="6" t="s">
        <v>10608</v>
      </c>
      <c r="G1051" s="218" t="s">
        <v>10609</v>
      </c>
      <c r="H1051" s="218" t="s">
        <v>12632</v>
      </c>
    </row>
    <row r="1052" spans="1:8" ht="25.5">
      <c r="A1052" s="34">
        <f t="shared" si="16"/>
        <v>1050</v>
      </c>
      <c r="B1052" s="218" t="s">
        <v>10520</v>
      </c>
      <c r="C1052" s="1" t="s">
        <v>132</v>
      </c>
      <c r="D1052" s="34" t="s">
        <v>10520</v>
      </c>
      <c r="E1052" s="34" t="s">
        <v>10607</v>
      </c>
      <c r="F1052" s="6" t="s">
        <v>10608</v>
      </c>
      <c r="G1052" s="218" t="s">
        <v>10609</v>
      </c>
      <c r="H1052" s="218" t="s">
        <v>12633</v>
      </c>
    </row>
    <row r="1053" spans="1:8" ht="25.5">
      <c r="A1053" s="34">
        <f t="shared" si="16"/>
        <v>1051</v>
      </c>
      <c r="B1053" s="218" t="s">
        <v>10520</v>
      </c>
      <c r="C1053" s="1" t="s">
        <v>132</v>
      </c>
      <c r="D1053" s="34" t="s">
        <v>10520</v>
      </c>
      <c r="E1053" s="34" t="s">
        <v>10607</v>
      </c>
      <c r="F1053" s="6" t="s">
        <v>10634</v>
      </c>
      <c r="G1053" s="218" t="s">
        <v>10609</v>
      </c>
      <c r="H1053" s="218" t="s">
        <v>12634</v>
      </c>
    </row>
    <row r="1054" spans="1:8" ht="25.5">
      <c r="A1054" s="34">
        <f t="shared" si="16"/>
        <v>1052</v>
      </c>
      <c r="B1054" s="218" t="s">
        <v>10520</v>
      </c>
      <c r="C1054" s="1" t="s">
        <v>132</v>
      </c>
      <c r="D1054" s="34" t="s">
        <v>10520</v>
      </c>
      <c r="E1054" s="34" t="s">
        <v>10607</v>
      </c>
      <c r="F1054" s="6" t="s">
        <v>10613</v>
      </c>
      <c r="G1054" s="218" t="s">
        <v>10609</v>
      </c>
      <c r="H1054" s="218" t="s">
        <v>12635</v>
      </c>
    </row>
    <row r="1055" spans="1:8" ht="25.5">
      <c r="A1055" s="34">
        <f t="shared" si="16"/>
        <v>1053</v>
      </c>
      <c r="B1055" s="218" t="s">
        <v>10520</v>
      </c>
      <c r="C1055" s="1" t="s">
        <v>132</v>
      </c>
      <c r="D1055" s="34" t="s">
        <v>10520</v>
      </c>
      <c r="E1055" s="34" t="s">
        <v>10607</v>
      </c>
      <c r="F1055" s="6" t="s">
        <v>10613</v>
      </c>
      <c r="G1055" s="218" t="s">
        <v>10609</v>
      </c>
      <c r="H1055" s="218" t="s">
        <v>12636</v>
      </c>
    </row>
    <row r="1056" spans="1:8" ht="25.5">
      <c r="A1056" s="34">
        <f t="shared" si="16"/>
        <v>1054</v>
      </c>
      <c r="B1056" s="218" t="s">
        <v>12637</v>
      </c>
      <c r="C1056" s="1" t="s">
        <v>10345</v>
      </c>
      <c r="D1056" s="34" t="s">
        <v>10587</v>
      </c>
      <c r="E1056" s="34" t="s">
        <v>12638</v>
      </c>
      <c r="F1056" s="6" t="s">
        <v>12292</v>
      </c>
      <c r="G1056" s="218" t="s">
        <v>8060</v>
      </c>
      <c r="H1056" s="218" t="s">
        <v>12639</v>
      </c>
    </row>
    <row r="1057" spans="1:8" ht="25.5">
      <c r="A1057" s="34">
        <f t="shared" si="16"/>
        <v>1055</v>
      </c>
      <c r="B1057" s="218" t="s">
        <v>10520</v>
      </c>
      <c r="C1057" s="1" t="s">
        <v>132</v>
      </c>
      <c r="D1057" s="34" t="s">
        <v>10521</v>
      </c>
      <c r="E1057" s="34" t="s">
        <v>10341</v>
      </c>
      <c r="F1057" s="6" t="s">
        <v>12640</v>
      </c>
      <c r="G1057" s="218" t="s">
        <v>12641</v>
      </c>
      <c r="H1057" s="218" t="s">
        <v>12642</v>
      </c>
    </row>
    <row r="1058" spans="1:8" ht="25.5">
      <c r="A1058" s="34">
        <f t="shared" si="16"/>
        <v>1056</v>
      </c>
      <c r="B1058" s="218" t="s">
        <v>10520</v>
      </c>
      <c r="C1058" s="1" t="s">
        <v>132</v>
      </c>
      <c r="D1058" s="34" t="s">
        <v>10520</v>
      </c>
      <c r="E1058" s="34" t="s">
        <v>11246</v>
      </c>
      <c r="F1058" s="6" t="s">
        <v>11739</v>
      </c>
      <c r="G1058" s="218" t="s">
        <v>11248</v>
      </c>
      <c r="H1058" s="218" t="s">
        <v>12643</v>
      </c>
    </row>
    <row r="1059" spans="1:8" ht="25.5">
      <c r="A1059" s="34">
        <f t="shared" si="16"/>
        <v>1057</v>
      </c>
      <c r="B1059" s="218" t="s">
        <v>12644</v>
      </c>
      <c r="C1059" s="1" t="s">
        <v>10345</v>
      </c>
      <c r="D1059" s="34" t="s">
        <v>10587</v>
      </c>
      <c r="E1059" s="34" t="s">
        <v>12645</v>
      </c>
      <c r="F1059" s="6" t="s">
        <v>11731</v>
      </c>
      <c r="G1059" s="218" t="s">
        <v>8060</v>
      </c>
      <c r="H1059" s="218" t="s">
        <v>12646</v>
      </c>
    </row>
    <row r="1060" spans="1:8" ht="25.5">
      <c r="A1060" s="34">
        <f t="shared" si="16"/>
        <v>1058</v>
      </c>
      <c r="B1060" s="218" t="s">
        <v>12211</v>
      </c>
      <c r="C1060" s="1" t="s">
        <v>11260</v>
      </c>
      <c r="D1060" s="34" t="s">
        <v>10587</v>
      </c>
      <c r="E1060" s="34" t="s">
        <v>12647</v>
      </c>
      <c r="F1060" s="6" t="s">
        <v>12648</v>
      </c>
      <c r="G1060" s="218" t="s">
        <v>8060</v>
      </c>
      <c r="H1060" s="218" t="s">
        <v>12214</v>
      </c>
    </row>
    <row r="1061" spans="1:8" ht="25.5">
      <c r="A1061" s="34">
        <f t="shared" si="16"/>
        <v>1059</v>
      </c>
      <c r="B1061" s="218" t="s">
        <v>10520</v>
      </c>
      <c r="C1061" s="1" t="s">
        <v>10377</v>
      </c>
      <c r="D1061" s="34" t="s">
        <v>10520</v>
      </c>
      <c r="E1061" s="34" t="s">
        <v>10293</v>
      </c>
      <c r="F1061" s="6" t="s">
        <v>12649</v>
      </c>
      <c r="G1061" s="218" t="s">
        <v>11234</v>
      </c>
      <c r="H1061" s="218" t="s">
        <v>12650</v>
      </c>
    </row>
    <row r="1062" spans="1:8" ht="25.5">
      <c r="A1062" s="34">
        <f t="shared" si="16"/>
        <v>1060</v>
      </c>
      <c r="B1062" s="218" t="s">
        <v>10501</v>
      </c>
      <c r="C1062" s="1" t="s">
        <v>132</v>
      </c>
      <c r="D1062" s="34" t="s">
        <v>10189</v>
      </c>
      <c r="E1062" s="34" t="s">
        <v>10650</v>
      </c>
      <c r="F1062" s="6" t="s">
        <v>12651</v>
      </c>
      <c r="G1062" s="218" t="s">
        <v>12652</v>
      </c>
      <c r="H1062" s="218" t="s">
        <v>11872</v>
      </c>
    </row>
    <row r="1063" spans="1:8" ht="25.5">
      <c r="A1063" s="34">
        <f t="shared" si="16"/>
        <v>1061</v>
      </c>
      <c r="B1063" s="218" t="s">
        <v>12653</v>
      </c>
      <c r="C1063" s="1" t="s">
        <v>147</v>
      </c>
      <c r="D1063" s="34" t="s">
        <v>10371</v>
      </c>
      <c r="E1063" s="34" t="s">
        <v>12228</v>
      </c>
      <c r="F1063" s="6" t="s">
        <v>10395</v>
      </c>
      <c r="G1063" s="218" t="s">
        <v>10374</v>
      </c>
      <c r="H1063" s="218" t="s">
        <v>12654</v>
      </c>
    </row>
    <row r="1064" spans="1:8" ht="25.5">
      <c r="A1064" s="34">
        <f t="shared" si="16"/>
        <v>1062</v>
      </c>
      <c r="B1064" s="218" t="s">
        <v>12655</v>
      </c>
      <c r="C1064" s="1" t="s">
        <v>132</v>
      </c>
      <c r="D1064" s="34" t="s">
        <v>10414</v>
      </c>
      <c r="E1064" s="34" t="s">
        <v>11777</v>
      </c>
      <c r="F1064" s="6" t="s">
        <v>10437</v>
      </c>
      <c r="G1064" s="218" t="s">
        <v>8060</v>
      </c>
      <c r="H1064" s="218" t="s">
        <v>12656</v>
      </c>
    </row>
    <row r="1065" spans="1:8" ht="25.5">
      <c r="A1065" s="34">
        <f t="shared" si="16"/>
        <v>1063</v>
      </c>
      <c r="B1065" s="218" t="s">
        <v>12657</v>
      </c>
      <c r="C1065" s="1" t="s">
        <v>132</v>
      </c>
      <c r="D1065" s="34" t="s">
        <v>10189</v>
      </c>
      <c r="E1065" s="34" t="s">
        <v>10936</v>
      </c>
      <c r="F1065" s="6" t="s">
        <v>12658</v>
      </c>
      <c r="G1065" s="218" t="s">
        <v>8814</v>
      </c>
      <c r="H1065" s="218" t="s">
        <v>12659</v>
      </c>
    </row>
    <row r="1066" spans="1:8" ht="25.5">
      <c r="A1066" s="34">
        <f t="shared" si="16"/>
        <v>1064</v>
      </c>
      <c r="B1066" s="218" t="s">
        <v>10550</v>
      </c>
      <c r="C1066" s="1" t="s">
        <v>10482</v>
      </c>
      <c r="D1066" s="34" t="s">
        <v>10521</v>
      </c>
      <c r="E1066" s="34" t="s">
        <v>9617</v>
      </c>
      <c r="F1066" s="6" t="s">
        <v>12660</v>
      </c>
      <c r="G1066" s="218" t="s">
        <v>12661</v>
      </c>
      <c r="H1066" s="218" t="s">
        <v>12662</v>
      </c>
    </row>
    <row r="1067" spans="1:8" ht="25.5">
      <c r="A1067" s="34">
        <f t="shared" si="16"/>
        <v>1065</v>
      </c>
      <c r="B1067" s="218" t="s">
        <v>12663</v>
      </c>
      <c r="C1067" s="1" t="s">
        <v>10600</v>
      </c>
      <c r="D1067" s="34" t="s">
        <v>10520</v>
      </c>
      <c r="E1067" s="34" t="s">
        <v>10567</v>
      </c>
      <c r="F1067" s="6" t="s">
        <v>12664</v>
      </c>
      <c r="G1067" s="218" t="s">
        <v>10569</v>
      </c>
      <c r="H1067" s="218" t="s">
        <v>12665</v>
      </c>
    </row>
    <row r="1068" spans="1:8" ht="25.5">
      <c r="A1068" s="34">
        <f t="shared" si="16"/>
        <v>1066</v>
      </c>
      <c r="B1068" s="218" t="s">
        <v>10550</v>
      </c>
      <c r="C1068" s="1" t="s">
        <v>132</v>
      </c>
      <c r="D1068" s="34" t="s">
        <v>10520</v>
      </c>
      <c r="E1068" s="34" t="s">
        <v>9617</v>
      </c>
      <c r="F1068" s="6" t="s">
        <v>11275</v>
      </c>
      <c r="G1068" s="218" t="s">
        <v>10665</v>
      </c>
      <c r="H1068" s="218" t="s">
        <v>12666</v>
      </c>
    </row>
    <row r="1069" spans="1:8" ht="25.5">
      <c r="A1069" s="34">
        <f t="shared" si="16"/>
        <v>1067</v>
      </c>
      <c r="B1069" s="218" t="s">
        <v>12667</v>
      </c>
      <c r="C1069" s="1" t="s">
        <v>10600</v>
      </c>
      <c r="D1069" s="34" t="s">
        <v>10520</v>
      </c>
      <c r="E1069" s="34" t="s">
        <v>10591</v>
      </c>
      <c r="F1069" s="6" t="s">
        <v>12664</v>
      </c>
      <c r="G1069" s="218" t="s">
        <v>10602</v>
      </c>
      <c r="H1069" s="218" t="s">
        <v>12668</v>
      </c>
    </row>
    <row r="1070" spans="1:8" ht="25.5">
      <c r="A1070" s="34">
        <f t="shared" si="16"/>
        <v>1068</v>
      </c>
      <c r="B1070" s="218" t="s">
        <v>12669</v>
      </c>
      <c r="C1070" s="1" t="s">
        <v>10600</v>
      </c>
      <c r="D1070" s="34" t="s">
        <v>10520</v>
      </c>
      <c r="E1070" s="34" t="s">
        <v>10687</v>
      </c>
      <c r="F1070" s="6" t="s">
        <v>12670</v>
      </c>
      <c r="G1070" s="218" t="s">
        <v>10689</v>
      </c>
      <c r="H1070" s="218" t="s">
        <v>12671</v>
      </c>
    </row>
    <row r="1071" spans="1:8" ht="25.5">
      <c r="A1071" s="34">
        <f t="shared" si="16"/>
        <v>1069</v>
      </c>
      <c r="B1071" s="218" t="s">
        <v>12672</v>
      </c>
      <c r="C1071" s="1" t="s">
        <v>132</v>
      </c>
      <c r="D1071" s="34" t="s">
        <v>10520</v>
      </c>
      <c r="E1071" s="34" t="s">
        <v>10300</v>
      </c>
      <c r="F1071" s="6" t="s">
        <v>12673</v>
      </c>
      <c r="G1071" s="218" t="s">
        <v>10407</v>
      </c>
      <c r="H1071" s="218" t="s">
        <v>12674</v>
      </c>
    </row>
    <row r="1072" spans="1:8" ht="25.5">
      <c r="A1072" s="34">
        <f t="shared" si="16"/>
        <v>1070</v>
      </c>
      <c r="B1072" s="218" t="s">
        <v>12675</v>
      </c>
      <c r="C1072" s="1" t="s">
        <v>10377</v>
      </c>
      <c r="D1072" s="34" t="s">
        <v>10520</v>
      </c>
      <c r="E1072" s="34" t="s">
        <v>10567</v>
      </c>
      <c r="F1072" s="6" t="s">
        <v>10558</v>
      </c>
      <c r="G1072" s="218" t="s">
        <v>10569</v>
      </c>
      <c r="H1072" s="218" t="s">
        <v>12676</v>
      </c>
    </row>
    <row r="1073" spans="1:8" ht="25.5">
      <c r="A1073" s="34">
        <f t="shared" si="16"/>
        <v>1071</v>
      </c>
      <c r="B1073" s="218" t="s">
        <v>12677</v>
      </c>
      <c r="C1073" s="1" t="s">
        <v>212</v>
      </c>
      <c r="D1073" s="34" t="s">
        <v>10520</v>
      </c>
      <c r="E1073" s="34" t="s">
        <v>10567</v>
      </c>
      <c r="F1073" s="6" t="s">
        <v>12244</v>
      </c>
      <c r="G1073" s="218" t="s">
        <v>10569</v>
      </c>
      <c r="H1073" s="218" t="s">
        <v>12678</v>
      </c>
    </row>
    <row r="1074" spans="1:8" ht="25.5">
      <c r="A1074" s="34">
        <f t="shared" si="16"/>
        <v>1072</v>
      </c>
      <c r="B1074" s="218" t="s">
        <v>12679</v>
      </c>
      <c r="C1074" s="1" t="s">
        <v>212</v>
      </c>
      <c r="D1074" s="34" t="s">
        <v>10520</v>
      </c>
      <c r="E1074" s="34" t="s">
        <v>10692</v>
      </c>
      <c r="F1074" s="6" t="s">
        <v>10683</v>
      </c>
      <c r="G1074" s="218" t="s">
        <v>10693</v>
      </c>
      <c r="H1074" s="218" t="s">
        <v>12680</v>
      </c>
    </row>
    <row r="1075" spans="1:8" ht="25.5">
      <c r="A1075" s="34">
        <f t="shared" si="16"/>
        <v>1073</v>
      </c>
      <c r="B1075" s="218" t="s">
        <v>12681</v>
      </c>
      <c r="C1075" s="1" t="s">
        <v>212</v>
      </c>
      <c r="D1075" s="34" t="s">
        <v>10520</v>
      </c>
      <c r="E1075" s="34" t="s">
        <v>10692</v>
      </c>
      <c r="F1075" s="6" t="s">
        <v>10688</v>
      </c>
      <c r="G1075" s="218" t="s">
        <v>10693</v>
      </c>
      <c r="H1075" s="218" t="s">
        <v>12682</v>
      </c>
    </row>
    <row r="1076" spans="1:8" ht="25.5">
      <c r="A1076" s="34">
        <f t="shared" si="16"/>
        <v>1074</v>
      </c>
      <c r="B1076" s="218" t="s">
        <v>12683</v>
      </c>
      <c r="C1076" s="1" t="s">
        <v>212</v>
      </c>
      <c r="D1076" s="34" t="s">
        <v>10520</v>
      </c>
      <c r="E1076" s="34" t="s">
        <v>10554</v>
      </c>
      <c r="F1076" s="6" t="s">
        <v>10696</v>
      </c>
      <c r="G1076" s="218" t="s">
        <v>10556</v>
      </c>
      <c r="H1076" s="218" t="s">
        <v>12684</v>
      </c>
    </row>
    <row r="1077" spans="1:8" ht="25.5">
      <c r="A1077" s="34">
        <f t="shared" si="16"/>
        <v>1075</v>
      </c>
      <c r="B1077" s="218" t="s">
        <v>12685</v>
      </c>
      <c r="C1077" s="1" t="s">
        <v>212</v>
      </c>
      <c r="D1077" s="34" t="s">
        <v>10520</v>
      </c>
      <c r="E1077" s="34" t="s">
        <v>10554</v>
      </c>
      <c r="F1077" s="6" t="s">
        <v>12686</v>
      </c>
      <c r="G1077" s="218" t="s">
        <v>10556</v>
      </c>
      <c r="H1077" s="218" t="s">
        <v>12687</v>
      </c>
    </row>
    <row r="1078" spans="1:8" ht="25.5">
      <c r="A1078" s="34">
        <f t="shared" si="16"/>
        <v>1076</v>
      </c>
      <c r="B1078" s="218" t="s">
        <v>12688</v>
      </c>
      <c r="C1078" s="1" t="s">
        <v>212</v>
      </c>
      <c r="D1078" s="34" t="s">
        <v>10520</v>
      </c>
      <c r="E1078" s="34" t="s">
        <v>10554</v>
      </c>
      <c r="F1078" s="6" t="s">
        <v>10696</v>
      </c>
      <c r="G1078" s="218" t="s">
        <v>10556</v>
      </c>
      <c r="H1078" s="218" t="s">
        <v>12689</v>
      </c>
    </row>
    <row r="1079" spans="1:8" ht="25.5">
      <c r="A1079" s="34">
        <f t="shared" si="16"/>
        <v>1077</v>
      </c>
      <c r="B1079" s="218" t="s">
        <v>12690</v>
      </c>
      <c r="C1079" s="1" t="s">
        <v>212</v>
      </c>
      <c r="D1079" s="34" t="s">
        <v>10520</v>
      </c>
      <c r="E1079" s="34" t="s">
        <v>10522</v>
      </c>
      <c r="F1079" s="6" t="s">
        <v>10688</v>
      </c>
      <c r="G1079" s="218" t="s">
        <v>10684</v>
      </c>
      <c r="H1079" s="218" t="s">
        <v>12691</v>
      </c>
    </row>
    <row r="1080" spans="1:8" ht="25.5">
      <c r="A1080" s="34">
        <f t="shared" si="16"/>
        <v>1078</v>
      </c>
      <c r="B1080" s="218" t="s">
        <v>12692</v>
      </c>
      <c r="C1080" s="1" t="s">
        <v>132</v>
      </c>
      <c r="D1080" s="34" t="s">
        <v>10189</v>
      </c>
      <c r="E1080" s="34" t="s">
        <v>10300</v>
      </c>
      <c r="F1080" s="6" t="s">
        <v>10483</v>
      </c>
      <c r="G1080" s="218" t="s">
        <v>10513</v>
      </c>
      <c r="H1080" s="218" t="s">
        <v>11667</v>
      </c>
    </row>
    <row r="1081" spans="1:8" ht="25.5">
      <c r="A1081" s="34">
        <f t="shared" si="16"/>
        <v>1079</v>
      </c>
      <c r="B1081" s="218" t="s">
        <v>10501</v>
      </c>
      <c r="C1081" s="1" t="s">
        <v>137</v>
      </c>
      <c r="D1081" s="34" t="s">
        <v>10189</v>
      </c>
      <c r="E1081" s="34" t="s">
        <v>10714</v>
      </c>
      <c r="F1081" s="6" t="s">
        <v>12693</v>
      </c>
      <c r="G1081" s="218" t="s">
        <v>10716</v>
      </c>
      <c r="H1081" s="218" t="s">
        <v>12694</v>
      </c>
    </row>
    <row r="1082" spans="1:8" ht="25.5">
      <c r="A1082" s="34">
        <f t="shared" si="16"/>
        <v>1080</v>
      </c>
      <c r="B1082" s="218" t="s">
        <v>10501</v>
      </c>
      <c r="C1082" s="1" t="s">
        <v>10377</v>
      </c>
      <c r="D1082" s="34" t="s">
        <v>10189</v>
      </c>
      <c r="E1082" s="34" t="s">
        <v>12056</v>
      </c>
      <c r="F1082" s="6" t="s">
        <v>10709</v>
      </c>
      <c r="G1082" s="218" t="s">
        <v>12695</v>
      </c>
      <c r="H1082" s="218" t="s">
        <v>12696</v>
      </c>
    </row>
    <row r="1083" spans="1:8" ht="25.5">
      <c r="A1083" s="34">
        <f t="shared" si="16"/>
        <v>1081</v>
      </c>
      <c r="B1083" s="218" t="s">
        <v>10501</v>
      </c>
      <c r="C1083" s="1" t="s">
        <v>10377</v>
      </c>
      <c r="D1083" s="34" t="s">
        <v>10189</v>
      </c>
      <c r="E1083" s="34" t="s">
        <v>11402</v>
      </c>
      <c r="F1083" s="6" t="s">
        <v>12697</v>
      </c>
      <c r="G1083" s="218" t="s">
        <v>12698</v>
      </c>
      <c r="H1083" s="218" t="s">
        <v>12699</v>
      </c>
    </row>
    <row r="1084" spans="1:8" ht="25.5">
      <c r="A1084" s="34">
        <f t="shared" si="16"/>
        <v>1082</v>
      </c>
      <c r="B1084" s="218" t="s">
        <v>10501</v>
      </c>
      <c r="C1084" s="1" t="s">
        <v>10502</v>
      </c>
      <c r="D1084" s="34" t="s">
        <v>10189</v>
      </c>
      <c r="E1084" s="34" t="s">
        <v>10856</v>
      </c>
      <c r="F1084" s="6" t="s">
        <v>12579</v>
      </c>
      <c r="G1084" s="218" t="s">
        <v>10858</v>
      </c>
      <c r="H1084" s="218" t="s">
        <v>12700</v>
      </c>
    </row>
    <row r="1085" spans="1:8" ht="38.25">
      <c r="A1085" s="34">
        <f t="shared" si="16"/>
        <v>1083</v>
      </c>
      <c r="B1085" s="218" t="s">
        <v>10479</v>
      </c>
      <c r="C1085" s="1" t="s">
        <v>132</v>
      </c>
      <c r="D1085" s="34" t="s">
        <v>10189</v>
      </c>
      <c r="E1085" s="34" t="s">
        <v>10300</v>
      </c>
      <c r="F1085" s="6" t="s">
        <v>10483</v>
      </c>
      <c r="G1085" s="218" t="s">
        <v>10302</v>
      </c>
      <c r="H1085" s="218" t="s">
        <v>11560</v>
      </c>
    </row>
    <row r="1086" spans="1:8" ht="25.5">
      <c r="A1086" s="34">
        <f t="shared" si="16"/>
        <v>1084</v>
      </c>
      <c r="B1086" s="218" t="s">
        <v>10497</v>
      </c>
      <c r="C1086" s="1" t="s">
        <v>132</v>
      </c>
      <c r="D1086" s="34" t="s">
        <v>10218</v>
      </c>
      <c r="E1086" s="34" t="s">
        <v>12701</v>
      </c>
      <c r="F1086" s="6" t="s">
        <v>12702</v>
      </c>
      <c r="G1086" s="218" t="s">
        <v>12703</v>
      </c>
      <c r="H1086" s="218" t="s">
        <v>11872</v>
      </c>
    </row>
    <row r="1087" spans="1:8" ht="25.5">
      <c r="A1087" s="34">
        <f t="shared" si="16"/>
        <v>1085</v>
      </c>
      <c r="B1087" s="218" t="s">
        <v>11668</v>
      </c>
      <c r="C1087" s="1" t="s">
        <v>132</v>
      </c>
      <c r="D1087" s="34" t="s">
        <v>10189</v>
      </c>
      <c r="E1087" s="34" t="s">
        <v>9617</v>
      </c>
      <c r="F1087" s="6" t="s">
        <v>10731</v>
      </c>
      <c r="G1087" s="218" t="s">
        <v>10732</v>
      </c>
      <c r="H1087" s="218" t="s">
        <v>1209</v>
      </c>
    </row>
    <row r="1088" spans="1:8" ht="25.5">
      <c r="A1088" s="34">
        <f t="shared" si="16"/>
        <v>1086</v>
      </c>
      <c r="B1088" s="218" t="s">
        <v>12704</v>
      </c>
      <c r="C1088" s="1" t="s">
        <v>132</v>
      </c>
      <c r="D1088" s="34" t="s">
        <v>10189</v>
      </c>
      <c r="E1088" s="34" t="s">
        <v>9617</v>
      </c>
      <c r="F1088" s="6" t="s">
        <v>10731</v>
      </c>
      <c r="G1088" s="218" t="s">
        <v>10732</v>
      </c>
      <c r="H1088" s="218" t="s">
        <v>12705</v>
      </c>
    </row>
    <row r="1089" spans="1:8" ht="25.5">
      <c r="A1089" s="34">
        <f t="shared" si="16"/>
        <v>1087</v>
      </c>
      <c r="B1089" s="218" t="s">
        <v>12706</v>
      </c>
      <c r="C1089" s="1" t="s">
        <v>132</v>
      </c>
      <c r="D1089" s="34" t="s">
        <v>10189</v>
      </c>
      <c r="E1089" s="34" t="s">
        <v>9617</v>
      </c>
      <c r="F1089" s="6" t="s">
        <v>10731</v>
      </c>
      <c r="G1089" s="218" t="s">
        <v>10732</v>
      </c>
      <c r="H1089" s="218" t="s">
        <v>10416</v>
      </c>
    </row>
    <row r="1090" spans="1:8" ht="25.5">
      <c r="A1090" s="34">
        <f t="shared" si="16"/>
        <v>1088</v>
      </c>
      <c r="B1090" s="218" t="s">
        <v>10520</v>
      </c>
      <c r="C1090" s="1" t="s">
        <v>212</v>
      </c>
      <c r="D1090" s="34" t="s">
        <v>10521</v>
      </c>
      <c r="E1090" s="34" t="s">
        <v>10567</v>
      </c>
      <c r="F1090" s="6" t="s">
        <v>12707</v>
      </c>
      <c r="G1090" s="218" t="s">
        <v>10569</v>
      </c>
      <c r="H1090" s="218" t="s">
        <v>12708</v>
      </c>
    </row>
    <row r="1091" spans="1:8" ht="38.25">
      <c r="A1091" s="34">
        <f t="shared" si="16"/>
        <v>1089</v>
      </c>
      <c r="B1091" s="218" t="s">
        <v>10749</v>
      </c>
      <c r="C1091" s="1" t="s">
        <v>132</v>
      </c>
      <c r="D1091" s="34" t="s">
        <v>10189</v>
      </c>
      <c r="E1091" s="34" t="s">
        <v>9617</v>
      </c>
      <c r="F1091" s="6" t="s">
        <v>10737</v>
      </c>
      <c r="G1091" s="218" t="s">
        <v>8839</v>
      </c>
      <c r="H1091" s="218" t="s">
        <v>1608</v>
      </c>
    </row>
    <row r="1092" spans="1:8" ht="25.5">
      <c r="A1092" s="34">
        <f t="shared" ref="A1092:A1159" si="17">A1091+1</f>
        <v>1090</v>
      </c>
      <c r="B1092" s="218" t="s">
        <v>12709</v>
      </c>
      <c r="C1092" s="1" t="s">
        <v>10409</v>
      </c>
      <c r="D1092" s="34" t="s">
        <v>10189</v>
      </c>
      <c r="E1092" s="34" t="s">
        <v>10876</v>
      </c>
      <c r="F1092" s="6" t="s">
        <v>12710</v>
      </c>
      <c r="G1092" s="218" t="s">
        <v>10878</v>
      </c>
      <c r="H1092" s="218" t="s">
        <v>12339</v>
      </c>
    </row>
    <row r="1093" spans="1:8" ht="25.5">
      <c r="A1093" s="34">
        <f t="shared" si="17"/>
        <v>1091</v>
      </c>
      <c r="B1093" s="218" t="s">
        <v>12711</v>
      </c>
      <c r="C1093" s="1" t="s">
        <v>1027</v>
      </c>
      <c r="D1093" s="34" t="s">
        <v>10189</v>
      </c>
      <c r="E1093" s="34" t="s">
        <v>10876</v>
      </c>
      <c r="F1093" s="6" t="s">
        <v>12710</v>
      </c>
      <c r="G1093" s="218" t="s">
        <v>10878</v>
      </c>
      <c r="H1093" s="218" t="s">
        <v>12279</v>
      </c>
    </row>
    <row r="1094" spans="1:8">
      <c r="A1094" s="34">
        <f t="shared" si="17"/>
        <v>1092</v>
      </c>
      <c r="B1094" s="218" t="s">
        <v>12712</v>
      </c>
      <c r="C1094" s="1" t="s">
        <v>147</v>
      </c>
      <c r="D1094" s="34" t="s">
        <v>10218</v>
      </c>
      <c r="E1094" s="34" t="s">
        <v>10472</v>
      </c>
      <c r="F1094" s="6" t="s">
        <v>12713</v>
      </c>
      <c r="G1094" s="218" t="s">
        <v>12714</v>
      </c>
      <c r="H1094" s="218" t="s">
        <v>146</v>
      </c>
    </row>
    <row r="1095" spans="1:8" ht="25.5">
      <c r="A1095" s="34">
        <f t="shared" si="17"/>
        <v>1093</v>
      </c>
      <c r="B1095" s="218" t="s">
        <v>10762</v>
      </c>
      <c r="C1095" s="1" t="s">
        <v>132</v>
      </c>
      <c r="D1095" s="34" t="s">
        <v>10189</v>
      </c>
      <c r="E1095" s="34" t="s">
        <v>10341</v>
      </c>
      <c r="F1095" s="6" t="s">
        <v>12715</v>
      </c>
      <c r="G1095" s="218" t="s">
        <v>10605</v>
      </c>
      <c r="H1095" s="218" t="s">
        <v>12716</v>
      </c>
    </row>
    <row r="1096" spans="1:8" ht="25.5">
      <c r="A1096" s="34">
        <f t="shared" si="17"/>
        <v>1094</v>
      </c>
      <c r="B1096" s="218" t="s">
        <v>10769</v>
      </c>
      <c r="C1096" s="1" t="s">
        <v>12717</v>
      </c>
      <c r="D1096" s="34" t="s">
        <v>10189</v>
      </c>
      <c r="E1096" s="34" t="s">
        <v>10770</v>
      </c>
      <c r="F1096" s="6" t="s">
        <v>10771</v>
      </c>
      <c r="G1096" s="218" t="s">
        <v>10772</v>
      </c>
      <c r="H1096" s="218" t="s">
        <v>12718</v>
      </c>
    </row>
    <row r="1097" spans="1:8" ht="25.5">
      <c r="A1097" s="34">
        <f t="shared" si="17"/>
        <v>1095</v>
      </c>
      <c r="B1097" s="218" t="s">
        <v>10778</v>
      </c>
      <c r="C1097" s="1" t="s">
        <v>122</v>
      </c>
      <c r="D1097" s="34" t="s">
        <v>10218</v>
      </c>
      <c r="E1097" s="34" t="s">
        <v>11346</v>
      </c>
      <c r="F1097" s="6" t="s">
        <v>12719</v>
      </c>
      <c r="G1097" s="218" t="s">
        <v>10781</v>
      </c>
      <c r="H1097" s="218" t="s">
        <v>10276</v>
      </c>
    </row>
    <row r="1098" spans="1:8" ht="25.5">
      <c r="A1098" s="34">
        <f t="shared" si="17"/>
        <v>1096</v>
      </c>
      <c r="B1098" s="218" t="s">
        <v>12720</v>
      </c>
      <c r="C1098" s="1" t="s">
        <v>11082</v>
      </c>
      <c r="D1098" s="34" t="s">
        <v>10189</v>
      </c>
      <c r="E1098" s="34" t="s">
        <v>11346</v>
      </c>
      <c r="F1098" s="6" t="s">
        <v>12721</v>
      </c>
      <c r="G1098" s="218" t="s">
        <v>11348</v>
      </c>
      <c r="H1098" s="218" t="s">
        <v>254</v>
      </c>
    </row>
    <row r="1099" spans="1:8" ht="25.5">
      <c r="A1099" s="34">
        <f t="shared" si="17"/>
        <v>1097</v>
      </c>
      <c r="B1099" s="218" t="s">
        <v>12722</v>
      </c>
      <c r="C1099" s="1" t="s">
        <v>132</v>
      </c>
      <c r="D1099" s="34" t="s">
        <v>10189</v>
      </c>
      <c r="E1099" s="34" t="s">
        <v>10446</v>
      </c>
      <c r="F1099" s="6" t="s">
        <v>11799</v>
      </c>
      <c r="G1099" s="218" t="s">
        <v>11046</v>
      </c>
      <c r="H1099" s="218" t="s">
        <v>10255</v>
      </c>
    </row>
    <row r="1100" spans="1:8">
      <c r="A1100" s="34">
        <f t="shared" si="17"/>
        <v>1098</v>
      </c>
      <c r="B1100" s="218" t="s">
        <v>10782</v>
      </c>
      <c r="C1100" s="1" t="s">
        <v>10409</v>
      </c>
      <c r="D1100" s="34" t="s">
        <v>10189</v>
      </c>
      <c r="E1100" s="34" t="s">
        <v>10616</v>
      </c>
      <c r="F1100" s="6" t="s">
        <v>12723</v>
      </c>
      <c r="G1100" s="218" t="s">
        <v>10784</v>
      </c>
      <c r="H1100" s="218" t="s">
        <v>12724</v>
      </c>
    </row>
    <row r="1101" spans="1:8" ht="38.25">
      <c r="A1101" s="34">
        <f t="shared" si="17"/>
        <v>1099</v>
      </c>
      <c r="B1101" s="218" t="s">
        <v>12725</v>
      </c>
      <c r="C1101" s="1" t="s">
        <v>132</v>
      </c>
      <c r="D1101" s="34" t="s">
        <v>12726</v>
      </c>
      <c r="E1101" s="34" t="s">
        <v>10786</v>
      </c>
      <c r="F1101" s="6" t="s">
        <v>12727</v>
      </c>
      <c r="G1101" s="218" t="s">
        <v>12728</v>
      </c>
      <c r="H1101" s="218" t="s">
        <v>12343</v>
      </c>
    </row>
    <row r="1102" spans="1:8" ht="25.5">
      <c r="A1102" s="34">
        <f t="shared" si="17"/>
        <v>1100</v>
      </c>
      <c r="B1102" s="218" t="s">
        <v>12729</v>
      </c>
      <c r="C1102" s="1" t="s">
        <v>122</v>
      </c>
      <c r="D1102" s="34" t="s">
        <v>10218</v>
      </c>
      <c r="E1102" s="34" t="s">
        <v>10238</v>
      </c>
      <c r="F1102" s="6" t="s">
        <v>10752</v>
      </c>
      <c r="G1102" s="218" t="s">
        <v>10240</v>
      </c>
      <c r="H1102" s="218" t="s">
        <v>287</v>
      </c>
    </row>
    <row r="1103" spans="1:8" ht="25.5">
      <c r="A1103" s="34">
        <f t="shared" si="17"/>
        <v>1101</v>
      </c>
      <c r="B1103" s="218" t="s">
        <v>10501</v>
      </c>
      <c r="C1103" s="1" t="s">
        <v>10435</v>
      </c>
      <c r="D1103" s="34" t="s">
        <v>10189</v>
      </c>
      <c r="E1103" s="34" t="s">
        <v>10793</v>
      </c>
      <c r="F1103" s="6" t="s">
        <v>12730</v>
      </c>
      <c r="G1103" s="218" t="s">
        <v>11355</v>
      </c>
      <c r="H1103" s="218" t="s">
        <v>12731</v>
      </c>
    </row>
    <row r="1104" spans="1:8" ht="38.25">
      <c r="A1104" s="34">
        <f t="shared" si="17"/>
        <v>1102</v>
      </c>
      <c r="B1104" s="218" t="s">
        <v>12732</v>
      </c>
      <c r="C1104" s="1" t="s">
        <v>132</v>
      </c>
      <c r="D1104" s="34" t="s">
        <v>10189</v>
      </c>
      <c r="E1104" s="34" t="s">
        <v>10516</v>
      </c>
      <c r="F1104" s="6" t="s">
        <v>12733</v>
      </c>
      <c r="G1104" s="218" t="s">
        <v>12734</v>
      </c>
      <c r="H1104" s="218" t="s">
        <v>315</v>
      </c>
    </row>
    <row r="1105" spans="1:8" ht="38.25">
      <c r="A1105" s="34">
        <f t="shared" si="17"/>
        <v>1103</v>
      </c>
      <c r="B1105" s="218" t="s">
        <v>12735</v>
      </c>
      <c r="C1105" s="1" t="s">
        <v>132</v>
      </c>
      <c r="D1105" s="34" t="s">
        <v>10189</v>
      </c>
      <c r="E1105" s="34" t="s">
        <v>10526</v>
      </c>
      <c r="F1105" s="6" t="s">
        <v>12736</v>
      </c>
      <c r="G1105" s="218" t="s">
        <v>11237</v>
      </c>
      <c r="H1105" s="218" t="s">
        <v>10318</v>
      </c>
    </row>
    <row r="1106" spans="1:8" ht="51">
      <c r="A1106" s="34">
        <f t="shared" si="17"/>
        <v>1104</v>
      </c>
      <c r="B1106" s="218" t="s">
        <v>12306</v>
      </c>
      <c r="C1106" s="1" t="s">
        <v>132</v>
      </c>
      <c r="D1106" s="34" t="s">
        <v>10805</v>
      </c>
      <c r="E1106" s="34" t="s">
        <v>10300</v>
      </c>
      <c r="F1106" s="6" t="s">
        <v>12307</v>
      </c>
      <c r="G1106" s="218" t="s">
        <v>12308</v>
      </c>
      <c r="H1106" s="218" t="s">
        <v>10306</v>
      </c>
    </row>
    <row r="1107" spans="1:8" ht="25.5">
      <c r="A1107" s="34">
        <f t="shared" si="17"/>
        <v>1105</v>
      </c>
      <c r="B1107" s="218" t="s">
        <v>12737</v>
      </c>
      <c r="C1107" s="1" t="s">
        <v>132</v>
      </c>
      <c r="D1107" s="34"/>
      <c r="E1107" s="34" t="s">
        <v>10880</v>
      </c>
      <c r="F1107" s="6" t="s">
        <v>10604</v>
      </c>
      <c r="G1107" s="218" t="s">
        <v>12738</v>
      </c>
      <c r="H1107" s="218" t="s">
        <v>11581</v>
      </c>
    </row>
    <row r="1108" spans="1:8" ht="25.5">
      <c r="A1108" s="34">
        <f t="shared" si="17"/>
        <v>1106</v>
      </c>
      <c r="B1108" s="218" t="s">
        <v>12739</v>
      </c>
      <c r="C1108" s="1" t="s">
        <v>122</v>
      </c>
      <c r="D1108" s="34" t="s">
        <v>10805</v>
      </c>
      <c r="E1108" s="34" t="s">
        <v>10341</v>
      </c>
      <c r="F1108" s="6" t="s">
        <v>12740</v>
      </c>
      <c r="G1108" s="218" t="s">
        <v>10826</v>
      </c>
      <c r="H1108" s="218" t="s">
        <v>8173</v>
      </c>
    </row>
    <row r="1109" spans="1:8" ht="25.5">
      <c r="A1109" s="34">
        <f t="shared" si="17"/>
        <v>1107</v>
      </c>
      <c r="B1109" s="218" t="s">
        <v>12741</v>
      </c>
      <c r="C1109" s="1" t="s">
        <v>132</v>
      </c>
      <c r="D1109" s="34" t="s">
        <v>10805</v>
      </c>
      <c r="E1109" s="34" t="s">
        <v>10607</v>
      </c>
      <c r="F1109" s="6" t="s">
        <v>10812</v>
      </c>
      <c r="G1109" s="218" t="s">
        <v>10813</v>
      </c>
      <c r="H1109" s="218" t="s">
        <v>12742</v>
      </c>
    </row>
    <row r="1110" spans="1:8" ht="38.25">
      <c r="A1110" s="34">
        <f t="shared" si="17"/>
        <v>1108</v>
      </c>
      <c r="B1110" s="218" t="s">
        <v>12743</v>
      </c>
      <c r="C1110" s="1" t="s">
        <v>132</v>
      </c>
      <c r="D1110" s="34" t="s">
        <v>10820</v>
      </c>
      <c r="E1110" s="34" t="s">
        <v>10643</v>
      </c>
      <c r="F1110" s="6" t="s">
        <v>12697</v>
      </c>
      <c r="G1110" s="218" t="s">
        <v>10822</v>
      </c>
      <c r="H1110" s="218" t="s">
        <v>10645</v>
      </c>
    </row>
    <row r="1111" spans="1:8" ht="38.25">
      <c r="A1111" s="34">
        <f t="shared" si="17"/>
        <v>1109</v>
      </c>
      <c r="B1111" s="218" t="s">
        <v>12744</v>
      </c>
      <c r="C1111" s="1" t="s">
        <v>137</v>
      </c>
      <c r="D1111" s="34" t="s">
        <v>12745</v>
      </c>
      <c r="E1111" s="34" t="s">
        <v>10811</v>
      </c>
      <c r="F1111" s="6" t="s">
        <v>12746</v>
      </c>
      <c r="G1111" s="218" t="s">
        <v>10813</v>
      </c>
      <c r="H1111" s="218" t="s">
        <v>12043</v>
      </c>
    </row>
    <row r="1112" spans="1:8" ht="38.25">
      <c r="A1112" s="34">
        <f t="shared" si="17"/>
        <v>1110</v>
      </c>
      <c r="B1112" s="218" t="s">
        <v>12747</v>
      </c>
      <c r="C1112" s="1" t="s">
        <v>132</v>
      </c>
      <c r="D1112" s="34" t="s">
        <v>10820</v>
      </c>
      <c r="E1112" s="34" t="s">
        <v>12748</v>
      </c>
      <c r="F1112" s="6" t="s">
        <v>12749</v>
      </c>
      <c r="G1112" s="218" t="s">
        <v>12750</v>
      </c>
      <c r="H1112" s="218" t="s">
        <v>12751</v>
      </c>
    </row>
    <row r="1113" spans="1:8" ht="25.5">
      <c r="A1113" s="34">
        <f t="shared" si="17"/>
        <v>1111</v>
      </c>
      <c r="B1113" s="218" t="s">
        <v>12752</v>
      </c>
      <c r="C1113" s="1" t="s">
        <v>132</v>
      </c>
      <c r="D1113" s="34" t="s">
        <v>10184</v>
      </c>
      <c r="E1113" s="34" t="s">
        <v>10650</v>
      </c>
      <c r="F1113" s="6" t="s">
        <v>12753</v>
      </c>
      <c r="G1113" s="218" t="s">
        <v>11399</v>
      </c>
      <c r="H1113" s="218" t="s">
        <v>11872</v>
      </c>
    </row>
    <row r="1114" spans="1:8" ht="25.5">
      <c r="A1114" s="34">
        <f t="shared" si="17"/>
        <v>1112</v>
      </c>
      <c r="B1114" s="218" t="s">
        <v>10836</v>
      </c>
      <c r="C1114" s="1" t="s">
        <v>10502</v>
      </c>
      <c r="D1114" s="34" t="s">
        <v>10189</v>
      </c>
      <c r="E1114" s="34" t="s">
        <v>10856</v>
      </c>
      <c r="F1114" s="6" t="s">
        <v>10837</v>
      </c>
      <c r="G1114" s="218" t="s">
        <v>10858</v>
      </c>
      <c r="H1114" s="218" t="s">
        <v>12417</v>
      </c>
    </row>
    <row r="1115" spans="1:8" ht="25.5">
      <c r="A1115" s="34">
        <f t="shared" si="17"/>
        <v>1113</v>
      </c>
      <c r="B1115" s="218" t="s">
        <v>10836</v>
      </c>
      <c r="C1115" s="1" t="s">
        <v>10377</v>
      </c>
      <c r="D1115" s="34" t="s">
        <v>10189</v>
      </c>
      <c r="E1115" s="34" t="s">
        <v>10230</v>
      </c>
      <c r="F1115" s="6" t="s">
        <v>10837</v>
      </c>
      <c r="G1115" s="218" t="s">
        <v>10728</v>
      </c>
      <c r="H1115" s="218" t="s">
        <v>12754</v>
      </c>
    </row>
    <row r="1116" spans="1:8" ht="38.25">
      <c r="A1116" s="34">
        <f t="shared" si="17"/>
        <v>1114</v>
      </c>
      <c r="B1116" s="218" t="s">
        <v>12755</v>
      </c>
      <c r="C1116" s="1" t="s">
        <v>122</v>
      </c>
      <c r="D1116" s="34" t="s">
        <v>12756</v>
      </c>
      <c r="E1116" s="34" t="s">
        <v>10755</v>
      </c>
      <c r="F1116" s="6" t="s">
        <v>12757</v>
      </c>
      <c r="G1116" s="218" t="s">
        <v>10845</v>
      </c>
      <c r="H1116" s="218" t="s">
        <v>12758</v>
      </c>
    </row>
    <row r="1117" spans="1:8" ht="38.25">
      <c r="A1117" s="34">
        <f t="shared" si="17"/>
        <v>1115</v>
      </c>
      <c r="B1117" s="218" t="s">
        <v>12759</v>
      </c>
      <c r="C1117" s="1" t="s">
        <v>122</v>
      </c>
      <c r="D1117" s="34" t="s">
        <v>10848</v>
      </c>
      <c r="E1117" s="34" t="s">
        <v>10213</v>
      </c>
      <c r="F1117" s="6" t="s">
        <v>10849</v>
      </c>
      <c r="G1117" s="218" t="s">
        <v>10850</v>
      </c>
      <c r="H1117" s="218" t="s">
        <v>12760</v>
      </c>
    </row>
    <row r="1118" spans="1:8" ht="25.5">
      <c r="A1118" s="34">
        <f t="shared" si="17"/>
        <v>1116</v>
      </c>
      <c r="B1118" s="218" t="s">
        <v>12761</v>
      </c>
      <c r="C1118" s="1" t="s">
        <v>122</v>
      </c>
      <c r="D1118" s="34"/>
      <c r="E1118" s="34" t="s">
        <v>10213</v>
      </c>
      <c r="F1118" s="6" t="s">
        <v>12762</v>
      </c>
      <c r="G1118" s="218" t="s">
        <v>10850</v>
      </c>
      <c r="H1118" s="218" t="s">
        <v>12763</v>
      </c>
    </row>
    <row r="1119" spans="1:8" ht="25.5">
      <c r="A1119" s="34">
        <f t="shared" si="17"/>
        <v>1117</v>
      </c>
      <c r="B1119" s="218" t="s">
        <v>12764</v>
      </c>
      <c r="C1119" s="1" t="s">
        <v>147</v>
      </c>
      <c r="D1119" s="34" t="s">
        <v>12330</v>
      </c>
      <c r="E1119" s="34" t="s">
        <v>10472</v>
      </c>
      <c r="F1119" s="6" t="s">
        <v>10937</v>
      </c>
      <c r="G1119" s="218" t="s">
        <v>10831</v>
      </c>
      <c r="H1119" s="218" t="s">
        <v>10904</v>
      </c>
    </row>
    <row r="1120" spans="1:8" ht="25.5">
      <c r="A1120" s="34">
        <f t="shared" si="17"/>
        <v>1118</v>
      </c>
      <c r="B1120" s="218" t="s">
        <v>12765</v>
      </c>
      <c r="C1120" s="1" t="s">
        <v>10502</v>
      </c>
      <c r="D1120" s="34" t="s">
        <v>10189</v>
      </c>
      <c r="E1120" s="34" t="s">
        <v>10856</v>
      </c>
      <c r="F1120" s="6" t="s">
        <v>12766</v>
      </c>
      <c r="G1120" s="218" t="s">
        <v>10858</v>
      </c>
      <c r="H1120" s="218" t="s">
        <v>12700</v>
      </c>
    </row>
    <row r="1121" spans="1:8" ht="25.5">
      <c r="A1121" s="34">
        <f t="shared" si="17"/>
        <v>1119</v>
      </c>
      <c r="B1121" s="218" t="s">
        <v>12767</v>
      </c>
      <c r="C1121" s="1" t="s">
        <v>10502</v>
      </c>
      <c r="D1121" s="34" t="s">
        <v>10189</v>
      </c>
      <c r="E1121" s="34" t="s">
        <v>10856</v>
      </c>
      <c r="F1121" s="6" t="s">
        <v>11469</v>
      </c>
      <c r="G1121" s="218" t="s">
        <v>10858</v>
      </c>
      <c r="H1121" s="218" t="s">
        <v>12768</v>
      </c>
    </row>
    <row r="1122" spans="1:8" ht="25.5">
      <c r="A1122" s="34">
        <f t="shared" si="17"/>
        <v>1120</v>
      </c>
      <c r="B1122" s="218" t="s">
        <v>12769</v>
      </c>
      <c r="C1122" s="1" t="s">
        <v>132</v>
      </c>
      <c r="D1122" s="34" t="s">
        <v>10902</v>
      </c>
      <c r="E1122" s="34" t="s">
        <v>12770</v>
      </c>
      <c r="F1122" s="6" t="s">
        <v>12771</v>
      </c>
      <c r="G1122" s="218" t="s">
        <v>12772</v>
      </c>
      <c r="H1122" s="218" t="s">
        <v>4245</v>
      </c>
    </row>
    <row r="1123" spans="1:8" ht="51">
      <c r="A1123" s="34">
        <f t="shared" si="17"/>
        <v>1121</v>
      </c>
      <c r="B1123" s="218" t="s">
        <v>10865</v>
      </c>
      <c r="C1123" s="1" t="s">
        <v>10377</v>
      </c>
      <c r="D1123" s="34" t="s">
        <v>10866</v>
      </c>
      <c r="E1123" s="34" t="s">
        <v>10705</v>
      </c>
      <c r="F1123" s="6" t="s">
        <v>10867</v>
      </c>
      <c r="G1123" s="218" t="s">
        <v>10872</v>
      </c>
      <c r="H1123" s="218" t="s">
        <v>1112</v>
      </c>
    </row>
    <row r="1124" spans="1:8" ht="25.5">
      <c r="A1124" s="34">
        <f t="shared" si="17"/>
        <v>1122</v>
      </c>
      <c r="B1124" s="218" t="s">
        <v>12773</v>
      </c>
      <c r="C1124" s="1" t="s">
        <v>10833</v>
      </c>
      <c r="D1124" s="34" t="s">
        <v>10189</v>
      </c>
      <c r="E1124" s="34" t="s">
        <v>10876</v>
      </c>
      <c r="F1124" s="6" t="s">
        <v>10877</v>
      </c>
      <c r="G1124" s="218" t="s">
        <v>10878</v>
      </c>
      <c r="H1124" s="218" t="s">
        <v>12279</v>
      </c>
    </row>
    <row r="1125" spans="1:8" ht="51">
      <c r="A1125" s="34">
        <f t="shared" si="17"/>
        <v>1123</v>
      </c>
      <c r="B1125" s="218" t="s">
        <v>10865</v>
      </c>
      <c r="C1125" s="1" t="s">
        <v>10377</v>
      </c>
      <c r="D1125" s="34" t="s">
        <v>10866</v>
      </c>
      <c r="E1125" s="34" t="s">
        <v>10705</v>
      </c>
      <c r="F1125" s="6" t="s">
        <v>10867</v>
      </c>
      <c r="G1125" s="218" t="s">
        <v>11889</v>
      </c>
      <c r="H1125" s="218" t="s">
        <v>12774</v>
      </c>
    </row>
    <row r="1126" spans="1:8" ht="25.5">
      <c r="A1126" s="34">
        <f t="shared" si="17"/>
        <v>1124</v>
      </c>
      <c r="B1126" s="218" t="s">
        <v>12775</v>
      </c>
      <c r="C1126" s="1" t="s">
        <v>10202</v>
      </c>
      <c r="D1126" s="34" t="s">
        <v>10189</v>
      </c>
      <c r="E1126" s="34" t="s">
        <v>10834</v>
      </c>
      <c r="F1126" s="6" t="s">
        <v>10921</v>
      </c>
      <c r="G1126" s="218" t="s">
        <v>12776</v>
      </c>
      <c r="H1126" s="218" t="s">
        <v>5437</v>
      </c>
    </row>
    <row r="1127" spans="1:8" ht="25.5">
      <c r="A1127" s="34">
        <f t="shared" si="17"/>
        <v>1125</v>
      </c>
      <c r="B1127" s="218" t="s">
        <v>12777</v>
      </c>
      <c r="C1127" s="1" t="s">
        <v>10202</v>
      </c>
      <c r="D1127" s="34" t="s">
        <v>10189</v>
      </c>
      <c r="E1127" s="34" t="s">
        <v>11417</v>
      </c>
      <c r="F1127" s="6" t="s">
        <v>12778</v>
      </c>
      <c r="G1127" s="218" t="s">
        <v>11419</v>
      </c>
      <c r="H1127" s="218" t="s">
        <v>12779</v>
      </c>
    </row>
    <row r="1128" spans="1:8" ht="25.5">
      <c r="A1128" s="34">
        <f t="shared" si="17"/>
        <v>1126</v>
      </c>
      <c r="B1128" s="218" t="s">
        <v>12780</v>
      </c>
      <c r="C1128" s="1" t="s">
        <v>10202</v>
      </c>
      <c r="D1128" s="34" t="s">
        <v>10189</v>
      </c>
      <c r="E1128" s="34" t="s">
        <v>11866</v>
      </c>
      <c r="F1128" s="6" t="s">
        <v>12781</v>
      </c>
      <c r="G1128" s="218" t="s">
        <v>12782</v>
      </c>
      <c r="H1128" s="218" t="s">
        <v>12783</v>
      </c>
    </row>
    <row r="1129" spans="1:8" ht="25.5">
      <c r="A1129" s="34">
        <f t="shared" si="17"/>
        <v>1127</v>
      </c>
      <c r="B1129" s="218" t="s">
        <v>12784</v>
      </c>
      <c r="C1129" s="1" t="s">
        <v>10202</v>
      </c>
      <c r="D1129" s="34" t="s">
        <v>10189</v>
      </c>
      <c r="E1129" s="34" t="s">
        <v>11417</v>
      </c>
      <c r="F1129" s="6" t="s">
        <v>10946</v>
      </c>
      <c r="G1129" s="218" t="s">
        <v>11419</v>
      </c>
      <c r="H1129" s="218" t="s">
        <v>6220</v>
      </c>
    </row>
    <row r="1130" spans="1:8" ht="25.5">
      <c r="A1130" s="34">
        <f t="shared" si="17"/>
        <v>1128</v>
      </c>
      <c r="B1130" s="218" t="s">
        <v>10890</v>
      </c>
      <c r="C1130" s="1" t="s">
        <v>132</v>
      </c>
      <c r="D1130" s="34" t="s">
        <v>10521</v>
      </c>
      <c r="E1130" s="34" t="s">
        <v>10891</v>
      </c>
      <c r="F1130" s="6" t="s">
        <v>10895</v>
      </c>
      <c r="G1130" s="218" t="s">
        <v>10896</v>
      </c>
      <c r="H1130" s="218" t="s">
        <v>12785</v>
      </c>
    </row>
    <row r="1131" spans="1:8" ht="25.5">
      <c r="A1131" s="34">
        <f t="shared" si="17"/>
        <v>1129</v>
      </c>
      <c r="B1131" s="218" t="s">
        <v>10497</v>
      </c>
      <c r="C1131" s="1" t="s">
        <v>132</v>
      </c>
      <c r="D1131" s="34" t="s">
        <v>10218</v>
      </c>
      <c r="E1131" s="34" t="s">
        <v>11324</v>
      </c>
      <c r="F1131" s="6" t="s">
        <v>12786</v>
      </c>
      <c r="G1131" s="218" t="s">
        <v>11486</v>
      </c>
      <c r="H1131" s="218" t="s">
        <v>11517</v>
      </c>
    </row>
    <row r="1132" spans="1:8" ht="25.5">
      <c r="A1132" s="34">
        <f t="shared" si="17"/>
        <v>1130</v>
      </c>
      <c r="B1132" s="218" t="s">
        <v>10890</v>
      </c>
      <c r="C1132" s="1" t="s">
        <v>132</v>
      </c>
      <c r="D1132" s="34" t="s">
        <v>10189</v>
      </c>
      <c r="E1132" s="34" t="s">
        <v>10891</v>
      </c>
      <c r="F1132" s="6" t="s">
        <v>10892</v>
      </c>
      <c r="G1132" s="218" t="s">
        <v>10896</v>
      </c>
      <c r="H1132" s="218" t="s">
        <v>12787</v>
      </c>
    </row>
    <row r="1133" spans="1:8" ht="25.5">
      <c r="A1133" s="34">
        <f t="shared" si="17"/>
        <v>1131</v>
      </c>
      <c r="B1133" s="218" t="s">
        <v>10890</v>
      </c>
      <c r="C1133" s="1" t="s">
        <v>132</v>
      </c>
      <c r="D1133" s="34" t="s">
        <v>10521</v>
      </c>
      <c r="E1133" s="34" t="s">
        <v>10891</v>
      </c>
      <c r="F1133" s="6" t="s">
        <v>10892</v>
      </c>
      <c r="G1133" s="218" t="s">
        <v>10893</v>
      </c>
      <c r="H1133" s="218" t="s">
        <v>12788</v>
      </c>
    </row>
    <row r="1134" spans="1:8" ht="25.5">
      <c r="A1134" s="34">
        <f t="shared" si="17"/>
        <v>1132</v>
      </c>
      <c r="B1134" s="218" t="s">
        <v>12789</v>
      </c>
      <c r="C1134" s="1" t="s">
        <v>10502</v>
      </c>
      <c r="D1134" s="34" t="s">
        <v>10189</v>
      </c>
      <c r="E1134" s="34" t="s">
        <v>10230</v>
      </c>
      <c r="F1134" s="6" t="s">
        <v>12790</v>
      </c>
      <c r="G1134" s="218" t="s">
        <v>10728</v>
      </c>
      <c r="H1134" s="218" t="s">
        <v>12791</v>
      </c>
    </row>
    <row r="1135" spans="1:8" ht="25.5">
      <c r="A1135" s="34">
        <f t="shared" si="17"/>
        <v>1133</v>
      </c>
      <c r="B1135" s="218" t="s">
        <v>12792</v>
      </c>
      <c r="C1135" s="1" t="s">
        <v>147</v>
      </c>
      <c r="D1135" s="34" t="s">
        <v>10902</v>
      </c>
      <c r="E1135" s="34" t="s">
        <v>10472</v>
      </c>
      <c r="F1135" s="6" t="s">
        <v>10903</v>
      </c>
      <c r="G1135" s="218" t="s">
        <v>10831</v>
      </c>
      <c r="H1135" s="218" t="s">
        <v>12793</v>
      </c>
    </row>
    <row r="1136" spans="1:8" ht="25.5">
      <c r="A1136" s="34">
        <f t="shared" si="17"/>
        <v>1134</v>
      </c>
      <c r="B1136" s="218" t="s">
        <v>10532</v>
      </c>
      <c r="C1136" s="1" t="s">
        <v>10482</v>
      </c>
      <c r="D1136" s="34" t="s">
        <v>10521</v>
      </c>
      <c r="E1136" s="34" t="s">
        <v>10350</v>
      </c>
      <c r="F1136" s="6" t="s">
        <v>10905</v>
      </c>
      <c r="G1136" s="218" t="s">
        <v>10906</v>
      </c>
      <c r="H1136" s="218" t="s">
        <v>12794</v>
      </c>
    </row>
    <row r="1137" spans="1:8" ht="25.5">
      <c r="A1137" s="34">
        <f t="shared" si="17"/>
        <v>1135</v>
      </c>
      <c r="B1137" s="218" t="s">
        <v>10532</v>
      </c>
      <c r="C1137" s="1" t="s">
        <v>132</v>
      </c>
      <c r="D1137" s="34" t="s">
        <v>10521</v>
      </c>
      <c r="E1137" s="34" t="s">
        <v>10350</v>
      </c>
      <c r="F1137" s="6" t="s">
        <v>10905</v>
      </c>
      <c r="G1137" s="218" t="s">
        <v>10906</v>
      </c>
      <c r="H1137" s="218" t="s">
        <v>12795</v>
      </c>
    </row>
    <row r="1138" spans="1:8" ht="25.5">
      <c r="A1138" s="34">
        <f t="shared" si="17"/>
        <v>1136</v>
      </c>
      <c r="B1138" s="218" t="s">
        <v>10532</v>
      </c>
      <c r="C1138" s="1" t="s">
        <v>132</v>
      </c>
      <c r="D1138" s="34" t="s">
        <v>10521</v>
      </c>
      <c r="E1138" s="34" t="s">
        <v>10350</v>
      </c>
      <c r="F1138" s="6" t="s">
        <v>10905</v>
      </c>
      <c r="G1138" s="218" t="s">
        <v>10906</v>
      </c>
      <c r="H1138" s="218" t="s">
        <v>12796</v>
      </c>
    </row>
    <row r="1139" spans="1:8" ht="25.5">
      <c r="A1139" s="34">
        <f t="shared" si="17"/>
        <v>1137</v>
      </c>
      <c r="B1139" s="218" t="s">
        <v>10532</v>
      </c>
      <c r="C1139" s="1" t="s">
        <v>10377</v>
      </c>
      <c r="D1139" s="34" t="s">
        <v>10521</v>
      </c>
      <c r="E1139" s="34" t="s">
        <v>10705</v>
      </c>
      <c r="F1139" s="6" t="s">
        <v>12797</v>
      </c>
      <c r="G1139" s="218" t="s">
        <v>10906</v>
      </c>
      <c r="H1139" s="218" t="s">
        <v>12798</v>
      </c>
    </row>
    <row r="1140" spans="1:8" ht="25.5">
      <c r="A1140" s="34">
        <f t="shared" si="17"/>
        <v>1138</v>
      </c>
      <c r="B1140" s="218" t="s">
        <v>10532</v>
      </c>
      <c r="C1140" s="1" t="s">
        <v>132</v>
      </c>
      <c r="D1140" s="34" t="s">
        <v>10521</v>
      </c>
      <c r="E1140" s="34" t="s">
        <v>10341</v>
      </c>
      <c r="F1140" s="6" t="s">
        <v>11923</v>
      </c>
      <c r="G1140" s="218" t="s">
        <v>10906</v>
      </c>
      <c r="H1140" s="218" t="s">
        <v>12799</v>
      </c>
    </row>
    <row r="1141" spans="1:8" ht="25.5">
      <c r="A1141" s="34">
        <f t="shared" si="17"/>
        <v>1139</v>
      </c>
      <c r="B1141" s="218" t="s">
        <v>10532</v>
      </c>
      <c r="C1141" s="1" t="s">
        <v>132</v>
      </c>
      <c r="D1141" s="34" t="s">
        <v>10521</v>
      </c>
      <c r="E1141" s="34" t="s">
        <v>10341</v>
      </c>
      <c r="F1141" s="6" t="s">
        <v>11923</v>
      </c>
      <c r="G1141" s="218" t="s">
        <v>10906</v>
      </c>
      <c r="H1141" s="218" t="s">
        <v>12800</v>
      </c>
    </row>
    <row r="1142" spans="1:8" ht="25.5">
      <c r="A1142" s="34">
        <f t="shared" si="17"/>
        <v>1140</v>
      </c>
      <c r="B1142" s="218" t="s">
        <v>10532</v>
      </c>
      <c r="C1142" s="1" t="s">
        <v>132</v>
      </c>
      <c r="D1142" s="34" t="s">
        <v>10521</v>
      </c>
      <c r="E1142" s="34" t="s">
        <v>10542</v>
      </c>
      <c r="F1142" s="6" t="s">
        <v>11448</v>
      </c>
      <c r="G1142" s="218" t="s">
        <v>10906</v>
      </c>
      <c r="H1142" s="218" t="s">
        <v>950</v>
      </c>
    </row>
    <row r="1143" spans="1:8" ht="25.5">
      <c r="A1143" s="34">
        <f t="shared" si="17"/>
        <v>1141</v>
      </c>
      <c r="B1143" s="218" t="s">
        <v>10532</v>
      </c>
      <c r="C1143" s="1" t="s">
        <v>132</v>
      </c>
      <c r="D1143" s="34" t="s">
        <v>10521</v>
      </c>
      <c r="E1143" s="34" t="s">
        <v>10643</v>
      </c>
      <c r="F1143" s="6" t="s">
        <v>12801</v>
      </c>
      <c r="G1143" s="218" t="s">
        <v>10906</v>
      </c>
      <c r="H1143" s="218" t="s">
        <v>12802</v>
      </c>
    </row>
    <row r="1144" spans="1:8" ht="25.5">
      <c r="A1144" s="34">
        <f t="shared" si="17"/>
        <v>1142</v>
      </c>
      <c r="B1144" s="218" t="s">
        <v>10532</v>
      </c>
      <c r="C1144" s="1" t="s">
        <v>132</v>
      </c>
      <c r="D1144" s="34" t="s">
        <v>10521</v>
      </c>
      <c r="E1144" s="34" t="s">
        <v>11777</v>
      </c>
      <c r="F1144" s="6" t="s">
        <v>12803</v>
      </c>
      <c r="G1144" s="218" t="s">
        <v>10906</v>
      </c>
      <c r="H1144" s="218" t="s">
        <v>12804</v>
      </c>
    </row>
    <row r="1145" spans="1:8" ht="25.5">
      <c r="A1145" s="34">
        <f t="shared" si="17"/>
        <v>1143</v>
      </c>
      <c r="B1145" s="218" t="s">
        <v>10532</v>
      </c>
      <c r="C1145" s="1" t="s">
        <v>132</v>
      </c>
      <c r="D1145" s="34" t="s">
        <v>10521</v>
      </c>
      <c r="E1145" s="34" t="s">
        <v>9617</v>
      </c>
      <c r="F1145" s="6" t="s">
        <v>10921</v>
      </c>
      <c r="G1145" s="218" t="s">
        <v>10906</v>
      </c>
      <c r="H1145" s="218" t="s">
        <v>12805</v>
      </c>
    </row>
    <row r="1146" spans="1:8" ht="25.5">
      <c r="A1146" s="34">
        <f t="shared" si="17"/>
        <v>1144</v>
      </c>
      <c r="B1146" s="218" t="s">
        <v>10532</v>
      </c>
      <c r="C1146" s="1" t="s">
        <v>132</v>
      </c>
      <c r="D1146" s="34" t="s">
        <v>10521</v>
      </c>
      <c r="E1146" s="34" t="s">
        <v>10526</v>
      </c>
      <c r="F1146" s="6" t="s">
        <v>12806</v>
      </c>
      <c r="G1146" s="218" t="s">
        <v>10906</v>
      </c>
      <c r="H1146" s="218" t="s">
        <v>12807</v>
      </c>
    </row>
    <row r="1147" spans="1:8" ht="25.5">
      <c r="A1147" s="34">
        <f t="shared" si="17"/>
        <v>1145</v>
      </c>
      <c r="B1147" s="218" t="s">
        <v>10532</v>
      </c>
      <c r="C1147" s="1" t="s">
        <v>10377</v>
      </c>
      <c r="D1147" s="34" t="s">
        <v>10521</v>
      </c>
      <c r="E1147" s="34" t="s">
        <v>10288</v>
      </c>
      <c r="F1147" s="6" t="s">
        <v>10948</v>
      </c>
      <c r="G1147" s="218" t="s">
        <v>10906</v>
      </c>
      <c r="H1147" s="218" t="s">
        <v>12808</v>
      </c>
    </row>
    <row r="1148" spans="1:8" ht="25.5">
      <c r="A1148" s="34">
        <f t="shared" si="17"/>
        <v>1146</v>
      </c>
      <c r="B1148" s="218" t="s">
        <v>10532</v>
      </c>
      <c r="C1148" s="1" t="s">
        <v>10377</v>
      </c>
      <c r="D1148" s="34" t="s">
        <v>10521</v>
      </c>
      <c r="E1148" s="34" t="s">
        <v>10925</v>
      </c>
      <c r="F1148" s="6" t="s">
        <v>10926</v>
      </c>
      <c r="G1148" s="218" t="s">
        <v>10906</v>
      </c>
      <c r="H1148" s="218" t="s">
        <v>12809</v>
      </c>
    </row>
    <row r="1149" spans="1:8" ht="25.5">
      <c r="A1149" s="34">
        <f t="shared" si="17"/>
        <v>1147</v>
      </c>
      <c r="B1149" s="218" t="s">
        <v>10532</v>
      </c>
      <c r="C1149" s="1" t="s">
        <v>132</v>
      </c>
      <c r="D1149" s="34" t="s">
        <v>10521</v>
      </c>
      <c r="E1149" s="34" t="s">
        <v>10891</v>
      </c>
      <c r="F1149" s="6" t="s">
        <v>10928</v>
      </c>
      <c r="G1149" s="218" t="s">
        <v>10906</v>
      </c>
      <c r="H1149" s="218" t="s">
        <v>12810</v>
      </c>
    </row>
    <row r="1150" spans="1:8" ht="25.5">
      <c r="A1150" s="34">
        <f t="shared" si="17"/>
        <v>1148</v>
      </c>
      <c r="B1150" s="218" t="s">
        <v>10532</v>
      </c>
      <c r="C1150" s="1" t="s">
        <v>132</v>
      </c>
      <c r="D1150" s="34" t="s">
        <v>10521</v>
      </c>
      <c r="E1150" s="34" t="s">
        <v>10891</v>
      </c>
      <c r="F1150" s="6" t="s">
        <v>10928</v>
      </c>
      <c r="G1150" s="218" t="s">
        <v>10906</v>
      </c>
      <c r="H1150" s="218" t="s">
        <v>10934</v>
      </c>
    </row>
    <row r="1151" spans="1:8" ht="25.5">
      <c r="A1151" s="34">
        <f t="shared" si="17"/>
        <v>1149</v>
      </c>
      <c r="B1151" s="218" t="s">
        <v>10532</v>
      </c>
      <c r="C1151" s="1" t="s">
        <v>132</v>
      </c>
      <c r="D1151" s="34" t="s">
        <v>10521</v>
      </c>
      <c r="E1151" s="34" t="s">
        <v>10891</v>
      </c>
      <c r="F1151" s="6" t="s">
        <v>10933</v>
      </c>
      <c r="G1151" s="218" t="s">
        <v>10906</v>
      </c>
      <c r="H1151" s="218" t="s">
        <v>11940</v>
      </c>
    </row>
    <row r="1152" spans="1:8" ht="25.5">
      <c r="A1152" s="34">
        <f t="shared" si="17"/>
        <v>1150</v>
      </c>
      <c r="B1152" s="218" t="s">
        <v>10532</v>
      </c>
      <c r="C1152" s="1" t="s">
        <v>132</v>
      </c>
      <c r="D1152" s="34" t="s">
        <v>10521</v>
      </c>
      <c r="E1152" s="34" t="s">
        <v>10891</v>
      </c>
      <c r="F1152" s="6" t="s">
        <v>10933</v>
      </c>
      <c r="G1152" s="218" t="s">
        <v>10906</v>
      </c>
      <c r="H1152" s="218" t="s">
        <v>11462</v>
      </c>
    </row>
    <row r="1153" spans="1:8" ht="25.5">
      <c r="A1153" s="34">
        <f t="shared" si="17"/>
        <v>1151</v>
      </c>
      <c r="B1153" s="218" t="s">
        <v>10532</v>
      </c>
      <c r="C1153" s="1" t="s">
        <v>132</v>
      </c>
      <c r="D1153" s="34" t="s">
        <v>10520</v>
      </c>
      <c r="E1153" s="34" t="s">
        <v>10936</v>
      </c>
      <c r="F1153" s="6" t="s">
        <v>10937</v>
      </c>
      <c r="G1153" s="218" t="s">
        <v>10906</v>
      </c>
      <c r="H1153" s="218" t="s">
        <v>12811</v>
      </c>
    </row>
    <row r="1154" spans="1:8" ht="25.5">
      <c r="A1154" s="34">
        <f t="shared" si="17"/>
        <v>1152</v>
      </c>
      <c r="B1154" s="218" t="s">
        <v>10532</v>
      </c>
      <c r="C1154" s="1" t="s">
        <v>132</v>
      </c>
      <c r="D1154" s="34" t="s">
        <v>10521</v>
      </c>
      <c r="E1154" s="34" t="s">
        <v>10936</v>
      </c>
      <c r="F1154" s="6" t="s">
        <v>10937</v>
      </c>
      <c r="G1154" s="218" t="s">
        <v>10906</v>
      </c>
      <c r="H1154" s="218" t="s">
        <v>4098</v>
      </c>
    </row>
    <row r="1155" spans="1:8" ht="25.5">
      <c r="A1155" s="34">
        <f t="shared" si="17"/>
        <v>1153</v>
      </c>
      <c r="B1155" s="218" t="s">
        <v>10532</v>
      </c>
      <c r="C1155" s="1" t="s">
        <v>132</v>
      </c>
      <c r="D1155" s="34" t="s">
        <v>10521</v>
      </c>
      <c r="E1155" s="34" t="s">
        <v>10692</v>
      </c>
      <c r="F1155" s="6" t="s">
        <v>12812</v>
      </c>
      <c r="G1155" s="218" t="s">
        <v>10906</v>
      </c>
      <c r="H1155" s="218" t="s">
        <v>12813</v>
      </c>
    </row>
    <row r="1156" spans="1:8" ht="25.5">
      <c r="A1156" s="34">
        <f t="shared" si="17"/>
        <v>1154</v>
      </c>
      <c r="B1156" s="218" t="s">
        <v>10532</v>
      </c>
      <c r="C1156" s="1" t="s">
        <v>132</v>
      </c>
      <c r="D1156" s="34" t="s">
        <v>10521</v>
      </c>
      <c r="E1156" s="34" t="s">
        <v>10936</v>
      </c>
      <c r="F1156" s="6" t="s">
        <v>10937</v>
      </c>
      <c r="G1156" s="218" t="s">
        <v>10906</v>
      </c>
      <c r="H1156" s="218" t="s">
        <v>12814</v>
      </c>
    </row>
    <row r="1157" spans="1:8" ht="25.5">
      <c r="A1157" s="34">
        <f t="shared" si="17"/>
        <v>1155</v>
      </c>
      <c r="B1157" s="218" t="s">
        <v>10532</v>
      </c>
      <c r="C1157" s="1" t="s">
        <v>10377</v>
      </c>
      <c r="D1157" s="34" t="s">
        <v>10521</v>
      </c>
      <c r="E1157" s="34" t="s">
        <v>10554</v>
      </c>
      <c r="F1157" s="6" t="s">
        <v>12815</v>
      </c>
      <c r="G1157" s="218" t="s">
        <v>10906</v>
      </c>
      <c r="H1157" s="218" t="s">
        <v>12816</v>
      </c>
    </row>
    <row r="1158" spans="1:8" ht="25.5">
      <c r="A1158" s="34">
        <f t="shared" si="17"/>
        <v>1156</v>
      </c>
      <c r="B1158" s="218" t="s">
        <v>10532</v>
      </c>
      <c r="C1158" s="1" t="s">
        <v>10377</v>
      </c>
      <c r="D1158" s="34" t="s">
        <v>10521</v>
      </c>
      <c r="E1158" s="34" t="s">
        <v>10692</v>
      </c>
      <c r="F1158" s="6" t="s">
        <v>11898</v>
      </c>
      <c r="G1158" s="218" t="s">
        <v>10906</v>
      </c>
      <c r="H1158" s="218" t="s">
        <v>12817</v>
      </c>
    </row>
    <row r="1159" spans="1:8" ht="25.5">
      <c r="A1159" s="34">
        <f t="shared" si="17"/>
        <v>1157</v>
      </c>
      <c r="B1159" s="218" t="s">
        <v>10532</v>
      </c>
      <c r="C1159" s="1" t="s">
        <v>10377</v>
      </c>
      <c r="D1159" s="34" t="s">
        <v>10520</v>
      </c>
      <c r="E1159" s="34" t="s">
        <v>10554</v>
      </c>
      <c r="F1159" s="6" t="s">
        <v>12389</v>
      </c>
      <c r="G1159" s="218" t="s">
        <v>10906</v>
      </c>
      <c r="H1159" s="218" t="s">
        <v>12818</v>
      </c>
    </row>
  </sheetData>
  <mergeCells count="1">
    <mergeCell ref="A1:C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013E1-3380-44EF-AAC7-E1045867F9E1}">
  <sheetPr>
    <tabColor rgb="FF006432"/>
  </sheetPr>
  <dimension ref="A1:I180"/>
  <sheetViews>
    <sheetView workbookViewId="0">
      <pane xSplit="1" ySplit="2" topLeftCell="B3" activePane="bottomRight" state="frozen"/>
      <selection pane="bottomRight" activeCell="A2" sqref="A2"/>
      <selection pane="bottomLeft" activeCell="A3" sqref="A3"/>
      <selection pane="topRight" activeCell="B1" sqref="B1"/>
    </sheetView>
  </sheetViews>
  <sheetFormatPr defaultColWidth="9.140625" defaultRowHeight="15"/>
  <cols>
    <col min="1" max="1" width="4.7109375" style="35" customWidth="1"/>
    <col min="2" max="2" width="59.140625" style="35" customWidth="1"/>
    <col min="3" max="3" width="14.7109375" style="35" customWidth="1"/>
    <col min="4" max="4" width="49.42578125" style="35" customWidth="1"/>
    <col min="5" max="5" width="26.5703125" style="35" customWidth="1"/>
    <col min="6" max="6" width="12.42578125" style="76" customWidth="1"/>
    <col min="7" max="7" width="44.28515625" style="35" customWidth="1"/>
    <col min="8" max="8" width="28.42578125" style="35" customWidth="1"/>
    <col min="9" max="9" width="9" customWidth="1"/>
    <col min="10" max="16384" width="9.140625" style="35"/>
  </cols>
  <sheetData>
    <row r="1" spans="1:9" ht="16.5" thickBot="1">
      <c r="A1" s="641" t="s">
        <v>12819</v>
      </c>
      <c r="B1" s="641"/>
      <c r="C1" s="641"/>
      <c r="D1" s="641"/>
    </row>
    <row r="2" spans="1:9" ht="39" thickTop="1">
      <c r="A2" s="18" t="s">
        <v>114</v>
      </c>
      <c r="B2" s="17" t="s">
        <v>10178</v>
      </c>
      <c r="C2" s="18" t="s">
        <v>10179</v>
      </c>
      <c r="D2" s="18" t="s">
        <v>10180</v>
      </c>
      <c r="E2" s="196" t="s">
        <v>10181</v>
      </c>
      <c r="F2" s="196" t="s">
        <v>8556</v>
      </c>
      <c r="G2" s="196" t="s">
        <v>10182</v>
      </c>
      <c r="H2" s="196" t="s">
        <v>115</v>
      </c>
      <c r="I2" s="35"/>
    </row>
    <row r="3" spans="1:9" ht="25.5">
      <c r="A3" s="34">
        <v>1</v>
      </c>
      <c r="B3" s="218" t="s">
        <v>12820</v>
      </c>
      <c r="C3" s="34" t="s">
        <v>147</v>
      </c>
      <c r="D3" s="34"/>
      <c r="E3" s="34" t="s">
        <v>10472</v>
      </c>
      <c r="F3" s="6" t="s">
        <v>10853</v>
      </c>
      <c r="G3" s="218" t="s">
        <v>10831</v>
      </c>
      <c r="H3" s="34" t="s">
        <v>327</v>
      </c>
      <c r="I3" s="35"/>
    </row>
    <row r="4" spans="1:9" ht="25.5">
      <c r="A4" s="34">
        <f>A3+1</f>
        <v>2</v>
      </c>
      <c r="B4" s="218" t="s">
        <v>10855</v>
      </c>
      <c r="C4" s="34" t="s">
        <v>10502</v>
      </c>
      <c r="D4" s="34" t="s">
        <v>10189</v>
      </c>
      <c r="E4" s="34" t="s">
        <v>10856</v>
      </c>
      <c r="F4" s="6" t="s">
        <v>10857</v>
      </c>
      <c r="G4" s="218" t="s">
        <v>10858</v>
      </c>
      <c r="H4" s="34" t="s">
        <v>10859</v>
      </c>
      <c r="I4" s="35"/>
    </row>
    <row r="5" spans="1:9" ht="38.25">
      <c r="A5" s="34">
        <f t="shared" ref="A5:A68" si="0">A4+1</f>
        <v>3</v>
      </c>
      <c r="B5" s="218" t="s">
        <v>10479</v>
      </c>
      <c r="C5" s="34" t="s">
        <v>132</v>
      </c>
      <c r="D5" s="34" t="s">
        <v>10361</v>
      </c>
      <c r="E5" s="34" t="s">
        <v>10860</v>
      </c>
      <c r="F5" s="6" t="s">
        <v>10861</v>
      </c>
      <c r="G5" s="218" t="s">
        <v>8821</v>
      </c>
      <c r="H5" s="34" t="s">
        <v>10862</v>
      </c>
      <c r="I5" s="35"/>
    </row>
    <row r="6" spans="1:9" ht="25.5">
      <c r="A6" s="34">
        <f t="shared" si="0"/>
        <v>4</v>
      </c>
      <c r="B6" s="218" t="s">
        <v>10863</v>
      </c>
      <c r="C6" s="34" t="s">
        <v>10377</v>
      </c>
      <c r="D6" s="34" t="s">
        <v>10189</v>
      </c>
      <c r="E6" s="34" t="s">
        <v>10838</v>
      </c>
      <c r="F6" s="6" t="s">
        <v>10864</v>
      </c>
      <c r="G6" s="218" t="s">
        <v>10840</v>
      </c>
      <c r="H6" s="34" t="s">
        <v>211</v>
      </c>
      <c r="I6" s="35"/>
    </row>
    <row r="7" spans="1:9" ht="51">
      <c r="A7" s="34">
        <f t="shared" si="0"/>
        <v>5</v>
      </c>
      <c r="B7" s="218" t="s">
        <v>12821</v>
      </c>
      <c r="C7" s="34" t="s">
        <v>122</v>
      </c>
      <c r="D7" s="34" t="s">
        <v>10866</v>
      </c>
      <c r="E7" s="34" t="s">
        <v>10705</v>
      </c>
      <c r="F7" s="6" t="s">
        <v>10867</v>
      </c>
      <c r="G7" s="218" t="s">
        <v>10868</v>
      </c>
      <c r="H7" s="34" t="s">
        <v>10869</v>
      </c>
      <c r="I7" s="35"/>
    </row>
    <row r="8" spans="1:9" ht="51">
      <c r="A8" s="34">
        <f t="shared" si="0"/>
        <v>6</v>
      </c>
      <c r="B8" s="218" t="s">
        <v>12821</v>
      </c>
      <c r="C8" s="34" t="s">
        <v>200</v>
      </c>
      <c r="D8" s="34" t="s">
        <v>10866</v>
      </c>
      <c r="E8" s="34" t="s">
        <v>10870</v>
      </c>
      <c r="F8" s="6" t="s">
        <v>10871</v>
      </c>
      <c r="G8" s="218" t="s">
        <v>10872</v>
      </c>
      <c r="H8" s="34" t="s">
        <v>10873</v>
      </c>
      <c r="I8" s="35"/>
    </row>
    <row r="9" spans="1:9" ht="25.5">
      <c r="A9" s="34">
        <f t="shared" si="0"/>
        <v>7</v>
      </c>
      <c r="B9" s="218" t="s">
        <v>10874</v>
      </c>
      <c r="C9" s="34" t="s">
        <v>10875</v>
      </c>
      <c r="D9" s="34" t="s">
        <v>10189</v>
      </c>
      <c r="E9" s="34" t="s">
        <v>10876</v>
      </c>
      <c r="F9" s="6" t="s">
        <v>10877</v>
      </c>
      <c r="G9" s="218" t="s">
        <v>10878</v>
      </c>
      <c r="H9" s="34" t="s">
        <v>10879</v>
      </c>
      <c r="I9" s="35"/>
    </row>
    <row r="10" spans="1:9" ht="12.75">
      <c r="A10" s="34">
        <f t="shared" si="0"/>
        <v>8</v>
      </c>
      <c r="B10" s="218" t="s">
        <v>10782</v>
      </c>
      <c r="C10" s="34" t="s">
        <v>132</v>
      </c>
      <c r="D10" s="34" t="s">
        <v>10189</v>
      </c>
      <c r="E10" s="34" t="s">
        <v>10880</v>
      </c>
      <c r="F10" s="6" t="s">
        <v>10881</v>
      </c>
      <c r="G10" s="218" t="s">
        <v>10882</v>
      </c>
      <c r="H10" s="34" t="s">
        <v>10883</v>
      </c>
      <c r="I10" s="35"/>
    </row>
    <row r="11" spans="1:9" ht="12.75">
      <c r="A11" s="34">
        <f t="shared" si="0"/>
        <v>9</v>
      </c>
      <c r="B11" s="218" t="s">
        <v>10497</v>
      </c>
      <c r="C11" s="34" t="s">
        <v>1060</v>
      </c>
      <c r="D11" s="34" t="s">
        <v>10218</v>
      </c>
      <c r="E11" s="34" t="s">
        <v>10204</v>
      </c>
      <c r="F11" s="6" t="s">
        <v>10853</v>
      </c>
      <c r="G11" s="218" t="s">
        <v>10885</v>
      </c>
      <c r="H11" s="34" t="s">
        <v>10886</v>
      </c>
      <c r="I11" s="35"/>
    </row>
    <row r="12" spans="1:9" ht="12.75">
      <c r="A12" s="34">
        <f t="shared" si="0"/>
        <v>10</v>
      </c>
      <c r="B12" s="218" t="s">
        <v>10497</v>
      </c>
      <c r="C12" s="34" t="s">
        <v>10887</v>
      </c>
      <c r="D12" s="34" t="s">
        <v>10218</v>
      </c>
      <c r="E12" s="34" t="s">
        <v>10204</v>
      </c>
      <c r="F12" s="6" t="s">
        <v>10888</v>
      </c>
      <c r="G12" s="218" t="s">
        <v>10885</v>
      </c>
      <c r="H12" s="34" t="s">
        <v>10889</v>
      </c>
      <c r="I12" s="35"/>
    </row>
    <row r="13" spans="1:9" ht="12.75">
      <c r="A13" s="34">
        <f t="shared" si="0"/>
        <v>11</v>
      </c>
      <c r="B13" s="218" t="s">
        <v>10890</v>
      </c>
      <c r="C13" s="34" t="s">
        <v>132</v>
      </c>
      <c r="D13" s="34" t="s">
        <v>10521</v>
      </c>
      <c r="E13" s="34" t="s">
        <v>10891</v>
      </c>
      <c r="F13" s="6" t="s">
        <v>10892</v>
      </c>
      <c r="G13" s="218" t="s">
        <v>10893</v>
      </c>
      <c r="H13" s="34" t="s">
        <v>10894</v>
      </c>
      <c r="I13" s="35"/>
    </row>
    <row r="14" spans="1:9" ht="12.75">
      <c r="A14" s="34">
        <f t="shared" si="0"/>
        <v>12</v>
      </c>
      <c r="B14" s="218" t="s">
        <v>10890</v>
      </c>
      <c r="C14" s="34" t="s">
        <v>132</v>
      </c>
      <c r="D14" s="34" t="s">
        <v>10189</v>
      </c>
      <c r="E14" s="34" t="s">
        <v>10891</v>
      </c>
      <c r="F14" s="6" t="s">
        <v>10895</v>
      </c>
      <c r="G14" s="218" t="s">
        <v>10896</v>
      </c>
      <c r="H14" s="34" t="s">
        <v>10897</v>
      </c>
      <c r="I14" s="35"/>
    </row>
    <row r="15" spans="1:9" ht="12.75">
      <c r="A15" s="34">
        <f t="shared" si="0"/>
        <v>13</v>
      </c>
      <c r="B15" s="218" t="s">
        <v>10890</v>
      </c>
      <c r="C15" s="34" t="s">
        <v>132</v>
      </c>
      <c r="D15" s="34" t="s">
        <v>10521</v>
      </c>
      <c r="E15" s="34" t="s">
        <v>10891</v>
      </c>
      <c r="F15" s="6" t="s">
        <v>10892</v>
      </c>
      <c r="G15" s="218" t="s">
        <v>10896</v>
      </c>
      <c r="H15" s="34" t="s">
        <v>10898</v>
      </c>
      <c r="I15" s="35"/>
    </row>
    <row r="16" spans="1:9" ht="25.5">
      <c r="A16" s="34">
        <f t="shared" si="0"/>
        <v>14</v>
      </c>
      <c r="B16" s="218" t="s">
        <v>10899</v>
      </c>
      <c r="C16" s="34" t="s">
        <v>10502</v>
      </c>
      <c r="D16" s="34" t="s">
        <v>10189</v>
      </c>
      <c r="E16" s="34" t="s">
        <v>10230</v>
      </c>
      <c r="F16" s="6" t="s">
        <v>10900</v>
      </c>
      <c r="G16" s="218" t="s">
        <v>10728</v>
      </c>
      <c r="H16" s="34" t="s">
        <v>224</v>
      </c>
      <c r="I16" s="35"/>
    </row>
    <row r="17" spans="1:9" ht="25.5">
      <c r="A17" s="34">
        <f t="shared" si="0"/>
        <v>15</v>
      </c>
      <c r="B17" s="218" t="s">
        <v>10532</v>
      </c>
      <c r="C17" s="34" t="s">
        <v>10377</v>
      </c>
      <c r="D17" s="34" t="s">
        <v>10521</v>
      </c>
      <c r="E17" s="34" t="s">
        <v>10293</v>
      </c>
      <c r="F17" s="6" t="s">
        <v>10911</v>
      </c>
      <c r="G17" s="218" t="s">
        <v>10906</v>
      </c>
      <c r="H17" s="34" t="s">
        <v>10912</v>
      </c>
      <c r="I17" s="35"/>
    </row>
    <row r="18" spans="1:9" ht="25.5">
      <c r="A18" s="34">
        <f t="shared" si="0"/>
        <v>16</v>
      </c>
      <c r="B18" s="218" t="s">
        <v>10532</v>
      </c>
      <c r="C18" s="34" t="s">
        <v>132</v>
      </c>
      <c r="D18" s="34" t="s">
        <v>10521</v>
      </c>
      <c r="E18" s="34" t="s">
        <v>10526</v>
      </c>
      <c r="F18" s="6" t="s">
        <v>10877</v>
      </c>
      <c r="G18" s="218" t="s">
        <v>10906</v>
      </c>
      <c r="H18" s="34" t="s">
        <v>10914</v>
      </c>
      <c r="I18" s="35"/>
    </row>
    <row r="19" spans="1:9" ht="25.5">
      <c r="A19" s="34">
        <f t="shared" si="0"/>
        <v>17</v>
      </c>
      <c r="B19" s="218" t="s">
        <v>10532</v>
      </c>
      <c r="C19" s="34" t="s">
        <v>132</v>
      </c>
      <c r="D19" s="34" t="s">
        <v>10521</v>
      </c>
      <c r="E19" s="34" t="s">
        <v>10542</v>
      </c>
      <c r="F19" s="6" t="s">
        <v>10881</v>
      </c>
      <c r="G19" s="218" t="s">
        <v>10906</v>
      </c>
      <c r="H19" s="34" t="s">
        <v>10915</v>
      </c>
      <c r="I19" s="35"/>
    </row>
    <row r="20" spans="1:9" ht="25.5">
      <c r="A20" s="34">
        <f t="shared" si="0"/>
        <v>18</v>
      </c>
      <c r="B20" s="218" t="s">
        <v>10532</v>
      </c>
      <c r="C20" s="34" t="s">
        <v>132</v>
      </c>
      <c r="D20" s="34" t="s">
        <v>10521</v>
      </c>
      <c r="E20" s="34" t="s">
        <v>10916</v>
      </c>
      <c r="F20" s="6" t="s">
        <v>10917</v>
      </c>
      <c r="G20" s="218" t="s">
        <v>10906</v>
      </c>
      <c r="H20" s="34" t="s">
        <v>10918</v>
      </c>
      <c r="I20" s="35"/>
    </row>
    <row r="21" spans="1:9" ht="25.5">
      <c r="A21" s="34">
        <f t="shared" si="0"/>
        <v>19</v>
      </c>
      <c r="B21" s="218" t="s">
        <v>10532</v>
      </c>
      <c r="C21" s="34" t="s">
        <v>132</v>
      </c>
      <c r="D21" s="34" t="s">
        <v>10521</v>
      </c>
      <c r="E21" s="34" t="s">
        <v>10656</v>
      </c>
      <c r="F21" s="6" t="s">
        <v>10919</v>
      </c>
      <c r="G21" s="218" t="s">
        <v>10906</v>
      </c>
      <c r="H21" s="34" t="s">
        <v>10920</v>
      </c>
      <c r="I21" s="35"/>
    </row>
    <row r="22" spans="1:9" ht="25.5">
      <c r="A22" s="34">
        <f t="shared" si="0"/>
        <v>20</v>
      </c>
      <c r="B22" s="218" t="s">
        <v>10532</v>
      </c>
      <c r="C22" s="34" t="s">
        <v>132</v>
      </c>
      <c r="D22" s="34" t="s">
        <v>10521</v>
      </c>
      <c r="E22" s="34" t="s">
        <v>9617</v>
      </c>
      <c r="F22" s="6" t="s">
        <v>10921</v>
      </c>
      <c r="G22" s="218" t="s">
        <v>10906</v>
      </c>
      <c r="H22" s="34" t="s">
        <v>10922</v>
      </c>
      <c r="I22" s="35"/>
    </row>
    <row r="23" spans="1:9" ht="25.5">
      <c r="A23" s="34">
        <f t="shared" si="0"/>
        <v>21</v>
      </c>
      <c r="B23" s="218" t="s">
        <v>10532</v>
      </c>
      <c r="C23" s="34" t="s">
        <v>10377</v>
      </c>
      <c r="D23" s="34" t="s">
        <v>10520</v>
      </c>
      <c r="E23" s="34" t="s">
        <v>10288</v>
      </c>
      <c r="F23" s="6" t="s">
        <v>10923</v>
      </c>
      <c r="G23" s="218" t="s">
        <v>10906</v>
      </c>
      <c r="H23" s="34" t="s">
        <v>10924</v>
      </c>
      <c r="I23" s="35"/>
    </row>
    <row r="24" spans="1:9" ht="25.5">
      <c r="A24" s="34">
        <f t="shared" si="0"/>
        <v>22</v>
      </c>
      <c r="B24" s="218" t="s">
        <v>10532</v>
      </c>
      <c r="C24" s="34" t="s">
        <v>10377</v>
      </c>
      <c r="D24" s="34" t="s">
        <v>10521</v>
      </c>
      <c r="E24" s="34" t="s">
        <v>10925</v>
      </c>
      <c r="F24" s="6" t="s">
        <v>10926</v>
      </c>
      <c r="G24" s="218" t="s">
        <v>10906</v>
      </c>
      <c r="H24" s="34" t="s">
        <v>10927</v>
      </c>
      <c r="I24" s="35"/>
    </row>
    <row r="25" spans="1:9" ht="25.5">
      <c r="A25" s="34">
        <f t="shared" si="0"/>
        <v>23</v>
      </c>
      <c r="B25" s="218" t="s">
        <v>10532</v>
      </c>
      <c r="C25" s="34" t="s">
        <v>132</v>
      </c>
      <c r="D25" s="34" t="s">
        <v>10521</v>
      </c>
      <c r="E25" s="34" t="s">
        <v>10891</v>
      </c>
      <c r="F25" s="6" t="s">
        <v>10928</v>
      </c>
      <c r="G25" s="218" t="s">
        <v>10906</v>
      </c>
      <c r="H25" s="34" t="s">
        <v>10929</v>
      </c>
      <c r="I25" s="35"/>
    </row>
    <row r="26" spans="1:9" ht="25.5">
      <c r="A26" s="34">
        <f t="shared" si="0"/>
        <v>24</v>
      </c>
      <c r="B26" s="218" t="s">
        <v>10532</v>
      </c>
      <c r="C26" s="34" t="s">
        <v>132</v>
      </c>
      <c r="D26" s="34" t="s">
        <v>10521</v>
      </c>
      <c r="E26" s="34" t="s">
        <v>10891</v>
      </c>
      <c r="F26" s="6" t="s">
        <v>10928</v>
      </c>
      <c r="G26" s="218" t="s">
        <v>10906</v>
      </c>
      <c r="H26" s="34" t="s">
        <v>10930</v>
      </c>
      <c r="I26" s="35"/>
    </row>
    <row r="27" spans="1:9" ht="25.5">
      <c r="A27" s="34">
        <f t="shared" si="0"/>
        <v>25</v>
      </c>
      <c r="B27" s="218" t="s">
        <v>10532</v>
      </c>
      <c r="C27" s="34" t="s">
        <v>132</v>
      </c>
      <c r="D27" s="34" t="s">
        <v>10521</v>
      </c>
      <c r="E27" s="34" t="s">
        <v>10891</v>
      </c>
      <c r="F27" s="6" t="s">
        <v>10928</v>
      </c>
      <c r="G27" s="218" t="s">
        <v>10906</v>
      </c>
      <c r="H27" s="34" t="s">
        <v>10931</v>
      </c>
      <c r="I27" s="35"/>
    </row>
    <row r="28" spans="1:9" ht="25.5">
      <c r="A28" s="34">
        <f t="shared" si="0"/>
        <v>26</v>
      </c>
      <c r="B28" s="218" t="s">
        <v>10532</v>
      </c>
      <c r="C28" s="34" t="s">
        <v>132</v>
      </c>
      <c r="D28" s="34" t="s">
        <v>10521</v>
      </c>
      <c r="E28" s="34" t="s">
        <v>10891</v>
      </c>
      <c r="F28" s="6" t="s">
        <v>10928</v>
      </c>
      <c r="G28" s="218" t="s">
        <v>10906</v>
      </c>
      <c r="H28" s="34" t="s">
        <v>10932</v>
      </c>
      <c r="I28" s="35"/>
    </row>
    <row r="29" spans="1:9" ht="25.5">
      <c r="A29" s="34">
        <f t="shared" si="0"/>
        <v>27</v>
      </c>
      <c r="B29" s="218" t="s">
        <v>10532</v>
      </c>
      <c r="C29" s="34" t="s">
        <v>132</v>
      </c>
      <c r="D29" s="34" t="s">
        <v>10521</v>
      </c>
      <c r="E29" s="34" t="s">
        <v>10891</v>
      </c>
      <c r="F29" s="6" t="s">
        <v>10933</v>
      </c>
      <c r="G29" s="218" t="s">
        <v>10906</v>
      </c>
      <c r="H29" s="34" t="s">
        <v>10934</v>
      </c>
      <c r="I29" s="35"/>
    </row>
    <row r="30" spans="1:9" ht="25.5">
      <c r="A30" s="34">
        <f t="shared" si="0"/>
        <v>28</v>
      </c>
      <c r="B30" s="218" t="s">
        <v>10532</v>
      </c>
      <c r="C30" s="34" t="s">
        <v>132</v>
      </c>
      <c r="D30" s="34" t="s">
        <v>10520</v>
      </c>
      <c r="E30" s="34" t="s">
        <v>10891</v>
      </c>
      <c r="F30" s="6" t="s">
        <v>10928</v>
      </c>
      <c r="G30" s="218" t="s">
        <v>10906</v>
      </c>
      <c r="H30" s="34" t="s">
        <v>10935</v>
      </c>
      <c r="I30" s="35"/>
    </row>
    <row r="31" spans="1:9" ht="25.5">
      <c r="A31" s="34">
        <f t="shared" si="0"/>
        <v>29</v>
      </c>
      <c r="B31" s="218" t="s">
        <v>10532</v>
      </c>
      <c r="C31" s="34" t="s">
        <v>132</v>
      </c>
      <c r="D31" s="34" t="s">
        <v>10521</v>
      </c>
      <c r="E31" s="34" t="s">
        <v>10936</v>
      </c>
      <c r="F31" s="6" t="s">
        <v>10937</v>
      </c>
      <c r="G31" s="218" t="s">
        <v>10906</v>
      </c>
      <c r="H31" s="34" t="s">
        <v>10938</v>
      </c>
      <c r="I31" s="35"/>
    </row>
    <row r="32" spans="1:9" ht="25.5">
      <c r="A32" s="34">
        <f t="shared" si="0"/>
        <v>30</v>
      </c>
      <c r="B32" s="218" t="s">
        <v>10532</v>
      </c>
      <c r="C32" s="34" t="s">
        <v>132</v>
      </c>
      <c r="D32" s="34" t="s">
        <v>10520</v>
      </c>
      <c r="E32" s="34" t="s">
        <v>10936</v>
      </c>
      <c r="F32" s="6" t="s">
        <v>10937</v>
      </c>
      <c r="G32" s="218" t="s">
        <v>10906</v>
      </c>
      <c r="H32" s="34" t="s">
        <v>10939</v>
      </c>
      <c r="I32" s="35"/>
    </row>
    <row r="33" spans="1:9" ht="25.5">
      <c r="A33" s="34">
        <f t="shared" si="0"/>
        <v>31</v>
      </c>
      <c r="B33" s="218" t="s">
        <v>10532</v>
      </c>
      <c r="C33" s="34" t="s">
        <v>10377</v>
      </c>
      <c r="D33" s="34" t="s">
        <v>10521</v>
      </c>
      <c r="E33" s="34" t="s">
        <v>10692</v>
      </c>
      <c r="F33" s="6" t="s">
        <v>10940</v>
      </c>
      <c r="G33" s="218" t="s">
        <v>10906</v>
      </c>
      <c r="H33" s="34" t="s">
        <v>10941</v>
      </c>
      <c r="I33" s="35"/>
    </row>
    <row r="34" spans="1:9" ht="25.5">
      <c r="A34" s="34">
        <f t="shared" si="0"/>
        <v>32</v>
      </c>
      <c r="B34" s="218" t="s">
        <v>10532</v>
      </c>
      <c r="C34" s="34" t="s">
        <v>132</v>
      </c>
      <c r="D34" s="34" t="s">
        <v>10521</v>
      </c>
      <c r="E34" s="34" t="s">
        <v>10936</v>
      </c>
      <c r="F34" s="6" t="s">
        <v>10937</v>
      </c>
      <c r="G34" s="218" t="s">
        <v>10906</v>
      </c>
      <c r="H34" s="34" t="s">
        <v>10942</v>
      </c>
      <c r="I34" s="35"/>
    </row>
    <row r="35" spans="1:9" ht="25.5">
      <c r="A35" s="34">
        <f t="shared" si="0"/>
        <v>33</v>
      </c>
      <c r="B35" s="218" t="s">
        <v>10532</v>
      </c>
      <c r="C35" s="34" t="s">
        <v>10377</v>
      </c>
      <c r="D35" s="34" t="s">
        <v>10521</v>
      </c>
      <c r="E35" s="34" t="s">
        <v>10522</v>
      </c>
      <c r="F35" s="6" t="s">
        <v>10943</v>
      </c>
      <c r="G35" s="218" t="s">
        <v>10906</v>
      </c>
      <c r="H35" s="34" t="s">
        <v>10944</v>
      </c>
      <c r="I35" s="35"/>
    </row>
    <row r="36" spans="1:9" ht="25.5">
      <c r="A36" s="34">
        <f t="shared" si="0"/>
        <v>34</v>
      </c>
      <c r="B36" s="218" t="s">
        <v>10532</v>
      </c>
      <c r="C36" s="34" t="s">
        <v>10377</v>
      </c>
      <c r="D36" s="34" t="s">
        <v>10521</v>
      </c>
      <c r="E36" s="34" t="s">
        <v>10945</v>
      </c>
      <c r="F36" s="6" t="s">
        <v>10946</v>
      </c>
      <c r="G36" s="218" t="s">
        <v>10906</v>
      </c>
      <c r="H36" s="34" t="s">
        <v>10947</v>
      </c>
      <c r="I36" s="35"/>
    </row>
    <row r="37" spans="1:9" ht="12.75">
      <c r="A37" s="34">
        <f t="shared" si="0"/>
        <v>35</v>
      </c>
      <c r="B37" s="218" t="s">
        <v>11394</v>
      </c>
      <c r="C37" s="34" t="s">
        <v>302</v>
      </c>
      <c r="D37" s="34" t="s">
        <v>10189</v>
      </c>
      <c r="E37" s="34" t="s">
        <v>10230</v>
      </c>
      <c r="F37" s="6" t="s">
        <v>10888</v>
      </c>
      <c r="G37" s="218" t="s">
        <v>10232</v>
      </c>
      <c r="H37" s="34" t="s">
        <v>10233</v>
      </c>
      <c r="I37" s="35"/>
    </row>
    <row r="38" spans="1:9" ht="25.5">
      <c r="A38" s="34">
        <f t="shared" si="0"/>
        <v>36</v>
      </c>
      <c r="B38" s="218" t="s">
        <v>11395</v>
      </c>
      <c r="C38" s="34" t="s">
        <v>10377</v>
      </c>
      <c r="D38" s="34" t="s">
        <v>10189</v>
      </c>
      <c r="E38" s="34" t="s">
        <v>10838</v>
      </c>
      <c r="F38" s="6" t="s">
        <v>11396</v>
      </c>
      <c r="G38" s="218" t="s">
        <v>10840</v>
      </c>
      <c r="H38" s="34" t="s">
        <v>10841</v>
      </c>
      <c r="I38" s="35"/>
    </row>
    <row r="39" spans="1:9" ht="25.5">
      <c r="A39" s="34">
        <f t="shared" si="0"/>
        <v>37</v>
      </c>
      <c r="B39" s="218" t="s">
        <v>11397</v>
      </c>
      <c r="C39" s="34" t="s">
        <v>132</v>
      </c>
      <c r="D39" s="34" t="s">
        <v>10189</v>
      </c>
      <c r="E39" s="34" t="s">
        <v>10650</v>
      </c>
      <c r="F39" s="6" t="s">
        <v>11398</v>
      </c>
      <c r="G39" s="218" t="s">
        <v>11399</v>
      </c>
      <c r="H39" s="34" t="s">
        <v>4457</v>
      </c>
      <c r="I39" s="35"/>
    </row>
    <row r="40" spans="1:9" ht="25.5">
      <c r="A40" s="34">
        <f t="shared" si="0"/>
        <v>38</v>
      </c>
      <c r="B40" s="218" t="s">
        <v>11400</v>
      </c>
      <c r="C40" s="34" t="s">
        <v>10502</v>
      </c>
      <c r="D40" s="34" t="s">
        <v>10189</v>
      </c>
      <c r="E40" s="34" t="s">
        <v>10856</v>
      </c>
      <c r="F40" s="6" t="s">
        <v>10857</v>
      </c>
      <c r="G40" s="218" t="s">
        <v>10858</v>
      </c>
      <c r="H40" s="34" t="s">
        <v>11401</v>
      </c>
      <c r="I40" s="35"/>
    </row>
    <row r="41" spans="1:9" ht="51">
      <c r="A41" s="34">
        <f t="shared" si="0"/>
        <v>39</v>
      </c>
      <c r="B41" s="218" t="s">
        <v>12821</v>
      </c>
      <c r="C41" s="34" t="s">
        <v>122</v>
      </c>
      <c r="D41" s="34" t="s">
        <v>10866</v>
      </c>
      <c r="E41" s="34" t="s">
        <v>11402</v>
      </c>
      <c r="F41" s="6" t="s">
        <v>10867</v>
      </c>
      <c r="G41" s="218" t="s">
        <v>11403</v>
      </c>
      <c r="H41" s="34" t="s">
        <v>11404</v>
      </c>
      <c r="I41" s="35"/>
    </row>
    <row r="42" spans="1:9" ht="12.75">
      <c r="A42" s="34">
        <f t="shared" si="0"/>
        <v>40</v>
      </c>
      <c r="B42" s="218" t="s">
        <v>11405</v>
      </c>
      <c r="C42" s="34" t="s">
        <v>122</v>
      </c>
      <c r="D42" s="34" t="s">
        <v>10189</v>
      </c>
      <c r="E42" s="34" t="s">
        <v>10238</v>
      </c>
      <c r="F42" s="6" t="s">
        <v>11406</v>
      </c>
      <c r="G42" s="218" t="s">
        <v>10240</v>
      </c>
      <c r="H42" s="34" t="s">
        <v>287</v>
      </c>
      <c r="I42" s="35"/>
    </row>
    <row r="43" spans="1:9" ht="12.75">
      <c r="A43" s="34">
        <f t="shared" si="0"/>
        <v>41</v>
      </c>
      <c r="B43" s="218" t="s">
        <v>11407</v>
      </c>
      <c r="C43" s="34" t="s">
        <v>122</v>
      </c>
      <c r="D43" s="34"/>
      <c r="E43" s="34" t="s">
        <v>10278</v>
      </c>
      <c r="F43" s="6" t="s">
        <v>11408</v>
      </c>
      <c r="G43" s="218" t="s">
        <v>10286</v>
      </c>
      <c r="H43" s="34" t="s">
        <v>11409</v>
      </c>
      <c r="I43" s="35"/>
    </row>
    <row r="44" spans="1:9" ht="25.5">
      <c r="A44" s="34">
        <f t="shared" si="0"/>
        <v>42</v>
      </c>
      <c r="B44" s="218" t="s">
        <v>11410</v>
      </c>
      <c r="C44" s="34" t="s">
        <v>10833</v>
      </c>
      <c r="D44" s="34" t="s">
        <v>10218</v>
      </c>
      <c r="E44" s="34" t="s">
        <v>10876</v>
      </c>
      <c r="F44" s="6" t="s">
        <v>11411</v>
      </c>
      <c r="G44" s="218" t="s">
        <v>11412</v>
      </c>
      <c r="H44" s="34" t="s">
        <v>11413</v>
      </c>
      <c r="I44" s="35"/>
    </row>
    <row r="45" spans="1:9" ht="12.75">
      <c r="A45" s="34">
        <f t="shared" si="0"/>
        <v>43</v>
      </c>
      <c r="B45" s="218" t="s">
        <v>10782</v>
      </c>
      <c r="C45" s="34" t="s">
        <v>132</v>
      </c>
      <c r="D45" s="34" t="s">
        <v>10189</v>
      </c>
      <c r="E45" s="34" t="s">
        <v>10526</v>
      </c>
      <c r="F45" s="6" t="s">
        <v>11414</v>
      </c>
      <c r="G45" s="218" t="s">
        <v>10882</v>
      </c>
      <c r="H45" s="34" t="s">
        <v>11415</v>
      </c>
      <c r="I45" s="35"/>
    </row>
    <row r="46" spans="1:9" ht="25.5">
      <c r="A46" s="34">
        <f t="shared" si="0"/>
        <v>44</v>
      </c>
      <c r="B46" s="218" t="s">
        <v>11416</v>
      </c>
      <c r="C46" s="34" t="s">
        <v>1939</v>
      </c>
      <c r="D46" s="34" t="s">
        <v>10189</v>
      </c>
      <c r="E46" s="34" t="s">
        <v>11417</v>
      </c>
      <c r="F46" s="6" t="s">
        <v>11418</v>
      </c>
      <c r="G46" s="218" t="s">
        <v>11419</v>
      </c>
      <c r="H46" s="34" t="s">
        <v>3688</v>
      </c>
      <c r="I46" s="35"/>
    </row>
    <row r="47" spans="1:9" ht="12.75">
      <c r="A47" s="34">
        <f t="shared" si="0"/>
        <v>45</v>
      </c>
      <c r="B47" s="218" t="s">
        <v>10497</v>
      </c>
      <c r="C47" s="34" t="s">
        <v>1060</v>
      </c>
      <c r="D47" s="34" t="s">
        <v>10218</v>
      </c>
      <c r="E47" s="34" t="s">
        <v>10204</v>
      </c>
      <c r="F47" s="6" t="s">
        <v>11420</v>
      </c>
      <c r="G47" s="218" t="s">
        <v>10885</v>
      </c>
      <c r="H47" s="34" t="s">
        <v>11421</v>
      </c>
      <c r="I47" s="35"/>
    </row>
    <row r="48" spans="1:9" ht="12.75">
      <c r="A48" s="34">
        <f t="shared" si="0"/>
        <v>46</v>
      </c>
      <c r="B48" s="218" t="s">
        <v>10497</v>
      </c>
      <c r="C48" s="34" t="s">
        <v>11422</v>
      </c>
      <c r="D48" s="34" t="s">
        <v>10218</v>
      </c>
      <c r="E48" s="34" t="s">
        <v>10204</v>
      </c>
      <c r="F48" s="6" t="s">
        <v>11423</v>
      </c>
      <c r="G48" s="218" t="s">
        <v>10885</v>
      </c>
      <c r="H48" s="34" t="s">
        <v>11424</v>
      </c>
      <c r="I48" s="35"/>
    </row>
    <row r="49" spans="1:9" ht="12.75">
      <c r="A49" s="34">
        <f t="shared" si="0"/>
        <v>47</v>
      </c>
      <c r="B49" s="218" t="s">
        <v>10890</v>
      </c>
      <c r="C49" s="34" t="s">
        <v>132</v>
      </c>
      <c r="D49" s="34" t="s">
        <v>10189</v>
      </c>
      <c r="E49" s="34" t="s">
        <v>10891</v>
      </c>
      <c r="F49" s="6" t="s">
        <v>10892</v>
      </c>
      <c r="G49" s="218" t="s">
        <v>10893</v>
      </c>
      <c r="H49" s="34" t="s">
        <v>11425</v>
      </c>
      <c r="I49" s="35"/>
    </row>
    <row r="50" spans="1:9" ht="12.75">
      <c r="A50" s="34">
        <f t="shared" si="0"/>
        <v>48</v>
      </c>
      <c r="B50" s="218" t="s">
        <v>10890</v>
      </c>
      <c r="C50" s="34" t="s">
        <v>132</v>
      </c>
      <c r="D50" s="34" t="s">
        <v>10521</v>
      </c>
      <c r="E50" s="34" t="s">
        <v>10891</v>
      </c>
      <c r="F50" s="6" t="s">
        <v>10892</v>
      </c>
      <c r="G50" s="218" t="s">
        <v>10893</v>
      </c>
      <c r="H50" s="34" t="s">
        <v>11426</v>
      </c>
      <c r="I50" s="35"/>
    </row>
    <row r="51" spans="1:9" ht="12.75">
      <c r="A51" s="34">
        <f t="shared" si="0"/>
        <v>49</v>
      </c>
      <c r="B51" s="218" t="s">
        <v>10890</v>
      </c>
      <c r="C51" s="34" t="s">
        <v>132</v>
      </c>
      <c r="D51" s="34" t="s">
        <v>10521</v>
      </c>
      <c r="E51" s="34" t="s">
        <v>10891</v>
      </c>
      <c r="F51" s="6" t="s">
        <v>11427</v>
      </c>
      <c r="G51" s="218" t="s">
        <v>10896</v>
      </c>
      <c r="H51" s="34" t="s">
        <v>11428</v>
      </c>
      <c r="I51" s="35"/>
    </row>
    <row r="52" spans="1:9" ht="12.75">
      <c r="A52" s="34">
        <f t="shared" si="0"/>
        <v>50</v>
      </c>
      <c r="B52" s="218" t="s">
        <v>11429</v>
      </c>
      <c r="C52" s="34" t="s">
        <v>132</v>
      </c>
      <c r="D52" s="34" t="s">
        <v>10189</v>
      </c>
      <c r="E52" s="34" t="s">
        <v>10891</v>
      </c>
      <c r="F52" s="6" t="s">
        <v>10867</v>
      </c>
      <c r="G52" s="218" t="s">
        <v>10893</v>
      </c>
      <c r="H52" s="34" t="s">
        <v>11430</v>
      </c>
      <c r="I52" s="35"/>
    </row>
    <row r="53" spans="1:9" ht="25.5">
      <c r="A53" s="34">
        <f t="shared" si="0"/>
        <v>51</v>
      </c>
      <c r="B53" s="218" t="s">
        <v>10532</v>
      </c>
      <c r="C53" s="34" t="s">
        <v>11438</v>
      </c>
      <c r="D53" s="34" t="s">
        <v>10521</v>
      </c>
      <c r="E53" s="34" t="s">
        <v>11439</v>
      </c>
      <c r="F53" s="6" t="s">
        <v>11440</v>
      </c>
      <c r="G53" s="218" t="s">
        <v>10906</v>
      </c>
      <c r="H53" s="34" t="s">
        <v>11441</v>
      </c>
      <c r="I53" s="35"/>
    </row>
    <row r="54" spans="1:9" ht="25.5">
      <c r="A54" s="34">
        <f t="shared" si="0"/>
        <v>52</v>
      </c>
      <c r="B54" s="218" t="s">
        <v>10532</v>
      </c>
      <c r="C54" s="34" t="s">
        <v>132</v>
      </c>
      <c r="D54" s="34" t="s">
        <v>10520</v>
      </c>
      <c r="E54" s="34" t="s">
        <v>10446</v>
      </c>
      <c r="F54" s="6" t="s">
        <v>11444</v>
      </c>
      <c r="G54" s="218" t="s">
        <v>10906</v>
      </c>
      <c r="H54" s="34" t="s">
        <v>11445</v>
      </c>
      <c r="I54" s="35"/>
    </row>
    <row r="55" spans="1:9" ht="25.5">
      <c r="A55" s="34">
        <f t="shared" si="0"/>
        <v>53</v>
      </c>
      <c r="B55" s="218" t="s">
        <v>10532</v>
      </c>
      <c r="C55" s="34" t="s">
        <v>132</v>
      </c>
      <c r="D55" s="34" t="s">
        <v>10521</v>
      </c>
      <c r="E55" s="34" t="s">
        <v>10542</v>
      </c>
      <c r="F55" s="6" t="s">
        <v>11446</v>
      </c>
      <c r="G55" s="218" t="s">
        <v>10906</v>
      </c>
      <c r="H55" s="34" t="s">
        <v>11447</v>
      </c>
      <c r="I55" s="35"/>
    </row>
    <row r="56" spans="1:9" ht="25.5">
      <c r="A56" s="34">
        <f t="shared" si="0"/>
        <v>54</v>
      </c>
      <c r="B56" s="218" t="s">
        <v>10532</v>
      </c>
      <c r="C56" s="34" t="s">
        <v>132</v>
      </c>
      <c r="D56" s="34" t="s">
        <v>10521</v>
      </c>
      <c r="E56" s="34" t="s">
        <v>10542</v>
      </c>
      <c r="F56" s="6" t="s">
        <v>11448</v>
      </c>
      <c r="G56" s="218" t="s">
        <v>10906</v>
      </c>
      <c r="H56" s="34" t="s">
        <v>11449</v>
      </c>
      <c r="I56" s="35"/>
    </row>
    <row r="57" spans="1:9" ht="25.5">
      <c r="A57" s="34">
        <f t="shared" si="0"/>
        <v>55</v>
      </c>
      <c r="B57" s="218" t="s">
        <v>10532</v>
      </c>
      <c r="C57" s="34" t="s">
        <v>132</v>
      </c>
      <c r="D57" s="34" t="s">
        <v>10521</v>
      </c>
      <c r="E57" s="34" t="s">
        <v>10916</v>
      </c>
      <c r="F57" s="6" t="s">
        <v>11450</v>
      </c>
      <c r="G57" s="218" t="s">
        <v>10906</v>
      </c>
      <c r="H57" s="34" t="s">
        <v>11451</v>
      </c>
      <c r="I57" s="35"/>
    </row>
    <row r="58" spans="1:9" ht="25.5">
      <c r="A58" s="34">
        <f t="shared" si="0"/>
        <v>56</v>
      </c>
      <c r="B58" s="218" t="s">
        <v>10532</v>
      </c>
      <c r="C58" s="34" t="s">
        <v>132</v>
      </c>
      <c r="D58" s="34" t="s">
        <v>10521</v>
      </c>
      <c r="E58" s="34" t="s">
        <v>10656</v>
      </c>
      <c r="F58" s="6" t="s">
        <v>10919</v>
      </c>
      <c r="G58" s="218" t="s">
        <v>10906</v>
      </c>
      <c r="H58" s="34" t="s">
        <v>11452</v>
      </c>
      <c r="I58" s="35"/>
    </row>
    <row r="59" spans="1:9" ht="25.5">
      <c r="A59" s="34">
        <f t="shared" si="0"/>
        <v>57</v>
      </c>
      <c r="B59" s="218" t="s">
        <v>10532</v>
      </c>
      <c r="C59" s="34" t="s">
        <v>10377</v>
      </c>
      <c r="D59" s="34" t="s">
        <v>10520</v>
      </c>
      <c r="E59" s="34" t="s">
        <v>10288</v>
      </c>
      <c r="F59" s="6" t="s">
        <v>10923</v>
      </c>
      <c r="G59" s="218" t="s">
        <v>10906</v>
      </c>
      <c r="H59" s="34" t="s">
        <v>11456</v>
      </c>
      <c r="I59" s="35"/>
    </row>
    <row r="60" spans="1:9" ht="25.5">
      <c r="A60" s="34">
        <f t="shared" si="0"/>
        <v>58</v>
      </c>
      <c r="B60" s="218" t="s">
        <v>10532</v>
      </c>
      <c r="C60" s="34" t="s">
        <v>10377</v>
      </c>
      <c r="D60" s="34" t="s">
        <v>10521</v>
      </c>
      <c r="E60" s="34" t="s">
        <v>10925</v>
      </c>
      <c r="F60" s="6" t="s">
        <v>11457</v>
      </c>
      <c r="G60" s="218" t="s">
        <v>10906</v>
      </c>
      <c r="H60" s="34" t="s">
        <v>11458</v>
      </c>
      <c r="I60" s="35"/>
    </row>
    <row r="61" spans="1:9" ht="25.5">
      <c r="A61" s="34">
        <f t="shared" si="0"/>
        <v>59</v>
      </c>
      <c r="B61" s="218" t="s">
        <v>10532</v>
      </c>
      <c r="C61" s="34" t="s">
        <v>132</v>
      </c>
      <c r="D61" s="34" t="s">
        <v>10521</v>
      </c>
      <c r="E61" s="34" t="s">
        <v>10891</v>
      </c>
      <c r="F61" s="6" t="s">
        <v>10928</v>
      </c>
      <c r="G61" s="218" t="s">
        <v>10906</v>
      </c>
      <c r="H61" s="34" t="s">
        <v>11459</v>
      </c>
      <c r="I61" s="35"/>
    </row>
    <row r="62" spans="1:9" ht="25.5">
      <c r="A62" s="34">
        <f t="shared" si="0"/>
        <v>60</v>
      </c>
      <c r="B62" s="218" t="s">
        <v>10532</v>
      </c>
      <c r="C62" s="34" t="s">
        <v>132</v>
      </c>
      <c r="D62" s="34" t="s">
        <v>10521</v>
      </c>
      <c r="E62" s="34" t="s">
        <v>10891</v>
      </c>
      <c r="F62" s="6" t="s">
        <v>10928</v>
      </c>
      <c r="G62" s="218" t="s">
        <v>10906</v>
      </c>
      <c r="H62" s="34" t="s">
        <v>11460</v>
      </c>
      <c r="I62" s="35"/>
    </row>
    <row r="63" spans="1:9" ht="25.5">
      <c r="A63" s="34">
        <f t="shared" si="0"/>
        <v>61</v>
      </c>
      <c r="B63" s="218" t="s">
        <v>10532</v>
      </c>
      <c r="C63" s="34" t="s">
        <v>132</v>
      </c>
      <c r="D63" s="34" t="s">
        <v>10520</v>
      </c>
      <c r="E63" s="34" t="s">
        <v>10891</v>
      </c>
      <c r="F63" s="6" t="s">
        <v>10928</v>
      </c>
      <c r="G63" s="218" t="s">
        <v>10906</v>
      </c>
      <c r="H63" s="34" t="s">
        <v>11461</v>
      </c>
      <c r="I63" s="35"/>
    </row>
    <row r="64" spans="1:9" ht="25.5">
      <c r="A64" s="34">
        <f t="shared" si="0"/>
        <v>62</v>
      </c>
      <c r="B64" s="218" t="s">
        <v>10532</v>
      </c>
      <c r="C64" s="34" t="s">
        <v>132</v>
      </c>
      <c r="D64" s="34" t="s">
        <v>10521</v>
      </c>
      <c r="E64" s="34" t="s">
        <v>10891</v>
      </c>
      <c r="F64" s="6" t="s">
        <v>10928</v>
      </c>
      <c r="G64" s="218" t="s">
        <v>10906</v>
      </c>
      <c r="H64" s="34" t="s">
        <v>11462</v>
      </c>
      <c r="I64" s="35"/>
    </row>
    <row r="65" spans="1:9" ht="25.5">
      <c r="A65" s="34">
        <f t="shared" si="0"/>
        <v>63</v>
      </c>
      <c r="B65" s="218" t="s">
        <v>10532</v>
      </c>
      <c r="C65" s="34" t="s">
        <v>132</v>
      </c>
      <c r="D65" s="34" t="s">
        <v>10520</v>
      </c>
      <c r="E65" s="34" t="s">
        <v>10891</v>
      </c>
      <c r="F65" s="6" t="s">
        <v>10928</v>
      </c>
      <c r="G65" s="218" t="s">
        <v>10906</v>
      </c>
      <c r="H65" s="34" t="s">
        <v>11463</v>
      </c>
      <c r="I65" s="35"/>
    </row>
    <row r="66" spans="1:9" ht="25.5">
      <c r="A66" s="34">
        <f t="shared" si="0"/>
        <v>64</v>
      </c>
      <c r="B66" s="218" t="s">
        <v>10532</v>
      </c>
      <c r="C66" s="34" t="s">
        <v>132</v>
      </c>
      <c r="D66" s="34" t="s">
        <v>10521</v>
      </c>
      <c r="E66" s="34" t="s">
        <v>10891</v>
      </c>
      <c r="F66" s="6" t="s">
        <v>10933</v>
      </c>
      <c r="G66" s="218" t="s">
        <v>10906</v>
      </c>
      <c r="H66" s="34" t="s">
        <v>10935</v>
      </c>
      <c r="I66" s="35"/>
    </row>
    <row r="67" spans="1:9" ht="25.5">
      <c r="A67" s="34">
        <f t="shared" si="0"/>
        <v>65</v>
      </c>
      <c r="B67" s="218" t="s">
        <v>10532</v>
      </c>
      <c r="C67" s="34" t="s">
        <v>132</v>
      </c>
      <c r="D67" s="34" t="s">
        <v>10521</v>
      </c>
      <c r="E67" s="34" t="s">
        <v>10936</v>
      </c>
      <c r="F67" s="6" t="s">
        <v>10937</v>
      </c>
      <c r="G67" s="218" t="s">
        <v>10906</v>
      </c>
      <c r="H67" s="34" t="s">
        <v>11464</v>
      </c>
      <c r="I67" s="35"/>
    </row>
    <row r="68" spans="1:9" ht="25.5">
      <c r="A68" s="34">
        <f t="shared" si="0"/>
        <v>66</v>
      </c>
      <c r="B68" s="218" t="s">
        <v>10532</v>
      </c>
      <c r="C68" s="34" t="s">
        <v>132</v>
      </c>
      <c r="D68" s="34" t="s">
        <v>10521</v>
      </c>
      <c r="E68" s="34" t="s">
        <v>10936</v>
      </c>
      <c r="F68" s="6" t="s">
        <v>10937</v>
      </c>
      <c r="G68" s="218" t="s">
        <v>10906</v>
      </c>
      <c r="H68" s="34" t="s">
        <v>11465</v>
      </c>
      <c r="I68" s="35"/>
    </row>
    <row r="69" spans="1:9" ht="25.5">
      <c r="A69" s="34">
        <f t="shared" ref="A69:A132" si="1">A68+1</f>
        <v>67</v>
      </c>
      <c r="B69" s="218" t="s">
        <v>10532</v>
      </c>
      <c r="C69" s="34" t="s">
        <v>132</v>
      </c>
      <c r="D69" s="34" t="s">
        <v>10521</v>
      </c>
      <c r="E69" s="34" t="s">
        <v>10936</v>
      </c>
      <c r="F69" s="6" t="s">
        <v>10937</v>
      </c>
      <c r="G69" s="218" t="s">
        <v>10906</v>
      </c>
      <c r="H69" s="34" t="s">
        <v>11466</v>
      </c>
      <c r="I69" s="35"/>
    </row>
    <row r="70" spans="1:9" ht="25.5">
      <c r="A70" s="34">
        <f t="shared" si="1"/>
        <v>68</v>
      </c>
      <c r="B70" s="218" t="s">
        <v>10532</v>
      </c>
      <c r="C70" s="34" t="s">
        <v>132</v>
      </c>
      <c r="D70" s="34" t="s">
        <v>10521</v>
      </c>
      <c r="E70" s="34" t="s">
        <v>10936</v>
      </c>
      <c r="F70" s="6" t="s">
        <v>10937</v>
      </c>
      <c r="G70" s="218" t="s">
        <v>10906</v>
      </c>
      <c r="H70" s="34" t="s">
        <v>11467</v>
      </c>
      <c r="I70" s="35"/>
    </row>
    <row r="71" spans="1:9" ht="25.5">
      <c r="A71" s="34">
        <f t="shared" si="1"/>
        <v>69</v>
      </c>
      <c r="B71" s="218" t="s">
        <v>10532</v>
      </c>
      <c r="C71" s="34" t="s">
        <v>10377</v>
      </c>
      <c r="D71" s="34" t="s">
        <v>10521</v>
      </c>
      <c r="E71" s="34" t="s">
        <v>10522</v>
      </c>
      <c r="F71" s="6" t="s">
        <v>10888</v>
      </c>
      <c r="G71" s="218" t="s">
        <v>10906</v>
      </c>
      <c r="H71" s="34" t="s">
        <v>11468</v>
      </c>
      <c r="I71" s="35"/>
    </row>
    <row r="72" spans="1:9" ht="25.5">
      <c r="A72" s="34">
        <f t="shared" si="1"/>
        <v>70</v>
      </c>
      <c r="B72" s="218" t="s">
        <v>10532</v>
      </c>
      <c r="C72" s="34" t="s">
        <v>10377</v>
      </c>
      <c r="D72" s="34" t="s">
        <v>10521</v>
      </c>
      <c r="E72" s="34" t="s">
        <v>10522</v>
      </c>
      <c r="F72" s="6" t="s">
        <v>11469</v>
      </c>
      <c r="G72" s="218" t="s">
        <v>10906</v>
      </c>
      <c r="H72" s="34" t="s">
        <v>11470</v>
      </c>
      <c r="I72" s="35"/>
    </row>
    <row r="73" spans="1:9" ht="12.75">
      <c r="A73" s="34">
        <f t="shared" si="1"/>
        <v>71</v>
      </c>
      <c r="B73" s="218" t="s">
        <v>11879</v>
      </c>
      <c r="C73" s="34" t="s">
        <v>147</v>
      </c>
      <c r="D73" s="34" t="s">
        <v>10218</v>
      </c>
      <c r="E73" s="34" t="s">
        <v>10472</v>
      </c>
      <c r="F73" s="6" t="s">
        <v>10946</v>
      </c>
      <c r="G73" s="218" t="s">
        <v>11875</v>
      </c>
      <c r="H73" s="34" t="s">
        <v>10854</v>
      </c>
      <c r="I73" s="35"/>
    </row>
    <row r="74" spans="1:9" ht="25.5">
      <c r="A74" s="34">
        <f t="shared" si="1"/>
        <v>72</v>
      </c>
      <c r="B74" s="218" t="s">
        <v>11880</v>
      </c>
      <c r="C74" s="34" t="s">
        <v>10377</v>
      </c>
      <c r="D74" s="34" t="s">
        <v>10189</v>
      </c>
      <c r="E74" s="34" t="s">
        <v>10424</v>
      </c>
      <c r="F74" s="6" t="s">
        <v>11396</v>
      </c>
      <c r="G74" s="218" t="s">
        <v>11385</v>
      </c>
      <c r="H74" s="34" t="s">
        <v>292</v>
      </c>
      <c r="I74" s="35"/>
    </row>
    <row r="75" spans="1:9" ht="25.5">
      <c r="A75" s="34">
        <f t="shared" si="1"/>
        <v>73</v>
      </c>
      <c r="B75" s="218" t="s">
        <v>11881</v>
      </c>
      <c r="C75" s="34" t="s">
        <v>10435</v>
      </c>
      <c r="D75" s="34" t="s">
        <v>10189</v>
      </c>
      <c r="E75" s="34" t="s">
        <v>10230</v>
      </c>
      <c r="F75" s="6" t="s">
        <v>11396</v>
      </c>
      <c r="G75" s="218" t="s">
        <v>10728</v>
      </c>
      <c r="H75" s="34" t="s">
        <v>11188</v>
      </c>
      <c r="I75" s="35"/>
    </row>
    <row r="76" spans="1:9" ht="25.5">
      <c r="A76" s="34">
        <f t="shared" si="1"/>
        <v>74</v>
      </c>
      <c r="B76" s="218" t="s">
        <v>11882</v>
      </c>
      <c r="C76" s="34" t="s">
        <v>10502</v>
      </c>
      <c r="D76" s="34" t="s">
        <v>10189</v>
      </c>
      <c r="E76" s="34" t="s">
        <v>10856</v>
      </c>
      <c r="F76" s="6" t="s">
        <v>11883</v>
      </c>
      <c r="G76" s="218" t="s">
        <v>10858</v>
      </c>
      <c r="H76" s="34" t="s">
        <v>11884</v>
      </c>
      <c r="I76" s="35"/>
    </row>
    <row r="77" spans="1:9" ht="51">
      <c r="A77" s="34">
        <f t="shared" si="1"/>
        <v>75</v>
      </c>
      <c r="B77" s="218" t="s">
        <v>12821</v>
      </c>
      <c r="C77" s="34" t="s">
        <v>200</v>
      </c>
      <c r="D77" s="34" t="s">
        <v>10866</v>
      </c>
      <c r="E77" s="34" t="s">
        <v>10209</v>
      </c>
      <c r="F77" s="6" t="s">
        <v>10867</v>
      </c>
      <c r="G77" s="218" t="s">
        <v>8605</v>
      </c>
      <c r="H77" s="34" t="s">
        <v>11885</v>
      </c>
      <c r="I77" s="35"/>
    </row>
    <row r="78" spans="1:9" ht="51">
      <c r="A78" s="34">
        <f t="shared" si="1"/>
        <v>76</v>
      </c>
      <c r="B78" s="218" t="s">
        <v>12821</v>
      </c>
      <c r="C78" s="34" t="s">
        <v>122</v>
      </c>
      <c r="D78" s="34" t="s">
        <v>10866</v>
      </c>
      <c r="E78" s="34" t="s">
        <v>10724</v>
      </c>
      <c r="F78" s="6" t="s">
        <v>11886</v>
      </c>
      <c r="G78" s="218" t="s">
        <v>11887</v>
      </c>
      <c r="H78" s="34" t="s">
        <v>12822</v>
      </c>
      <c r="I78" s="35"/>
    </row>
    <row r="79" spans="1:9" ht="51">
      <c r="A79" s="34">
        <f t="shared" si="1"/>
        <v>77</v>
      </c>
      <c r="B79" s="218" t="s">
        <v>12821</v>
      </c>
      <c r="C79" s="34" t="s">
        <v>10435</v>
      </c>
      <c r="D79" s="34" t="s">
        <v>10866</v>
      </c>
      <c r="E79" s="34" t="s">
        <v>10705</v>
      </c>
      <c r="F79" s="6" t="s">
        <v>10867</v>
      </c>
      <c r="G79" s="218" t="s">
        <v>11889</v>
      </c>
      <c r="H79" s="34" t="s">
        <v>10979</v>
      </c>
      <c r="I79" s="35"/>
    </row>
    <row r="80" spans="1:9" ht="12.75">
      <c r="A80" s="34">
        <f t="shared" si="1"/>
        <v>78</v>
      </c>
      <c r="B80" s="218" t="s">
        <v>11890</v>
      </c>
      <c r="C80" s="34" t="s">
        <v>10502</v>
      </c>
      <c r="D80" s="34" t="s">
        <v>10189</v>
      </c>
      <c r="E80" s="34" t="s">
        <v>10238</v>
      </c>
      <c r="F80" s="6" t="s">
        <v>11891</v>
      </c>
      <c r="G80" s="218" t="s">
        <v>10240</v>
      </c>
      <c r="H80" s="34" t="s">
        <v>11892</v>
      </c>
      <c r="I80" s="35"/>
    </row>
    <row r="81" spans="1:9" ht="25.5">
      <c r="A81" s="34">
        <f t="shared" si="1"/>
        <v>79</v>
      </c>
      <c r="B81" s="218" t="s">
        <v>11893</v>
      </c>
      <c r="C81" s="34" t="s">
        <v>10202</v>
      </c>
      <c r="D81" s="34" t="s">
        <v>10189</v>
      </c>
      <c r="E81" s="34" t="s">
        <v>11894</v>
      </c>
      <c r="F81" s="6" t="s">
        <v>11895</v>
      </c>
      <c r="G81" s="218" t="s">
        <v>11896</v>
      </c>
      <c r="H81" s="34" t="s">
        <v>11897</v>
      </c>
      <c r="I81" s="35"/>
    </row>
    <row r="82" spans="1:9" ht="12.75">
      <c r="A82" s="34">
        <f t="shared" si="1"/>
        <v>80</v>
      </c>
      <c r="B82" s="218" t="s">
        <v>10782</v>
      </c>
      <c r="C82" s="34" t="s">
        <v>132</v>
      </c>
      <c r="D82" s="34" t="s">
        <v>10189</v>
      </c>
      <c r="E82" s="34" t="s">
        <v>10880</v>
      </c>
      <c r="F82" s="6" t="s">
        <v>11898</v>
      </c>
      <c r="G82" s="218" t="s">
        <v>10882</v>
      </c>
      <c r="H82" s="34" t="s">
        <v>11581</v>
      </c>
      <c r="I82" s="35"/>
    </row>
    <row r="83" spans="1:9" ht="25.5">
      <c r="A83" s="34">
        <f t="shared" si="1"/>
        <v>81</v>
      </c>
      <c r="B83" s="218" t="s">
        <v>11899</v>
      </c>
      <c r="C83" s="34" t="s">
        <v>132</v>
      </c>
      <c r="D83" s="34" t="s">
        <v>10189</v>
      </c>
      <c r="E83" s="34" t="s">
        <v>11417</v>
      </c>
      <c r="F83" s="6" t="s">
        <v>11900</v>
      </c>
      <c r="G83" s="218" t="s">
        <v>11419</v>
      </c>
      <c r="H83" s="34" t="s">
        <v>11901</v>
      </c>
      <c r="I83" s="35"/>
    </row>
    <row r="84" spans="1:9" ht="12.75">
      <c r="A84" s="34">
        <f t="shared" si="1"/>
        <v>82</v>
      </c>
      <c r="B84" s="218" t="s">
        <v>10497</v>
      </c>
      <c r="C84" s="34" t="s">
        <v>1060</v>
      </c>
      <c r="D84" s="34" t="s">
        <v>10218</v>
      </c>
      <c r="E84" s="34" t="s">
        <v>10204</v>
      </c>
      <c r="F84" s="6" t="s">
        <v>11902</v>
      </c>
      <c r="G84" s="218" t="s">
        <v>11903</v>
      </c>
      <c r="H84" s="34" t="s">
        <v>11904</v>
      </c>
      <c r="I84" s="35"/>
    </row>
    <row r="85" spans="1:9" ht="12.75">
      <c r="A85" s="34">
        <f t="shared" si="1"/>
        <v>83</v>
      </c>
      <c r="B85" s="218" t="s">
        <v>10497</v>
      </c>
      <c r="C85" s="34" t="s">
        <v>132</v>
      </c>
      <c r="D85" s="34" t="s">
        <v>10218</v>
      </c>
      <c r="E85" s="34" t="s">
        <v>10516</v>
      </c>
      <c r="F85" s="6" t="s">
        <v>11905</v>
      </c>
      <c r="G85" s="218" t="s">
        <v>11486</v>
      </c>
      <c r="H85" s="34" t="s">
        <v>315</v>
      </c>
      <c r="I85" s="35"/>
    </row>
    <row r="86" spans="1:9" ht="12.75">
      <c r="A86" s="34">
        <f t="shared" si="1"/>
        <v>84</v>
      </c>
      <c r="B86" s="218" t="s">
        <v>10890</v>
      </c>
      <c r="C86" s="34" t="s">
        <v>132</v>
      </c>
      <c r="D86" s="34" t="s">
        <v>10189</v>
      </c>
      <c r="E86" s="34" t="s">
        <v>10891</v>
      </c>
      <c r="F86" s="6" t="s">
        <v>11906</v>
      </c>
      <c r="G86" s="218" t="s">
        <v>10893</v>
      </c>
      <c r="H86" s="34" t="s">
        <v>11907</v>
      </c>
      <c r="I86" s="35"/>
    </row>
    <row r="87" spans="1:9" ht="12.75">
      <c r="A87" s="34">
        <f t="shared" si="1"/>
        <v>85</v>
      </c>
      <c r="B87" s="218" t="s">
        <v>11908</v>
      </c>
      <c r="C87" s="34" t="s">
        <v>122</v>
      </c>
      <c r="D87" s="34" t="s">
        <v>10189</v>
      </c>
      <c r="E87" s="34" t="s">
        <v>10891</v>
      </c>
      <c r="F87" s="6" t="s">
        <v>11909</v>
      </c>
      <c r="G87" s="218" t="s">
        <v>10896</v>
      </c>
      <c r="H87" s="34" t="s">
        <v>11910</v>
      </c>
      <c r="I87" s="35"/>
    </row>
    <row r="88" spans="1:9" ht="12.75">
      <c r="A88" s="34">
        <f t="shared" si="1"/>
        <v>86</v>
      </c>
      <c r="B88" s="218" t="s">
        <v>10890</v>
      </c>
      <c r="C88" s="34" t="s">
        <v>132</v>
      </c>
      <c r="D88" s="34" t="s">
        <v>10521</v>
      </c>
      <c r="E88" s="34" t="s">
        <v>10891</v>
      </c>
      <c r="F88" s="6" t="s">
        <v>10892</v>
      </c>
      <c r="G88" s="218" t="s">
        <v>11911</v>
      </c>
      <c r="H88" s="34" t="s">
        <v>11912</v>
      </c>
      <c r="I88" s="35"/>
    </row>
    <row r="89" spans="1:9" ht="12.75">
      <c r="A89" s="34">
        <f t="shared" si="1"/>
        <v>87</v>
      </c>
      <c r="B89" s="218" t="s">
        <v>11913</v>
      </c>
      <c r="C89" s="34" t="s">
        <v>122</v>
      </c>
      <c r="D89" s="34" t="s">
        <v>10189</v>
      </c>
      <c r="E89" s="34" t="s">
        <v>10230</v>
      </c>
      <c r="F89" s="6" t="s">
        <v>10857</v>
      </c>
      <c r="G89" s="218" t="s">
        <v>10232</v>
      </c>
      <c r="H89" s="34" t="s">
        <v>11914</v>
      </c>
      <c r="I89" s="35"/>
    </row>
    <row r="90" spans="1:9" ht="25.5">
      <c r="A90" s="34">
        <f t="shared" si="1"/>
        <v>88</v>
      </c>
      <c r="B90" s="218" t="s">
        <v>10532</v>
      </c>
      <c r="C90" s="34" t="s">
        <v>132</v>
      </c>
      <c r="D90" s="34" t="s">
        <v>10521</v>
      </c>
      <c r="E90" s="34" t="s">
        <v>11346</v>
      </c>
      <c r="F90" s="6" t="s">
        <v>11922</v>
      </c>
      <c r="G90" s="218" t="s">
        <v>10906</v>
      </c>
      <c r="H90" s="34" t="s">
        <v>11836</v>
      </c>
      <c r="I90" s="35"/>
    </row>
    <row r="91" spans="1:9" ht="25.5">
      <c r="A91" s="34">
        <f t="shared" si="1"/>
        <v>89</v>
      </c>
      <c r="B91" s="218" t="s">
        <v>10532</v>
      </c>
      <c r="C91" s="34" t="s">
        <v>132</v>
      </c>
      <c r="D91" s="34" t="s">
        <v>10521</v>
      </c>
      <c r="E91" s="34" t="s">
        <v>10341</v>
      </c>
      <c r="F91" s="6" t="s">
        <v>11923</v>
      </c>
      <c r="G91" s="218" t="s">
        <v>10906</v>
      </c>
      <c r="H91" s="34" t="s">
        <v>11924</v>
      </c>
      <c r="I91" s="35"/>
    </row>
    <row r="92" spans="1:9" ht="25.5">
      <c r="A92" s="34">
        <f t="shared" si="1"/>
        <v>90</v>
      </c>
      <c r="B92" s="218" t="s">
        <v>10532</v>
      </c>
      <c r="C92" s="34" t="s">
        <v>132</v>
      </c>
      <c r="D92" s="34" t="s">
        <v>10520</v>
      </c>
      <c r="E92" s="34" t="s">
        <v>10300</v>
      </c>
      <c r="F92" s="6" t="s">
        <v>11925</v>
      </c>
      <c r="G92" s="218" t="s">
        <v>10906</v>
      </c>
      <c r="H92" s="34" t="s">
        <v>11926</v>
      </c>
      <c r="I92" s="35"/>
    </row>
    <row r="93" spans="1:9" ht="25.5">
      <c r="A93" s="34">
        <f t="shared" si="1"/>
        <v>91</v>
      </c>
      <c r="B93" s="218" t="s">
        <v>10532</v>
      </c>
      <c r="C93" s="34" t="s">
        <v>132</v>
      </c>
      <c r="D93" s="34" t="s">
        <v>10520</v>
      </c>
      <c r="E93" s="34" t="s">
        <v>11777</v>
      </c>
      <c r="F93" s="6" t="s">
        <v>11927</v>
      </c>
      <c r="G93" s="218" t="s">
        <v>10906</v>
      </c>
      <c r="H93" s="34" t="s">
        <v>11928</v>
      </c>
      <c r="I93" s="35"/>
    </row>
    <row r="94" spans="1:9" ht="25.5">
      <c r="A94" s="34">
        <f t="shared" si="1"/>
        <v>92</v>
      </c>
      <c r="B94" s="218" t="s">
        <v>10532</v>
      </c>
      <c r="C94" s="34" t="s">
        <v>132</v>
      </c>
      <c r="D94" s="34" t="s">
        <v>10521</v>
      </c>
      <c r="E94" s="34" t="s">
        <v>10542</v>
      </c>
      <c r="F94" s="6" t="s">
        <v>11929</v>
      </c>
      <c r="G94" s="218" t="s">
        <v>10906</v>
      </c>
      <c r="H94" s="34" t="s">
        <v>4555</v>
      </c>
      <c r="I94" s="35"/>
    </row>
    <row r="95" spans="1:9" ht="25.5">
      <c r="A95" s="34">
        <f t="shared" si="1"/>
        <v>93</v>
      </c>
      <c r="B95" s="218" t="s">
        <v>10532</v>
      </c>
      <c r="C95" s="34" t="s">
        <v>132</v>
      </c>
      <c r="D95" s="34" t="s">
        <v>10521</v>
      </c>
      <c r="E95" s="34" t="s">
        <v>10916</v>
      </c>
      <c r="F95" s="6" t="s">
        <v>11930</v>
      </c>
      <c r="G95" s="218" t="s">
        <v>10906</v>
      </c>
      <c r="H95" s="34" t="s">
        <v>11931</v>
      </c>
      <c r="I95" s="35"/>
    </row>
    <row r="96" spans="1:9" ht="25.5">
      <c r="A96" s="34">
        <f t="shared" si="1"/>
        <v>94</v>
      </c>
      <c r="B96" s="218" t="s">
        <v>10532</v>
      </c>
      <c r="C96" s="34" t="s">
        <v>132</v>
      </c>
      <c r="D96" s="34" t="s">
        <v>10521</v>
      </c>
      <c r="E96" s="34" t="s">
        <v>10526</v>
      </c>
      <c r="F96" s="6" t="s">
        <v>10877</v>
      </c>
      <c r="G96" s="218" t="s">
        <v>10906</v>
      </c>
      <c r="H96" s="34" t="s">
        <v>11932</v>
      </c>
      <c r="I96" s="35"/>
    </row>
    <row r="97" spans="1:9" ht="25.5">
      <c r="A97" s="34">
        <f t="shared" si="1"/>
        <v>95</v>
      </c>
      <c r="B97" s="218" t="s">
        <v>10532</v>
      </c>
      <c r="C97" s="34" t="s">
        <v>132</v>
      </c>
      <c r="D97" s="34" t="s">
        <v>10521</v>
      </c>
      <c r="E97" s="34" t="s">
        <v>10925</v>
      </c>
      <c r="F97" s="6" t="s">
        <v>11935</v>
      </c>
      <c r="G97" s="218" t="s">
        <v>10906</v>
      </c>
      <c r="H97" s="34" t="s">
        <v>11936</v>
      </c>
      <c r="I97" s="35"/>
    </row>
    <row r="98" spans="1:9" ht="25.5">
      <c r="A98" s="34">
        <f t="shared" si="1"/>
        <v>96</v>
      </c>
      <c r="B98" s="218" t="s">
        <v>10532</v>
      </c>
      <c r="C98" s="34" t="s">
        <v>132</v>
      </c>
      <c r="D98" s="34" t="s">
        <v>10521</v>
      </c>
      <c r="E98" s="34" t="s">
        <v>10891</v>
      </c>
      <c r="F98" s="6" t="s">
        <v>10928</v>
      </c>
      <c r="G98" s="218" t="s">
        <v>10906</v>
      </c>
      <c r="H98" s="34" t="s">
        <v>11937</v>
      </c>
      <c r="I98" s="35"/>
    </row>
    <row r="99" spans="1:9" ht="25.5">
      <c r="A99" s="34">
        <f t="shared" si="1"/>
        <v>97</v>
      </c>
      <c r="B99" s="218" t="s">
        <v>10532</v>
      </c>
      <c r="C99" s="34" t="s">
        <v>132</v>
      </c>
      <c r="D99" s="34" t="s">
        <v>10521</v>
      </c>
      <c r="E99" s="34" t="s">
        <v>10891</v>
      </c>
      <c r="F99" s="6" t="s">
        <v>10928</v>
      </c>
      <c r="G99" s="218" t="s">
        <v>10906</v>
      </c>
      <c r="H99" s="34" t="s">
        <v>11938</v>
      </c>
      <c r="I99" s="35"/>
    </row>
    <row r="100" spans="1:9" ht="25.5">
      <c r="A100" s="34">
        <f t="shared" si="1"/>
        <v>98</v>
      </c>
      <c r="B100" s="218" t="s">
        <v>10532</v>
      </c>
      <c r="C100" s="34" t="s">
        <v>132</v>
      </c>
      <c r="D100" s="34" t="s">
        <v>10521</v>
      </c>
      <c r="E100" s="34" t="s">
        <v>10891</v>
      </c>
      <c r="F100" s="6" t="s">
        <v>10928</v>
      </c>
      <c r="G100" s="218" t="s">
        <v>10906</v>
      </c>
      <c r="H100" s="34" t="s">
        <v>11939</v>
      </c>
      <c r="I100" s="35"/>
    </row>
    <row r="101" spans="1:9" ht="25.5">
      <c r="A101" s="34">
        <f t="shared" si="1"/>
        <v>99</v>
      </c>
      <c r="B101" s="218" t="s">
        <v>10532</v>
      </c>
      <c r="C101" s="34" t="s">
        <v>132</v>
      </c>
      <c r="D101" s="34" t="s">
        <v>10521</v>
      </c>
      <c r="E101" s="34" t="s">
        <v>10891</v>
      </c>
      <c r="F101" s="6" t="s">
        <v>10928</v>
      </c>
      <c r="G101" s="218" t="s">
        <v>10906</v>
      </c>
      <c r="H101" s="34" t="s">
        <v>11940</v>
      </c>
      <c r="I101" s="35"/>
    </row>
    <row r="102" spans="1:9" ht="25.5">
      <c r="A102" s="34">
        <f t="shared" si="1"/>
        <v>100</v>
      </c>
      <c r="B102" s="218" t="s">
        <v>10532</v>
      </c>
      <c r="C102" s="34" t="s">
        <v>132</v>
      </c>
      <c r="D102" s="34" t="s">
        <v>10521</v>
      </c>
      <c r="E102" s="34" t="s">
        <v>10891</v>
      </c>
      <c r="F102" s="6" t="s">
        <v>10933</v>
      </c>
      <c r="G102" s="218" t="s">
        <v>10906</v>
      </c>
      <c r="H102" s="34" t="s">
        <v>10930</v>
      </c>
      <c r="I102" s="35"/>
    </row>
    <row r="103" spans="1:9" ht="25.5">
      <c r="A103" s="34">
        <f t="shared" si="1"/>
        <v>101</v>
      </c>
      <c r="B103" s="218" t="s">
        <v>10532</v>
      </c>
      <c r="C103" s="34" t="s">
        <v>132</v>
      </c>
      <c r="D103" s="34" t="s">
        <v>10521</v>
      </c>
      <c r="E103" s="34" t="s">
        <v>10891</v>
      </c>
      <c r="F103" s="6" t="s">
        <v>10933</v>
      </c>
      <c r="G103" s="218" t="s">
        <v>10906</v>
      </c>
      <c r="H103" s="34" t="s">
        <v>11461</v>
      </c>
      <c r="I103" s="35"/>
    </row>
    <row r="104" spans="1:9" ht="25.5">
      <c r="A104" s="34">
        <f t="shared" si="1"/>
        <v>102</v>
      </c>
      <c r="B104" s="218" t="s">
        <v>10532</v>
      </c>
      <c r="C104" s="34" t="s">
        <v>132</v>
      </c>
      <c r="D104" s="34" t="s">
        <v>10520</v>
      </c>
      <c r="E104" s="34" t="s">
        <v>10936</v>
      </c>
      <c r="F104" s="6" t="s">
        <v>10937</v>
      </c>
      <c r="G104" s="218" t="s">
        <v>10906</v>
      </c>
      <c r="H104" s="34" t="s">
        <v>3235</v>
      </c>
      <c r="I104" s="35"/>
    </row>
    <row r="105" spans="1:9" ht="25.5">
      <c r="A105" s="34">
        <f t="shared" si="1"/>
        <v>103</v>
      </c>
      <c r="B105" s="218" t="s">
        <v>10532</v>
      </c>
      <c r="C105" s="34" t="s">
        <v>132</v>
      </c>
      <c r="D105" s="34" t="s">
        <v>10521</v>
      </c>
      <c r="E105" s="34" t="s">
        <v>10936</v>
      </c>
      <c r="F105" s="6" t="s">
        <v>10937</v>
      </c>
      <c r="G105" s="218" t="s">
        <v>10906</v>
      </c>
      <c r="H105" s="34" t="s">
        <v>11941</v>
      </c>
      <c r="I105" s="35"/>
    </row>
    <row r="106" spans="1:9" ht="25.5">
      <c r="A106" s="34">
        <f t="shared" si="1"/>
        <v>104</v>
      </c>
      <c r="B106" s="218" t="s">
        <v>10532</v>
      </c>
      <c r="C106" s="34" t="s">
        <v>132</v>
      </c>
      <c r="D106" s="34" t="s">
        <v>10521</v>
      </c>
      <c r="E106" s="34" t="s">
        <v>10936</v>
      </c>
      <c r="F106" s="6" t="s">
        <v>10937</v>
      </c>
      <c r="G106" s="218" t="s">
        <v>10906</v>
      </c>
      <c r="H106" s="34" t="s">
        <v>2786</v>
      </c>
      <c r="I106" s="35"/>
    </row>
    <row r="107" spans="1:9" ht="25.5">
      <c r="A107" s="34">
        <f t="shared" si="1"/>
        <v>105</v>
      </c>
      <c r="B107" s="218" t="s">
        <v>10532</v>
      </c>
      <c r="C107" s="34" t="s">
        <v>10377</v>
      </c>
      <c r="D107" s="34" t="s">
        <v>10521</v>
      </c>
      <c r="E107" s="34" t="s">
        <v>10692</v>
      </c>
      <c r="F107" s="6" t="s">
        <v>11396</v>
      </c>
      <c r="G107" s="218" t="s">
        <v>10906</v>
      </c>
      <c r="H107" s="34" t="s">
        <v>11942</v>
      </c>
      <c r="I107" s="35"/>
    </row>
    <row r="108" spans="1:9" ht="25.5">
      <c r="A108" s="34">
        <f t="shared" si="1"/>
        <v>106</v>
      </c>
      <c r="B108" s="218" t="s">
        <v>10532</v>
      </c>
      <c r="C108" s="34" t="s">
        <v>132</v>
      </c>
      <c r="D108" s="34" t="s">
        <v>10521</v>
      </c>
      <c r="E108" s="34" t="s">
        <v>10936</v>
      </c>
      <c r="F108" s="6" t="s">
        <v>10937</v>
      </c>
      <c r="G108" s="218" t="s">
        <v>10906</v>
      </c>
      <c r="H108" s="34" t="s">
        <v>11943</v>
      </c>
      <c r="I108" s="35"/>
    </row>
    <row r="109" spans="1:9" ht="25.5">
      <c r="A109" s="34">
        <f t="shared" si="1"/>
        <v>107</v>
      </c>
      <c r="B109" s="218" t="s">
        <v>10532</v>
      </c>
      <c r="C109" s="34" t="s">
        <v>10377</v>
      </c>
      <c r="D109" s="34" t="s">
        <v>10521</v>
      </c>
      <c r="E109" s="34" t="s">
        <v>10692</v>
      </c>
      <c r="F109" s="6" t="s">
        <v>10857</v>
      </c>
      <c r="G109" s="218" t="s">
        <v>10906</v>
      </c>
      <c r="H109" s="34" t="s">
        <v>11944</v>
      </c>
      <c r="I109" s="35"/>
    </row>
    <row r="110" spans="1:9" ht="25.5">
      <c r="A110" s="34">
        <f t="shared" si="1"/>
        <v>108</v>
      </c>
      <c r="B110" s="218" t="s">
        <v>12823</v>
      </c>
      <c r="C110" s="34" t="s">
        <v>147</v>
      </c>
      <c r="D110" s="34" t="s">
        <v>12330</v>
      </c>
      <c r="E110" s="34" t="s">
        <v>10472</v>
      </c>
      <c r="F110" s="6" t="s">
        <v>10937</v>
      </c>
      <c r="G110" s="218" t="s">
        <v>10831</v>
      </c>
      <c r="H110" s="34" t="s">
        <v>10832</v>
      </c>
      <c r="I110" s="35"/>
    </row>
    <row r="111" spans="1:9" ht="25.5">
      <c r="A111" s="34">
        <f t="shared" si="1"/>
        <v>109</v>
      </c>
      <c r="B111" s="218" t="s">
        <v>12331</v>
      </c>
      <c r="C111" s="34" t="s">
        <v>10502</v>
      </c>
      <c r="D111" s="34" t="s">
        <v>10189</v>
      </c>
      <c r="E111" s="34" t="s">
        <v>10230</v>
      </c>
      <c r="F111" s="6" t="s">
        <v>11396</v>
      </c>
      <c r="G111" s="218" t="s">
        <v>10728</v>
      </c>
      <c r="H111" s="34" t="s">
        <v>12332</v>
      </c>
      <c r="I111" s="35"/>
    </row>
    <row r="112" spans="1:9" ht="12.75">
      <c r="A112" s="34">
        <f t="shared" si="1"/>
        <v>110</v>
      </c>
      <c r="B112" s="218" t="s">
        <v>12333</v>
      </c>
      <c r="C112" s="34" t="s">
        <v>10435</v>
      </c>
      <c r="D112" s="34" t="s">
        <v>10189</v>
      </c>
      <c r="E112" s="34" t="s">
        <v>10719</v>
      </c>
      <c r="F112" s="6" t="s">
        <v>11469</v>
      </c>
      <c r="G112" s="218" t="s">
        <v>10721</v>
      </c>
      <c r="H112" s="34" t="s">
        <v>11677</v>
      </c>
      <c r="I112" s="35"/>
    </row>
    <row r="113" spans="1:9" ht="51">
      <c r="A113" s="34">
        <f t="shared" si="1"/>
        <v>111</v>
      </c>
      <c r="B113" s="218" t="s">
        <v>12821</v>
      </c>
      <c r="C113" s="34" t="s">
        <v>200</v>
      </c>
      <c r="D113" s="34" t="s">
        <v>10866</v>
      </c>
      <c r="E113" s="34" t="s">
        <v>10870</v>
      </c>
      <c r="F113" s="6" t="s">
        <v>10867</v>
      </c>
      <c r="G113" s="218" t="s">
        <v>10872</v>
      </c>
      <c r="H113" s="34" t="s">
        <v>12334</v>
      </c>
      <c r="I113" s="35"/>
    </row>
    <row r="114" spans="1:9" ht="51">
      <c r="A114" s="34">
        <f t="shared" si="1"/>
        <v>112</v>
      </c>
      <c r="B114" s="218" t="s">
        <v>12821</v>
      </c>
      <c r="C114" s="34" t="s">
        <v>10377</v>
      </c>
      <c r="D114" s="34" t="s">
        <v>10866</v>
      </c>
      <c r="E114" s="34" t="s">
        <v>12056</v>
      </c>
      <c r="F114" s="6" t="s">
        <v>10867</v>
      </c>
      <c r="G114" s="218" t="s">
        <v>12335</v>
      </c>
      <c r="H114" s="34" t="s">
        <v>12336</v>
      </c>
      <c r="I114" s="35"/>
    </row>
    <row r="115" spans="1:9" ht="51">
      <c r="A115" s="34">
        <f t="shared" si="1"/>
        <v>113</v>
      </c>
      <c r="B115" s="218" t="s">
        <v>12821</v>
      </c>
      <c r="C115" s="34" t="s">
        <v>1017</v>
      </c>
      <c r="D115" s="34" t="s">
        <v>10866</v>
      </c>
      <c r="E115" s="34" t="s">
        <v>10507</v>
      </c>
      <c r="F115" s="6" t="s">
        <v>10867</v>
      </c>
      <c r="G115" s="218" t="s">
        <v>12337</v>
      </c>
      <c r="H115" s="34" t="s">
        <v>10509</v>
      </c>
      <c r="I115" s="35"/>
    </row>
    <row r="116" spans="1:9" ht="12.75">
      <c r="A116" s="34">
        <f t="shared" si="1"/>
        <v>114</v>
      </c>
      <c r="B116" s="218" t="s">
        <v>12338</v>
      </c>
      <c r="C116" s="34" t="s">
        <v>10409</v>
      </c>
      <c r="D116" s="34" t="s">
        <v>10189</v>
      </c>
      <c r="E116" s="34" t="s">
        <v>10876</v>
      </c>
      <c r="F116" s="6" t="s">
        <v>10877</v>
      </c>
      <c r="G116" s="218" t="s">
        <v>10878</v>
      </c>
      <c r="H116" s="34" t="s">
        <v>12339</v>
      </c>
      <c r="I116" s="35"/>
    </row>
    <row r="117" spans="1:9" ht="25.5">
      <c r="A117" s="34">
        <f t="shared" si="1"/>
        <v>115</v>
      </c>
      <c r="B117" s="218" t="s">
        <v>12340</v>
      </c>
      <c r="C117" s="34" t="s">
        <v>132</v>
      </c>
      <c r="D117" s="34" t="s">
        <v>10189</v>
      </c>
      <c r="E117" s="34" t="s">
        <v>10786</v>
      </c>
      <c r="F117" s="6" t="s">
        <v>12341</v>
      </c>
      <c r="G117" s="218" t="s">
        <v>12342</v>
      </c>
      <c r="H117" s="34" t="s">
        <v>12343</v>
      </c>
      <c r="I117" s="35"/>
    </row>
    <row r="118" spans="1:9" ht="12.75">
      <c r="A118" s="34">
        <f t="shared" si="1"/>
        <v>116</v>
      </c>
      <c r="B118" s="218" t="s">
        <v>10782</v>
      </c>
      <c r="C118" s="34" t="s">
        <v>132</v>
      </c>
      <c r="D118" s="34" t="s">
        <v>10189</v>
      </c>
      <c r="E118" s="34" t="s">
        <v>10880</v>
      </c>
      <c r="F118" s="6" t="s">
        <v>12344</v>
      </c>
      <c r="G118" s="218" t="s">
        <v>12345</v>
      </c>
      <c r="H118" s="34" t="s">
        <v>12346</v>
      </c>
      <c r="I118" s="35"/>
    </row>
    <row r="119" spans="1:9" ht="38.25">
      <c r="A119" s="34">
        <f t="shared" si="1"/>
        <v>117</v>
      </c>
      <c r="B119" s="218" t="s">
        <v>12347</v>
      </c>
      <c r="C119" s="34" t="s">
        <v>10502</v>
      </c>
      <c r="D119" s="34" t="s">
        <v>10189</v>
      </c>
      <c r="E119" s="34" t="s">
        <v>12348</v>
      </c>
      <c r="F119" s="6" t="s">
        <v>10864</v>
      </c>
      <c r="G119" s="218" t="s">
        <v>12349</v>
      </c>
      <c r="H119" s="34" t="s">
        <v>11409</v>
      </c>
      <c r="I119" s="35"/>
    </row>
    <row r="120" spans="1:9" ht="25.5">
      <c r="A120" s="34">
        <f t="shared" si="1"/>
        <v>118</v>
      </c>
      <c r="B120" s="218" t="s">
        <v>12350</v>
      </c>
      <c r="C120" s="34" t="s">
        <v>11079</v>
      </c>
      <c r="D120" s="34" t="s">
        <v>10189</v>
      </c>
      <c r="E120" s="34" t="s">
        <v>11417</v>
      </c>
      <c r="F120" s="6" t="s">
        <v>11925</v>
      </c>
      <c r="G120" s="218" t="s">
        <v>11419</v>
      </c>
      <c r="H120" s="34" t="s">
        <v>12351</v>
      </c>
      <c r="I120" s="35"/>
    </row>
    <row r="121" spans="1:9" ht="12.75">
      <c r="A121" s="34">
        <f t="shared" si="1"/>
        <v>119</v>
      </c>
      <c r="B121" s="218" t="s">
        <v>10890</v>
      </c>
      <c r="C121" s="34" t="s">
        <v>132</v>
      </c>
      <c r="D121" s="34" t="s">
        <v>10189</v>
      </c>
      <c r="E121" s="34" t="s">
        <v>12352</v>
      </c>
      <c r="F121" s="6" t="s">
        <v>10892</v>
      </c>
      <c r="G121" s="218" t="s">
        <v>11911</v>
      </c>
      <c r="H121" s="34" t="s">
        <v>12353</v>
      </c>
      <c r="I121" s="35"/>
    </row>
    <row r="122" spans="1:9" ht="12.75">
      <c r="A122" s="34">
        <f t="shared" si="1"/>
        <v>120</v>
      </c>
      <c r="B122" s="218" t="s">
        <v>10497</v>
      </c>
      <c r="C122" s="34" t="s">
        <v>132</v>
      </c>
      <c r="D122" s="34" t="s">
        <v>10218</v>
      </c>
      <c r="E122" s="34" t="s">
        <v>10198</v>
      </c>
      <c r="F122" s="6" t="s">
        <v>12354</v>
      </c>
      <c r="G122" s="218" t="s">
        <v>11486</v>
      </c>
      <c r="H122" s="34" t="s">
        <v>11519</v>
      </c>
      <c r="I122" s="35"/>
    </row>
    <row r="123" spans="1:9" ht="12.75">
      <c r="A123" s="34">
        <f t="shared" si="1"/>
        <v>121</v>
      </c>
      <c r="B123" s="218" t="s">
        <v>10890</v>
      </c>
      <c r="C123" s="34" t="s">
        <v>132</v>
      </c>
      <c r="D123" s="34" t="s">
        <v>10521</v>
      </c>
      <c r="E123" s="34" t="s">
        <v>10891</v>
      </c>
      <c r="F123" s="6" t="s">
        <v>11427</v>
      </c>
      <c r="G123" s="218" t="s">
        <v>10896</v>
      </c>
      <c r="H123" s="34" t="s">
        <v>12355</v>
      </c>
      <c r="I123" s="35"/>
    </row>
    <row r="124" spans="1:9" ht="12.75">
      <c r="A124" s="34">
        <f t="shared" si="1"/>
        <v>122</v>
      </c>
      <c r="B124" s="218" t="s">
        <v>10890</v>
      </c>
      <c r="C124" s="34" t="s">
        <v>132</v>
      </c>
      <c r="D124" s="34" t="s">
        <v>10521</v>
      </c>
      <c r="E124" s="34" t="s">
        <v>10891</v>
      </c>
      <c r="F124" s="6" t="s">
        <v>10892</v>
      </c>
      <c r="G124" s="218" t="s">
        <v>10893</v>
      </c>
      <c r="H124" s="34" t="s">
        <v>12356</v>
      </c>
      <c r="I124" s="35"/>
    </row>
    <row r="125" spans="1:9" ht="25.5">
      <c r="A125" s="34">
        <f t="shared" si="1"/>
        <v>123</v>
      </c>
      <c r="B125" s="218" t="s">
        <v>12357</v>
      </c>
      <c r="C125" s="34" t="s">
        <v>10502</v>
      </c>
      <c r="D125" s="34" t="s">
        <v>10189</v>
      </c>
      <c r="E125" s="34" t="s">
        <v>10503</v>
      </c>
      <c r="F125" s="6" t="s">
        <v>11935</v>
      </c>
      <c r="G125" s="218" t="s">
        <v>10728</v>
      </c>
      <c r="H125" s="34" t="s">
        <v>10506</v>
      </c>
      <c r="I125" s="35"/>
    </row>
    <row r="126" spans="1:9" ht="25.5">
      <c r="A126" s="34">
        <f t="shared" si="1"/>
        <v>124</v>
      </c>
      <c r="B126" s="218" t="s">
        <v>10532</v>
      </c>
      <c r="C126" s="34" t="s">
        <v>132</v>
      </c>
      <c r="D126" s="34" t="s">
        <v>10521</v>
      </c>
      <c r="E126" s="34" t="s">
        <v>12362</v>
      </c>
      <c r="F126" s="6" t="s">
        <v>12363</v>
      </c>
      <c r="G126" s="218" t="s">
        <v>10906</v>
      </c>
      <c r="H126" s="34" t="s">
        <v>12364</v>
      </c>
      <c r="I126" s="35"/>
    </row>
    <row r="127" spans="1:9" ht="25.5">
      <c r="A127" s="34">
        <f t="shared" si="1"/>
        <v>125</v>
      </c>
      <c r="B127" s="218" t="s">
        <v>10532</v>
      </c>
      <c r="C127" s="34" t="s">
        <v>132</v>
      </c>
      <c r="D127" s="34" t="s">
        <v>10521</v>
      </c>
      <c r="E127" s="34" t="s">
        <v>10341</v>
      </c>
      <c r="F127" s="6" t="s">
        <v>11883</v>
      </c>
      <c r="G127" s="218" t="s">
        <v>10906</v>
      </c>
      <c r="H127" s="34" t="s">
        <v>12366</v>
      </c>
      <c r="I127" s="35"/>
    </row>
    <row r="128" spans="1:9" ht="25.5">
      <c r="A128" s="34">
        <f t="shared" si="1"/>
        <v>126</v>
      </c>
      <c r="B128" s="218" t="s">
        <v>10532</v>
      </c>
      <c r="C128" s="34" t="s">
        <v>132</v>
      </c>
      <c r="D128" s="34" t="s">
        <v>10521</v>
      </c>
      <c r="E128" s="34" t="s">
        <v>10341</v>
      </c>
      <c r="F128" s="6" t="s">
        <v>11923</v>
      </c>
      <c r="G128" s="218" t="s">
        <v>10906</v>
      </c>
      <c r="H128" s="34" t="s">
        <v>12367</v>
      </c>
      <c r="I128" s="35"/>
    </row>
    <row r="129" spans="1:9" ht="25.5">
      <c r="A129" s="34">
        <f t="shared" si="1"/>
        <v>127</v>
      </c>
      <c r="B129" s="218" t="s">
        <v>10532</v>
      </c>
      <c r="C129" s="34" t="s">
        <v>132</v>
      </c>
      <c r="D129" s="34" t="s">
        <v>10520</v>
      </c>
      <c r="E129" s="34" t="s">
        <v>10542</v>
      </c>
      <c r="F129" s="6" t="s">
        <v>11448</v>
      </c>
      <c r="G129" s="218" t="s">
        <v>10906</v>
      </c>
      <c r="H129" s="34" t="s">
        <v>12368</v>
      </c>
      <c r="I129" s="35"/>
    </row>
    <row r="130" spans="1:9" ht="25.5">
      <c r="A130" s="34">
        <f t="shared" si="1"/>
        <v>128</v>
      </c>
      <c r="B130" s="218" t="s">
        <v>10532</v>
      </c>
      <c r="C130" s="34" t="s">
        <v>132</v>
      </c>
      <c r="D130" s="34" t="s">
        <v>10521</v>
      </c>
      <c r="E130" s="34" t="s">
        <v>12369</v>
      </c>
      <c r="F130" s="6" t="s">
        <v>12370</v>
      </c>
      <c r="G130" s="218" t="s">
        <v>10906</v>
      </c>
      <c r="H130" s="34" t="s">
        <v>12371</v>
      </c>
      <c r="I130" s="35"/>
    </row>
    <row r="131" spans="1:9" ht="25.5">
      <c r="A131" s="34">
        <f t="shared" si="1"/>
        <v>129</v>
      </c>
      <c r="B131" s="218" t="s">
        <v>10532</v>
      </c>
      <c r="C131" s="34" t="s">
        <v>132</v>
      </c>
      <c r="D131" s="34" t="s">
        <v>10521</v>
      </c>
      <c r="E131" s="34" t="s">
        <v>10542</v>
      </c>
      <c r="F131" s="6" t="s">
        <v>11469</v>
      </c>
      <c r="G131" s="218" t="s">
        <v>10906</v>
      </c>
      <c r="H131" s="34" t="s">
        <v>12372</v>
      </c>
      <c r="I131" s="35"/>
    </row>
    <row r="132" spans="1:9" ht="25.5">
      <c r="A132" s="34">
        <f t="shared" si="1"/>
        <v>130</v>
      </c>
      <c r="B132" s="218" t="s">
        <v>10532</v>
      </c>
      <c r="C132" s="34" t="s">
        <v>132</v>
      </c>
      <c r="D132" s="34" t="s">
        <v>10521</v>
      </c>
      <c r="E132" s="34" t="s">
        <v>10656</v>
      </c>
      <c r="F132" s="6" t="s">
        <v>12373</v>
      </c>
      <c r="G132" s="218" t="s">
        <v>10906</v>
      </c>
      <c r="H132" s="34" t="s">
        <v>12374</v>
      </c>
      <c r="I132" s="35"/>
    </row>
    <row r="133" spans="1:9" ht="25.5">
      <c r="A133" s="34">
        <f t="shared" ref="A133:A180" si="2">A132+1</f>
        <v>131</v>
      </c>
      <c r="B133" s="218" t="s">
        <v>10532</v>
      </c>
      <c r="C133" s="34" t="s">
        <v>10377</v>
      </c>
      <c r="D133" s="34" t="s">
        <v>10521</v>
      </c>
      <c r="E133" s="34" t="s">
        <v>10925</v>
      </c>
      <c r="F133" s="6" t="s">
        <v>11457</v>
      </c>
      <c r="G133" s="218" t="s">
        <v>10906</v>
      </c>
      <c r="H133" s="34" t="s">
        <v>12378</v>
      </c>
      <c r="I133" s="35"/>
    </row>
    <row r="134" spans="1:9" ht="25.5">
      <c r="A134" s="34">
        <f t="shared" si="2"/>
        <v>132</v>
      </c>
      <c r="B134" s="218" t="s">
        <v>10532</v>
      </c>
      <c r="C134" s="34" t="s">
        <v>132</v>
      </c>
      <c r="D134" s="34" t="s">
        <v>10521</v>
      </c>
      <c r="E134" s="34" t="s">
        <v>10891</v>
      </c>
      <c r="F134" s="6" t="s">
        <v>10928</v>
      </c>
      <c r="G134" s="218" t="s">
        <v>10906</v>
      </c>
      <c r="H134" s="34" t="s">
        <v>12379</v>
      </c>
      <c r="I134" s="35"/>
    </row>
    <row r="135" spans="1:9" ht="25.5">
      <c r="A135" s="34">
        <f t="shared" si="2"/>
        <v>133</v>
      </c>
      <c r="B135" s="218" t="s">
        <v>10532</v>
      </c>
      <c r="C135" s="34" t="s">
        <v>132</v>
      </c>
      <c r="D135" s="34" t="s">
        <v>10521</v>
      </c>
      <c r="E135" s="34" t="s">
        <v>10891</v>
      </c>
      <c r="F135" s="6" t="s">
        <v>10928</v>
      </c>
      <c r="G135" s="218" t="s">
        <v>10906</v>
      </c>
      <c r="H135" s="34" t="s">
        <v>12380</v>
      </c>
      <c r="I135" s="35"/>
    </row>
    <row r="136" spans="1:9" ht="25.5">
      <c r="A136" s="34">
        <f t="shared" si="2"/>
        <v>134</v>
      </c>
      <c r="B136" s="218" t="s">
        <v>10532</v>
      </c>
      <c r="C136" s="34" t="s">
        <v>132</v>
      </c>
      <c r="D136" s="34" t="s">
        <v>10521</v>
      </c>
      <c r="E136" s="34" t="s">
        <v>10891</v>
      </c>
      <c r="F136" s="6" t="s">
        <v>10928</v>
      </c>
      <c r="G136" s="218" t="s">
        <v>10906</v>
      </c>
      <c r="H136" s="34" t="s">
        <v>12381</v>
      </c>
      <c r="I136" s="35"/>
    </row>
    <row r="137" spans="1:9" ht="25.5">
      <c r="A137" s="34">
        <f t="shared" si="2"/>
        <v>135</v>
      </c>
      <c r="B137" s="218" t="s">
        <v>10532</v>
      </c>
      <c r="C137" s="34" t="s">
        <v>132</v>
      </c>
      <c r="D137" s="34" t="s">
        <v>10521</v>
      </c>
      <c r="E137" s="34" t="s">
        <v>10891</v>
      </c>
      <c r="F137" s="6" t="s">
        <v>10933</v>
      </c>
      <c r="G137" s="218" t="s">
        <v>10906</v>
      </c>
      <c r="H137" s="34" t="s">
        <v>11463</v>
      </c>
      <c r="I137" s="35"/>
    </row>
    <row r="138" spans="1:9" ht="25.5">
      <c r="A138" s="34">
        <f t="shared" si="2"/>
        <v>136</v>
      </c>
      <c r="B138" s="218" t="s">
        <v>10532</v>
      </c>
      <c r="C138" s="34" t="s">
        <v>132</v>
      </c>
      <c r="D138" s="34" t="s">
        <v>10521</v>
      </c>
      <c r="E138" s="34" t="s">
        <v>10891</v>
      </c>
      <c r="F138" s="6" t="s">
        <v>10928</v>
      </c>
      <c r="G138" s="218" t="s">
        <v>10906</v>
      </c>
      <c r="H138" s="34" t="s">
        <v>12382</v>
      </c>
      <c r="I138" s="35"/>
    </row>
    <row r="139" spans="1:9" ht="25.5">
      <c r="A139" s="34">
        <f t="shared" si="2"/>
        <v>137</v>
      </c>
      <c r="B139" s="218" t="s">
        <v>10532</v>
      </c>
      <c r="C139" s="34" t="s">
        <v>132</v>
      </c>
      <c r="D139" s="34" t="s">
        <v>10521</v>
      </c>
      <c r="E139" s="34" t="s">
        <v>10891</v>
      </c>
      <c r="F139" s="6" t="s">
        <v>10933</v>
      </c>
      <c r="G139" s="218" t="s">
        <v>10906</v>
      </c>
      <c r="H139" s="34" t="s">
        <v>10932</v>
      </c>
      <c r="I139" s="35"/>
    </row>
    <row r="140" spans="1:9" ht="25.5">
      <c r="A140" s="34">
        <f t="shared" si="2"/>
        <v>138</v>
      </c>
      <c r="B140" s="218" t="s">
        <v>10532</v>
      </c>
      <c r="C140" s="34" t="s">
        <v>132</v>
      </c>
      <c r="D140" s="34" t="s">
        <v>10520</v>
      </c>
      <c r="E140" s="34" t="s">
        <v>10936</v>
      </c>
      <c r="F140" s="6" t="s">
        <v>10937</v>
      </c>
      <c r="G140" s="218" t="s">
        <v>10906</v>
      </c>
      <c r="H140" s="34" t="s">
        <v>12385</v>
      </c>
      <c r="I140" s="35"/>
    </row>
    <row r="141" spans="1:9" ht="25.5">
      <c r="A141" s="34">
        <f t="shared" si="2"/>
        <v>139</v>
      </c>
      <c r="B141" s="218" t="s">
        <v>10532</v>
      </c>
      <c r="C141" s="34" t="s">
        <v>132</v>
      </c>
      <c r="D141" s="34" t="s">
        <v>10521</v>
      </c>
      <c r="E141" s="34" t="s">
        <v>10936</v>
      </c>
      <c r="F141" s="6" t="s">
        <v>10937</v>
      </c>
      <c r="G141" s="218" t="s">
        <v>10906</v>
      </c>
      <c r="H141" s="34" t="s">
        <v>4692</v>
      </c>
      <c r="I141" s="35"/>
    </row>
    <row r="142" spans="1:9" ht="25.5">
      <c r="A142" s="34">
        <f t="shared" si="2"/>
        <v>140</v>
      </c>
      <c r="B142" s="218" t="s">
        <v>10532</v>
      </c>
      <c r="C142" s="34" t="s">
        <v>10377</v>
      </c>
      <c r="D142" s="34" t="s">
        <v>10521</v>
      </c>
      <c r="E142" s="34" t="s">
        <v>10692</v>
      </c>
      <c r="F142" s="6" t="s">
        <v>11418</v>
      </c>
      <c r="G142" s="218" t="s">
        <v>10906</v>
      </c>
      <c r="H142" s="34" t="s">
        <v>12386</v>
      </c>
      <c r="I142" s="35"/>
    </row>
    <row r="143" spans="1:9" ht="25.5">
      <c r="A143" s="34">
        <f t="shared" si="2"/>
        <v>141</v>
      </c>
      <c r="B143" s="218" t="s">
        <v>10532</v>
      </c>
      <c r="C143" s="34" t="s">
        <v>10377</v>
      </c>
      <c r="D143" s="34" t="s">
        <v>10521</v>
      </c>
      <c r="E143" s="34" t="s">
        <v>10554</v>
      </c>
      <c r="F143" s="6" t="s">
        <v>11883</v>
      </c>
      <c r="G143" s="218" t="s">
        <v>10906</v>
      </c>
      <c r="H143" s="34" t="s">
        <v>12388</v>
      </c>
      <c r="I143" s="35"/>
    </row>
    <row r="144" spans="1:9" ht="25.5">
      <c r="A144" s="34">
        <f t="shared" si="2"/>
        <v>142</v>
      </c>
      <c r="B144" s="218" t="s">
        <v>10532</v>
      </c>
      <c r="C144" s="34" t="s">
        <v>10377</v>
      </c>
      <c r="D144" s="34" t="s">
        <v>10521</v>
      </c>
      <c r="E144" s="34" t="s">
        <v>10554</v>
      </c>
      <c r="F144" s="6" t="s">
        <v>12389</v>
      </c>
      <c r="G144" s="218" t="s">
        <v>10906</v>
      </c>
      <c r="H144" s="34" t="s">
        <v>12390</v>
      </c>
      <c r="I144" s="35"/>
    </row>
    <row r="145" spans="1:9" ht="25.5">
      <c r="A145" s="34">
        <f t="shared" si="2"/>
        <v>143</v>
      </c>
      <c r="B145" s="218" t="s">
        <v>12761</v>
      </c>
      <c r="C145" s="34" t="s">
        <v>122</v>
      </c>
      <c r="D145" s="34"/>
      <c r="E145" s="34" t="s">
        <v>10213</v>
      </c>
      <c r="F145" s="6" t="s">
        <v>12762</v>
      </c>
      <c r="G145" s="218" t="s">
        <v>10850</v>
      </c>
      <c r="H145" s="34" t="s">
        <v>12763</v>
      </c>
      <c r="I145" s="35"/>
    </row>
    <row r="146" spans="1:9" ht="25.5">
      <c r="A146" s="34">
        <f t="shared" si="2"/>
        <v>144</v>
      </c>
      <c r="B146" s="218" t="s">
        <v>12824</v>
      </c>
      <c r="C146" s="34" t="s">
        <v>147</v>
      </c>
      <c r="D146" s="34" t="s">
        <v>12330</v>
      </c>
      <c r="E146" s="34" t="s">
        <v>10472</v>
      </c>
      <c r="F146" s="6" t="s">
        <v>10937</v>
      </c>
      <c r="G146" s="218" t="s">
        <v>10831</v>
      </c>
      <c r="H146" s="34" t="s">
        <v>10904</v>
      </c>
      <c r="I146" s="35"/>
    </row>
    <row r="147" spans="1:9" ht="25.5">
      <c r="A147" s="34">
        <f t="shared" si="2"/>
        <v>145</v>
      </c>
      <c r="B147" s="218" t="s">
        <v>12765</v>
      </c>
      <c r="C147" s="34" t="s">
        <v>10502</v>
      </c>
      <c r="D147" s="34" t="s">
        <v>10189</v>
      </c>
      <c r="E147" s="34" t="s">
        <v>10856</v>
      </c>
      <c r="F147" s="6" t="s">
        <v>12766</v>
      </c>
      <c r="G147" s="218" t="s">
        <v>10858</v>
      </c>
      <c r="H147" s="34" t="s">
        <v>12700</v>
      </c>
      <c r="I147" s="35"/>
    </row>
    <row r="148" spans="1:9" ht="25.5">
      <c r="A148" s="34">
        <f t="shared" si="2"/>
        <v>146</v>
      </c>
      <c r="B148" s="218" t="s">
        <v>12767</v>
      </c>
      <c r="C148" s="34" t="s">
        <v>10502</v>
      </c>
      <c r="D148" s="34" t="s">
        <v>10189</v>
      </c>
      <c r="E148" s="34" t="s">
        <v>10856</v>
      </c>
      <c r="F148" s="6" t="s">
        <v>11469</v>
      </c>
      <c r="G148" s="218" t="s">
        <v>10858</v>
      </c>
      <c r="H148" s="34" t="s">
        <v>12768</v>
      </c>
      <c r="I148" s="35"/>
    </row>
    <row r="149" spans="1:9" ht="25.5">
      <c r="A149" s="34">
        <f t="shared" si="2"/>
        <v>147</v>
      </c>
      <c r="B149" s="218" t="s">
        <v>12769</v>
      </c>
      <c r="C149" s="34" t="s">
        <v>132</v>
      </c>
      <c r="D149" s="34" t="s">
        <v>10902</v>
      </c>
      <c r="E149" s="34" t="s">
        <v>12770</v>
      </c>
      <c r="F149" s="6" t="s">
        <v>12771</v>
      </c>
      <c r="G149" s="218" t="s">
        <v>12772</v>
      </c>
      <c r="H149" s="34" t="s">
        <v>4245</v>
      </c>
      <c r="I149" s="35"/>
    </row>
    <row r="150" spans="1:9" ht="51">
      <c r="A150" s="34">
        <f t="shared" si="2"/>
        <v>148</v>
      </c>
      <c r="B150" s="218" t="s">
        <v>12821</v>
      </c>
      <c r="C150" s="34" t="s">
        <v>10377</v>
      </c>
      <c r="D150" s="34" t="s">
        <v>10866</v>
      </c>
      <c r="E150" s="34" t="s">
        <v>10705</v>
      </c>
      <c r="F150" s="6" t="s">
        <v>10867</v>
      </c>
      <c r="G150" s="218" t="s">
        <v>10872</v>
      </c>
      <c r="H150" s="34" t="s">
        <v>1112</v>
      </c>
      <c r="I150" s="35"/>
    </row>
    <row r="151" spans="1:9" ht="12.75">
      <c r="A151" s="34">
        <f t="shared" si="2"/>
        <v>149</v>
      </c>
      <c r="B151" s="218" t="s">
        <v>12773</v>
      </c>
      <c r="C151" s="34" t="s">
        <v>10833</v>
      </c>
      <c r="D151" s="34" t="s">
        <v>10189</v>
      </c>
      <c r="E151" s="34" t="s">
        <v>10876</v>
      </c>
      <c r="F151" s="6" t="s">
        <v>10877</v>
      </c>
      <c r="G151" s="218" t="s">
        <v>10878</v>
      </c>
      <c r="H151" s="34" t="s">
        <v>12279</v>
      </c>
      <c r="I151" s="35"/>
    </row>
    <row r="152" spans="1:9" ht="51">
      <c r="A152" s="34">
        <f t="shared" si="2"/>
        <v>150</v>
      </c>
      <c r="B152" s="218" t="s">
        <v>12821</v>
      </c>
      <c r="C152" s="34" t="s">
        <v>10377</v>
      </c>
      <c r="D152" s="34" t="s">
        <v>10866</v>
      </c>
      <c r="E152" s="34" t="s">
        <v>10705</v>
      </c>
      <c r="F152" s="6" t="s">
        <v>10867</v>
      </c>
      <c r="G152" s="218" t="s">
        <v>11889</v>
      </c>
      <c r="H152" s="34" t="s">
        <v>12774</v>
      </c>
      <c r="I152" s="35"/>
    </row>
    <row r="153" spans="1:9" ht="25.5">
      <c r="A153" s="34">
        <f t="shared" si="2"/>
        <v>151</v>
      </c>
      <c r="B153" s="218" t="s">
        <v>12775</v>
      </c>
      <c r="C153" s="34" t="s">
        <v>10202</v>
      </c>
      <c r="D153" s="34" t="s">
        <v>10189</v>
      </c>
      <c r="E153" s="34" t="s">
        <v>10834</v>
      </c>
      <c r="F153" s="6" t="s">
        <v>10921</v>
      </c>
      <c r="G153" s="218" t="s">
        <v>12776</v>
      </c>
      <c r="H153" s="34" t="s">
        <v>5437</v>
      </c>
      <c r="I153" s="35"/>
    </row>
    <row r="154" spans="1:9" ht="25.5">
      <c r="A154" s="34">
        <f t="shared" si="2"/>
        <v>152</v>
      </c>
      <c r="B154" s="218" t="s">
        <v>12777</v>
      </c>
      <c r="C154" s="34" t="s">
        <v>10202</v>
      </c>
      <c r="D154" s="34" t="s">
        <v>10189</v>
      </c>
      <c r="E154" s="34" t="s">
        <v>11417</v>
      </c>
      <c r="F154" s="6" t="s">
        <v>12778</v>
      </c>
      <c r="G154" s="218" t="s">
        <v>11419</v>
      </c>
      <c r="H154" s="34" t="s">
        <v>12779</v>
      </c>
      <c r="I154" s="35"/>
    </row>
    <row r="155" spans="1:9" ht="25.5">
      <c r="A155" s="34">
        <f t="shared" si="2"/>
        <v>153</v>
      </c>
      <c r="B155" s="218" t="s">
        <v>12780</v>
      </c>
      <c r="C155" s="34" t="s">
        <v>10202</v>
      </c>
      <c r="D155" s="34" t="s">
        <v>10189</v>
      </c>
      <c r="E155" s="34" t="s">
        <v>11866</v>
      </c>
      <c r="F155" s="6" t="s">
        <v>12781</v>
      </c>
      <c r="G155" s="218" t="s">
        <v>12782</v>
      </c>
      <c r="H155" s="34" t="s">
        <v>12783</v>
      </c>
      <c r="I155" s="35"/>
    </row>
    <row r="156" spans="1:9" ht="38.25">
      <c r="A156" s="34">
        <f t="shared" si="2"/>
        <v>154</v>
      </c>
      <c r="B156" s="218" t="s">
        <v>12784</v>
      </c>
      <c r="C156" s="34" t="s">
        <v>10202</v>
      </c>
      <c r="D156" s="34" t="s">
        <v>10189</v>
      </c>
      <c r="E156" s="34" t="s">
        <v>11417</v>
      </c>
      <c r="F156" s="6" t="s">
        <v>10946</v>
      </c>
      <c r="G156" s="218" t="s">
        <v>11419</v>
      </c>
      <c r="H156" s="34" t="s">
        <v>6220</v>
      </c>
      <c r="I156" s="35"/>
    </row>
    <row r="157" spans="1:9" ht="12.75">
      <c r="A157" s="34">
        <f t="shared" si="2"/>
        <v>155</v>
      </c>
      <c r="B157" s="218" t="s">
        <v>10890</v>
      </c>
      <c r="C157" s="34" t="s">
        <v>132</v>
      </c>
      <c r="D157" s="34" t="s">
        <v>10521</v>
      </c>
      <c r="E157" s="34" t="s">
        <v>10891</v>
      </c>
      <c r="F157" s="6" t="s">
        <v>10895</v>
      </c>
      <c r="G157" s="218" t="s">
        <v>10896</v>
      </c>
      <c r="H157" s="34" t="s">
        <v>12785</v>
      </c>
      <c r="I157" s="35"/>
    </row>
    <row r="158" spans="1:9" ht="12.75">
      <c r="A158" s="34">
        <f t="shared" si="2"/>
        <v>156</v>
      </c>
      <c r="B158" s="218" t="s">
        <v>10497</v>
      </c>
      <c r="C158" s="34" t="s">
        <v>132</v>
      </c>
      <c r="D158" s="34" t="s">
        <v>10218</v>
      </c>
      <c r="E158" s="34" t="s">
        <v>11324</v>
      </c>
      <c r="F158" s="6" t="s">
        <v>12786</v>
      </c>
      <c r="G158" s="218" t="s">
        <v>11486</v>
      </c>
      <c r="H158" s="34" t="s">
        <v>11517</v>
      </c>
      <c r="I158" s="35"/>
    </row>
    <row r="159" spans="1:9" ht="12.75">
      <c r="A159" s="34">
        <f t="shared" si="2"/>
        <v>157</v>
      </c>
      <c r="B159" s="218" t="s">
        <v>10890</v>
      </c>
      <c r="C159" s="34" t="s">
        <v>132</v>
      </c>
      <c r="D159" s="34" t="s">
        <v>10189</v>
      </c>
      <c r="E159" s="34" t="s">
        <v>10891</v>
      </c>
      <c r="F159" s="6" t="s">
        <v>10892</v>
      </c>
      <c r="G159" s="218" t="s">
        <v>10896</v>
      </c>
      <c r="H159" s="34" t="s">
        <v>12787</v>
      </c>
      <c r="I159" s="35"/>
    </row>
    <row r="160" spans="1:9" ht="12.75">
      <c r="A160" s="34">
        <f t="shared" si="2"/>
        <v>158</v>
      </c>
      <c r="B160" s="218" t="s">
        <v>10890</v>
      </c>
      <c r="C160" s="34" t="s">
        <v>132</v>
      </c>
      <c r="D160" s="34" t="s">
        <v>10521</v>
      </c>
      <c r="E160" s="34" t="s">
        <v>10891</v>
      </c>
      <c r="F160" s="6" t="s">
        <v>10892</v>
      </c>
      <c r="G160" s="218" t="s">
        <v>10893</v>
      </c>
      <c r="H160" s="34" t="s">
        <v>12788</v>
      </c>
      <c r="I160" s="35"/>
    </row>
    <row r="161" spans="1:9" ht="25.5">
      <c r="A161" s="34">
        <f t="shared" si="2"/>
        <v>159</v>
      </c>
      <c r="B161" s="218" t="s">
        <v>12789</v>
      </c>
      <c r="C161" s="34" t="s">
        <v>10502</v>
      </c>
      <c r="D161" s="34" t="s">
        <v>10189</v>
      </c>
      <c r="E161" s="34" t="s">
        <v>10230</v>
      </c>
      <c r="F161" s="6" t="s">
        <v>12790</v>
      </c>
      <c r="G161" s="218" t="s">
        <v>10728</v>
      </c>
      <c r="H161" s="34" t="s">
        <v>12791</v>
      </c>
      <c r="I161" s="35"/>
    </row>
    <row r="162" spans="1:9" ht="25.5">
      <c r="A162" s="34">
        <f t="shared" si="2"/>
        <v>160</v>
      </c>
      <c r="B162" s="218" t="s">
        <v>10532</v>
      </c>
      <c r="C162" s="34" t="s">
        <v>10377</v>
      </c>
      <c r="D162" s="34" t="s">
        <v>10521</v>
      </c>
      <c r="E162" s="34" t="s">
        <v>10705</v>
      </c>
      <c r="F162" s="6" t="s">
        <v>12797</v>
      </c>
      <c r="G162" s="218" t="s">
        <v>10906</v>
      </c>
      <c r="H162" s="34" t="s">
        <v>12798</v>
      </c>
      <c r="I162" s="35"/>
    </row>
    <row r="163" spans="1:9" ht="25.5">
      <c r="A163" s="34">
        <f t="shared" si="2"/>
        <v>161</v>
      </c>
      <c r="B163" s="218" t="s">
        <v>10532</v>
      </c>
      <c r="C163" s="34" t="s">
        <v>132</v>
      </c>
      <c r="D163" s="34" t="s">
        <v>10521</v>
      </c>
      <c r="E163" s="34" t="s">
        <v>10341</v>
      </c>
      <c r="F163" s="6" t="s">
        <v>11923</v>
      </c>
      <c r="G163" s="218" t="s">
        <v>10906</v>
      </c>
      <c r="H163" s="34" t="s">
        <v>12799</v>
      </c>
      <c r="I163" s="35"/>
    </row>
    <row r="164" spans="1:9" ht="25.5">
      <c r="A164" s="34">
        <f t="shared" si="2"/>
        <v>162</v>
      </c>
      <c r="B164" s="218" t="s">
        <v>10532</v>
      </c>
      <c r="C164" s="34" t="s">
        <v>132</v>
      </c>
      <c r="D164" s="34" t="s">
        <v>10521</v>
      </c>
      <c r="E164" s="34" t="s">
        <v>10341</v>
      </c>
      <c r="F164" s="6" t="s">
        <v>11923</v>
      </c>
      <c r="G164" s="218" t="s">
        <v>10906</v>
      </c>
      <c r="H164" s="34" t="s">
        <v>12800</v>
      </c>
      <c r="I164" s="35"/>
    </row>
    <row r="165" spans="1:9" ht="25.5">
      <c r="A165" s="34">
        <f t="shared" si="2"/>
        <v>163</v>
      </c>
      <c r="B165" s="218" t="s">
        <v>10532</v>
      </c>
      <c r="C165" s="34" t="s">
        <v>132</v>
      </c>
      <c r="D165" s="34" t="s">
        <v>10521</v>
      </c>
      <c r="E165" s="34" t="s">
        <v>10542</v>
      </c>
      <c r="F165" s="6" t="s">
        <v>11448</v>
      </c>
      <c r="G165" s="218" t="s">
        <v>10906</v>
      </c>
      <c r="H165" s="34" t="s">
        <v>950</v>
      </c>
      <c r="I165" s="35"/>
    </row>
    <row r="166" spans="1:9" ht="25.5">
      <c r="A166" s="34">
        <f t="shared" si="2"/>
        <v>164</v>
      </c>
      <c r="B166" s="218" t="s">
        <v>10532</v>
      </c>
      <c r="C166" s="34" t="s">
        <v>132</v>
      </c>
      <c r="D166" s="34" t="s">
        <v>10521</v>
      </c>
      <c r="E166" s="34" t="s">
        <v>10643</v>
      </c>
      <c r="F166" s="6" t="s">
        <v>12801</v>
      </c>
      <c r="G166" s="218" t="s">
        <v>10906</v>
      </c>
      <c r="H166" s="34" t="s">
        <v>12802</v>
      </c>
      <c r="I166" s="35"/>
    </row>
    <row r="167" spans="1:9" ht="25.5">
      <c r="A167" s="34">
        <f t="shared" si="2"/>
        <v>165</v>
      </c>
      <c r="B167" s="218" t="s">
        <v>10532</v>
      </c>
      <c r="C167" s="34" t="s">
        <v>132</v>
      </c>
      <c r="D167" s="34" t="s">
        <v>10521</v>
      </c>
      <c r="E167" s="34" t="s">
        <v>11777</v>
      </c>
      <c r="F167" s="6" t="s">
        <v>12803</v>
      </c>
      <c r="G167" s="218" t="s">
        <v>10906</v>
      </c>
      <c r="H167" s="34" t="s">
        <v>12804</v>
      </c>
      <c r="I167" s="35"/>
    </row>
    <row r="168" spans="1:9" ht="25.5">
      <c r="A168" s="34">
        <f t="shared" si="2"/>
        <v>166</v>
      </c>
      <c r="B168" s="218" t="s">
        <v>10532</v>
      </c>
      <c r="C168" s="34" t="s">
        <v>132</v>
      </c>
      <c r="D168" s="34" t="s">
        <v>10521</v>
      </c>
      <c r="E168" s="34" t="s">
        <v>9617</v>
      </c>
      <c r="F168" s="6" t="s">
        <v>10921</v>
      </c>
      <c r="G168" s="218" t="s">
        <v>10906</v>
      </c>
      <c r="H168" s="34" t="s">
        <v>12805</v>
      </c>
      <c r="I168" s="35"/>
    </row>
    <row r="169" spans="1:9" ht="25.5">
      <c r="A169" s="34">
        <f t="shared" si="2"/>
        <v>167</v>
      </c>
      <c r="B169" s="218" t="s">
        <v>10532</v>
      </c>
      <c r="C169" s="34" t="s">
        <v>10377</v>
      </c>
      <c r="D169" s="34" t="s">
        <v>10521</v>
      </c>
      <c r="E169" s="34" t="s">
        <v>10925</v>
      </c>
      <c r="F169" s="6" t="s">
        <v>10926</v>
      </c>
      <c r="G169" s="218" t="s">
        <v>10906</v>
      </c>
      <c r="H169" s="34" t="s">
        <v>12809</v>
      </c>
      <c r="I169" s="35"/>
    </row>
    <row r="170" spans="1:9" ht="25.5">
      <c r="A170" s="34">
        <f t="shared" si="2"/>
        <v>168</v>
      </c>
      <c r="B170" s="218" t="s">
        <v>10532</v>
      </c>
      <c r="C170" s="34" t="s">
        <v>132</v>
      </c>
      <c r="D170" s="34" t="s">
        <v>10521</v>
      </c>
      <c r="E170" s="34" t="s">
        <v>10891</v>
      </c>
      <c r="F170" s="6" t="s">
        <v>10928</v>
      </c>
      <c r="G170" s="218" t="s">
        <v>10906</v>
      </c>
      <c r="H170" s="34" t="s">
        <v>12810</v>
      </c>
      <c r="I170" s="35"/>
    </row>
    <row r="171" spans="1:9" ht="25.5">
      <c r="A171" s="34">
        <f t="shared" si="2"/>
        <v>169</v>
      </c>
      <c r="B171" s="218" t="s">
        <v>10532</v>
      </c>
      <c r="C171" s="34" t="s">
        <v>132</v>
      </c>
      <c r="D171" s="34" t="s">
        <v>10521</v>
      </c>
      <c r="E171" s="34" t="s">
        <v>10891</v>
      </c>
      <c r="F171" s="6" t="s">
        <v>10928</v>
      </c>
      <c r="G171" s="218" t="s">
        <v>10906</v>
      </c>
      <c r="H171" s="34" t="s">
        <v>10934</v>
      </c>
      <c r="I171" s="35"/>
    </row>
    <row r="172" spans="1:9" ht="25.5">
      <c r="A172" s="34">
        <f t="shared" si="2"/>
        <v>170</v>
      </c>
      <c r="B172" s="218" t="s">
        <v>10532</v>
      </c>
      <c r="C172" s="34" t="s">
        <v>132</v>
      </c>
      <c r="D172" s="34" t="s">
        <v>10521</v>
      </c>
      <c r="E172" s="34" t="s">
        <v>10891</v>
      </c>
      <c r="F172" s="6" t="s">
        <v>10933</v>
      </c>
      <c r="G172" s="218" t="s">
        <v>10906</v>
      </c>
      <c r="H172" s="34" t="s">
        <v>11940</v>
      </c>
      <c r="I172" s="35"/>
    </row>
    <row r="173" spans="1:9" ht="25.5">
      <c r="A173" s="34">
        <f t="shared" si="2"/>
        <v>171</v>
      </c>
      <c r="B173" s="218" t="s">
        <v>10532</v>
      </c>
      <c r="C173" s="34" t="s">
        <v>132</v>
      </c>
      <c r="D173" s="34" t="s">
        <v>10521</v>
      </c>
      <c r="E173" s="34" t="s">
        <v>10891</v>
      </c>
      <c r="F173" s="6" t="s">
        <v>10933</v>
      </c>
      <c r="G173" s="218" t="s">
        <v>10906</v>
      </c>
      <c r="H173" s="34" t="s">
        <v>11462</v>
      </c>
      <c r="I173" s="35"/>
    </row>
    <row r="174" spans="1:9" ht="25.5">
      <c r="A174" s="34">
        <f t="shared" si="2"/>
        <v>172</v>
      </c>
      <c r="B174" s="218" t="s">
        <v>10532</v>
      </c>
      <c r="C174" s="34" t="s">
        <v>132</v>
      </c>
      <c r="D174" s="34" t="s">
        <v>10520</v>
      </c>
      <c r="E174" s="34" t="s">
        <v>10936</v>
      </c>
      <c r="F174" s="6" t="s">
        <v>10937</v>
      </c>
      <c r="G174" s="218" t="s">
        <v>10906</v>
      </c>
      <c r="H174" s="34" t="s">
        <v>12811</v>
      </c>
      <c r="I174" s="35"/>
    </row>
    <row r="175" spans="1:9" ht="25.5">
      <c r="A175" s="34">
        <f t="shared" si="2"/>
        <v>173</v>
      </c>
      <c r="B175" s="218" t="s">
        <v>10532</v>
      </c>
      <c r="C175" s="34" t="s">
        <v>132</v>
      </c>
      <c r="D175" s="34" t="s">
        <v>10521</v>
      </c>
      <c r="E175" s="34" t="s">
        <v>10936</v>
      </c>
      <c r="F175" s="6" t="s">
        <v>10937</v>
      </c>
      <c r="G175" s="218" t="s">
        <v>10906</v>
      </c>
      <c r="H175" s="34" t="s">
        <v>4098</v>
      </c>
      <c r="I175" s="35"/>
    </row>
    <row r="176" spans="1:9" ht="25.5">
      <c r="A176" s="34">
        <f t="shared" si="2"/>
        <v>174</v>
      </c>
      <c r="B176" s="218" t="s">
        <v>10532</v>
      </c>
      <c r="C176" s="34" t="s">
        <v>132</v>
      </c>
      <c r="D176" s="34" t="s">
        <v>10521</v>
      </c>
      <c r="E176" s="34" t="s">
        <v>10692</v>
      </c>
      <c r="F176" s="6" t="s">
        <v>12812</v>
      </c>
      <c r="G176" s="218" t="s">
        <v>10906</v>
      </c>
      <c r="H176" s="34" t="s">
        <v>12813</v>
      </c>
      <c r="I176" s="35"/>
    </row>
    <row r="177" spans="1:9" ht="25.5">
      <c r="A177" s="34">
        <f t="shared" si="2"/>
        <v>175</v>
      </c>
      <c r="B177" s="218" t="s">
        <v>10532</v>
      </c>
      <c r="C177" s="34" t="s">
        <v>132</v>
      </c>
      <c r="D177" s="34" t="s">
        <v>10521</v>
      </c>
      <c r="E177" s="34" t="s">
        <v>10936</v>
      </c>
      <c r="F177" s="6" t="s">
        <v>10937</v>
      </c>
      <c r="G177" s="218" t="s">
        <v>10906</v>
      </c>
      <c r="H177" s="34" t="s">
        <v>12814</v>
      </c>
      <c r="I177" s="35"/>
    </row>
    <row r="178" spans="1:9" ht="25.5">
      <c r="A178" s="34">
        <f t="shared" si="2"/>
        <v>176</v>
      </c>
      <c r="B178" s="218" t="s">
        <v>10532</v>
      </c>
      <c r="C178" s="34" t="s">
        <v>10377</v>
      </c>
      <c r="D178" s="34" t="s">
        <v>10521</v>
      </c>
      <c r="E178" s="34" t="s">
        <v>10554</v>
      </c>
      <c r="F178" s="6" t="s">
        <v>12815</v>
      </c>
      <c r="G178" s="218" t="s">
        <v>10906</v>
      </c>
      <c r="H178" s="34" t="s">
        <v>12816</v>
      </c>
      <c r="I178" s="35"/>
    </row>
    <row r="179" spans="1:9" ht="25.5">
      <c r="A179" s="34">
        <f t="shared" si="2"/>
        <v>177</v>
      </c>
      <c r="B179" s="218" t="s">
        <v>10532</v>
      </c>
      <c r="C179" s="34" t="s">
        <v>10377</v>
      </c>
      <c r="D179" s="34" t="s">
        <v>10521</v>
      </c>
      <c r="E179" s="34" t="s">
        <v>10692</v>
      </c>
      <c r="F179" s="6" t="s">
        <v>11898</v>
      </c>
      <c r="G179" s="218" t="s">
        <v>10906</v>
      </c>
      <c r="H179" s="34" t="s">
        <v>12817</v>
      </c>
      <c r="I179" s="35"/>
    </row>
    <row r="180" spans="1:9" ht="25.5">
      <c r="A180" s="34">
        <f t="shared" si="2"/>
        <v>178</v>
      </c>
      <c r="B180" s="218" t="s">
        <v>10532</v>
      </c>
      <c r="C180" s="34" t="s">
        <v>10377</v>
      </c>
      <c r="D180" s="34" t="s">
        <v>10520</v>
      </c>
      <c r="E180" s="34" t="s">
        <v>10554</v>
      </c>
      <c r="F180" s="6" t="s">
        <v>12389</v>
      </c>
      <c r="G180" s="218" t="s">
        <v>10906</v>
      </c>
      <c r="H180" s="34" t="s">
        <v>12818</v>
      </c>
      <c r="I180" s="35"/>
    </row>
  </sheetData>
  <mergeCells count="1">
    <mergeCell ref="A1:D1"/>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88786-CC58-42A9-9036-D2D740F13970}">
  <sheetPr>
    <tabColor rgb="FF006432"/>
  </sheetPr>
  <dimension ref="A1:I26"/>
  <sheetViews>
    <sheetView workbookViewId="0">
      <selection activeCell="G14" sqref="G14"/>
    </sheetView>
  </sheetViews>
  <sheetFormatPr defaultRowHeight="15" customHeight="1"/>
  <cols>
    <col min="1" max="1" width="4.28515625" customWidth="1"/>
    <col min="2" max="2" width="15.42578125" customWidth="1"/>
    <col min="3" max="3" width="14.42578125" customWidth="1"/>
    <col min="4" max="4" width="13.28515625" customWidth="1"/>
    <col min="5" max="5" width="13.5703125" customWidth="1"/>
    <col min="6" max="6" width="12.28515625" customWidth="1"/>
    <col min="7" max="8" width="14.42578125" customWidth="1"/>
  </cols>
  <sheetData>
    <row r="1" spans="1:9" ht="16.5" thickBot="1">
      <c r="A1" s="641" t="s">
        <v>12825</v>
      </c>
      <c r="B1" s="641"/>
      <c r="C1" s="641"/>
      <c r="D1" s="641"/>
      <c r="E1" s="641"/>
      <c r="F1" s="641"/>
      <c r="G1" s="641"/>
      <c r="H1" s="641"/>
      <c r="I1" s="641"/>
    </row>
    <row r="2" spans="1:9" ht="59.25" customHeight="1" thickTop="1" thickBot="1">
      <c r="A2" s="505" t="s">
        <v>114</v>
      </c>
      <c r="B2" s="505" t="s">
        <v>371</v>
      </c>
      <c r="C2" s="510" t="s">
        <v>12826</v>
      </c>
      <c r="D2" s="511"/>
      <c r="E2" s="510" t="s">
        <v>12827</v>
      </c>
      <c r="F2" s="511"/>
      <c r="G2" s="640" t="s">
        <v>12828</v>
      </c>
      <c r="H2" s="18" t="s">
        <v>12829</v>
      </c>
    </row>
    <row r="3" spans="1:9" ht="26.25" thickTop="1">
      <c r="A3" s="506"/>
      <c r="B3" s="506"/>
      <c r="C3" s="365" t="s">
        <v>12830</v>
      </c>
      <c r="D3" s="365" t="s">
        <v>12831</v>
      </c>
      <c r="E3" s="365" t="s">
        <v>12832</v>
      </c>
      <c r="F3" s="365" t="s">
        <v>12833</v>
      </c>
      <c r="G3" s="561"/>
      <c r="H3" s="413" t="s">
        <v>12834</v>
      </c>
    </row>
    <row r="4" spans="1:9">
      <c r="A4" s="34">
        <v>1</v>
      </c>
      <c r="B4" s="218" t="s">
        <v>1097</v>
      </c>
      <c r="C4" s="442">
        <v>498.5</v>
      </c>
      <c r="D4" s="108">
        <v>9604.7999999999993</v>
      </c>
      <c r="E4" s="108">
        <v>8.5</v>
      </c>
      <c r="F4" s="108">
        <v>124.6</v>
      </c>
      <c r="G4" s="442">
        <v>504.1</v>
      </c>
      <c r="H4" s="442">
        <v>10740.4</v>
      </c>
    </row>
    <row r="5" spans="1:9">
      <c r="A5" s="34">
        <v>2</v>
      </c>
      <c r="B5" s="218" t="s">
        <v>288</v>
      </c>
      <c r="C5" s="442">
        <v>472</v>
      </c>
      <c r="D5" s="108">
        <v>9095.1</v>
      </c>
      <c r="E5" s="108">
        <v>168.8</v>
      </c>
      <c r="F5" s="108">
        <v>162</v>
      </c>
      <c r="G5" s="442">
        <v>175.8</v>
      </c>
      <c r="H5" s="442">
        <v>10073.799999999999</v>
      </c>
    </row>
    <row r="6" spans="1:9">
      <c r="A6" s="34">
        <v>3</v>
      </c>
      <c r="B6" s="218" t="s">
        <v>768</v>
      </c>
      <c r="C6" s="442">
        <v>647.20000000000005</v>
      </c>
      <c r="D6" s="108">
        <v>12469.8</v>
      </c>
      <c r="E6" s="108">
        <v>194.7</v>
      </c>
      <c r="F6" s="108">
        <v>1136.4000000000001</v>
      </c>
      <c r="G6" s="442">
        <v>957.2</v>
      </c>
      <c r="H6" s="442">
        <v>15405.3</v>
      </c>
    </row>
    <row r="7" spans="1:9">
      <c r="A7" s="34">
        <v>4</v>
      </c>
      <c r="B7" s="218" t="s">
        <v>836</v>
      </c>
      <c r="C7" s="442">
        <v>425.4</v>
      </c>
      <c r="D7" s="108">
        <v>8197.2000000000007</v>
      </c>
      <c r="E7" s="108">
        <v>74</v>
      </c>
      <c r="F7" s="108">
        <v>417.3</v>
      </c>
      <c r="G7" s="442">
        <v>255.1</v>
      </c>
      <c r="H7" s="442">
        <v>9369</v>
      </c>
    </row>
    <row r="8" spans="1:9">
      <c r="A8" s="34">
        <v>5</v>
      </c>
      <c r="B8" s="218" t="s">
        <v>1014</v>
      </c>
      <c r="C8" s="442">
        <v>676.1</v>
      </c>
      <c r="D8" s="108">
        <v>13027</v>
      </c>
      <c r="E8" s="108">
        <v>525.79999999999995</v>
      </c>
      <c r="F8" s="108">
        <v>706.5</v>
      </c>
      <c r="G8" s="442">
        <v>187.4</v>
      </c>
      <c r="H8" s="442">
        <v>15122.9</v>
      </c>
    </row>
    <row r="9" spans="1:9">
      <c r="A9" s="34">
        <v>6</v>
      </c>
      <c r="B9" s="218" t="s">
        <v>170</v>
      </c>
      <c r="C9" s="442">
        <v>3456.1</v>
      </c>
      <c r="D9" s="108">
        <v>19192.599999999999</v>
      </c>
      <c r="E9" s="108">
        <v>1229.2</v>
      </c>
      <c r="F9" s="108">
        <v>1973.5</v>
      </c>
      <c r="G9" s="442">
        <v>1018.8</v>
      </c>
      <c r="H9" s="442">
        <v>26870.3</v>
      </c>
    </row>
    <row r="10" spans="1:9">
      <c r="A10" s="34">
        <v>7</v>
      </c>
      <c r="B10" s="218" t="s">
        <v>123</v>
      </c>
      <c r="C10" s="442">
        <v>3479.5</v>
      </c>
      <c r="D10" s="108">
        <v>15387.6</v>
      </c>
      <c r="E10" s="108">
        <v>410</v>
      </c>
      <c r="F10" s="108">
        <v>570.4</v>
      </c>
      <c r="G10" s="442">
        <v>1652</v>
      </c>
      <c r="H10" s="442">
        <v>21499.5</v>
      </c>
    </row>
    <row r="11" spans="1:9">
      <c r="A11" s="34">
        <v>8</v>
      </c>
      <c r="B11" s="218" t="s">
        <v>375</v>
      </c>
      <c r="C11" s="442">
        <v>475.4</v>
      </c>
      <c r="D11" s="108">
        <v>9159.2000000000007</v>
      </c>
      <c r="E11" s="108">
        <v>527.70000000000005</v>
      </c>
      <c r="F11" s="108">
        <v>1067.7</v>
      </c>
      <c r="G11" s="442">
        <v>645.4</v>
      </c>
      <c r="H11" s="442">
        <v>11875.4</v>
      </c>
    </row>
    <row r="12" spans="1:9">
      <c r="A12" s="34">
        <v>9</v>
      </c>
      <c r="B12" s="218" t="s">
        <v>1242</v>
      </c>
      <c r="C12" s="442">
        <v>530</v>
      </c>
      <c r="D12" s="108">
        <v>13539.4</v>
      </c>
      <c r="E12" s="108">
        <v>126.4</v>
      </c>
      <c r="F12" s="108">
        <v>231.9</v>
      </c>
      <c r="G12" s="442">
        <v>615.29999999999995</v>
      </c>
      <c r="H12" s="442">
        <v>15043.1</v>
      </c>
    </row>
    <row r="13" spans="1:9">
      <c r="A13" s="34">
        <v>10</v>
      </c>
      <c r="B13" s="218" t="s">
        <v>163</v>
      </c>
      <c r="C13" s="442">
        <v>544.29999999999995</v>
      </c>
      <c r="D13" s="108">
        <v>10487.8</v>
      </c>
      <c r="E13" s="108">
        <v>44.7</v>
      </c>
      <c r="F13" s="108">
        <v>182</v>
      </c>
      <c r="G13" s="442">
        <v>907.5</v>
      </c>
      <c r="H13" s="442">
        <v>12166.4</v>
      </c>
    </row>
    <row r="14" spans="1:9">
      <c r="A14" s="34">
        <v>11</v>
      </c>
      <c r="B14" s="218" t="s">
        <v>233</v>
      </c>
      <c r="C14" s="442">
        <v>836.2</v>
      </c>
      <c r="D14" s="108">
        <v>24056.799999999999</v>
      </c>
      <c r="E14" s="108" t="s">
        <v>12835</v>
      </c>
      <c r="F14" s="108">
        <v>2691.8</v>
      </c>
      <c r="G14" s="442">
        <v>676</v>
      </c>
      <c r="H14" s="442">
        <v>28685.200000000001</v>
      </c>
    </row>
    <row r="15" spans="1:9">
      <c r="A15" s="34">
        <v>12</v>
      </c>
      <c r="B15" s="218" t="s">
        <v>138</v>
      </c>
      <c r="C15" s="442">
        <v>523.29999999999995</v>
      </c>
      <c r="D15" s="108">
        <v>15245.8</v>
      </c>
      <c r="E15" s="108">
        <v>193.1</v>
      </c>
      <c r="F15" s="108">
        <v>385</v>
      </c>
      <c r="G15" s="442">
        <v>806.6</v>
      </c>
      <c r="H15" s="442">
        <v>17153.8</v>
      </c>
    </row>
    <row r="16" spans="1:9">
      <c r="A16" s="34">
        <v>13</v>
      </c>
      <c r="B16" s="218" t="s">
        <v>304</v>
      </c>
      <c r="C16" s="442">
        <v>463.2</v>
      </c>
      <c r="D16" s="108">
        <v>18290.099999999999</v>
      </c>
      <c r="E16" s="108">
        <v>41.6</v>
      </c>
      <c r="F16" s="108">
        <v>431.2</v>
      </c>
      <c r="G16" s="442">
        <v>1102.7</v>
      </c>
      <c r="H16" s="442">
        <v>20328.8</v>
      </c>
    </row>
    <row r="17" spans="1:8">
      <c r="A17" s="34">
        <v>14</v>
      </c>
      <c r="B17" s="218" t="s">
        <v>274</v>
      </c>
      <c r="C17" s="442">
        <v>541.70000000000005</v>
      </c>
      <c r="D17" s="108">
        <v>17776.5</v>
      </c>
      <c r="E17" s="108">
        <v>80.099999999999994</v>
      </c>
      <c r="F17" s="108">
        <v>1112.9000000000001</v>
      </c>
      <c r="G17" s="442">
        <v>1160.0999999999999</v>
      </c>
      <c r="H17" s="442">
        <v>20671.3</v>
      </c>
    </row>
    <row r="18" spans="1:8">
      <c r="A18" s="414">
        <v>15</v>
      </c>
      <c r="B18" s="414" t="s">
        <v>782</v>
      </c>
      <c r="C18" s="443">
        <v>514.20000000000005</v>
      </c>
      <c r="D18" s="443">
        <v>9907.7999999999993</v>
      </c>
      <c r="E18" s="443">
        <v>331.8</v>
      </c>
      <c r="F18" s="443">
        <v>177.6</v>
      </c>
      <c r="G18" s="443">
        <v>392.7</v>
      </c>
      <c r="H18" s="443">
        <v>11324</v>
      </c>
    </row>
    <row r="19" spans="1:8">
      <c r="A19" s="34">
        <v>16</v>
      </c>
      <c r="B19" s="218" t="s">
        <v>1102</v>
      </c>
      <c r="C19" s="442">
        <v>528.5</v>
      </c>
      <c r="D19" s="108">
        <v>17685</v>
      </c>
      <c r="E19" s="108">
        <v>252.7</v>
      </c>
      <c r="F19" s="108">
        <v>136.5</v>
      </c>
      <c r="G19" s="442">
        <v>652.79999999999995</v>
      </c>
      <c r="H19" s="442">
        <v>19255.400000000001</v>
      </c>
    </row>
    <row r="20" spans="1:8">
      <c r="A20" s="34">
        <v>17</v>
      </c>
      <c r="B20" s="218" t="s">
        <v>205</v>
      </c>
      <c r="C20" s="442">
        <v>659.4</v>
      </c>
      <c r="D20" s="108">
        <v>12704.4</v>
      </c>
      <c r="E20" s="108">
        <v>0</v>
      </c>
      <c r="F20" s="108">
        <v>62.2</v>
      </c>
      <c r="G20" s="442">
        <v>977.4</v>
      </c>
      <c r="H20" s="442">
        <v>14403.3</v>
      </c>
    </row>
    <row r="21" spans="1:8">
      <c r="A21" s="34">
        <v>18</v>
      </c>
      <c r="B21" s="218" t="s">
        <v>293</v>
      </c>
      <c r="C21" s="442">
        <v>539.79999999999995</v>
      </c>
      <c r="D21" s="108">
        <v>10401.700000000001</v>
      </c>
      <c r="E21" s="108">
        <v>319.10000000000002</v>
      </c>
      <c r="F21" s="108">
        <v>454.1</v>
      </c>
      <c r="G21" s="442">
        <v>736.4</v>
      </c>
      <c r="H21" s="442">
        <v>12451.2</v>
      </c>
    </row>
    <row r="22" spans="1:8">
      <c r="A22" s="34">
        <v>19</v>
      </c>
      <c r="B22" s="218" t="s">
        <v>180</v>
      </c>
      <c r="C22" s="442">
        <v>372.6</v>
      </c>
      <c r="D22" s="108">
        <v>12243.7</v>
      </c>
      <c r="E22" s="108">
        <v>1.7</v>
      </c>
      <c r="F22" s="108">
        <v>67</v>
      </c>
      <c r="G22" s="442">
        <v>788.3</v>
      </c>
      <c r="H22" s="442">
        <v>13473.2</v>
      </c>
    </row>
    <row r="23" spans="1:8">
      <c r="A23" s="34">
        <v>20</v>
      </c>
      <c r="B23" s="218" t="s">
        <v>128</v>
      </c>
      <c r="C23" s="442">
        <v>2037.1</v>
      </c>
      <c r="D23" s="108">
        <v>39250.400000000001</v>
      </c>
      <c r="E23" s="108">
        <v>0</v>
      </c>
      <c r="F23" s="108">
        <v>37.6</v>
      </c>
      <c r="G23" s="442">
        <v>0</v>
      </c>
      <c r="H23" s="442">
        <v>41325.1</v>
      </c>
    </row>
    <row r="24" spans="1:8">
      <c r="A24" s="34">
        <v>21</v>
      </c>
      <c r="B24" s="218" t="s">
        <v>329</v>
      </c>
      <c r="C24" s="442">
        <v>376.7</v>
      </c>
      <c r="D24" s="108">
        <v>15203.3</v>
      </c>
      <c r="E24" s="108">
        <v>0</v>
      </c>
      <c r="F24" s="108">
        <v>107.4</v>
      </c>
      <c r="G24" s="442">
        <v>1283</v>
      </c>
      <c r="H24" s="442">
        <v>16970.400000000001</v>
      </c>
    </row>
    <row r="25" spans="1:8">
      <c r="A25" s="34">
        <v>22</v>
      </c>
      <c r="B25" s="218" t="s">
        <v>312</v>
      </c>
      <c r="C25" s="442">
        <v>253.7</v>
      </c>
      <c r="D25" s="108">
        <v>4888.2</v>
      </c>
      <c r="E25" s="108">
        <v>12.4</v>
      </c>
      <c r="F25" s="108">
        <v>141.5</v>
      </c>
      <c r="G25" s="442">
        <v>435.7</v>
      </c>
      <c r="H25" s="442">
        <v>5731.5</v>
      </c>
    </row>
    <row r="26" spans="1:8" ht="15" customHeight="1">
      <c r="A26" s="415" t="s">
        <v>628</v>
      </c>
      <c r="B26" s="416"/>
      <c r="C26" s="444">
        <v>18850.7</v>
      </c>
      <c r="D26" s="445">
        <v>317814.3</v>
      </c>
      <c r="E26" s="445">
        <v>4966.7</v>
      </c>
      <c r="F26" s="445">
        <v>12377.1</v>
      </c>
      <c r="G26" s="444">
        <v>15930.5</v>
      </c>
      <c r="H26" s="444">
        <v>369939.3</v>
      </c>
    </row>
  </sheetData>
  <mergeCells count="6">
    <mergeCell ref="B2:B3"/>
    <mergeCell ref="A2:A3"/>
    <mergeCell ref="A1:I1"/>
    <mergeCell ref="C2:D2"/>
    <mergeCell ref="E2:F2"/>
    <mergeCell ref="G2:G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8650D-9A33-48EB-89B7-F41F336917A0}">
  <sheetPr>
    <tabColor rgb="FF006432"/>
  </sheetPr>
  <dimension ref="A1:C147"/>
  <sheetViews>
    <sheetView workbookViewId="0">
      <selection activeCell="A134" sqref="A134"/>
    </sheetView>
  </sheetViews>
  <sheetFormatPr defaultRowHeight="15"/>
  <cols>
    <col min="1" max="1" width="117.28515625" customWidth="1"/>
    <col min="2" max="2" width="17" style="4" customWidth="1"/>
  </cols>
  <sheetData>
    <row r="1" spans="1:3" ht="17.25" customHeight="1" thickBot="1">
      <c r="A1" s="641" t="s">
        <v>463</v>
      </c>
      <c r="B1" s="641"/>
      <c r="C1" s="641"/>
    </row>
    <row r="2" spans="1:3" ht="4.5" customHeight="1" thickTop="1" thickBot="1"/>
    <row r="3" spans="1:3" ht="14.25" customHeight="1">
      <c r="A3" s="134" t="s">
        <v>464</v>
      </c>
      <c r="B3" s="141" t="s">
        <v>1</v>
      </c>
    </row>
    <row r="4" spans="1:3">
      <c r="A4" s="135" t="s">
        <v>465</v>
      </c>
      <c r="B4" s="142"/>
    </row>
    <row r="5" spans="1:3">
      <c r="A5" s="136" t="s">
        <v>466</v>
      </c>
      <c r="B5" s="143" t="s">
        <v>467</v>
      </c>
    </row>
    <row r="6" spans="1:3">
      <c r="A6" s="136" t="s">
        <v>468</v>
      </c>
      <c r="B6" s="143" t="s">
        <v>467</v>
      </c>
    </row>
    <row r="7" spans="1:3" ht="25.5">
      <c r="A7" s="133" t="s">
        <v>469</v>
      </c>
      <c r="B7" s="143" t="s">
        <v>470</v>
      </c>
    </row>
    <row r="8" spans="1:3" ht="25.5">
      <c r="A8" s="133" t="s">
        <v>471</v>
      </c>
      <c r="B8" s="143" t="s">
        <v>470</v>
      </c>
    </row>
    <row r="9" spans="1:3">
      <c r="A9" s="133" t="s">
        <v>472</v>
      </c>
      <c r="B9" s="143" t="s">
        <v>470</v>
      </c>
    </row>
    <row r="10" spans="1:3">
      <c r="A10" s="133" t="s">
        <v>473</v>
      </c>
      <c r="B10" s="143" t="s">
        <v>470</v>
      </c>
    </row>
    <row r="11" spans="1:3" ht="25.5">
      <c r="A11" s="133" t="s">
        <v>474</v>
      </c>
      <c r="B11" s="143" t="s">
        <v>470</v>
      </c>
    </row>
    <row r="12" spans="1:3">
      <c r="A12" s="133" t="s">
        <v>475</v>
      </c>
      <c r="B12" s="143" t="s">
        <v>470</v>
      </c>
    </row>
    <row r="13" spans="1:3" ht="25.5">
      <c r="A13" s="133" t="s">
        <v>476</v>
      </c>
      <c r="B13" s="143" t="s">
        <v>470</v>
      </c>
    </row>
    <row r="14" spans="1:3" ht="25.5">
      <c r="A14" s="133" t="s">
        <v>477</v>
      </c>
      <c r="B14" s="144" t="s">
        <v>478</v>
      </c>
    </row>
    <row r="15" spans="1:3" ht="25.5">
      <c r="A15" s="133" t="s">
        <v>479</v>
      </c>
      <c r="B15" s="145" t="s">
        <v>478</v>
      </c>
    </row>
    <row r="16" spans="1:3" ht="25.5">
      <c r="A16" s="136" t="s">
        <v>480</v>
      </c>
      <c r="B16" s="146" t="s">
        <v>481</v>
      </c>
    </row>
    <row r="17" spans="1:2" ht="25.5">
      <c r="A17" s="133" t="s">
        <v>482</v>
      </c>
      <c r="B17" s="145" t="s">
        <v>483</v>
      </c>
    </row>
    <row r="18" spans="1:2" ht="25.5">
      <c r="A18" s="133" t="s">
        <v>484</v>
      </c>
      <c r="B18" s="145" t="s">
        <v>483</v>
      </c>
    </row>
    <row r="19" spans="1:2" ht="25.5">
      <c r="A19" s="133" t="s">
        <v>485</v>
      </c>
      <c r="B19" s="145" t="s">
        <v>483</v>
      </c>
    </row>
    <row r="20" spans="1:2" ht="25.5">
      <c r="A20" s="137" t="s">
        <v>486</v>
      </c>
      <c r="B20" s="145" t="s">
        <v>483</v>
      </c>
    </row>
    <row r="21" spans="1:2" ht="25.5">
      <c r="A21" s="133" t="s">
        <v>487</v>
      </c>
      <c r="B21" s="145" t="s">
        <v>483</v>
      </c>
    </row>
    <row r="22" spans="1:2" ht="25.5">
      <c r="A22" s="133" t="s">
        <v>488</v>
      </c>
      <c r="B22" s="145" t="s">
        <v>483</v>
      </c>
    </row>
    <row r="23" spans="1:2" ht="38.25">
      <c r="A23" s="133" t="s">
        <v>489</v>
      </c>
      <c r="B23" s="145" t="s">
        <v>490</v>
      </c>
    </row>
    <row r="24" spans="1:2" ht="25.5">
      <c r="A24" s="133" t="s">
        <v>491</v>
      </c>
      <c r="B24" s="145" t="s">
        <v>490</v>
      </c>
    </row>
    <row r="25" spans="1:2">
      <c r="A25" s="133" t="s">
        <v>492</v>
      </c>
      <c r="B25" s="145" t="s">
        <v>490</v>
      </c>
    </row>
    <row r="26" spans="1:2">
      <c r="A26" s="137" t="s">
        <v>493</v>
      </c>
      <c r="B26" s="145" t="s">
        <v>490</v>
      </c>
    </row>
    <row r="27" spans="1:2">
      <c r="A27" s="133" t="s">
        <v>494</v>
      </c>
      <c r="B27" s="145" t="s">
        <v>490</v>
      </c>
    </row>
    <row r="28" spans="1:2">
      <c r="A28" s="306" t="s">
        <v>468</v>
      </c>
      <c r="B28" s="173" t="s">
        <v>495</v>
      </c>
    </row>
    <row r="29" spans="1:2" ht="25.5">
      <c r="A29" s="133" t="s">
        <v>496</v>
      </c>
      <c r="B29" s="145" t="s">
        <v>497</v>
      </c>
    </row>
    <row r="30" spans="1:2">
      <c r="A30" s="133" t="s">
        <v>498</v>
      </c>
      <c r="B30" s="145" t="s">
        <v>497</v>
      </c>
    </row>
    <row r="31" spans="1:2" ht="25.5">
      <c r="A31" s="133" t="s">
        <v>499</v>
      </c>
      <c r="B31" s="145" t="s">
        <v>500</v>
      </c>
    </row>
    <row r="32" spans="1:2" ht="25.5">
      <c r="A32" s="133" t="s">
        <v>501</v>
      </c>
      <c r="B32" s="145" t="s">
        <v>500</v>
      </c>
    </row>
    <row r="33" spans="1:2">
      <c r="A33" s="133" t="s">
        <v>502</v>
      </c>
      <c r="B33" s="145" t="s">
        <v>503</v>
      </c>
    </row>
    <row r="34" spans="1:2">
      <c r="A34" s="137" t="s">
        <v>504</v>
      </c>
      <c r="B34" s="145" t="s">
        <v>503</v>
      </c>
    </row>
    <row r="35" spans="1:2" ht="38.25">
      <c r="A35" s="136" t="s">
        <v>505</v>
      </c>
      <c r="B35" s="146" t="s">
        <v>506</v>
      </c>
    </row>
    <row r="36" spans="1:2">
      <c r="A36" s="136" t="s">
        <v>507</v>
      </c>
      <c r="B36" s="146" t="s">
        <v>508</v>
      </c>
    </row>
    <row r="37" spans="1:2" ht="25.5">
      <c r="A37" s="136" t="s">
        <v>509</v>
      </c>
      <c r="B37" s="144" t="s">
        <v>510</v>
      </c>
    </row>
    <row r="38" spans="1:2" ht="25.5">
      <c r="A38" s="133" t="s">
        <v>511</v>
      </c>
      <c r="B38" s="145" t="s">
        <v>512</v>
      </c>
    </row>
    <row r="39" spans="1:2" ht="25.5">
      <c r="A39" s="133" t="s">
        <v>513</v>
      </c>
      <c r="B39" s="145" t="s">
        <v>512</v>
      </c>
    </row>
    <row r="40" spans="1:2">
      <c r="A40" s="138" t="s">
        <v>514</v>
      </c>
      <c r="B40" s="145" t="s">
        <v>512</v>
      </c>
    </row>
    <row r="41" spans="1:2">
      <c r="A41" s="133" t="s">
        <v>515</v>
      </c>
      <c r="B41" s="145" t="s">
        <v>512</v>
      </c>
    </row>
    <row r="42" spans="1:2">
      <c r="A42" s="133" t="s">
        <v>516</v>
      </c>
      <c r="B42" s="145" t="s">
        <v>512</v>
      </c>
    </row>
    <row r="43" spans="1:2">
      <c r="A43" s="133" t="s">
        <v>517</v>
      </c>
      <c r="B43" s="145" t="s">
        <v>512</v>
      </c>
    </row>
    <row r="44" spans="1:2" ht="38.25">
      <c r="A44" s="133" t="s">
        <v>518</v>
      </c>
      <c r="B44" s="145" t="s">
        <v>519</v>
      </c>
    </row>
    <row r="45" spans="1:2">
      <c r="A45" s="133" t="s">
        <v>520</v>
      </c>
      <c r="B45" s="143" t="s">
        <v>519</v>
      </c>
    </row>
    <row r="46" spans="1:2">
      <c r="A46" s="133" t="s">
        <v>521</v>
      </c>
      <c r="B46" s="143" t="s">
        <v>519</v>
      </c>
    </row>
    <row r="47" spans="1:2">
      <c r="A47" s="133" t="s">
        <v>522</v>
      </c>
      <c r="B47" s="143" t="s">
        <v>519</v>
      </c>
    </row>
    <row r="48" spans="1:2" ht="25.5">
      <c r="A48" s="133" t="s">
        <v>523</v>
      </c>
      <c r="B48" s="144" t="s">
        <v>524</v>
      </c>
    </row>
    <row r="49" spans="1:2" ht="25.5">
      <c r="A49" s="133" t="s">
        <v>525</v>
      </c>
      <c r="B49" s="147" t="s">
        <v>524</v>
      </c>
    </row>
    <row r="50" spans="1:2" ht="25.5">
      <c r="A50" s="306" t="s">
        <v>468</v>
      </c>
      <c r="B50" s="307" t="s">
        <v>524</v>
      </c>
    </row>
    <row r="51" spans="1:2" ht="38.25">
      <c r="A51" s="133" t="s">
        <v>526</v>
      </c>
      <c r="B51" s="148" t="s">
        <v>527</v>
      </c>
    </row>
    <row r="52" spans="1:2">
      <c r="A52" s="133" t="s">
        <v>528</v>
      </c>
      <c r="B52" s="170" t="s">
        <v>527</v>
      </c>
    </row>
    <row r="53" spans="1:2" ht="25.5">
      <c r="A53" s="172" t="s">
        <v>529</v>
      </c>
      <c r="B53" s="173" t="s">
        <v>530</v>
      </c>
    </row>
    <row r="54" spans="1:2">
      <c r="A54" s="172" t="s">
        <v>531</v>
      </c>
      <c r="B54" s="173" t="s">
        <v>530</v>
      </c>
    </row>
    <row r="55" spans="1:2" ht="25.5">
      <c r="A55" s="174" t="s">
        <v>532</v>
      </c>
      <c r="B55" s="66" t="s">
        <v>533</v>
      </c>
    </row>
    <row r="56" spans="1:2">
      <c r="A56" s="135" t="s">
        <v>534</v>
      </c>
      <c r="B56" s="171"/>
    </row>
    <row r="57" spans="1:2">
      <c r="A57" s="136" t="s">
        <v>535</v>
      </c>
      <c r="B57" s="145" t="s">
        <v>536</v>
      </c>
    </row>
    <row r="58" spans="1:2" ht="25.5">
      <c r="A58" s="136" t="s">
        <v>537</v>
      </c>
      <c r="B58" s="145" t="s">
        <v>536</v>
      </c>
    </row>
    <row r="59" spans="1:2" ht="25.5">
      <c r="A59" s="136" t="s">
        <v>538</v>
      </c>
      <c r="B59" s="145" t="s">
        <v>539</v>
      </c>
    </row>
    <row r="60" spans="1:2" ht="25.5">
      <c r="A60" s="136" t="s">
        <v>540</v>
      </c>
      <c r="B60" s="145" t="s">
        <v>539</v>
      </c>
    </row>
    <row r="61" spans="1:2" ht="25.5">
      <c r="A61" s="136" t="s">
        <v>541</v>
      </c>
      <c r="B61" s="145" t="s">
        <v>539</v>
      </c>
    </row>
    <row r="62" spans="1:2" ht="25.5">
      <c r="A62" s="136" t="s">
        <v>542</v>
      </c>
      <c r="B62" s="145" t="s">
        <v>543</v>
      </c>
    </row>
    <row r="63" spans="1:2" ht="25.5">
      <c r="A63" s="172" t="s">
        <v>468</v>
      </c>
      <c r="B63" s="173" t="s">
        <v>543</v>
      </c>
    </row>
    <row r="64" spans="1:2">
      <c r="A64" s="136" t="s">
        <v>544</v>
      </c>
      <c r="B64" s="145" t="s">
        <v>545</v>
      </c>
    </row>
    <row r="65" spans="1:2" ht="25.5">
      <c r="A65" s="136" t="s">
        <v>546</v>
      </c>
      <c r="B65" s="145" t="s">
        <v>545</v>
      </c>
    </row>
    <row r="66" spans="1:2">
      <c r="A66" s="136" t="s">
        <v>547</v>
      </c>
      <c r="B66" s="145" t="s">
        <v>545</v>
      </c>
    </row>
    <row r="67" spans="1:2">
      <c r="A67" s="136" t="s">
        <v>548</v>
      </c>
      <c r="B67" s="145" t="s">
        <v>545</v>
      </c>
    </row>
    <row r="68" spans="1:2">
      <c r="A68" s="136" t="s">
        <v>549</v>
      </c>
      <c r="B68" s="145" t="s">
        <v>545</v>
      </c>
    </row>
    <row r="69" spans="1:2">
      <c r="A69" s="136" t="s">
        <v>550</v>
      </c>
      <c r="B69" s="145" t="s">
        <v>545</v>
      </c>
    </row>
    <row r="70" spans="1:2">
      <c r="A70" s="136" t="s">
        <v>551</v>
      </c>
      <c r="B70" s="145" t="s">
        <v>552</v>
      </c>
    </row>
    <row r="71" spans="1:2">
      <c r="A71" s="136" t="s">
        <v>553</v>
      </c>
      <c r="B71" s="145" t="s">
        <v>552</v>
      </c>
    </row>
    <row r="72" spans="1:2" ht="25.5">
      <c r="A72" s="136" t="s">
        <v>554</v>
      </c>
      <c r="B72" s="145" t="s">
        <v>552</v>
      </c>
    </row>
    <row r="73" spans="1:2" ht="25.5">
      <c r="A73" s="136" t="s">
        <v>555</v>
      </c>
      <c r="B73" s="145" t="s">
        <v>552</v>
      </c>
    </row>
    <row r="74" spans="1:2" ht="25.5">
      <c r="A74" s="172" t="s">
        <v>529</v>
      </c>
      <c r="B74" s="173" t="s">
        <v>530</v>
      </c>
    </row>
    <row r="75" spans="1:2">
      <c r="A75" s="172" t="s">
        <v>531</v>
      </c>
      <c r="B75" s="173" t="s">
        <v>530</v>
      </c>
    </row>
    <row r="76" spans="1:2">
      <c r="A76" s="136" t="s">
        <v>556</v>
      </c>
      <c r="B76" s="145" t="s">
        <v>557</v>
      </c>
    </row>
    <row r="77" spans="1:2">
      <c r="A77" s="139" t="s">
        <v>558</v>
      </c>
      <c r="B77" s="149"/>
    </row>
    <row r="78" spans="1:2" ht="25.5">
      <c r="A78" s="154" t="s">
        <v>559</v>
      </c>
      <c r="B78" s="150" t="s">
        <v>560</v>
      </c>
    </row>
    <row r="79" spans="1:2" ht="25.5">
      <c r="A79" s="154" t="s">
        <v>561</v>
      </c>
      <c r="B79" s="150" t="s">
        <v>562</v>
      </c>
    </row>
    <row r="80" spans="1:2">
      <c r="A80" s="154" t="s">
        <v>563</v>
      </c>
      <c r="B80" s="150" t="s">
        <v>562</v>
      </c>
    </row>
    <row r="81" spans="1:2" ht="25.5">
      <c r="A81" s="154" t="s">
        <v>564</v>
      </c>
      <c r="B81" s="150" t="s">
        <v>565</v>
      </c>
    </row>
    <row r="82" spans="1:2" ht="25.5">
      <c r="A82" s="154" t="s">
        <v>566</v>
      </c>
      <c r="B82" s="151" t="s">
        <v>565</v>
      </c>
    </row>
    <row r="83" spans="1:2" ht="25.5">
      <c r="A83" s="154" t="s">
        <v>567</v>
      </c>
      <c r="B83" s="150" t="s">
        <v>565</v>
      </c>
    </row>
    <row r="84" spans="1:2" ht="25.5">
      <c r="A84" s="154" t="s">
        <v>568</v>
      </c>
      <c r="B84" s="151" t="s">
        <v>565</v>
      </c>
    </row>
    <row r="85" spans="1:2">
      <c r="A85" s="154" t="s">
        <v>569</v>
      </c>
      <c r="B85" s="150" t="s">
        <v>565</v>
      </c>
    </row>
    <row r="86" spans="1:2">
      <c r="A86" s="154" t="s">
        <v>570</v>
      </c>
      <c r="B86" s="151" t="s">
        <v>565</v>
      </c>
    </row>
    <row r="87" spans="1:2" ht="25.5">
      <c r="A87" s="154" t="s">
        <v>571</v>
      </c>
      <c r="B87" s="150" t="s">
        <v>565</v>
      </c>
    </row>
    <row r="88" spans="1:2" ht="25.5">
      <c r="A88" s="154" t="s">
        <v>572</v>
      </c>
      <c r="B88" s="151" t="s">
        <v>565</v>
      </c>
    </row>
    <row r="89" spans="1:2">
      <c r="A89" s="154" t="s">
        <v>573</v>
      </c>
      <c r="B89" s="150" t="s">
        <v>565</v>
      </c>
    </row>
    <row r="90" spans="1:2" ht="25.5">
      <c r="A90" s="154" t="s">
        <v>574</v>
      </c>
      <c r="B90" s="151" t="s">
        <v>565</v>
      </c>
    </row>
    <row r="91" spans="1:2" ht="25.5">
      <c r="A91" s="154" t="s">
        <v>575</v>
      </c>
      <c r="B91" s="150" t="s">
        <v>576</v>
      </c>
    </row>
    <row r="92" spans="1:2">
      <c r="A92" s="154" t="s">
        <v>577</v>
      </c>
      <c r="B92" s="150" t="s">
        <v>576</v>
      </c>
    </row>
    <row r="93" spans="1:2" ht="25.5">
      <c r="A93" s="154" t="s">
        <v>578</v>
      </c>
      <c r="B93" s="150" t="s">
        <v>576</v>
      </c>
    </row>
    <row r="94" spans="1:2">
      <c r="A94" s="140" t="s">
        <v>579</v>
      </c>
      <c r="B94" s="152"/>
    </row>
    <row r="95" spans="1:2" ht="25.5">
      <c r="A95" s="153" t="s">
        <v>580</v>
      </c>
      <c r="B95" s="155" t="s">
        <v>536</v>
      </c>
    </row>
    <row r="96" spans="1:2">
      <c r="A96" s="153" t="s">
        <v>581</v>
      </c>
      <c r="B96" s="156" t="s">
        <v>536</v>
      </c>
    </row>
    <row r="97" spans="1:2" ht="25.5">
      <c r="A97" s="153" t="s">
        <v>582</v>
      </c>
      <c r="B97" s="156" t="s">
        <v>536</v>
      </c>
    </row>
    <row r="98" spans="1:2">
      <c r="A98" s="153" t="s">
        <v>468</v>
      </c>
      <c r="B98" s="156" t="s">
        <v>536</v>
      </c>
    </row>
    <row r="99" spans="1:2">
      <c r="A99" s="175" t="s">
        <v>583</v>
      </c>
      <c r="B99" s="176" t="s">
        <v>584</v>
      </c>
    </row>
    <row r="100" spans="1:2" ht="25.5">
      <c r="A100" s="153" t="s">
        <v>585</v>
      </c>
      <c r="B100" s="155" t="s">
        <v>586</v>
      </c>
    </row>
    <row r="101" spans="1:2">
      <c r="A101" s="153" t="s">
        <v>468</v>
      </c>
      <c r="B101" s="155" t="s">
        <v>586</v>
      </c>
    </row>
    <row r="102" spans="1:2" ht="25.5">
      <c r="A102" s="153" t="s">
        <v>587</v>
      </c>
      <c r="B102" s="156" t="s">
        <v>586</v>
      </c>
    </row>
    <row r="103" spans="1:2">
      <c r="A103" s="153" t="s">
        <v>588</v>
      </c>
      <c r="B103" s="156" t="s">
        <v>586</v>
      </c>
    </row>
    <row r="104" spans="1:2" ht="25.5">
      <c r="A104" s="153" t="s">
        <v>589</v>
      </c>
      <c r="B104" s="155" t="s">
        <v>590</v>
      </c>
    </row>
    <row r="105" spans="1:2">
      <c r="A105" s="153" t="s">
        <v>591</v>
      </c>
      <c r="B105" s="155" t="s">
        <v>590</v>
      </c>
    </row>
    <row r="106" spans="1:2">
      <c r="A106" s="157" t="s">
        <v>592</v>
      </c>
      <c r="B106" s="158" t="s">
        <v>590</v>
      </c>
    </row>
    <row r="107" spans="1:2" ht="25.5">
      <c r="A107" s="136" t="s">
        <v>593</v>
      </c>
      <c r="B107" s="155" t="s">
        <v>590</v>
      </c>
    </row>
    <row r="108" spans="1:2" ht="25.5">
      <c r="A108" s="136" t="s">
        <v>594</v>
      </c>
      <c r="B108" s="155" t="s">
        <v>590</v>
      </c>
    </row>
    <row r="109" spans="1:2" ht="25.5">
      <c r="A109" s="136" t="s">
        <v>595</v>
      </c>
      <c r="B109" s="155" t="s">
        <v>590</v>
      </c>
    </row>
    <row r="110" spans="1:2">
      <c r="A110" s="136" t="s">
        <v>596</v>
      </c>
      <c r="B110" s="156" t="s">
        <v>590</v>
      </c>
    </row>
    <row r="111" spans="1:2" ht="25.5">
      <c r="A111" s="136" t="s">
        <v>597</v>
      </c>
      <c r="B111" s="156" t="s">
        <v>590</v>
      </c>
    </row>
    <row r="112" spans="1:2">
      <c r="A112" s="136" t="s">
        <v>468</v>
      </c>
      <c r="B112" s="156" t="s">
        <v>590</v>
      </c>
    </row>
    <row r="113" spans="1:2" ht="25.5">
      <c r="A113" s="136" t="s">
        <v>598</v>
      </c>
      <c r="B113" s="156" t="s">
        <v>590</v>
      </c>
    </row>
    <row r="114" spans="1:2">
      <c r="A114" s="136" t="s">
        <v>599</v>
      </c>
      <c r="B114" s="155" t="s">
        <v>600</v>
      </c>
    </row>
    <row r="115" spans="1:2" ht="38.25">
      <c r="A115" s="136" t="s">
        <v>601</v>
      </c>
      <c r="B115" s="155" t="s">
        <v>600</v>
      </c>
    </row>
    <row r="116" spans="1:2">
      <c r="A116" s="136" t="s">
        <v>602</v>
      </c>
      <c r="B116" s="155" t="s">
        <v>600</v>
      </c>
    </row>
    <row r="117" spans="1:2">
      <c r="A117" s="136" t="s">
        <v>603</v>
      </c>
      <c r="B117" s="155" t="s">
        <v>600</v>
      </c>
    </row>
    <row r="118" spans="1:2">
      <c r="A118" s="159" t="s">
        <v>604</v>
      </c>
      <c r="B118" s="155" t="s">
        <v>600</v>
      </c>
    </row>
    <row r="119" spans="1:2">
      <c r="A119" s="160" t="s">
        <v>605</v>
      </c>
      <c r="B119" s="158" t="s">
        <v>600</v>
      </c>
    </row>
    <row r="120" spans="1:2">
      <c r="A120" s="169" t="s">
        <v>468</v>
      </c>
      <c r="B120" s="158" t="s">
        <v>600</v>
      </c>
    </row>
    <row r="121" spans="1:2">
      <c r="A121" s="139" t="s">
        <v>606</v>
      </c>
      <c r="B121" s="149"/>
    </row>
    <row r="122" spans="1:2" ht="26.25">
      <c r="A122" s="161" t="s">
        <v>607</v>
      </c>
      <c r="B122" s="162" t="s">
        <v>536</v>
      </c>
    </row>
    <row r="123" spans="1:2" ht="26.25">
      <c r="A123" s="161" t="s">
        <v>608</v>
      </c>
      <c r="B123" s="156" t="s">
        <v>536</v>
      </c>
    </row>
    <row r="124" spans="1:2" ht="26.25">
      <c r="A124" s="161" t="s">
        <v>609</v>
      </c>
      <c r="B124" s="156" t="s">
        <v>536</v>
      </c>
    </row>
    <row r="125" spans="1:2">
      <c r="A125" s="161" t="s">
        <v>468</v>
      </c>
      <c r="B125" s="156" t="s">
        <v>536</v>
      </c>
    </row>
    <row r="126" spans="1:2" ht="26.25">
      <c r="A126" s="161" t="s">
        <v>610</v>
      </c>
      <c r="B126" s="156" t="s">
        <v>467</v>
      </c>
    </row>
    <row r="127" spans="1:2">
      <c r="A127" s="161" t="s">
        <v>611</v>
      </c>
      <c r="B127" s="156" t="s">
        <v>560</v>
      </c>
    </row>
    <row r="128" spans="1:2" ht="26.25">
      <c r="A128" s="161" t="s">
        <v>612</v>
      </c>
      <c r="B128" s="156" t="s">
        <v>560</v>
      </c>
    </row>
    <row r="129" spans="1:2">
      <c r="A129" s="161" t="s">
        <v>613</v>
      </c>
      <c r="B129" s="156" t="s">
        <v>560</v>
      </c>
    </row>
    <row r="130" spans="1:2" ht="26.25">
      <c r="A130" s="161" t="s">
        <v>614</v>
      </c>
      <c r="B130" s="156" t="s">
        <v>560</v>
      </c>
    </row>
    <row r="131" spans="1:2">
      <c r="A131" s="161" t="s">
        <v>556</v>
      </c>
      <c r="B131" s="156" t="s">
        <v>557</v>
      </c>
    </row>
    <row r="132" spans="1:2">
      <c r="A132" s="135" t="s">
        <v>615</v>
      </c>
      <c r="B132" s="152"/>
    </row>
    <row r="133" spans="1:2">
      <c r="A133" s="163" t="s">
        <v>468</v>
      </c>
      <c r="B133" s="151" t="s">
        <v>616</v>
      </c>
    </row>
    <row r="134" spans="1:2">
      <c r="A134" s="164" t="s">
        <v>617</v>
      </c>
      <c r="B134" s="151" t="s">
        <v>616</v>
      </c>
    </row>
    <row r="135" spans="1:2">
      <c r="A135" s="139" t="s">
        <v>618</v>
      </c>
      <c r="B135" s="149"/>
    </row>
    <row r="136" spans="1:2">
      <c r="A136" s="165" t="s">
        <v>619</v>
      </c>
      <c r="B136" s="166"/>
    </row>
    <row r="137" spans="1:2">
      <c r="B137"/>
    </row>
    <row r="138" spans="1:2">
      <c r="B138"/>
    </row>
    <row r="139" spans="1:2">
      <c r="B139"/>
    </row>
    <row r="140" spans="1:2">
      <c r="B140"/>
    </row>
    <row r="141" spans="1:2">
      <c r="B141"/>
    </row>
    <row r="142" spans="1:2">
      <c r="B142"/>
    </row>
    <row r="143" spans="1:2">
      <c r="B143"/>
    </row>
    <row r="144" spans="1:2">
      <c r="B144"/>
    </row>
    <row r="145" spans="2:2">
      <c r="B145"/>
    </row>
    <row r="146" spans="2:2">
      <c r="B146"/>
    </row>
    <row r="147" spans="2:2">
      <c r="B147"/>
    </row>
  </sheetData>
  <autoFilter ref="A3:B136" xr:uid="{FA88650D-9A33-48EB-89B7-F41F336917A0}"/>
  <mergeCells count="1">
    <mergeCell ref="A1:C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51FE-0D91-489C-9BA0-7205E16A5139}">
  <sheetPr>
    <tabColor rgb="FF006432"/>
  </sheetPr>
  <dimension ref="A1:M127"/>
  <sheetViews>
    <sheetView workbookViewId="0">
      <pane ySplit="2" topLeftCell="A3" activePane="bottomLeft" state="frozen"/>
      <selection pane="bottomLeft" activeCell="C2" sqref="C2"/>
    </sheetView>
  </sheetViews>
  <sheetFormatPr defaultRowHeight="15"/>
  <cols>
    <col min="1" max="1" width="4.85546875" customWidth="1"/>
    <col min="2" max="2" width="9.85546875" customWidth="1"/>
    <col min="3" max="3" width="35" customWidth="1"/>
    <col min="4" max="4" width="16.5703125" customWidth="1"/>
    <col min="5" max="5" width="13.42578125" customWidth="1"/>
    <col min="6" max="6" width="12.85546875" customWidth="1"/>
    <col min="7" max="7" width="13.140625" customWidth="1"/>
    <col min="9" max="9" width="22" customWidth="1"/>
    <col min="10" max="10" width="16.7109375" customWidth="1"/>
    <col min="11" max="11" width="19.5703125" customWidth="1"/>
    <col min="12" max="12" width="20.140625" customWidth="1"/>
    <col min="13" max="13" width="16.28515625" customWidth="1"/>
  </cols>
  <sheetData>
    <row r="1" spans="1:13" ht="16.5" thickBot="1">
      <c r="A1" s="641" t="s">
        <v>620</v>
      </c>
      <c r="B1" s="641"/>
      <c r="C1" s="641"/>
      <c r="D1" s="641"/>
      <c r="E1" s="641"/>
      <c r="F1" s="28"/>
      <c r="G1" s="29"/>
    </row>
    <row r="2" spans="1:13" ht="36.75" thickTop="1">
      <c r="A2" s="16" t="s">
        <v>114</v>
      </c>
      <c r="B2" s="16" t="s">
        <v>621</v>
      </c>
      <c r="C2" s="16" t="s">
        <v>115</v>
      </c>
      <c r="D2" s="16" t="s">
        <v>622</v>
      </c>
      <c r="E2" s="16" t="s">
        <v>415</v>
      </c>
      <c r="F2" s="16" t="s">
        <v>623</v>
      </c>
      <c r="G2" s="16" t="s">
        <v>624</v>
      </c>
      <c r="I2" s="16"/>
      <c r="J2" s="16" t="s">
        <v>622</v>
      </c>
      <c r="K2" s="16" t="s">
        <v>415</v>
      </c>
      <c r="L2" s="16" t="s">
        <v>623</v>
      </c>
      <c r="M2" s="16" t="s">
        <v>624</v>
      </c>
    </row>
    <row r="3" spans="1:13">
      <c r="A3" s="10">
        <v>1</v>
      </c>
      <c r="B3" s="9">
        <v>2011239</v>
      </c>
      <c r="C3" s="20" t="s">
        <v>121</v>
      </c>
      <c r="D3" s="58" t="s">
        <v>625</v>
      </c>
      <c r="E3" s="10"/>
      <c r="F3" s="10"/>
      <c r="G3" s="10"/>
      <c r="I3" s="33" t="s">
        <v>626</v>
      </c>
      <c r="J3" s="8">
        <v>92</v>
      </c>
      <c r="K3" s="60">
        <v>34</v>
      </c>
      <c r="L3" s="60">
        <v>21</v>
      </c>
      <c r="M3" s="60">
        <v>64</v>
      </c>
    </row>
    <row r="4" spans="1:13">
      <c r="A4" s="10">
        <f>A3+1</f>
        <v>2</v>
      </c>
      <c r="B4" s="9">
        <v>5097517</v>
      </c>
      <c r="C4" s="20" t="s">
        <v>126</v>
      </c>
      <c r="D4" s="58" t="s">
        <v>625</v>
      </c>
      <c r="E4" s="10"/>
      <c r="F4" s="10"/>
      <c r="G4" s="10"/>
      <c r="I4" s="33" t="s">
        <v>627</v>
      </c>
      <c r="J4" s="60">
        <v>33</v>
      </c>
      <c r="K4" s="60">
        <v>91</v>
      </c>
      <c r="L4" s="60">
        <v>104</v>
      </c>
      <c r="M4" s="60">
        <v>61</v>
      </c>
    </row>
    <row r="5" spans="1:13">
      <c r="A5" s="10">
        <f t="shared" ref="A5:A68" si="0">A4+1</f>
        <v>3</v>
      </c>
      <c r="B5" s="9">
        <v>5809797</v>
      </c>
      <c r="C5" s="20" t="s">
        <v>131</v>
      </c>
      <c r="D5" s="410"/>
      <c r="E5" s="410"/>
      <c r="F5" s="410"/>
      <c r="G5" s="410"/>
      <c r="I5" s="33" t="s">
        <v>628</v>
      </c>
      <c r="J5" s="60">
        <f>J3+J4</f>
        <v>125</v>
      </c>
      <c r="K5" s="60">
        <f t="shared" ref="K5:M5" si="1">SUM(K3:K4)</f>
        <v>125</v>
      </c>
      <c r="L5" s="60">
        <f t="shared" si="1"/>
        <v>125</v>
      </c>
      <c r="M5" s="60">
        <f t="shared" si="1"/>
        <v>125</v>
      </c>
    </row>
    <row r="6" spans="1:13">
      <c r="A6" s="10">
        <f t="shared" si="0"/>
        <v>4</v>
      </c>
      <c r="B6" s="9">
        <v>5118344</v>
      </c>
      <c r="C6" s="20" t="s">
        <v>133</v>
      </c>
      <c r="D6" s="58" t="s">
        <v>625</v>
      </c>
      <c r="E6" s="10"/>
      <c r="F6" s="10"/>
      <c r="G6" s="58" t="s">
        <v>625</v>
      </c>
    </row>
    <row r="7" spans="1:13">
      <c r="A7" s="10">
        <f t="shared" si="0"/>
        <v>5</v>
      </c>
      <c r="B7" s="9">
        <v>5095549</v>
      </c>
      <c r="C7" s="20" t="s">
        <v>136</v>
      </c>
      <c r="D7" s="250"/>
      <c r="E7" s="250"/>
      <c r="F7" s="250"/>
      <c r="G7" s="250"/>
    </row>
    <row r="8" spans="1:13">
      <c r="A8" s="10">
        <f t="shared" si="0"/>
        <v>6</v>
      </c>
      <c r="B8" s="9">
        <v>2784165</v>
      </c>
      <c r="C8" s="20" t="s">
        <v>140</v>
      </c>
      <c r="D8" s="58" t="s">
        <v>625</v>
      </c>
      <c r="E8" s="10"/>
      <c r="F8" s="10"/>
      <c r="G8" s="58" t="s">
        <v>625</v>
      </c>
    </row>
    <row r="9" spans="1:13">
      <c r="A9" s="10">
        <f t="shared" si="0"/>
        <v>7</v>
      </c>
      <c r="B9" s="9">
        <v>5133351</v>
      </c>
      <c r="C9" s="20" t="s">
        <v>143</v>
      </c>
      <c r="D9" s="10"/>
      <c r="E9" s="10"/>
      <c r="F9" s="58" t="s">
        <v>625</v>
      </c>
      <c r="G9" s="58" t="s">
        <v>625</v>
      </c>
    </row>
    <row r="10" spans="1:13">
      <c r="A10" s="10">
        <f t="shared" si="0"/>
        <v>8</v>
      </c>
      <c r="B10" s="9">
        <v>6172768</v>
      </c>
      <c r="C10" s="20" t="s">
        <v>144</v>
      </c>
      <c r="D10" s="10"/>
      <c r="E10" s="10"/>
      <c r="F10" s="58" t="s">
        <v>625</v>
      </c>
      <c r="G10" s="10"/>
    </row>
    <row r="11" spans="1:13">
      <c r="A11" s="10">
        <f t="shared" si="0"/>
        <v>9</v>
      </c>
      <c r="B11" s="9">
        <v>2788705</v>
      </c>
      <c r="C11" s="20" t="s">
        <v>146</v>
      </c>
      <c r="D11" s="250"/>
      <c r="E11" s="250"/>
      <c r="F11" s="250"/>
      <c r="G11" s="252" t="s">
        <v>625</v>
      </c>
    </row>
    <row r="12" spans="1:13">
      <c r="A12" s="10">
        <f t="shared" si="0"/>
        <v>10</v>
      </c>
      <c r="B12" s="9">
        <v>5439183</v>
      </c>
      <c r="C12" s="20" t="s">
        <v>629</v>
      </c>
      <c r="D12" s="58" t="s">
        <v>625</v>
      </c>
      <c r="E12" s="10"/>
      <c r="F12" s="10"/>
      <c r="G12" s="58" t="s">
        <v>625</v>
      </c>
    </row>
    <row r="13" spans="1:13">
      <c r="A13" s="10">
        <f t="shared" si="0"/>
        <v>11</v>
      </c>
      <c r="B13" s="9">
        <v>2008572</v>
      </c>
      <c r="C13" s="20" t="s">
        <v>152</v>
      </c>
      <c r="D13" s="58" t="s">
        <v>625</v>
      </c>
      <c r="E13" s="10"/>
      <c r="F13" s="10"/>
      <c r="G13" s="58" t="s">
        <v>625</v>
      </c>
    </row>
    <row r="14" spans="1:13">
      <c r="A14" s="10">
        <f t="shared" si="0"/>
        <v>12</v>
      </c>
      <c r="B14" s="9">
        <v>5215919</v>
      </c>
      <c r="C14" s="20" t="s">
        <v>155</v>
      </c>
      <c r="D14" s="410"/>
      <c r="E14" s="410"/>
      <c r="F14" s="410"/>
      <c r="G14" s="410"/>
    </row>
    <row r="15" spans="1:13">
      <c r="A15" s="10">
        <f t="shared" si="0"/>
        <v>13</v>
      </c>
      <c r="B15" s="9">
        <v>5502977</v>
      </c>
      <c r="C15" s="20" t="s">
        <v>157</v>
      </c>
      <c r="D15" s="58" t="s">
        <v>625</v>
      </c>
      <c r="E15" s="58" t="s">
        <v>625</v>
      </c>
      <c r="F15" s="58" t="s">
        <v>625</v>
      </c>
      <c r="G15" s="58" t="s">
        <v>625</v>
      </c>
    </row>
    <row r="16" spans="1:13">
      <c r="A16" s="10">
        <f t="shared" si="0"/>
        <v>14</v>
      </c>
      <c r="B16" s="9">
        <v>2708701</v>
      </c>
      <c r="C16" s="20" t="s">
        <v>159</v>
      </c>
      <c r="D16" s="58" t="s">
        <v>625</v>
      </c>
      <c r="E16" s="58" t="s">
        <v>625</v>
      </c>
      <c r="F16" s="58" t="s">
        <v>625</v>
      </c>
      <c r="G16" s="58" t="s">
        <v>625</v>
      </c>
    </row>
    <row r="17" spans="1:7">
      <c r="A17" s="10">
        <f t="shared" si="0"/>
        <v>15</v>
      </c>
      <c r="B17" s="9">
        <v>2014491</v>
      </c>
      <c r="C17" s="20" t="s">
        <v>161</v>
      </c>
      <c r="D17" s="58" t="s">
        <v>625</v>
      </c>
      <c r="E17" s="10"/>
      <c r="F17" s="10"/>
      <c r="G17" s="10"/>
    </row>
    <row r="18" spans="1:7">
      <c r="A18" s="10">
        <f t="shared" si="0"/>
        <v>16</v>
      </c>
      <c r="B18" s="9">
        <v>6414877</v>
      </c>
      <c r="C18" s="20" t="s">
        <v>165</v>
      </c>
      <c r="D18" s="58" t="s">
        <v>625</v>
      </c>
      <c r="E18" s="10"/>
      <c r="F18" s="10"/>
      <c r="G18" s="10"/>
    </row>
    <row r="19" spans="1:7">
      <c r="A19" s="10">
        <f t="shared" si="0"/>
        <v>17</v>
      </c>
      <c r="B19" s="9">
        <v>5369223</v>
      </c>
      <c r="C19" s="20" t="s">
        <v>168</v>
      </c>
      <c r="D19" s="58" t="s">
        <v>625</v>
      </c>
      <c r="E19" s="10"/>
      <c r="F19" s="10"/>
      <c r="G19" s="58" t="s">
        <v>625</v>
      </c>
    </row>
    <row r="20" spans="1:7">
      <c r="A20" s="10">
        <f t="shared" si="0"/>
        <v>18</v>
      </c>
      <c r="B20" s="9">
        <v>5294088</v>
      </c>
      <c r="C20" s="20" t="s">
        <v>169</v>
      </c>
      <c r="D20" s="58" t="s">
        <v>625</v>
      </c>
      <c r="E20" s="58" t="s">
        <v>625</v>
      </c>
      <c r="F20" s="10"/>
      <c r="G20" s="10"/>
    </row>
    <row r="21" spans="1:7">
      <c r="A21" s="10">
        <f t="shared" si="0"/>
        <v>19</v>
      </c>
      <c r="B21" s="9">
        <v>2855119</v>
      </c>
      <c r="C21" s="20" t="s">
        <v>173</v>
      </c>
      <c r="D21" s="58" t="s">
        <v>625</v>
      </c>
      <c r="E21" s="58" t="s">
        <v>625</v>
      </c>
      <c r="F21" s="58" t="s">
        <v>625</v>
      </c>
      <c r="G21" s="58" t="s">
        <v>625</v>
      </c>
    </row>
    <row r="22" spans="1:7">
      <c r="A22" s="10">
        <f t="shared" si="0"/>
        <v>20</v>
      </c>
      <c r="B22" s="9">
        <v>2094533</v>
      </c>
      <c r="C22" s="20" t="s">
        <v>174</v>
      </c>
      <c r="D22" s="58" t="s">
        <v>625</v>
      </c>
      <c r="E22" s="10"/>
      <c r="F22" s="10"/>
      <c r="G22" s="58" t="s">
        <v>625</v>
      </c>
    </row>
    <row r="23" spans="1:7">
      <c r="A23" s="10">
        <f t="shared" si="0"/>
        <v>21</v>
      </c>
      <c r="B23" s="9">
        <v>5722942</v>
      </c>
      <c r="C23" s="20" t="s">
        <v>175</v>
      </c>
      <c r="D23" s="58" t="s">
        <v>625</v>
      </c>
      <c r="E23" s="10"/>
      <c r="F23" s="10"/>
      <c r="G23" s="10"/>
    </row>
    <row r="24" spans="1:7">
      <c r="A24" s="10">
        <f t="shared" si="0"/>
        <v>22</v>
      </c>
      <c r="B24" s="9">
        <v>2867494</v>
      </c>
      <c r="C24" s="20" t="s">
        <v>176</v>
      </c>
      <c r="D24" s="58" t="s">
        <v>625</v>
      </c>
      <c r="E24" s="58" t="s">
        <v>625</v>
      </c>
      <c r="F24" s="10"/>
      <c r="G24" s="58" t="s">
        <v>625</v>
      </c>
    </row>
    <row r="25" spans="1:7">
      <c r="A25" s="10">
        <f t="shared" si="0"/>
        <v>23</v>
      </c>
      <c r="B25" s="9">
        <v>6463932</v>
      </c>
      <c r="C25" s="20" t="s">
        <v>177</v>
      </c>
      <c r="D25" s="58" t="s">
        <v>625</v>
      </c>
      <c r="E25" s="10"/>
      <c r="F25" s="10"/>
      <c r="G25" s="58" t="s">
        <v>625</v>
      </c>
    </row>
    <row r="26" spans="1:7">
      <c r="A26" s="10">
        <f t="shared" si="0"/>
        <v>24</v>
      </c>
      <c r="B26" s="9">
        <v>5260833</v>
      </c>
      <c r="C26" s="20" t="s">
        <v>178</v>
      </c>
      <c r="D26" s="250"/>
      <c r="E26" s="250"/>
      <c r="F26" s="250"/>
      <c r="G26" s="250"/>
    </row>
    <row r="27" spans="1:7">
      <c r="A27" s="10">
        <f t="shared" si="0"/>
        <v>25</v>
      </c>
      <c r="B27" s="9">
        <v>2051303</v>
      </c>
      <c r="C27" s="20" t="s">
        <v>179</v>
      </c>
      <c r="D27" s="58" t="s">
        <v>625</v>
      </c>
      <c r="E27" s="10"/>
      <c r="F27" s="10"/>
      <c r="G27" s="58" t="s">
        <v>625</v>
      </c>
    </row>
    <row r="28" spans="1:7">
      <c r="A28" s="10">
        <f t="shared" si="0"/>
        <v>26</v>
      </c>
      <c r="B28" s="9">
        <v>2061848</v>
      </c>
      <c r="C28" s="20" t="s">
        <v>183</v>
      </c>
      <c r="D28" s="58" t="s">
        <v>625</v>
      </c>
      <c r="E28" s="58" t="s">
        <v>625</v>
      </c>
      <c r="F28" s="58" t="s">
        <v>625</v>
      </c>
      <c r="G28" s="58" t="s">
        <v>625</v>
      </c>
    </row>
    <row r="29" spans="1:7">
      <c r="A29" s="10">
        <f t="shared" si="0"/>
        <v>27</v>
      </c>
      <c r="B29" s="9">
        <v>2766337</v>
      </c>
      <c r="C29" s="20" t="s">
        <v>185</v>
      </c>
      <c r="D29" s="410"/>
      <c r="E29" s="410"/>
      <c r="F29" s="410"/>
      <c r="G29" s="410"/>
    </row>
    <row r="30" spans="1:7">
      <c r="A30" s="10">
        <f t="shared" si="0"/>
        <v>28</v>
      </c>
      <c r="B30" s="9">
        <v>5810086</v>
      </c>
      <c r="C30" s="20" t="s">
        <v>187</v>
      </c>
      <c r="D30" s="250"/>
      <c r="E30" s="250"/>
      <c r="F30" s="250"/>
      <c r="G30" s="250"/>
    </row>
    <row r="31" spans="1:7">
      <c r="A31" s="10">
        <f t="shared" si="0"/>
        <v>29</v>
      </c>
      <c r="B31" s="9">
        <v>5217652</v>
      </c>
      <c r="C31" s="20" t="s">
        <v>188</v>
      </c>
      <c r="D31" s="58" t="s">
        <v>625</v>
      </c>
      <c r="E31" s="58" t="s">
        <v>625</v>
      </c>
      <c r="F31" s="10"/>
      <c r="G31" s="10"/>
    </row>
    <row r="32" spans="1:7">
      <c r="A32" s="10">
        <f t="shared" si="0"/>
        <v>30</v>
      </c>
      <c r="B32" s="9">
        <v>2780518</v>
      </c>
      <c r="C32" s="20" t="s">
        <v>189</v>
      </c>
      <c r="D32" s="250"/>
      <c r="E32" s="250"/>
      <c r="F32" s="250"/>
      <c r="G32" s="250"/>
    </row>
    <row r="33" spans="1:7">
      <c r="A33" s="10">
        <f t="shared" si="0"/>
        <v>31</v>
      </c>
      <c r="B33" s="9">
        <v>5272378</v>
      </c>
      <c r="C33" s="20" t="s">
        <v>193</v>
      </c>
      <c r="D33" s="250"/>
      <c r="E33" s="250"/>
      <c r="F33" s="250"/>
      <c r="G33" s="250"/>
    </row>
    <row r="34" spans="1:7">
      <c r="A34" s="10">
        <f t="shared" si="0"/>
        <v>32</v>
      </c>
      <c r="B34" s="9">
        <v>5467268</v>
      </c>
      <c r="C34" s="20" t="s">
        <v>194</v>
      </c>
      <c r="D34" s="58" t="s">
        <v>625</v>
      </c>
      <c r="E34" s="58" t="s">
        <v>625</v>
      </c>
      <c r="F34" s="58" t="s">
        <v>625</v>
      </c>
      <c r="G34" s="58" t="s">
        <v>625</v>
      </c>
    </row>
    <row r="35" spans="1:7">
      <c r="A35" s="10">
        <f t="shared" si="0"/>
        <v>33</v>
      </c>
      <c r="B35" s="9">
        <v>5522935</v>
      </c>
      <c r="C35" s="20" t="s">
        <v>196</v>
      </c>
      <c r="D35" s="58" t="s">
        <v>625</v>
      </c>
      <c r="E35" s="58" t="s">
        <v>625</v>
      </c>
      <c r="F35" s="10"/>
      <c r="G35" s="58" t="s">
        <v>625</v>
      </c>
    </row>
    <row r="36" spans="1:7">
      <c r="A36" s="10">
        <f t="shared" si="0"/>
        <v>34</v>
      </c>
      <c r="B36" s="9">
        <v>5528089</v>
      </c>
      <c r="C36" s="20" t="s">
        <v>197</v>
      </c>
      <c r="D36" s="250"/>
      <c r="E36" s="250"/>
      <c r="F36" s="250"/>
      <c r="G36" s="250"/>
    </row>
    <row r="37" spans="1:7">
      <c r="A37" s="10">
        <f t="shared" si="0"/>
        <v>35</v>
      </c>
      <c r="B37" s="9">
        <v>5396662</v>
      </c>
      <c r="C37" s="20" t="s">
        <v>198</v>
      </c>
      <c r="D37" s="58" t="s">
        <v>625</v>
      </c>
      <c r="E37" s="10"/>
      <c r="F37" s="10"/>
      <c r="G37" s="58" t="s">
        <v>625</v>
      </c>
    </row>
    <row r="38" spans="1:7">
      <c r="A38" s="10">
        <f t="shared" si="0"/>
        <v>36</v>
      </c>
      <c r="B38" s="9">
        <v>5830974</v>
      </c>
      <c r="C38" s="20" t="s">
        <v>199</v>
      </c>
      <c r="D38" s="58" t="s">
        <v>625</v>
      </c>
      <c r="E38" s="10"/>
      <c r="F38" s="10"/>
      <c r="G38" s="10"/>
    </row>
    <row r="39" spans="1:7">
      <c r="A39" s="10">
        <f t="shared" si="0"/>
        <v>37</v>
      </c>
      <c r="B39" s="9">
        <v>2057573</v>
      </c>
      <c r="C39" s="20" t="s">
        <v>201</v>
      </c>
      <c r="D39" s="250"/>
      <c r="E39" s="250"/>
      <c r="F39" s="250"/>
      <c r="G39" s="250"/>
    </row>
    <row r="40" spans="1:7">
      <c r="A40" s="10">
        <f t="shared" si="0"/>
        <v>38</v>
      </c>
      <c r="B40" s="9">
        <v>5699134</v>
      </c>
      <c r="C40" s="20" t="s">
        <v>202</v>
      </c>
      <c r="D40" s="58" t="s">
        <v>625</v>
      </c>
      <c r="E40" s="58" t="s">
        <v>625</v>
      </c>
      <c r="F40" s="10"/>
      <c r="G40" s="58" t="s">
        <v>625</v>
      </c>
    </row>
    <row r="41" spans="1:7">
      <c r="A41" s="10">
        <f t="shared" si="0"/>
        <v>39</v>
      </c>
      <c r="B41" s="9">
        <v>5412153</v>
      </c>
      <c r="C41" s="20" t="s">
        <v>203</v>
      </c>
      <c r="D41" s="58" t="s">
        <v>625</v>
      </c>
      <c r="E41" s="10"/>
      <c r="F41" s="10"/>
      <c r="G41" s="10"/>
    </row>
    <row r="42" spans="1:7">
      <c r="A42" s="10">
        <f t="shared" si="0"/>
        <v>40</v>
      </c>
      <c r="B42" s="9">
        <v>2034859</v>
      </c>
      <c r="C42" s="20" t="s">
        <v>204</v>
      </c>
      <c r="D42" s="250"/>
      <c r="E42" s="250"/>
      <c r="F42" s="250"/>
      <c r="G42" s="250"/>
    </row>
    <row r="43" spans="1:7">
      <c r="A43" s="10">
        <f t="shared" si="0"/>
        <v>41</v>
      </c>
      <c r="B43" s="9">
        <v>5253535</v>
      </c>
      <c r="C43" s="20" t="s">
        <v>208</v>
      </c>
      <c r="D43" s="10"/>
      <c r="E43" s="10"/>
      <c r="F43" s="10"/>
      <c r="G43" s="58" t="s">
        <v>625</v>
      </c>
    </row>
    <row r="44" spans="1:7">
      <c r="A44" s="10">
        <f t="shared" si="0"/>
        <v>42</v>
      </c>
      <c r="B44" s="9">
        <v>5150884</v>
      </c>
      <c r="C44" s="20" t="s">
        <v>210</v>
      </c>
      <c r="D44" s="250"/>
      <c r="E44" s="250"/>
      <c r="F44" s="250"/>
      <c r="G44" s="250"/>
    </row>
    <row r="45" spans="1:7">
      <c r="A45" s="10">
        <f t="shared" si="0"/>
        <v>43</v>
      </c>
      <c r="B45" s="9">
        <v>5051304</v>
      </c>
      <c r="C45" s="20" t="s">
        <v>211</v>
      </c>
      <c r="D45" s="58" t="s">
        <v>625</v>
      </c>
      <c r="E45" s="10"/>
      <c r="F45" s="10"/>
      <c r="G45" s="10"/>
    </row>
    <row r="46" spans="1:7">
      <c r="A46" s="10">
        <f t="shared" si="0"/>
        <v>44</v>
      </c>
      <c r="B46" s="9">
        <v>5401801</v>
      </c>
      <c r="C46" s="20" t="s">
        <v>213</v>
      </c>
      <c r="D46" s="250"/>
      <c r="E46" s="250"/>
      <c r="F46" s="250"/>
      <c r="G46" s="250"/>
    </row>
    <row r="47" spans="1:7">
      <c r="A47" s="10">
        <f t="shared" si="0"/>
        <v>45</v>
      </c>
      <c r="B47" s="9">
        <v>2550466</v>
      </c>
      <c r="C47" s="20" t="s">
        <v>214</v>
      </c>
      <c r="D47" s="58" t="s">
        <v>625</v>
      </c>
      <c r="E47" s="10"/>
      <c r="F47" s="10"/>
      <c r="G47" s="10"/>
    </row>
    <row r="48" spans="1:7">
      <c r="A48" s="10">
        <f t="shared" si="0"/>
        <v>46</v>
      </c>
      <c r="B48" s="9">
        <v>5051134</v>
      </c>
      <c r="C48" s="20" t="s">
        <v>216</v>
      </c>
      <c r="D48" s="58" t="s">
        <v>625</v>
      </c>
      <c r="E48" s="10"/>
      <c r="F48" s="10"/>
      <c r="G48" s="10"/>
    </row>
    <row r="49" spans="1:7">
      <c r="A49" s="10">
        <f t="shared" si="0"/>
        <v>47</v>
      </c>
      <c r="B49" s="9">
        <v>2095025</v>
      </c>
      <c r="C49" s="20" t="s">
        <v>217</v>
      </c>
      <c r="D49" s="58" t="s">
        <v>625</v>
      </c>
      <c r="E49" s="10"/>
      <c r="F49" s="10"/>
      <c r="G49" s="10"/>
    </row>
    <row r="50" spans="1:7">
      <c r="A50" s="10">
        <f t="shared" si="0"/>
        <v>48</v>
      </c>
      <c r="B50" s="9">
        <v>2045931</v>
      </c>
      <c r="C50" s="20" t="s">
        <v>218</v>
      </c>
      <c r="D50" s="250"/>
      <c r="E50" s="250"/>
      <c r="F50" s="250"/>
      <c r="G50" s="250"/>
    </row>
    <row r="51" spans="1:7">
      <c r="A51" s="10">
        <f t="shared" si="0"/>
        <v>49</v>
      </c>
      <c r="B51" s="9">
        <v>2029278</v>
      </c>
      <c r="C51" s="20" t="s">
        <v>219</v>
      </c>
      <c r="D51" s="58" t="s">
        <v>625</v>
      </c>
      <c r="E51" s="10"/>
      <c r="F51" s="10"/>
      <c r="G51" s="10"/>
    </row>
    <row r="52" spans="1:7">
      <c r="A52" s="10">
        <f t="shared" si="0"/>
        <v>50</v>
      </c>
      <c r="B52" s="9">
        <v>5106567</v>
      </c>
      <c r="C52" s="20" t="s">
        <v>220</v>
      </c>
      <c r="D52" s="58" t="s">
        <v>625</v>
      </c>
      <c r="E52" s="10"/>
      <c r="F52" s="10"/>
      <c r="G52" s="10"/>
    </row>
    <row r="53" spans="1:7">
      <c r="A53" s="10">
        <f t="shared" si="0"/>
        <v>51</v>
      </c>
      <c r="B53" s="9">
        <v>5141583</v>
      </c>
      <c r="C53" s="20" t="s">
        <v>222</v>
      </c>
      <c r="D53" s="58" t="s">
        <v>625</v>
      </c>
      <c r="E53" s="10"/>
      <c r="F53" s="58" t="s">
        <v>625</v>
      </c>
      <c r="G53" s="58" t="s">
        <v>625</v>
      </c>
    </row>
    <row r="54" spans="1:7">
      <c r="A54" s="10">
        <f t="shared" si="0"/>
        <v>52</v>
      </c>
      <c r="B54" s="9">
        <v>5118115</v>
      </c>
      <c r="C54" s="20" t="s">
        <v>223</v>
      </c>
      <c r="D54" s="58" t="s">
        <v>625</v>
      </c>
      <c r="E54" s="10"/>
      <c r="F54" s="10"/>
      <c r="G54" s="10"/>
    </row>
    <row r="55" spans="1:7">
      <c r="A55" s="10">
        <f t="shared" si="0"/>
        <v>53</v>
      </c>
      <c r="B55" s="9">
        <v>5106656</v>
      </c>
      <c r="C55" s="20" t="s">
        <v>224</v>
      </c>
      <c r="D55" s="410"/>
      <c r="E55" s="410"/>
      <c r="F55" s="410"/>
      <c r="G55" s="410"/>
    </row>
    <row r="56" spans="1:7">
      <c r="A56" s="10">
        <f t="shared" si="0"/>
        <v>54</v>
      </c>
      <c r="B56" s="9">
        <v>2010895</v>
      </c>
      <c r="C56" s="20" t="s">
        <v>225</v>
      </c>
      <c r="D56" s="58" t="s">
        <v>625</v>
      </c>
      <c r="E56" s="58" t="s">
        <v>625</v>
      </c>
      <c r="F56" s="10"/>
      <c r="G56" s="58" t="s">
        <v>625</v>
      </c>
    </row>
    <row r="57" spans="1:7">
      <c r="A57" s="10">
        <f t="shared" si="0"/>
        <v>55</v>
      </c>
      <c r="B57" s="9">
        <v>5295858</v>
      </c>
      <c r="C57" s="20" t="s">
        <v>227</v>
      </c>
      <c r="D57" s="58" t="s">
        <v>625</v>
      </c>
      <c r="E57" s="58" t="s">
        <v>625</v>
      </c>
      <c r="F57" s="10"/>
      <c r="G57" s="58" t="s">
        <v>625</v>
      </c>
    </row>
    <row r="58" spans="1:7">
      <c r="A58" s="10">
        <f t="shared" si="0"/>
        <v>56</v>
      </c>
      <c r="B58" s="9">
        <v>6287727</v>
      </c>
      <c r="C58" s="20" t="s">
        <v>228</v>
      </c>
      <c r="D58" s="58" t="s">
        <v>625</v>
      </c>
      <c r="E58" s="10"/>
      <c r="F58" s="10"/>
      <c r="G58" s="10"/>
    </row>
    <row r="59" spans="1:7">
      <c r="A59" s="10">
        <f t="shared" si="0"/>
        <v>57</v>
      </c>
      <c r="B59" s="9">
        <v>2659603</v>
      </c>
      <c r="C59" s="20" t="s">
        <v>229</v>
      </c>
      <c r="D59" s="58" t="s">
        <v>625</v>
      </c>
      <c r="E59" s="10"/>
      <c r="F59" s="10"/>
      <c r="G59" s="10"/>
    </row>
    <row r="60" spans="1:7">
      <c r="A60" s="10">
        <f t="shared" si="0"/>
        <v>58</v>
      </c>
      <c r="B60" s="9">
        <v>2678187</v>
      </c>
      <c r="C60" s="20" t="s">
        <v>230</v>
      </c>
      <c r="D60" s="58" t="s">
        <v>625</v>
      </c>
      <c r="E60" s="58"/>
      <c r="F60" s="58" t="s">
        <v>625</v>
      </c>
      <c r="G60" s="10"/>
    </row>
    <row r="61" spans="1:7">
      <c r="A61" s="10">
        <f t="shared" si="0"/>
        <v>59</v>
      </c>
      <c r="B61" s="9">
        <v>2657457</v>
      </c>
      <c r="C61" s="20" t="s">
        <v>231</v>
      </c>
      <c r="D61" s="58" t="s">
        <v>625</v>
      </c>
      <c r="E61" s="58" t="s">
        <v>625</v>
      </c>
      <c r="F61" s="10"/>
      <c r="G61" s="10"/>
    </row>
    <row r="62" spans="1:7">
      <c r="A62" s="10">
        <f t="shared" si="0"/>
        <v>60</v>
      </c>
      <c r="B62" s="9">
        <v>3615243</v>
      </c>
      <c r="C62" s="20" t="s">
        <v>232</v>
      </c>
      <c r="D62" s="58" t="s">
        <v>625</v>
      </c>
      <c r="E62" s="10"/>
      <c r="F62" s="10"/>
      <c r="G62" s="58" t="s">
        <v>625</v>
      </c>
    </row>
    <row r="63" spans="1:7">
      <c r="A63" s="10">
        <f t="shared" si="0"/>
        <v>61</v>
      </c>
      <c r="B63" s="9">
        <v>3623955</v>
      </c>
      <c r="C63" s="20" t="s">
        <v>236</v>
      </c>
      <c r="D63" s="58" t="s">
        <v>625</v>
      </c>
      <c r="E63" s="10"/>
      <c r="F63" s="10"/>
      <c r="G63" s="58" t="s">
        <v>625</v>
      </c>
    </row>
    <row r="64" spans="1:7">
      <c r="A64" s="10">
        <f t="shared" si="0"/>
        <v>62</v>
      </c>
      <c r="B64" s="9">
        <v>5199077</v>
      </c>
      <c r="C64" s="20" t="s">
        <v>239</v>
      </c>
      <c r="D64" s="58" t="s">
        <v>625</v>
      </c>
      <c r="E64" s="10"/>
      <c r="F64" s="10"/>
      <c r="G64" s="58" t="s">
        <v>625</v>
      </c>
    </row>
    <row r="65" spans="1:7">
      <c r="A65" s="10">
        <f t="shared" si="0"/>
        <v>63</v>
      </c>
      <c r="B65" s="9">
        <v>2075385</v>
      </c>
      <c r="C65" s="20" t="s">
        <v>240</v>
      </c>
      <c r="D65" s="58" t="s">
        <v>625</v>
      </c>
      <c r="E65" s="10"/>
      <c r="F65" s="10"/>
      <c r="G65" s="10"/>
    </row>
    <row r="66" spans="1:7">
      <c r="A66" s="10">
        <f t="shared" si="0"/>
        <v>64</v>
      </c>
      <c r="B66" s="9">
        <v>2867095</v>
      </c>
      <c r="C66" s="20" t="s">
        <v>241</v>
      </c>
      <c r="D66" s="58" t="s">
        <v>625</v>
      </c>
      <c r="E66" s="58" t="s">
        <v>625</v>
      </c>
      <c r="F66" s="10"/>
      <c r="G66" s="58" t="s">
        <v>625</v>
      </c>
    </row>
    <row r="67" spans="1:7">
      <c r="A67" s="10">
        <f t="shared" si="0"/>
        <v>65</v>
      </c>
      <c r="B67" s="9">
        <v>5076285</v>
      </c>
      <c r="C67" s="20" t="s">
        <v>242</v>
      </c>
      <c r="D67" s="58" t="s">
        <v>625</v>
      </c>
      <c r="E67" s="58" t="s">
        <v>625</v>
      </c>
      <c r="F67" s="58" t="s">
        <v>625</v>
      </c>
      <c r="G67" s="58" t="s">
        <v>625</v>
      </c>
    </row>
    <row r="68" spans="1:7">
      <c r="A68" s="10">
        <f t="shared" si="0"/>
        <v>66</v>
      </c>
      <c r="B68" s="9">
        <v>5084555</v>
      </c>
      <c r="C68" s="20" t="s">
        <v>243</v>
      </c>
      <c r="D68" s="58" t="s">
        <v>625</v>
      </c>
      <c r="E68" s="58" t="s">
        <v>625</v>
      </c>
      <c r="F68" s="10"/>
      <c r="G68" s="58" t="s">
        <v>625</v>
      </c>
    </row>
    <row r="69" spans="1:7">
      <c r="A69" s="10">
        <f t="shared" ref="A69:A127" si="2">A68+1</f>
        <v>67</v>
      </c>
      <c r="B69" s="9">
        <v>5261198</v>
      </c>
      <c r="C69" s="20" t="s">
        <v>244</v>
      </c>
      <c r="D69" s="58" t="s">
        <v>625</v>
      </c>
      <c r="E69" s="10"/>
      <c r="F69" s="10"/>
      <c r="G69" s="10"/>
    </row>
    <row r="70" spans="1:7">
      <c r="A70" s="10">
        <f t="shared" si="2"/>
        <v>68</v>
      </c>
      <c r="B70" s="9">
        <v>5288703</v>
      </c>
      <c r="C70" s="20" t="s">
        <v>246</v>
      </c>
      <c r="D70" s="58" t="s">
        <v>625</v>
      </c>
      <c r="E70" s="58" t="s">
        <v>625</v>
      </c>
      <c r="F70" s="10"/>
      <c r="G70" s="10"/>
    </row>
    <row r="71" spans="1:7">
      <c r="A71" s="10">
        <f t="shared" si="2"/>
        <v>69</v>
      </c>
      <c r="B71" s="9">
        <v>6232485</v>
      </c>
      <c r="C71" s="20" t="s">
        <v>248</v>
      </c>
      <c r="D71" s="58" t="s">
        <v>625</v>
      </c>
      <c r="E71" s="10"/>
      <c r="F71" s="10"/>
      <c r="G71" s="58" t="s">
        <v>625</v>
      </c>
    </row>
    <row r="72" spans="1:7">
      <c r="A72" s="10">
        <f t="shared" si="2"/>
        <v>70</v>
      </c>
      <c r="B72" s="9">
        <v>6101615</v>
      </c>
      <c r="C72" s="20" t="s">
        <v>249</v>
      </c>
      <c r="D72" s="58" t="s">
        <v>625</v>
      </c>
      <c r="E72" s="10"/>
      <c r="F72" s="10"/>
      <c r="G72" s="58" t="s">
        <v>625</v>
      </c>
    </row>
    <row r="73" spans="1:7">
      <c r="A73" s="10">
        <f t="shared" si="2"/>
        <v>71</v>
      </c>
      <c r="B73" s="9">
        <v>5120365</v>
      </c>
      <c r="C73" s="20" t="s">
        <v>250</v>
      </c>
      <c r="D73" s="250"/>
      <c r="E73" s="250"/>
      <c r="F73" s="250"/>
      <c r="G73" s="356" t="s">
        <v>625</v>
      </c>
    </row>
    <row r="74" spans="1:7">
      <c r="A74" s="10">
        <f t="shared" si="2"/>
        <v>72</v>
      </c>
      <c r="B74" s="9">
        <v>2016656</v>
      </c>
      <c r="C74" s="20" t="s">
        <v>251</v>
      </c>
      <c r="D74" s="58" t="s">
        <v>625</v>
      </c>
      <c r="E74" s="58" t="s">
        <v>625</v>
      </c>
      <c r="F74" s="10"/>
      <c r="G74" s="58" t="s">
        <v>625</v>
      </c>
    </row>
    <row r="75" spans="1:7">
      <c r="A75" s="10">
        <f t="shared" si="2"/>
        <v>73</v>
      </c>
      <c r="B75" s="9">
        <v>5872006</v>
      </c>
      <c r="C75" s="20" t="s">
        <v>253</v>
      </c>
      <c r="D75" s="58"/>
      <c r="E75" s="10"/>
      <c r="F75" s="58" t="s">
        <v>625</v>
      </c>
      <c r="G75" s="58" t="s">
        <v>625</v>
      </c>
    </row>
    <row r="76" spans="1:7">
      <c r="A76" s="10">
        <f t="shared" si="2"/>
        <v>74</v>
      </c>
      <c r="B76" s="9">
        <v>5774047</v>
      </c>
      <c r="C76" s="20" t="s">
        <v>254</v>
      </c>
      <c r="D76" s="250"/>
      <c r="E76" s="250"/>
      <c r="F76" s="250"/>
      <c r="G76" s="250"/>
    </row>
    <row r="77" spans="1:7">
      <c r="A77" s="10">
        <f t="shared" si="2"/>
        <v>75</v>
      </c>
      <c r="B77" s="9">
        <v>5105439</v>
      </c>
      <c r="C77" s="20" t="s">
        <v>257</v>
      </c>
      <c r="D77" s="58" t="s">
        <v>625</v>
      </c>
      <c r="E77" s="10"/>
      <c r="F77" s="10"/>
      <c r="G77" s="58" t="s">
        <v>625</v>
      </c>
    </row>
    <row r="78" spans="1:7">
      <c r="A78" s="10">
        <f t="shared" si="2"/>
        <v>76</v>
      </c>
      <c r="B78" s="9">
        <v>2663813</v>
      </c>
      <c r="C78" s="20" t="s">
        <v>258</v>
      </c>
      <c r="D78" s="410"/>
      <c r="E78" s="410"/>
      <c r="F78" s="410"/>
      <c r="G78" s="410"/>
    </row>
    <row r="79" spans="1:7">
      <c r="A79" s="10">
        <f t="shared" si="2"/>
        <v>77</v>
      </c>
      <c r="B79" s="9">
        <v>2016931</v>
      </c>
      <c r="C79" s="20" t="s">
        <v>260</v>
      </c>
      <c r="D79" s="58" t="s">
        <v>625</v>
      </c>
      <c r="E79" s="10"/>
      <c r="F79" s="10"/>
      <c r="G79" s="58" t="s">
        <v>625</v>
      </c>
    </row>
    <row r="80" spans="1:7">
      <c r="A80" s="10">
        <f t="shared" si="2"/>
        <v>78</v>
      </c>
      <c r="B80" s="9">
        <v>5513618</v>
      </c>
      <c r="C80" s="20" t="s">
        <v>263</v>
      </c>
      <c r="D80" s="58" t="s">
        <v>625</v>
      </c>
      <c r="E80" s="58" t="s">
        <v>625</v>
      </c>
      <c r="F80" s="10"/>
      <c r="G80" s="10"/>
    </row>
    <row r="81" spans="1:7">
      <c r="A81" s="10">
        <f t="shared" si="2"/>
        <v>79</v>
      </c>
      <c r="B81" s="9">
        <v>2807459</v>
      </c>
      <c r="C81" s="20" t="s">
        <v>264</v>
      </c>
      <c r="D81" s="58" t="s">
        <v>625</v>
      </c>
      <c r="E81" s="10"/>
      <c r="F81" s="10"/>
      <c r="G81" s="10"/>
    </row>
    <row r="82" spans="1:7">
      <c r="A82" s="10">
        <f t="shared" si="2"/>
        <v>80</v>
      </c>
      <c r="B82" s="9">
        <v>2872943</v>
      </c>
      <c r="C82" s="20" t="s">
        <v>265</v>
      </c>
      <c r="D82" s="58" t="s">
        <v>625</v>
      </c>
      <c r="E82" s="10"/>
      <c r="F82" s="10"/>
      <c r="G82" s="58" t="s">
        <v>625</v>
      </c>
    </row>
    <row r="83" spans="1:7">
      <c r="A83" s="10">
        <f t="shared" si="2"/>
        <v>81</v>
      </c>
      <c r="B83" s="9">
        <v>6268048</v>
      </c>
      <c r="C83" s="20" t="s">
        <v>266</v>
      </c>
      <c r="D83" s="58" t="s">
        <v>625</v>
      </c>
      <c r="E83" s="10"/>
      <c r="F83" s="10"/>
      <c r="G83" s="58" t="s">
        <v>625</v>
      </c>
    </row>
    <row r="84" spans="1:7">
      <c r="A84" s="10">
        <f t="shared" si="2"/>
        <v>82</v>
      </c>
      <c r="B84" s="9">
        <v>5874963</v>
      </c>
      <c r="C84" s="20" t="s">
        <v>268</v>
      </c>
      <c r="D84" s="58" t="s">
        <v>625</v>
      </c>
      <c r="E84" s="58" t="s">
        <v>625</v>
      </c>
      <c r="F84" s="58" t="s">
        <v>625</v>
      </c>
      <c r="G84" s="58" t="s">
        <v>625</v>
      </c>
    </row>
    <row r="85" spans="1:7">
      <c r="A85" s="10">
        <f t="shared" si="2"/>
        <v>83</v>
      </c>
      <c r="B85" s="9">
        <v>6636624</v>
      </c>
      <c r="C85" s="20" t="s">
        <v>269</v>
      </c>
      <c r="D85" s="10"/>
      <c r="E85" s="10"/>
      <c r="F85" s="10"/>
      <c r="G85" s="58" t="s">
        <v>625</v>
      </c>
    </row>
    <row r="86" spans="1:7">
      <c r="A86" s="10">
        <f t="shared" si="2"/>
        <v>84</v>
      </c>
      <c r="B86" s="9">
        <v>2839717</v>
      </c>
      <c r="C86" s="20" t="s">
        <v>270</v>
      </c>
      <c r="D86" s="58" t="s">
        <v>625</v>
      </c>
      <c r="E86" s="58"/>
      <c r="F86" s="10"/>
      <c r="G86" s="58" t="s">
        <v>625</v>
      </c>
    </row>
    <row r="87" spans="1:7">
      <c r="A87" s="10">
        <f t="shared" si="2"/>
        <v>85</v>
      </c>
      <c r="B87" s="9">
        <v>2344343</v>
      </c>
      <c r="C87" s="20" t="s">
        <v>271</v>
      </c>
      <c r="D87" s="58" t="s">
        <v>625</v>
      </c>
      <c r="E87" s="58" t="s">
        <v>625</v>
      </c>
      <c r="F87" s="10"/>
      <c r="G87" s="58" t="s">
        <v>625</v>
      </c>
    </row>
    <row r="88" spans="1:7">
      <c r="A88" s="10">
        <f t="shared" si="2"/>
        <v>86</v>
      </c>
      <c r="B88" s="9">
        <v>2819996</v>
      </c>
      <c r="C88" s="20" t="s">
        <v>273</v>
      </c>
      <c r="D88" s="58" t="s">
        <v>625</v>
      </c>
      <c r="E88" s="10"/>
      <c r="F88" s="10"/>
      <c r="G88" s="10"/>
    </row>
    <row r="89" spans="1:7">
      <c r="A89" s="10">
        <f t="shared" si="2"/>
        <v>87</v>
      </c>
      <c r="B89" s="9">
        <v>2868687</v>
      </c>
      <c r="C89" s="20" t="s">
        <v>277</v>
      </c>
      <c r="D89" s="58" t="s">
        <v>625</v>
      </c>
      <c r="E89" s="10"/>
      <c r="F89" s="10"/>
      <c r="G89" s="10"/>
    </row>
    <row r="90" spans="1:7">
      <c r="A90" s="10">
        <f t="shared" si="2"/>
        <v>88</v>
      </c>
      <c r="B90" s="9">
        <v>5877288</v>
      </c>
      <c r="C90" s="20" t="s">
        <v>279</v>
      </c>
      <c r="D90" s="58" t="s">
        <v>625</v>
      </c>
      <c r="E90" s="58" t="s">
        <v>625</v>
      </c>
      <c r="F90" s="58" t="s">
        <v>625</v>
      </c>
      <c r="G90" s="10"/>
    </row>
    <row r="91" spans="1:7">
      <c r="A91" s="10">
        <f t="shared" si="2"/>
        <v>89</v>
      </c>
      <c r="B91" s="9">
        <v>6195598</v>
      </c>
      <c r="C91" s="20" t="s">
        <v>281</v>
      </c>
      <c r="D91" s="33"/>
      <c r="E91" s="10"/>
      <c r="F91" s="10"/>
      <c r="G91" s="58" t="s">
        <v>625</v>
      </c>
    </row>
    <row r="92" spans="1:7">
      <c r="A92" s="10">
        <f t="shared" si="2"/>
        <v>90</v>
      </c>
      <c r="B92" s="9">
        <v>6413811</v>
      </c>
      <c r="C92" s="20" t="s">
        <v>282</v>
      </c>
      <c r="D92" s="58" t="s">
        <v>625</v>
      </c>
      <c r="E92" s="10"/>
      <c r="F92" s="10"/>
      <c r="G92" s="10"/>
    </row>
    <row r="93" spans="1:7">
      <c r="A93" s="10">
        <f t="shared" si="2"/>
        <v>91</v>
      </c>
      <c r="B93" s="9">
        <v>2887134</v>
      </c>
      <c r="C93" s="20" t="s">
        <v>283</v>
      </c>
      <c r="D93" s="58" t="s">
        <v>625</v>
      </c>
      <c r="E93" s="10"/>
      <c r="F93" s="10"/>
      <c r="G93" s="58" t="s">
        <v>625</v>
      </c>
    </row>
    <row r="94" spans="1:7">
      <c r="A94" s="10">
        <f t="shared" si="2"/>
        <v>92</v>
      </c>
      <c r="B94" s="9">
        <v>2618176</v>
      </c>
      <c r="C94" s="20" t="s">
        <v>284</v>
      </c>
      <c r="D94" s="58" t="s">
        <v>625</v>
      </c>
      <c r="E94" s="58" t="s">
        <v>625</v>
      </c>
      <c r="F94" s="10"/>
      <c r="G94" s="58" t="s">
        <v>625</v>
      </c>
    </row>
    <row r="95" spans="1:7">
      <c r="A95" s="10">
        <f t="shared" si="2"/>
        <v>93</v>
      </c>
      <c r="B95" s="9">
        <v>5364884</v>
      </c>
      <c r="C95" s="20" t="s">
        <v>285</v>
      </c>
      <c r="D95" s="251"/>
      <c r="E95" s="250"/>
      <c r="F95" s="250"/>
      <c r="G95" s="250"/>
    </row>
    <row r="96" spans="1:7">
      <c r="A96" s="10">
        <f t="shared" si="2"/>
        <v>94</v>
      </c>
      <c r="B96" s="9">
        <v>2100231</v>
      </c>
      <c r="C96" s="20" t="s">
        <v>286</v>
      </c>
      <c r="D96" s="58" t="s">
        <v>625</v>
      </c>
      <c r="E96" s="58" t="s">
        <v>625</v>
      </c>
      <c r="F96" s="10"/>
      <c r="G96" s="58" t="s">
        <v>625</v>
      </c>
    </row>
    <row r="97" spans="1:7">
      <c r="A97" s="10">
        <f t="shared" si="2"/>
        <v>95</v>
      </c>
      <c r="B97" s="9">
        <v>2661128</v>
      </c>
      <c r="C97" s="20" t="s">
        <v>287</v>
      </c>
      <c r="D97" s="58" t="s">
        <v>625</v>
      </c>
      <c r="E97" s="58" t="s">
        <v>625</v>
      </c>
      <c r="F97" s="58" t="s">
        <v>625</v>
      </c>
      <c r="G97" s="10"/>
    </row>
    <row r="98" spans="1:7">
      <c r="A98" s="10">
        <f t="shared" si="2"/>
        <v>96</v>
      </c>
      <c r="B98" s="9">
        <v>5878756</v>
      </c>
      <c r="C98" s="20" t="s">
        <v>290</v>
      </c>
      <c r="D98" s="58" t="s">
        <v>625</v>
      </c>
      <c r="E98" s="10"/>
      <c r="F98" s="58" t="s">
        <v>625</v>
      </c>
      <c r="G98" s="10"/>
    </row>
    <row r="99" spans="1:7">
      <c r="A99" s="10">
        <f t="shared" si="2"/>
        <v>97</v>
      </c>
      <c r="B99" s="9">
        <v>2166631</v>
      </c>
      <c r="C99" s="20" t="s">
        <v>292</v>
      </c>
      <c r="D99" s="58" t="s">
        <v>625</v>
      </c>
      <c r="E99" s="58" t="s">
        <v>625</v>
      </c>
      <c r="F99" s="10"/>
      <c r="G99" s="58" t="s">
        <v>625</v>
      </c>
    </row>
    <row r="100" spans="1:7">
      <c r="A100" s="10">
        <f t="shared" si="2"/>
        <v>98</v>
      </c>
      <c r="B100" s="9">
        <v>5671833</v>
      </c>
      <c r="C100" s="20" t="s">
        <v>296</v>
      </c>
      <c r="D100" s="58" t="s">
        <v>625</v>
      </c>
      <c r="E100" s="10"/>
      <c r="F100" s="10"/>
      <c r="G100" s="58" t="s">
        <v>625</v>
      </c>
    </row>
    <row r="101" spans="1:7">
      <c r="A101" s="10">
        <f t="shared" si="2"/>
        <v>99</v>
      </c>
      <c r="B101" s="9">
        <v>5104424</v>
      </c>
      <c r="C101" s="20" t="s">
        <v>297</v>
      </c>
      <c r="D101" s="251"/>
      <c r="E101" s="250"/>
      <c r="F101" s="250"/>
      <c r="G101" s="250"/>
    </row>
    <row r="102" spans="1:7">
      <c r="A102" s="10">
        <f t="shared" si="2"/>
        <v>100</v>
      </c>
      <c r="B102" s="9">
        <v>2668505</v>
      </c>
      <c r="C102" s="20" t="s">
        <v>298</v>
      </c>
      <c r="D102" s="33"/>
      <c r="E102" s="10"/>
      <c r="F102" s="58" t="s">
        <v>625</v>
      </c>
      <c r="G102" s="58" t="s">
        <v>625</v>
      </c>
    </row>
    <row r="103" spans="1:7">
      <c r="A103" s="10">
        <f t="shared" si="2"/>
        <v>101</v>
      </c>
      <c r="B103" s="9">
        <v>2697947</v>
      </c>
      <c r="C103" s="20" t="s">
        <v>299</v>
      </c>
      <c r="D103" s="58" t="s">
        <v>625</v>
      </c>
      <c r="E103" s="10"/>
      <c r="F103" s="10"/>
      <c r="G103" s="10"/>
    </row>
    <row r="104" spans="1:7">
      <c r="A104" s="10">
        <f t="shared" si="2"/>
        <v>102</v>
      </c>
      <c r="B104" s="9">
        <v>5352827</v>
      </c>
      <c r="C104" s="20" t="s">
        <v>300</v>
      </c>
      <c r="D104" s="58" t="s">
        <v>625</v>
      </c>
      <c r="E104" s="10"/>
      <c r="F104" s="10"/>
      <c r="G104" s="10"/>
    </row>
    <row r="105" spans="1:7">
      <c r="A105" s="10">
        <f t="shared" si="2"/>
        <v>103</v>
      </c>
      <c r="B105" s="9">
        <v>2548747</v>
      </c>
      <c r="C105" s="20" t="s">
        <v>301</v>
      </c>
      <c r="D105" s="58" t="s">
        <v>625</v>
      </c>
      <c r="E105" s="58"/>
      <c r="F105" s="58" t="s">
        <v>625</v>
      </c>
      <c r="G105" s="58" t="s">
        <v>625</v>
      </c>
    </row>
    <row r="106" spans="1:7">
      <c r="A106" s="10">
        <f t="shared" si="2"/>
        <v>104</v>
      </c>
      <c r="B106" s="9">
        <v>2641984</v>
      </c>
      <c r="C106" s="20" t="s">
        <v>303</v>
      </c>
      <c r="D106" s="58" t="s">
        <v>625</v>
      </c>
      <c r="E106" s="58" t="s">
        <v>625</v>
      </c>
      <c r="F106" s="58" t="s">
        <v>625</v>
      </c>
      <c r="G106" s="58" t="s">
        <v>625</v>
      </c>
    </row>
    <row r="107" spans="1:7">
      <c r="A107" s="10">
        <f t="shared" si="2"/>
        <v>105</v>
      </c>
      <c r="B107" s="9">
        <v>6342485</v>
      </c>
      <c r="C107" s="20" t="s">
        <v>306</v>
      </c>
      <c r="D107" s="33"/>
      <c r="E107" s="10"/>
      <c r="F107" s="58" t="s">
        <v>625</v>
      </c>
      <c r="G107" s="58" t="s">
        <v>625</v>
      </c>
    </row>
    <row r="108" spans="1:7">
      <c r="A108" s="10">
        <f t="shared" si="2"/>
        <v>106</v>
      </c>
      <c r="B108" s="9">
        <v>5166667</v>
      </c>
      <c r="C108" s="20" t="s">
        <v>307</v>
      </c>
      <c r="D108" s="58" t="s">
        <v>625</v>
      </c>
      <c r="E108" s="10"/>
      <c r="F108" s="10"/>
      <c r="G108" s="58" t="s">
        <v>625</v>
      </c>
    </row>
    <row r="109" spans="1:7">
      <c r="A109" s="10">
        <f t="shared" si="2"/>
        <v>107</v>
      </c>
      <c r="B109" s="9">
        <v>5482046</v>
      </c>
      <c r="C109" s="20" t="s">
        <v>308</v>
      </c>
      <c r="D109" s="58" t="s">
        <v>625</v>
      </c>
      <c r="E109" s="58" t="s">
        <v>625</v>
      </c>
      <c r="F109" s="10"/>
      <c r="G109" s="58" t="s">
        <v>625</v>
      </c>
    </row>
    <row r="110" spans="1:7">
      <c r="A110" s="10">
        <f t="shared" si="2"/>
        <v>108</v>
      </c>
      <c r="B110" s="9">
        <v>2050374</v>
      </c>
      <c r="C110" s="20" t="s">
        <v>309</v>
      </c>
      <c r="D110" s="58" t="s">
        <v>625</v>
      </c>
      <c r="E110" s="58" t="s">
        <v>625</v>
      </c>
      <c r="F110" s="10"/>
      <c r="G110" s="58" t="s">
        <v>625</v>
      </c>
    </row>
    <row r="111" spans="1:7">
      <c r="A111" s="10">
        <f t="shared" si="2"/>
        <v>109</v>
      </c>
      <c r="B111" s="9">
        <v>2004879</v>
      </c>
      <c r="C111" s="20" t="s">
        <v>311</v>
      </c>
      <c r="D111" s="58" t="s">
        <v>625</v>
      </c>
      <c r="E111" s="58" t="s">
        <v>625</v>
      </c>
      <c r="F111" s="58" t="s">
        <v>625</v>
      </c>
      <c r="G111" s="58" t="s">
        <v>625</v>
      </c>
    </row>
    <row r="112" spans="1:7">
      <c r="A112" s="10">
        <f t="shared" si="2"/>
        <v>110</v>
      </c>
      <c r="B112" s="9">
        <v>2830213</v>
      </c>
      <c r="C112" s="20" t="s">
        <v>314</v>
      </c>
      <c r="D112" s="58" t="s">
        <v>625</v>
      </c>
      <c r="E112" s="58" t="s">
        <v>625</v>
      </c>
      <c r="F112" s="58"/>
      <c r="G112" s="58" t="s">
        <v>625</v>
      </c>
    </row>
    <row r="113" spans="1:7">
      <c r="A113" s="10">
        <f t="shared" si="2"/>
        <v>111</v>
      </c>
      <c r="B113" s="9">
        <v>5320607</v>
      </c>
      <c r="C113" s="20" t="s">
        <v>315</v>
      </c>
      <c r="D113" s="58" t="s">
        <v>625</v>
      </c>
      <c r="E113" s="10"/>
      <c r="F113" s="10"/>
      <c r="G113" s="10"/>
    </row>
    <row r="114" spans="1:7">
      <c r="A114" s="10">
        <f t="shared" si="2"/>
        <v>112</v>
      </c>
      <c r="B114" s="9">
        <v>5586119</v>
      </c>
      <c r="C114" s="20" t="s">
        <v>316</v>
      </c>
      <c r="D114" s="58" t="s">
        <v>625</v>
      </c>
      <c r="E114" s="246"/>
      <c r="F114" s="246"/>
      <c r="G114" s="58" t="s">
        <v>625</v>
      </c>
    </row>
    <row r="115" spans="1:7">
      <c r="A115" s="10">
        <f t="shared" si="2"/>
        <v>113</v>
      </c>
      <c r="B115" s="9">
        <v>5015243</v>
      </c>
      <c r="C115" s="20" t="s">
        <v>317</v>
      </c>
      <c r="D115" s="58" t="s">
        <v>625</v>
      </c>
      <c r="E115" s="10"/>
      <c r="F115" s="10"/>
      <c r="G115" s="10"/>
    </row>
    <row r="116" spans="1:7">
      <c r="A116" s="10">
        <f t="shared" si="2"/>
        <v>114</v>
      </c>
      <c r="B116" s="9">
        <v>5452503</v>
      </c>
      <c r="C116" s="20" t="s">
        <v>318</v>
      </c>
      <c r="D116" s="58" t="s">
        <v>625</v>
      </c>
      <c r="E116" s="10"/>
      <c r="F116" s="10"/>
      <c r="G116" s="10"/>
    </row>
    <row r="117" spans="1:7">
      <c r="A117" s="10">
        <f t="shared" si="2"/>
        <v>115</v>
      </c>
      <c r="B117" s="9">
        <v>2887746</v>
      </c>
      <c r="C117" s="20" t="s">
        <v>319</v>
      </c>
      <c r="D117" s="58" t="s">
        <v>625</v>
      </c>
      <c r="E117" s="58" t="s">
        <v>625</v>
      </c>
      <c r="F117" s="10"/>
      <c r="G117" s="58" t="s">
        <v>625</v>
      </c>
    </row>
    <row r="118" spans="1:7">
      <c r="A118" s="10">
        <f t="shared" si="2"/>
        <v>116</v>
      </c>
      <c r="B118" s="9">
        <v>5618339</v>
      </c>
      <c r="C118" s="20" t="s">
        <v>320</v>
      </c>
      <c r="D118" s="409"/>
      <c r="E118" s="410"/>
      <c r="F118" s="410"/>
      <c r="G118" s="410"/>
    </row>
    <row r="119" spans="1:7">
      <c r="A119" s="10">
        <f t="shared" si="2"/>
        <v>117</v>
      </c>
      <c r="B119" s="9">
        <v>2718243</v>
      </c>
      <c r="C119" s="20" t="s">
        <v>321</v>
      </c>
      <c r="D119" s="58" t="s">
        <v>625</v>
      </c>
      <c r="E119" s="58" t="s">
        <v>625</v>
      </c>
      <c r="F119" s="10"/>
      <c r="G119" s="10"/>
    </row>
    <row r="120" spans="1:7">
      <c r="A120" s="10">
        <f t="shared" si="2"/>
        <v>118</v>
      </c>
      <c r="B120" s="9">
        <v>6896197</v>
      </c>
      <c r="C120" s="20" t="s">
        <v>322</v>
      </c>
      <c r="D120" s="58" t="s">
        <v>625</v>
      </c>
      <c r="E120" s="10"/>
      <c r="F120" s="10"/>
      <c r="G120" s="10"/>
    </row>
    <row r="121" spans="1:7">
      <c r="A121" s="10">
        <f t="shared" si="2"/>
        <v>119</v>
      </c>
      <c r="B121" s="9">
        <v>5435528</v>
      </c>
      <c r="C121" s="20" t="s">
        <v>323</v>
      </c>
      <c r="D121" s="58" t="s">
        <v>625</v>
      </c>
      <c r="E121" s="58" t="s">
        <v>625</v>
      </c>
      <c r="F121" s="10"/>
      <c r="G121" s="58" t="s">
        <v>625</v>
      </c>
    </row>
    <row r="122" spans="1:7">
      <c r="A122" s="10">
        <f t="shared" si="2"/>
        <v>120</v>
      </c>
      <c r="B122" s="9">
        <v>5824826</v>
      </c>
      <c r="C122" s="20" t="s">
        <v>324</v>
      </c>
      <c r="D122" s="33"/>
      <c r="E122" s="10"/>
      <c r="F122" s="10"/>
      <c r="G122" s="58" t="s">
        <v>625</v>
      </c>
    </row>
    <row r="123" spans="1:7">
      <c r="A123" s="10">
        <f t="shared" si="2"/>
        <v>121</v>
      </c>
      <c r="B123" s="9">
        <v>6141536</v>
      </c>
      <c r="C123" s="20" t="s">
        <v>325</v>
      </c>
      <c r="D123" s="251"/>
      <c r="E123" s="250"/>
      <c r="F123" s="250"/>
      <c r="G123" s="252" t="s">
        <v>625</v>
      </c>
    </row>
    <row r="124" spans="1:7">
      <c r="A124" s="10">
        <f t="shared" si="2"/>
        <v>122</v>
      </c>
      <c r="B124" s="9">
        <v>5124913</v>
      </c>
      <c r="C124" s="20" t="s">
        <v>326</v>
      </c>
      <c r="D124" s="58" t="s">
        <v>625</v>
      </c>
      <c r="E124" s="10"/>
      <c r="F124" s="58" t="s">
        <v>625</v>
      </c>
      <c r="G124" s="58" t="s">
        <v>625</v>
      </c>
    </row>
    <row r="125" spans="1:7">
      <c r="A125" s="10">
        <f t="shared" si="2"/>
        <v>123</v>
      </c>
      <c r="B125" s="9">
        <v>2074192</v>
      </c>
      <c r="C125" s="20" t="s">
        <v>327</v>
      </c>
      <c r="D125" s="58" t="s">
        <v>625</v>
      </c>
      <c r="E125" s="10"/>
      <c r="F125" s="10"/>
      <c r="G125" s="10"/>
    </row>
    <row r="126" spans="1:7">
      <c r="A126" s="10">
        <f t="shared" si="2"/>
        <v>124</v>
      </c>
      <c r="B126" s="9">
        <v>2861224</v>
      </c>
      <c r="C126" s="20" t="s">
        <v>331</v>
      </c>
      <c r="D126" s="251"/>
      <c r="E126" s="250"/>
      <c r="F126" s="250"/>
      <c r="G126" s="252" t="s">
        <v>625</v>
      </c>
    </row>
    <row r="127" spans="1:7">
      <c r="A127" s="10">
        <f t="shared" si="2"/>
        <v>125</v>
      </c>
      <c r="B127" s="9">
        <v>5137977</v>
      </c>
      <c r="C127" s="20" t="s">
        <v>332</v>
      </c>
      <c r="D127" s="58" t="s">
        <v>625</v>
      </c>
      <c r="E127" s="10"/>
      <c r="F127" s="10"/>
      <c r="G127" s="10"/>
    </row>
  </sheetData>
  <autoFilter ref="A2:G127" xr:uid="{132051FE-0D91-489C-9BA0-7205E16A5139}"/>
  <mergeCells count="1">
    <mergeCell ref="A1:E1"/>
  </mergeCells>
  <conditionalFormatting sqref="B3:B32 B88">
    <cfRule type="duplicateValues" dxfId="550" priority="12"/>
  </conditionalFormatting>
  <conditionalFormatting sqref="B33:B82">
    <cfRule type="duplicateValues" dxfId="549" priority="11"/>
  </conditionalFormatting>
  <conditionalFormatting sqref="B83">
    <cfRule type="duplicateValues" dxfId="548" priority="10"/>
  </conditionalFormatting>
  <conditionalFormatting sqref="B84">
    <cfRule type="duplicateValues" dxfId="547" priority="9"/>
  </conditionalFormatting>
  <conditionalFormatting sqref="B85">
    <cfRule type="duplicateValues" dxfId="546" priority="8"/>
  </conditionalFormatting>
  <conditionalFormatting sqref="B86">
    <cfRule type="duplicateValues" dxfId="545" priority="7"/>
  </conditionalFormatting>
  <conditionalFormatting sqref="B87">
    <cfRule type="duplicateValues" dxfId="544" priority="6"/>
  </conditionalFormatting>
  <conditionalFormatting sqref="B89:B127">
    <cfRule type="duplicateValues" dxfId="543" priority="13"/>
  </conditionalFormatting>
  <conditionalFormatting sqref="C3:C32 C88">
    <cfRule type="duplicateValues" dxfId="542" priority="4"/>
  </conditionalFormatting>
  <conditionalFormatting sqref="C33:C82">
    <cfRule type="duplicateValues" dxfId="541" priority="3"/>
  </conditionalFormatting>
  <conditionalFormatting sqref="C83">
    <cfRule type="duplicateValues" dxfId="540" priority="1"/>
  </conditionalFormatting>
  <conditionalFormatting sqref="C84:C87">
    <cfRule type="duplicateValues" dxfId="539" priority="2"/>
  </conditionalFormatting>
  <conditionalFormatting sqref="C89:C127">
    <cfRule type="duplicateValues" dxfId="538" priority="5"/>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C1DF-07B4-4FCC-A356-3D224C40EFD6}">
  <sheetPr>
    <tabColor rgb="FF006432"/>
  </sheetPr>
  <dimension ref="A1:F15"/>
  <sheetViews>
    <sheetView workbookViewId="0">
      <selection activeCell="B16" sqref="B16"/>
    </sheetView>
  </sheetViews>
  <sheetFormatPr defaultRowHeight="15"/>
  <cols>
    <col min="1" max="1" width="4.7109375" customWidth="1"/>
    <col min="2" max="2" width="55.140625" customWidth="1"/>
    <col min="3" max="3" width="24.85546875" customWidth="1"/>
  </cols>
  <sheetData>
    <row r="1" spans="1:6" ht="16.5" thickBot="1">
      <c r="A1" s="641" t="s">
        <v>630</v>
      </c>
      <c r="B1" s="641"/>
      <c r="C1" s="641"/>
      <c r="D1" s="641"/>
    </row>
    <row r="2" spans="1:6" ht="33" customHeight="1" thickTop="1">
      <c r="A2" s="16" t="s">
        <v>114</v>
      </c>
      <c r="B2" s="16" t="s">
        <v>336</v>
      </c>
      <c r="C2" s="16" t="s">
        <v>631</v>
      </c>
      <c r="D2" s="14"/>
      <c r="E2" s="14"/>
      <c r="F2" s="14"/>
    </row>
    <row r="3" spans="1:6">
      <c r="A3" s="10">
        <v>1</v>
      </c>
      <c r="B3" s="10" t="s">
        <v>339</v>
      </c>
      <c r="C3" s="6" t="s">
        <v>632</v>
      </c>
    </row>
    <row r="4" spans="1:6">
      <c r="A4" s="10">
        <v>2</v>
      </c>
      <c r="B4" s="10" t="s">
        <v>633</v>
      </c>
      <c r="C4" s="6" t="s">
        <v>632</v>
      </c>
    </row>
    <row r="5" spans="1:6">
      <c r="A5" s="10">
        <v>3</v>
      </c>
      <c r="B5" s="10" t="s">
        <v>634</v>
      </c>
      <c r="C5" s="58" t="s">
        <v>625</v>
      </c>
    </row>
    <row r="6" spans="1:6">
      <c r="A6" s="10">
        <v>4</v>
      </c>
      <c r="B6" s="10" t="s">
        <v>635</v>
      </c>
      <c r="C6" s="58" t="s">
        <v>625</v>
      </c>
    </row>
    <row r="7" spans="1:6">
      <c r="A7" s="10">
        <v>5</v>
      </c>
      <c r="B7" s="10" t="s">
        <v>636</v>
      </c>
      <c r="C7" s="58" t="s">
        <v>625</v>
      </c>
    </row>
    <row r="8" spans="1:6">
      <c r="A8" s="10">
        <v>6</v>
      </c>
      <c r="B8" s="10" t="s">
        <v>637</v>
      </c>
      <c r="C8" s="58" t="s">
        <v>625</v>
      </c>
    </row>
    <row r="9" spans="1:6">
      <c r="A9" s="10">
        <v>7</v>
      </c>
      <c r="B9" s="10" t="s">
        <v>638</v>
      </c>
      <c r="C9" s="6" t="s">
        <v>632</v>
      </c>
    </row>
    <row r="10" spans="1:6">
      <c r="A10" s="10">
        <v>8</v>
      </c>
      <c r="B10" s="10" t="s">
        <v>639</v>
      </c>
      <c r="C10" s="58" t="s">
        <v>625</v>
      </c>
    </row>
    <row r="11" spans="1:6">
      <c r="A11" s="10">
        <v>9</v>
      </c>
      <c r="B11" s="10" t="s">
        <v>304</v>
      </c>
      <c r="C11" s="58" t="s">
        <v>625</v>
      </c>
    </row>
    <row r="12" spans="1:6">
      <c r="A12" s="424" t="s">
        <v>640</v>
      </c>
      <c r="B12" s="425" t="s">
        <v>641</v>
      </c>
      <c r="C12" s="426">
        <v>6</v>
      </c>
    </row>
    <row r="13" spans="1:6">
      <c r="A13" s="36" t="s">
        <v>632</v>
      </c>
      <c r="B13" s="37" t="s">
        <v>642</v>
      </c>
      <c r="C13" s="38">
        <v>1</v>
      </c>
    </row>
    <row r="14" spans="1:6">
      <c r="A14" s="36" t="s">
        <v>632</v>
      </c>
      <c r="B14" s="37" t="s">
        <v>643</v>
      </c>
      <c r="C14" s="38">
        <v>2</v>
      </c>
    </row>
    <row r="15" spans="1:6" ht="15.75" thickBot="1">
      <c r="A15" s="39"/>
      <c r="B15" s="40" t="s">
        <v>628</v>
      </c>
      <c r="C15" s="41">
        <v>9</v>
      </c>
    </row>
  </sheetData>
  <mergeCells count="1">
    <mergeCell ref="A1:D1"/>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8506-3244-4235-9B0D-E13BBAF0A944}">
  <sheetPr>
    <tabColor rgb="FF006432"/>
  </sheetPr>
  <dimension ref="A1:E36"/>
  <sheetViews>
    <sheetView workbookViewId="0">
      <selection activeCell="B31" sqref="B31"/>
    </sheetView>
  </sheetViews>
  <sheetFormatPr defaultRowHeight="15"/>
  <cols>
    <col min="1" max="1" width="5.140625" customWidth="1"/>
    <col min="2" max="2" width="92.140625" customWidth="1"/>
    <col min="3" max="3" width="32.42578125" customWidth="1"/>
    <col min="4" max="4" width="30.85546875" customWidth="1"/>
    <col min="5" max="5" width="28.42578125" customWidth="1"/>
  </cols>
  <sheetData>
    <row r="1" spans="1:5" ht="16.5" thickBot="1">
      <c r="A1" s="641" t="s">
        <v>644</v>
      </c>
      <c r="B1" s="641"/>
      <c r="C1" s="641"/>
      <c r="D1" s="641"/>
      <c r="E1" s="641"/>
    </row>
    <row r="2" spans="1:5" ht="4.5" customHeight="1" thickTop="1"/>
    <row r="3" spans="1:5" ht="25.5">
      <c r="A3" s="18" t="s">
        <v>114</v>
      </c>
      <c r="B3" s="18" t="s">
        <v>645</v>
      </c>
      <c r="C3" s="18" t="s">
        <v>646</v>
      </c>
      <c r="D3" s="18" t="s">
        <v>647</v>
      </c>
    </row>
    <row r="4" spans="1:5">
      <c r="A4" s="496" t="s">
        <v>648</v>
      </c>
      <c r="B4" s="497"/>
      <c r="C4" s="497"/>
      <c r="D4" s="498"/>
    </row>
    <row r="5" spans="1:5">
      <c r="A5" s="12">
        <v>1</v>
      </c>
      <c r="B5" s="12" t="s">
        <v>649</v>
      </c>
      <c r="C5" s="430">
        <v>89012815.419989347</v>
      </c>
      <c r="D5" s="430"/>
    </row>
    <row r="6" spans="1:5">
      <c r="A6" s="12">
        <f>A5+1</f>
        <v>2</v>
      </c>
      <c r="B6" s="12" t="s">
        <v>650</v>
      </c>
      <c r="C6" s="430">
        <v>32694898.391270995</v>
      </c>
      <c r="D6" s="430"/>
    </row>
    <row r="7" spans="1:5">
      <c r="A7" s="12">
        <f t="shared" ref="A7:A22" si="0">A6+1</f>
        <v>3</v>
      </c>
      <c r="B7" s="12" t="s">
        <v>651</v>
      </c>
      <c r="C7" s="430">
        <v>1707145758.5264697</v>
      </c>
      <c r="D7" s="430"/>
    </row>
    <row r="8" spans="1:5">
      <c r="A8" s="12">
        <f t="shared" si="0"/>
        <v>4</v>
      </c>
      <c r="B8" s="12" t="s">
        <v>652</v>
      </c>
      <c r="C8" s="430">
        <v>9050000</v>
      </c>
      <c r="D8" s="430"/>
    </row>
    <row r="9" spans="1:5">
      <c r="A9" s="12">
        <f t="shared" si="0"/>
        <v>5</v>
      </c>
      <c r="B9" s="12" t="s">
        <v>653</v>
      </c>
      <c r="C9" s="430">
        <v>13631958.359999999</v>
      </c>
      <c r="D9" s="430"/>
    </row>
    <row r="10" spans="1:5">
      <c r="A10" s="12">
        <f t="shared" si="0"/>
        <v>6</v>
      </c>
      <c r="B10" s="12" t="s">
        <v>654</v>
      </c>
      <c r="C10" s="430">
        <v>140705186993.56039</v>
      </c>
      <c r="D10" s="430"/>
    </row>
    <row r="11" spans="1:5">
      <c r="A11" s="12">
        <f t="shared" si="0"/>
        <v>7</v>
      </c>
      <c r="B11" s="12" t="s">
        <v>655</v>
      </c>
      <c r="C11" s="430"/>
      <c r="D11" s="430">
        <v>-7417297256.2800007</v>
      </c>
    </row>
    <row r="12" spans="1:5">
      <c r="A12" s="12">
        <f t="shared" si="0"/>
        <v>8</v>
      </c>
      <c r="B12" s="12" t="s">
        <v>656</v>
      </c>
      <c r="C12" s="430">
        <v>465935356.44</v>
      </c>
      <c r="D12" s="430"/>
    </row>
    <row r="13" spans="1:5">
      <c r="A13" s="12">
        <f t="shared" si="0"/>
        <v>9</v>
      </c>
      <c r="B13" s="12" t="s">
        <v>657</v>
      </c>
      <c r="C13" s="430"/>
      <c r="D13" s="430">
        <v>-8284479184</v>
      </c>
    </row>
    <row r="14" spans="1:5">
      <c r="A14" s="12">
        <f t="shared" si="0"/>
        <v>10</v>
      </c>
      <c r="B14" s="12" t="s">
        <v>658</v>
      </c>
      <c r="C14" s="430">
        <v>7004142930.4100018</v>
      </c>
      <c r="D14" s="430"/>
    </row>
    <row r="15" spans="1:5">
      <c r="A15" s="12">
        <f t="shared" si="0"/>
        <v>11</v>
      </c>
      <c r="B15" s="12" t="s">
        <v>659</v>
      </c>
      <c r="C15" s="430">
        <v>17447794163.950008</v>
      </c>
      <c r="D15" s="430"/>
    </row>
    <row r="16" spans="1:5">
      <c r="A16" s="12">
        <f t="shared" si="0"/>
        <v>12</v>
      </c>
      <c r="B16" s="12" t="s">
        <v>660</v>
      </c>
      <c r="C16" s="430">
        <v>8856068629.3299999</v>
      </c>
      <c r="D16" s="430"/>
    </row>
    <row r="17" spans="1:4">
      <c r="A17" s="12">
        <f t="shared" si="0"/>
        <v>13</v>
      </c>
      <c r="B17" s="12" t="s">
        <v>661</v>
      </c>
      <c r="C17" s="430"/>
      <c r="D17" s="430">
        <v>379545000</v>
      </c>
    </row>
    <row r="18" spans="1:4">
      <c r="A18" s="12">
        <f t="shared" si="0"/>
        <v>14</v>
      </c>
      <c r="B18" s="12" t="s">
        <v>662</v>
      </c>
      <c r="C18" s="430"/>
      <c r="D18" s="430">
        <v>4662816018</v>
      </c>
    </row>
    <row r="19" spans="1:4">
      <c r="A19" s="12">
        <f t="shared" si="0"/>
        <v>15</v>
      </c>
      <c r="B19" s="12" t="s">
        <v>663</v>
      </c>
      <c r="C19" s="430"/>
      <c r="D19" s="430">
        <v>447678707</v>
      </c>
    </row>
    <row r="20" spans="1:4">
      <c r="A20" s="12">
        <f t="shared" si="0"/>
        <v>16</v>
      </c>
      <c r="B20" s="12" t="s">
        <v>664</v>
      </c>
      <c r="C20" s="430">
        <v>74123821</v>
      </c>
      <c r="D20" s="430"/>
    </row>
    <row r="21" spans="1:4">
      <c r="A21" s="12">
        <f t="shared" si="0"/>
        <v>17</v>
      </c>
      <c r="B21" s="12" t="s">
        <v>665</v>
      </c>
      <c r="C21" s="430">
        <v>574238759</v>
      </c>
      <c r="D21" s="430"/>
    </row>
    <row r="22" spans="1:4">
      <c r="A22" s="12">
        <f t="shared" si="0"/>
        <v>18</v>
      </c>
      <c r="B22" s="12" t="s">
        <v>666</v>
      </c>
      <c r="C22" s="430">
        <v>138537400</v>
      </c>
      <c r="D22" s="430"/>
    </row>
    <row r="23" spans="1:4">
      <c r="A23" s="499" t="s">
        <v>667</v>
      </c>
      <c r="B23" s="499"/>
      <c r="C23" s="499"/>
      <c r="D23" s="499"/>
    </row>
    <row r="24" spans="1:4">
      <c r="A24" s="10">
        <v>1</v>
      </c>
      <c r="B24" s="10" t="s">
        <v>668</v>
      </c>
      <c r="C24" s="430"/>
      <c r="D24" s="430">
        <v>162783014497.88</v>
      </c>
    </row>
    <row r="25" spans="1:4">
      <c r="A25" s="10">
        <f>A24+1</f>
        <v>2</v>
      </c>
      <c r="B25" s="10" t="s">
        <v>669</v>
      </c>
      <c r="C25" s="430">
        <v>2321358835.3799996</v>
      </c>
      <c r="D25" s="430"/>
    </row>
    <row r="26" spans="1:4">
      <c r="A26" s="10">
        <f t="shared" ref="A26:A36" si="1">A25+1</f>
        <v>3</v>
      </c>
      <c r="B26" s="10" t="s">
        <v>670</v>
      </c>
      <c r="C26" s="430"/>
      <c r="D26" s="430">
        <v>16262641544.719999</v>
      </c>
    </row>
    <row r="27" spans="1:4">
      <c r="A27" s="10">
        <f t="shared" si="1"/>
        <v>4</v>
      </c>
      <c r="B27" s="10" t="s">
        <v>671</v>
      </c>
      <c r="C27" s="430"/>
      <c r="D27" s="430">
        <v>68026105003.910004</v>
      </c>
    </row>
    <row r="28" spans="1:4">
      <c r="A28" s="10">
        <f t="shared" si="1"/>
        <v>5</v>
      </c>
      <c r="B28" s="10" t="s">
        <v>672</v>
      </c>
      <c r="C28" s="430"/>
      <c r="D28" s="430">
        <v>351707919.16000003</v>
      </c>
    </row>
    <row r="29" spans="1:4">
      <c r="A29" s="10">
        <f t="shared" si="1"/>
        <v>6</v>
      </c>
      <c r="B29" s="10" t="s">
        <v>673</v>
      </c>
      <c r="C29" s="430"/>
      <c r="D29" s="430">
        <v>9082253672.6900005</v>
      </c>
    </row>
    <row r="30" spans="1:4">
      <c r="A30" s="10">
        <f t="shared" si="1"/>
        <v>7</v>
      </c>
      <c r="B30" s="10" t="s">
        <v>674</v>
      </c>
      <c r="C30" s="430"/>
      <c r="D30" s="430">
        <v>928840924</v>
      </c>
    </row>
    <row r="31" spans="1:4">
      <c r="A31" s="10">
        <f t="shared" si="1"/>
        <v>8</v>
      </c>
      <c r="B31" s="10" t="s">
        <v>675</v>
      </c>
      <c r="C31" s="430"/>
      <c r="D31" s="430">
        <v>341300000</v>
      </c>
    </row>
    <row r="32" spans="1:4">
      <c r="A32" s="10">
        <f t="shared" si="1"/>
        <v>9</v>
      </c>
      <c r="B32" s="10" t="s">
        <v>676</v>
      </c>
      <c r="C32" s="430"/>
      <c r="D32" s="430">
        <v>154826766.5</v>
      </c>
    </row>
    <row r="33" spans="1:4">
      <c r="A33" s="10">
        <f t="shared" si="1"/>
        <v>10</v>
      </c>
      <c r="B33" s="10" t="s">
        <v>677</v>
      </c>
      <c r="C33" s="430"/>
      <c r="D33" s="430">
        <v>4144554867</v>
      </c>
    </row>
    <row r="34" spans="1:4">
      <c r="A34" s="10">
        <f t="shared" si="1"/>
        <v>11</v>
      </c>
      <c r="B34" s="10" t="s">
        <v>678</v>
      </c>
      <c r="C34" s="430"/>
      <c r="D34" s="430">
        <v>1558887163.4489999</v>
      </c>
    </row>
    <row r="35" spans="1:4">
      <c r="A35" s="10">
        <f t="shared" si="1"/>
        <v>12</v>
      </c>
      <c r="B35" s="10" t="s">
        <v>679</v>
      </c>
      <c r="C35" s="430">
        <v>18243900</v>
      </c>
      <c r="D35" s="430"/>
    </row>
    <row r="36" spans="1:4">
      <c r="A36" s="428">
        <f t="shared" si="1"/>
        <v>13</v>
      </c>
      <c r="B36" s="428" t="s">
        <v>680</v>
      </c>
      <c r="C36" s="430">
        <v>1697690450</v>
      </c>
      <c r="D36" s="430"/>
    </row>
  </sheetData>
  <mergeCells count="3">
    <mergeCell ref="A4:D4"/>
    <mergeCell ref="A1:E1"/>
    <mergeCell ref="A23:D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Sainbayar</dc:creator>
  <cp:keywords/>
  <dc:description/>
  <cp:lastModifiedBy/>
  <cp:revision/>
  <dcterms:created xsi:type="dcterms:W3CDTF">2024-09-03T08:27:41Z</dcterms:created>
  <dcterms:modified xsi:type="dcterms:W3CDTF">2024-12-27T02:25:52Z</dcterms:modified>
  <cp:category/>
  <cp:contentStatus/>
</cp:coreProperties>
</file>